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3.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drawings/drawing8.xml" ContentType="application/vnd.openxmlformats-officedocument.drawing+xml"/>
  <Override PartName="/xl/tables/table5.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6.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7.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0.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https://aptimcorp.sharepoint.com/sites/capture1/631216186PH/Shared Documents/Marketing/Collateral/Commercial/Workbooks/Non-Lighting/2025/"/>
    </mc:Choice>
  </mc:AlternateContent>
  <xr:revisionPtr revIDLastSave="0" documentId="8_{786BA0D8-444C-4A82-A2FF-3D090621CE91}" xr6:coauthVersionLast="47" xr6:coauthVersionMax="47" xr10:uidLastSave="{00000000-0000-0000-0000-000000000000}"/>
  <workbookProtection workbookAlgorithmName="SHA-512" workbookHashValue="Svbi1cpKEwdoSVg4eB7ufpf1f79bibCa5ZMzxtBxoUXMXC+bB4Ql2K6xJP66xNsp0zpGbqkLJtZATKWswoMlmQ==" workbookSaltValue="NoEoyA1N65l2ZjwCffYzZQ==" workbookSpinCount="100000" lockStructure="1"/>
  <bookViews>
    <workbookView xWindow="-57720" yWindow="-120" windowWidth="29040" windowHeight="15720" xr2:uid="{82F6A19B-5495-4F11-A89F-59BCA2D50EC3}"/>
  </bookViews>
  <sheets>
    <sheet name="Review the Intro Tab" sheetId="41" r:id="rId1"/>
    <sheet name="Fill in the Application" sheetId="37" r:id="rId2"/>
    <sheet name="Place Your Signature" sheetId="44" r:id="rId3"/>
    <sheet name="Input HVAC Measures" sheetId="1" r:id="rId4"/>
    <sheet name="Input Refrigeration Measures" sheetId="27" r:id="rId5"/>
    <sheet name="Input Com Kitchen Measures" sheetId="46" r:id="rId6"/>
    <sheet name="Input Window Film Measures" sheetId="56" r:id="rId7"/>
    <sheet name="Input Efficient Window Measures" sheetId="59" r:id="rId8"/>
    <sheet name="Input Misc Measures" sheetId="55" r:id="rId9"/>
    <sheet name="Input Custom Measures" sheetId="57" r:id="rId10"/>
    <sheet name="Review the Summary" sheetId="26" r:id="rId11"/>
    <sheet name="Completion" sheetId="52" state="hidden" r:id="rId12"/>
    <sheet name="QC" sheetId="33" state="hidden" r:id="rId13"/>
    <sheet name="References" sheetId="22" state="hidden" r:id="rId14"/>
    <sheet name="HVAC Calcs" sheetId="58" state="hidden" r:id="rId15"/>
    <sheet name="Caps" sheetId="51" state="hidden" r:id="rId16"/>
    <sheet name="Proj Data" sheetId="53" state="hidden" r:id="rId17"/>
    <sheet name="APTracks Export Data" sheetId="28" state="hidden" r:id="rId18"/>
    <sheet name="Change Log" sheetId="60" state="hidden" r:id="rId19"/>
  </sheets>
  <definedNames>
    <definedName name="_xlnm._FilterDatabase" localSheetId="17" hidden="1">'APTracks Export Data'!$A$1:$M$212</definedName>
    <definedName name="Gross_Proj_Cost" localSheetId="18">#REF!</definedName>
    <definedName name="Gross_Proj_Cost">'Review the Summary'!$C$8</definedName>
    <definedName name="HighTemp">#REF!</definedName>
    <definedName name="Input_AvgkWhRate" localSheetId="18">#REF!</definedName>
    <definedName name="Input_AvgkWhRate">'Fill in the Application'!$F$28</definedName>
    <definedName name="Input_BldgType" localSheetId="18">#REF!</definedName>
    <definedName name="Input_BldgType">'Fill in the Application'!$F$29</definedName>
    <definedName name="Input_Bonus">QC!$F$18</definedName>
    <definedName name="Input_BonusMeasureNumber" localSheetId="18">#REF!</definedName>
    <definedName name="Input_BonusMeasureNumber">QC!$G$18</definedName>
    <definedName name="Input_HVACType">'Fill in the Application'!$F$30</definedName>
    <definedName name="Input_ProgramType" localSheetId="18">#REF!</definedName>
    <definedName name="Input_ProgramType">'Fill in the Application'!$F$11</definedName>
    <definedName name="Input_ProjectNumber" localSheetId="18">#REF!</definedName>
    <definedName name="Input_ProjectNumber">QC!$B$1</definedName>
    <definedName name="Input_Usage" localSheetId="18">#REF!</definedName>
    <definedName name="Input_Usage">QC!$B$2</definedName>
    <definedName name="List_ACUnitMeasures">#REF!</definedName>
    <definedName name="List_Biz_Class" localSheetId="18">#REF!</definedName>
    <definedName name="List_Biz_Class">References!$Z$4:$Z$10</definedName>
    <definedName name="List_Bldg_Types" localSheetId="18">#REF!</definedName>
    <definedName name="List_Bldg_Types">References!$AH$4:$AH$36</definedName>
    <definedName name="List_BldgTypes">#REF!</definedName>
    <definedName name="List_ComKitch_Measure" localSheetId="18">#REF!</definedName>
    <definedName name="List_ComKitch_Measure">References!$AP$4:$AP$10</definedName>
    <definedName name="List_Contacts" localSheetId="18">#REF!</definedName>
    <definedName name="List_Contacts">References!$AK$4:$AK$7</definedName>
    <definedName name="List_ConvectionOven">#REF!</definedName>
    <definedName name="List_CurtainType">#REF!</definedName>
    <definedName name="List_Custom_Class" localSheetId="18">#REF!</definedName>
    <definedName name="List_Custom_Class">References!$AW$4:$AW$41</definedName>
    <definedName name="List_Custom_HVAC" localSheetId="18">#REF!</definedName>
    <definedName name="List_Custom_HVAC">References!$AX$4:$AX$6</definedName>
    <definedName name="List_Custom_Type" localSheetId="18">#REF!</definedName>
    <definedName name="List_Custom_Type">References!$AV$4:$AV$6</definedName>
    <definedName name="List_CustomClass">#REF!</definedName>
    <definedName name="List_CustomTypes">#REF!</definedName>
    <definedName name="List_DBE_Option" localSheetId="18">#REF!</definedName>
    <definedName name="List_DBE_Option">References!$AD$4:$AD$14</definedName>
    <definedName name="List_EffWindow_Direction" localSheetId="18">#REF!</definedName>
    <definedName name="List_EffWindow_Direction">References!$AU$4:$AU$7</definedName>
    <definedName name="List_EffWindow_Measure" localSheetId="18">#REF!</definedName>
    <definedName name="List_EffWindow_Measure">References!$AR$4:$AR$5</definedName>
    <definedName name="List_HPUnitMeasures">#REF!</definedName>
    <definedName name="List_HVAC" localSheetId="18">#REF!</definedName>
    <definedName name="List_HVAC">References!$AI$4:$AI$10</definedName>
    <definedName name="List_HVAC_Measure" localSheetId="18">#REF!</definedName>
    <definedName name="List_HVAC_Measure">References!$AN$4:$AN$16</definedName>
    <definedName name="List_HVACTypes">#REF!</definedName>
    <definedName name="List_Install_Type" localSheetId="18">#REF!</definedName>
    <definedName name="List_Install_Type">References!$AF$4:$AF$7</definedName>
    <definedName name="List_LowFlowBldgTypes">#REF!</definedName>
    <definedName name="List_Misc_Measure" localSheetId="18">#REF!</definedName>
    <definedName name="List_Misc_Measure">References!$AS$4:$AS$7</definedName>
    <definedName name="List_Ownership">References!$AG$4:$AG$5</definedName>
    <definedName name="List_PC">#REF!</definedName>
    <definedName name="List_Program_Names" localSheetId="18">#REF!</definedName>
    <definedName name="List_Program_Names" localSheetId="7">Table_Programs_Rates[List_Programs]</definedName>
    <definedName name="List_Program_Names">Table_Programs_Rates[List_Programs]</definedName>
    <definedName name="List_ProgramNames">#REF!</definedName>
    <definedName name="List_Project_Stage" localSheetId="18">#REF!</definedName>
    <definedName name="List_Project_Stage">References!$AE$4:$AE$5</definedName>
    <definedName name="List_ProjectStage">#REF!</definedName>
    <definedName name="List_PRSV">#REF!</definedName>
    <definedName name="List_Refrig_Measure" localSheetId="18">#REF!</definedName>
    <definedName name="List_Refrig_Measure">References!$AO$4:$AO$18</definedName>
    <definedName name="List_Refrigeration">#REF!</definedName>
    <definedName name="List_RefrSizes">#REF!</definedName>
    <definedName name="List_Showerhead">#REF!</definedName>
    <definedName name="List_Source" localSheetId="18">#REF!</definedName>
    <definedName name="List_Source">References!$AL$4:$AL$13</definedName>
    <definedName name="List_StripCurtainBaseline">#REF!</definedName>
    <definedName name="List_Tax_Entity" localSheetId="18">#REF!</definedName>
    <definedName name="List_Tax_Entity">References!$AA$4:$AA$9</definedName>
    <definedName name="List_Water_Heating" localSheetId="18">#REF!</definedName>
    <definedName name="List_Water_Heating">References!$AJ$4:$AJ$10</definedName>
    <definedName name="List_WinFilm_Direction" localSheetId="18">#REF!</definedName>
    <definedName name="List_WinFilm_Direction">References!$AT$4:$AT$6</definedName>
    <definedName name="List_WinFilm_Measure" localSheetId="18">#REF!</definedName>
    <definedName name="List_WinFilm_Measure">References!$AQ$4:$AQ$6</definedName>
    <definedName name="List_Y_N">References!$AC$4:$AC$5</definedName>
    <definedName name="List_Y_N_U" localSheetId="18">#REF!</definedName>
    <definedName name="List_Y_N_U">References!$AB$4:$AB$6</definedName>
    <definedName name="Net_Project_Cost" localSheetId="18">#REF!</definedName>
    <definedName name="Net_Project_Cost">'Review the Summary'!$E$8</definedName>
    <definedName name="ProgramNumber">#REF!</definedName>
    <definedName name="Project_Energy_Savings" localSheetId="18">#REF!</definedName>
    <definedName name="Project_Energy_Savings">'Review the Summary'!$F$8</definedName>
    <definedName name="Subtotal_Bonus">#REF!</definedName>
    <definedName name="Subtotal_CustomIncentive" localSheetId="18">#REF!</definedName>
    <definedName name="Subtotal_CustomIncentive">QC!$C$18</definedName>
    <definedName name="Subtotal_Incentive">#REF!</definedName>
    <definedName name="Subtotal_OtherCosts" localSheetId="18">SUM(#REF!)</definedName>
    <definedName name="Subtotal_OtherCosts">SUM('Review the Summary'!#REF!)</definedName>
    <definedName name="Subtotal_PrescriptiveIncentive">#REF!</definedName>
    <definedName name="Table_ACHPFactors">#REF!</definedName>
    <definedName name="Table_ACTU">#REF!</definedName>
    <definedName name="Table_ACTUFactors">#REF!</definedName>
    <definedName name="Table_Aerators">#REF!</definedName>
    <definedName name="Table_APS">#REF!</definedName>
    <definedName name="Table_ASHC">#REF!</definedName>
    <definedName name="Table_ChillerFactors">#REF!</definedName>
    <definedName name="Table_Chillers">#REF!</definedName>
    <definedName name="Table_CombinationOven">#REF!</definedName>
    <definedName name="Table_ConvectionOven">#REF!</definedName>
    <definedName name="Table_CustomMeasureNames">#REF!</definedName>
    <definedName name="Table_Dishwashers">#REF!</definedName>
    <definedName name="Table_DuctSealing">#REF!</definedName>
    <definedName name="Table_ECMHVACFan">#REF!</definedName>
    <definedName name="Table_ECMRefrFan">#REF!</definedName>
    <definedName name="Table_EFLH">#REF!</definedName>
    <definedName name="Table_ESRefrigerators">#REF!</definedName>
    <definedName name="Table_EvapFanControls">#REF!</definedName>
    <definedName name="Table_GREM">#REF!</definedName>
    <definedName name="Table_IceMaker">#REF!</definedName>
    <definedName name="Table_Measures">#REF!</definedName>
    <definedName name="Table_NightCovers">#REF!</definedName>
    <definedName name="Table_PCPowerMgmt">#REF!</definedName>
    <definedName name="Table_PRSV">#REF!</definedName>
    <definedName name="Table_RTUFactors">#REF!</definedName>
    <definedName name="Table_Showerhead">#REF!</definedName>
    <definedName name="Table_SteamCooker">#REF!</definedName>
    <definedName name="Table_StripCurtains">#REF!</definedName>
    <definedName name="Total_Incentive" localSheetId="18">#REF!</definedName>
    <definedName name="Total_Incentive">'Review the Summary'!$D$8</definedName>
    <definedName name="Total_ProjectCost">#REF!</definedName>
    <definedName name="Value_Application_Version" localSheetId="18">#REF!</definedName>
    <definedName name="Value_Application_Version">References!$B$8</definedName>
    <definedName name="Value_Bonus_Rate">References!$B$9</definedName>
    <definedName name="Value_CalcVersion">#REF!</definedName>
    <definedName name="Value_Cus_IncentRate" localSheetId="18">#REF!</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#REF!</definedName>
    <definedName name="Value_Measure_CAP">References!$B$4</definedName>
    <definedName name="Value_Project_CAP" localSheetId="18">#REF!</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22" l="1"/>
  <c r="L16" i="22"/>
  <c r="L14" i="22"/>
  <c r="K15" i="22"/>
  <c r="K16" i="22"/>
  <c r="K14" i="22"/>
  <c r="B18" i="26"/>
  <c r="I4" i="58"/>
  <c r="I5" i="58"/>
  <c r="I8" i="58"/>
  <c r="I9" i="58"/>
  <c r="I10" i="58"/>
  <c r="I11" i="58"/>
  <c r="I12" i="58"/>
  <c r="I13" i="58"/>
  <c r="I14" i="58"/>
  <c r="I15" i="58"/>
  <c r="I16" i="58"/>
  <c r="I19" i="58"/>
  <c r="I20"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H4" i="58"/>
  <c r="H5" i="58"/>
  <c r="H8" i="58"/>
  <c r="H9" i="58"/>
  <c r="H10" i="58"/>
  <c r="H11" i="58"/>
  <c r="H12" i="58"/>
  <c r="H13" i="58"/>
  <c r="H14" i="58"/>
  <c r="H15" i="58"/>
  <c r="H16" i="58"/>
  <c r="H19" i="58"/>
  <c r="H20" i="58"/>
  <c r="H23" i="58"/>
  <c r="H24" i="58"/>
  <c r="H25" i="58"/>
  <c r="H26" i="58"/>
  <c r="H27" i="58"/>
  <c r="H28" i="58"/>
  <c r="H29" i="58"/>
  <c r="H30" i="58"/>
  <c r="H31" i="58"/>
  <c r="H32" i="58"/>
  <c r="H33" i="58"/>
  <c r="H34" i="58"/>
  <c r="H35" i="58"/>
  <c r="H36" i="58"/>
  <c r="H37" i="58"/>
  <c r="H38" i="58"/>
  <c r="H39" i="58"/>
  <c r="H40" i="58"/>
  <c r="H41" i="58"/>
  <c r="H42" i="58"/>
  <c r="H43" i="58"/>
  <c r="H44" i="58"/>
  <c r="H45" i="58"/>
  <c r="H46" i="58"/>
  <c r="H47" i="58"/>
  <c r="H48" i="58"/>
  <c r="H49" i="58"/>
  <c r="H50" i="58"/>
  <c r="H51" i="58"/>
  <c r="H52" i="58"/>
  <c r="C13" i="26" l="1"/>
  <c r="C12" i="26"/>
  <c r="C11" i="26"/>
  <c r="S6" i="59" l="1"/>
  <c r="S7" i="59"/>
  <c r="S8" i="59"/>
  <c r="S9" i="59"/>
  <c r="S10" i="59"/>
  <c r="S11" i="59"/>
  <c r="S12" i="59"/>
  <c r="S13" i="59"/>
  <c r="S14" i="59"/>
  <c r="S15" i="59"/>
  <c r="S16" i="59"/>
  <c r="S17" i="59"/>
  <c r="S18" i="59"/>
  <c r="S19" i="59"/>
  <c r="S20" i="59"/>
  <c r="S21" i="59"/>
  <c r="S22" i="59"/>
  <c r="S23" i="59"/>
  <c r="S24" i="59"/>
  <c r="S25" i="59"/>
  <c r="S26" i="59"/>
  <c r="S27" i="59"/>
  <c r="S28" i="59"/>
  <c r="S29" i="59"/>
  <c r="S30" i="59"/>
  <c r="S31" i="59"/>
  <c r="S32" i="59"/>
  <c r="S33" i="59"/>
  <c r="S34" i="59"/>
  <c r="S35" i="59"/>
  <c r="S16" i="22"/>
  <c r="S5" i="56"/>
  <c r="S21" i="22"/>
  <c r="S22" i="22"/>
  <c r="S23" i="22"/>
  <c r="S20" i="22"/>
  <c r="S17" i="22"/>
  <c r="S18" i="22"/>
  <c r="S19" i="22"/>
  <c r="B39" i="59"/>
  <c r="B3" i="58"/>
  <c r="X4" i="22"/>
  <c r="X5" i="22"/>
  <c r="D29" i="52"/>
  <c r="D28" i="52"/>
  <c r="B4" i="58"/>
  <c r="D4" i="58"/>
  <c r="E4" i="58"/>
  <c r="B5" i="58"/>
  <c r="C5" i="58"/>
  <c r="D5" i="58"/>
  <c r="E5" i="58"/>
  <c r="F5" i="58"/>
  <c r="B6" i="58"/>
  <c r="C6" i="58"/>
  <c r="D6" i="58"/>
  <c r="E6" i="58"/>
  <c r="F6" i="58"/>
  <c r="B7" i="58"/>
  <c r="D7" i="58"/>
  <c r="E7" i="58"/>
  <c r="B8" i="58"/>
  <c r="C8" i="58"/>
  <c r="D8" i="58"/>
  <c r="E8" i="58"/>
  <c r="F8" i="58"/>
  <c r="B9" i="58"/>
  <c r="C9" i="58"/>
  <c r="D9" i="58"/>
  <c r="E9" i="58"/>
  <c r="F9" i="58"/>
  <c r="B10" i="58"/>
  <c r="C10" i="58"/>
  <c r="D10" i="58"/>
  <c r="E10" i="58"/>
  <c r="F10" i="58"/>
  <c r="B11" i="58"/>
  <c r="C11" i="58"/>
  <c r="D11" i="58"/>
  <c r="E11" i="58"/>
  <c r="F11" i="58"/>
  <c r="B12" i="58"/>
  <c r="C12" i="58"/>
  <c r="D12" i="58"/>
  <c r="E12" i="58"/>
  <c r="F12" i="58"/>
  <c r="B13" i="58"/>
  <c r="C13" i="58"/>
  <c r="D13" i="58"/>
  <c r="E13" i="58"/>
  <c r="F13" i="58"/>
  <c r="B14" i="58"/>
  <c r="C14" i="58"/>
  <c r="D14" i="58"/>
  <c r="E14" i="58"/>
  <c r="F14" i="58"/>
  <c r="B15" i="58"/>
  <c r="C15" i="58"/>
  <c r="D15" i="58"/>
  <c r="E15" i="58"/>
  <c r="F15" i="58"/>
  <c r="B16" i="58"/>
  <c r="C16" i="58"/>
  <c r="D16" i="58"/>
  <c r="E16" i="58"/>
  <c r="F16" i="58"/>
  <c r="B17" i="58"/>
  <c r="C17" i="58"/>
  <c r="D17" i="58"/>
  <c r="E17" i="58"/>
  <c r="F17" i="58"/>
  <c r="B18" i="58"/>
  <c r="C18" i="58"/>
  <c r="D18" i="58"/>
  <c r="E18" i="58"/>
  <c r="F18" i="58"/>
  <c r="B19" i="58"/>
  <c r="C19" i="58"/>
  <c r="D19" i="58"/>
  <c r="E19" i="58"/>
  <c r="F19" i="58"/>
  <c r="B20" i="58"/>
  <c r="C20" i="58"/>
  <c r="D20" i="58"/>
  <c r="E20" i="58"/>
  <c r="F20" i="58"/>
  <c r="B21" i="58"/>
  <c r="C21" i="58"/>
  <c r="D21" i="58"/>
  <c r="E21" i="58"/>
  <c r="F21" i="58"/>
  <c r="B22" i="58"/>
  <c r="C22" i="58"/>
  <c r="D22" i="58"/>
  <c r="E22" i="58"/>
  <c r="F22" i="58"/>
  <c r="B23" i="58"/>
  <c r="C23" i="58"/>
  <c r="D23" i="58"/>
  <c r="E23" i="58"/>
  <c r="F23" i="58"/>
  <c r="B24" i="58"/>
  <c r="C24" i="58"/>
  <c r="D24" i="58"/>
  <c r="E24" i="58"/>
  <c r="F24" i="58"/>
  <c r="B25" i="58"/>
  <c r="C25" i="58"/>
  <c r="D25" i="58"/>
  <c r="E25" i="58"/>
  <c r="F25" i="58"/>
  <c r="B26" i="58"/>
  <c r="C26" i="58"/>
  <c r="D26" i="58"/>
  <c r="E26" i="58"/>
  <c r="F26" i="58"/>
  <c r="B27" i="58"/>
  <c r="C27" i="58"/>
  <c r="D27" i="58"/>
  <c r="E27" i="58"/>
  <c r="F27" i="58"/>
  <c r="B28" i="58"/>
  <c r="C28" i="58"/>
  <c r="D28" i="58"/>
  <c r="E28" i="58"/>
  <c r="F28" i="58"/>
  <c r="B29" i="58"/>
  <c r="C29" i="58"/>
  <c r="D29" i="58"/>
  <c r="E29" i="58"/>
  <c r="F29" i="58"/>
  <c r="B30" i="58"/>
  <c r="C30" i="58"/>
  <c r="D30" i="58"/>
  <c r="E30" i="58"/>
  <c r="F30" i="58"/>
  <c r="B31" i="58"/>
  <c r="C31" i="58"/>
  <c r="D31" i="58"/>
  <c r="E31" i="58"/>
  <c r="F31" i="58"/>
  <c r="B32" i="58"/>
  <c r="C32" i="58"/>
  <c r="D32" i="58"/>
  <c r="E32" i="58"/>
  <c r="F32" i="58"/>
  <c r="B33" i="58"/>
  <c r="C33" i="58"/>
  <c r="D33" i="58"/>
  <c r="E33" i="58"/>
  <c r="F33" i="58"/>
  <c r="B34" i="58"/>
  <c r="C34" i="58"/>
  <c r="D34" i="58"/>
  <c r="E34" i="58"/>
  <c r="F34" i="58"/>
  <c r="B35" i="58"/>
  <c r="C35" i="58"/>
  <c r="D35" i="58"/>
  <c r="E35" i="58"/>
  <c r="F35" i="58"/>
  <c r="B36" i="58"/>
  <c r="C36" i="58"/>
  <c r="D36" i="58"/>
  <c r="E36" i="58"/>
  <c r="F36" i="58"/>
  <c r="B37" i="58"/>
  <c r="C37" i="58"/>
  <c r="D37" i="58"/>
  <c r="E37" i="58"/>
  <c r="F37" i="58"/>
  <c r="B38" i="58"/>
  <c r="C38" i="58"/>
  <c r="D38" i="58"/>
  <c r="E38" i="58"/>
  <c r="F38" i="58"/>
  <c r="B39" i="58"/>
  <c r="C39" i="58"/>
  <c r="D39" i="58"/>
  <c r="E39" i="58"/>
  <c r="F39" i="58"/>
  <c r="B40" i="58"/>
  <c r="C40" i="58"/>
  <c r="D40" i="58"/>
  <c r="E40" i="58"/>
  <c r="F40" i="58"/>
  <c r="B41" i="58"/>
  <c r="C41" i="58"/>
  <c r="D41" i="58"/>
  <c r="E41" i="58"/>
  <c r="F41" i="58"/>
  <c r="B42" i="58"/>
  <c r="C42" i="58"/>
  <c r="D42" i="58"/>
  <c r="E42" i="58"/>
  <c r="F42" i="58"/>
  <c r="B43" i="58"/>
  <c r="C43" i="58"/>
  <c r="D43" i="58"/>
  <c r="E43" i="58"/>
  <c r="F43" i="58"/>
  <c r="B44" i="58"/>
  <c r="C44" i="58"/>
  <c r="D44" i="58"/>
  <c r="E44" i="58"/>
  <c r="F44" i="58"/>
  <c r="B45" i="58"/>
  <c r="C45" i="58"/>
  <c r="D45" i="58"/>
  <c r="E45" i="58"/>
  <c r="F45" i="58"/>
  <c r="B46" i="58"/>
  <c r="C46" i="58"/>
  <c r="D46" i="58"/>
  <c r="E46" i="58"/>
  <c r="F46" i="58"/>
  <c r="B47" i="58"/>
  <c r="C47" i="58"/>
  <c r="D47" i="58"/>
  <c r="E47" i="58"/>
  <c r="F47" i="58"/>
  <c r="B48" i="58"/>
  <c r="C48" i="58"/>
  <c r="D48" i="58"/>
  <c r="E48" i="58"/>
  <c r="F48" i="58"/>
  <c r="B49" i="58"/>
  <c r="C49" i="58"/>
  <c r="D49" i="58"/>
  <c r="E49" i="58"/>
  <c r="F49" i="58"/>
  <c r="B50" i="58"/>
  <c r="C50" i="58"/>
  <c r="D50" i="58"/>
  <c r="E50" i="58"/>
  <c r="F50" i="58"/>
  <c r="B51" i="58"/>
  <c r="C51" i="58"/>
  <c r="D51" i="58"/>
  <c r="E51" i="58"/>
  <c r="F51" i="58"/>
  <c r="B52" i="58"/>
  <c r="C52" i="58"/>
  <c r="D52" i="58"/>
  <c r="E52" i="58"/>
  <c r="F52" i="58"/>
  <c r="F3" i="58"/>
  <c r="E3" i="58"/>
  <c r="D3" i="58"/>
  <c r="C3" i="58"/>
  <c r="N5" i="22"/>
  <c r="L5" i="22"/>
  <c r="L4" i="22"/>
  <c r="K5" i="22"/>
  <c r="K4" i="22"/>
  <c r="L7" i="22"/>
  <c r="K7" i="22"/>
  <c r="L6" i="22"/>
  <c r="K6" i="22"/>
  <c r="I22" i="58" l="1"/>
  <c r="H22" i="58"/>
  <c r="I18" i="58"/>
  <c r="I21" i="58"/>
  <c r="H21" i="58"/>
  <c r="H18" i="58"/>
  <c r="I3" i="58"/>
  <c r="I17" i="58"/>
  <c r="H3" i="58"/>
  <c r="H17" i="58"/>
  <c r="I6" i="58"/>
  <c r="H6" i="58"/>
  <c r="C11" i="59"/>
  <c r="C6" i="59"/>
  <c r="F6" i="59" s="1"/>
  <c r="C7" i="59"/>
  <c r="C22" i="59"/>
  <c r="C33" i="59"/>
  <c r="C9" i="59"/>
  <c r="M35" i="59"/>
  <c r="M31" i="59"/>
  <c r="M27" i="59"/>
  <c r="M23" i="59"/>
  <c r="M19" i="59"/>
  <c r="M15" i="59"/>
  <c r="M11" i="59"/>
  <c r="M7" i="59"/>
  <c r="N33" i="59"/>
  <c r="N29" i="59"/>
  <c r="N25" i="59"/>
  <c r="N21" i="59"/>
  <c r="N17" i="59"/>
  <c r="N13" i="59"/>
  <c r="N9" i="59"/>
  <c r="C8" i="59"/>
  <c r="M34" i="59"/>
  <c r="M30" i="59"/>
  <c r="M26" i="59"/>
  <c r="M22" i="59"/>
  <c r="M18" i="59"/>
  <c r="M14" i="59"/>
  <c r="M10" i="59"/>
  <c r="M6" i="59"/>
  <c r="N32" i="59"/>
  <c r="N28" i="59"/>
  <c r="N24" i="59"/>
  <c r="N20" i="59"/>
  <c r="N16" i="59"/>
  <c r="N12" i="59"/>
  <c r="N8" i="59"/>
  <c r="M33" i="59"/>
  <c r="M29" i="59"/>
  <c r="M25" i="59"/>
  <c r="M21" i="59"/>
  <c r="M17" i="59"/>
  <c r="M13" i="59"/>
  <c r="M9" i="59"/>
  <c r="N35" i="59"/>
  <c r="N31" i="59"/>
  <c r="N27" i="59"/>
  <c r="N23" i="59"/>
  <c r="N19" i="59"/>
  <c r="N15" i="59"/>
  <c r="N11" i="59"/>
  <c r="N7" i="59"/>
  <c r="C31" i="59"/>
  <c r="M32" i="59"/>
  <c r="M28" i="59"/>
  <c r="M24" i="59"/>
  <c r="M20" i="59"/>
  <c r="M16" i="59"/>
  <c r="M12" i="59"/>
  <c r="M8" i="59"/>
  <c r="N34" i="59"/>
  <c r="N30" i="59"/>
  <c r="N26" i="59"/>
  <c r="N22" i="59"/>
  <c r="N18" i="59"/>
  <c r="N14" i="59"/>
  <c r="N10" i="59"/>
  <c r="N6" i="59"/>
  <c r="C20" i="59"/>
  <c r="C23" i="59"/>
  <c r="C27" i="59"/>
  <c r="C26" i="59"/>
  <c r="C13" i="59"/>
  <c r="C35" i="59"/>
  <c r="C30" i="59"/>
  <c r="C25" i="59"/>
  <c r="C15" i="59"/>
  <c r="C10" i="59"/>
  <c r="C34" i="59"/>
  <c r="C29" i="59"/>
  <c r="C19" i="59"/>
  <c r="C12" i="59"/>
  <c r="C32" i="59"/>
  <c r="C28" i="59"/>
  <c r="C24" i="59"/>
  <c r="C18" i="59"/>
  <c r="C14" i="59"/>
  <c r="C21" i="59"/>
  <c r="C17" i="59"/>
  <c r="C16" i="59"/>
  <c r="Q249" i="22"/>
  <c r="N249" i="22"/>
  <c r="Q246" i="22"/>
  <c r="N246" i="22"/>
  <c r="Q243" i="22"/>
  <c r="N243" i="22"/>
  <c r="Q240" i="22"/>
  <c r="N240" i="22"/>
  <c r="Q237" i="22"/>
  <c r="N237" i="22"/>
  <c r="Q234" i="22"/>
  <c r="N234" i="22"/>
  <c r="Q231" i="22"/>
  <c r="N231" i="22"/>
  <c r="Q228" i="22"/>
  <c r="N228" i="22"/>
  <c r="Q225" i="22"/>
  <c r="N225" i="22"/>
  <c r="Q222" i="22"/>
  <c r="N222" i="22"/>
  <c r="Q215" i="22"/>
  <c r="N215" i="22"/>
  <c r="Q211" i="22"/>
  <c r="N211" i="22"/>
  <c r="Q207" i="22"/>
  <c r="N207" i="22"/>
  <c r="Q203" i="22"/>
  <c r="N203" i="22"/>
  <c r="Q199" i="22"/>
  <c r="N199" i="22"/>
  <c r="Q195" i="22"/>
  <c r="N195" i="22"/>
  <c r="Q191" i="22"/>
  <c r="N191" i="22"/>
  <c r="Q187" i="22"/>
  <c r="N187" i="22"/>
  <c r="Q183" i="22"/>
  <c r="N183" i="22"/>
  <c r="Q179" i="22"/>
  <c r="N179" i="22"/>
  <c r="S174" i="22"/>
  <c r="P174" i="22"/>
  <c r="S172" i="22"/>
  <c r="P172" i="22"/>
  <c r="S170" i="22"/>
  <c r="P170" i="22"/>
  <c r="S168" i="22"/>
  <c r="P168" i="22"/>
  <c r="S166" i="22"/>
  <c r="P166" i="22"/>
  <c r="S164" i="22"/>
  <c r="P164" i="22"/>
  <c r="S162" i="22"/>
  <c r="P162" i="22"/>
  <c r="S160" i="22"/>
  <c r="P160" i="22"/>
  <c r="S158" i="22"/>
  <c r="P158" i="22"/>
  <c r="S156" i="22"/>
  <c r="P156" i="22"/>
  <c r="N124" i="22"/>
  <c r="L124" i="22"/>
  <c r="N123" i="22"/>
  <c r="L123" i="22"/>
  <c r="N122" i="22"/>
  <c r="L122" i="22"/>
  <c r="L11" i="22" l="1"/>
  <c r="L12" i="22"/>
  <c r="L13" i="22"/>
  <c r="K11" i="22"/>
  <c r="K12" i="22"/>
  <c r="K13" i="22"/>
  <c r="C4" i="58"/>
  <c r="C7" i="58"/>
  <c r="I7" i="58" s="1"/>
  <c r="F4" i="58"/>
  <c r="F7" i="58"/>
  <c r="H7" i="58" s="1"/>
  <c r="K6" i="59"/>
  <c r="S6" i="56"/>
  <c r="S7" i="56"/>
  <c r="S8" i="56"/>
  <c r="S9" i="56"/>
  <c r="S10" i="56"/>
  <c r="S11" i="56"/>
  <c r="S12" i="56"/>
  <c r="S13" i="56"/>
  <c r="S14" i="56"/>
  <c r="S15" i="56"/>
  <c r="S16" i="56"/>
  <c r="S17" i="56"/>
  <c r="S18" i="56"/>
  <c r="S19" i="56"/>
  <c r="S20" i="56"/>
  <c r="S21" i="56"/>
  <c r="S22" i="56"/>
  <c r="S23" i="56"/>
  <c r="S24" i="56"/>
  <c r="S25" i="56"/>
  <c r="S26" i="56"/>
  <c r="S27" i="56"/>
  <c r="S28" i="56"/>
  <c r="S29" i="56"/>
  <c r="S30" i="56"/>
  <c r="S31" i="56"/>
  <c r="S32" i="56"/>
  <c r="S33" i="56"/>
  <c r="S34" i="56"/>
  <c r="S11" i="22"/>
  <c r="S12" i="22"/>
  <c r="S10" i="22"/>
  <c r="S8" i="22"/>
  <c r="S9" i="22"/>
  <c r="S4" i="22"/>
  <c r="S5" i="22"/>
  <c r="S6" i="22"/>
  <c r="S7" i="22"/>
  <c r="T5" i="22"/>
  <c r="T6" i="22"/>
  <c r="T7" i="22"/>
  <c r="T8" i="22"/>
  <c r="T9" i="22"/>
  <c r="T10" i="22"/>
  <c r="T11" i="22"/>
  <c r="T12" i="22"/>
  <c r="T4" i="22"/>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L48" i="22"/>
  <c r="U12" i="22" s="1"/>
  <c r="L47" i="22"/>
  <c r="U11" i="22" s="1"/>
  <c r="L46" i="22"/>
  <c r="U10" i="22" s="1"/>
  <c r="L45" i="22"/>
  <c r="U9" i="22" s="1"/>
  <c r="L44" i="22"/>
  <c r="U8" i="22" s="1"/>
  <c r="L43" i="22"/>
  <c r="U7" i="22" s="1"/>
  <c r="L42" i="22"/>
  <c r="U6" i="22" s="1"/>
  <c r="L41" i="22"/>
  <c r="U5" i="22" s="1"/>
  <c r="L40" i="22"/>
  <c r="U4" i="22" s="1"/>
  <c r="C5" i="56" l="1"/>
  <c r="K5" i="56" s="1"/>
  <c r="O34" i="59"/>
  <c r="O30" i="59"/>
  <c r="O19" i="59"/>
  <c r="O18" i="59"/>
  <c r="O14" i="59"/>
  <c r="O23" i="59"/>
  <c r="O7" i="59"/>
  <c r="O35" i="59"/>
  <c r="O31" i="59"/>
  <c r="O15" i="59"/>
  <c r="O27" i="59"/>
  <c r="O26" i="59"/>
  <c r="O22" i="59"/>
  <c r="O11" i="59"/>
  <c r="O10" i="59"/>
  <c r="O32" i="59"/>
  <c r="O9" i="59"/>
  <c r="O13" i="59"/>
  <c r="O16" i="59"/>
  <c r="O29" i="59"/>
  <c r="O17" i="59"/>
  <c r="O20" i="59"/>
  <c r="O8" i="59"/>
  <c r="O21" i="59"/>
  <c r="O24" i="59"/>
  <c r="O12" i="59"/>
  <c r="O33" i="59"/>
  <c r="O25" i="59"/>
  <c r="O28" i="59"/>
  <c r="C13" i="56"/>
  <c r="K13" i="56" s="1"/>
  <c r="F14" i="55"/>
  <c r="J14" i="55"/>
  <c r="K14" i="55" s="1"/>
  <c r="F26" i="55"/>
  <c r="J26" i="55"/>
  <c r="K26" i="55" s="1"/>
  <c r="O11" i="55"/>
  <c r="J11" i="55"/>
  <c r="K11" i="55" s="1"/>
  <c r="M27" i="55"/>
  <c r="J27" i="55"/>
  <c r="K27" i="55" s="1"/>
  <c r="M31" i="55"/>
  <c r="J31" i="55"/>
  <c r="K31" i="55" s="1"/>
  <c r="F18" i="55"/>
  <c r="J18" i="55"/>
  <c r="K18" i="55" s="1"/>
  <c r="F34" i="55"/>
  <c r="J34" i="55"/>
  <c r="K34" i="55" s="1"/>
  <c r="M7" i="55"/>
  <c r="J7" i="55"/>
  <c r="K7" i="55" s="1"/>
  <c r="O19" i="55"/>
  <c r="J19" i="55"/>
  <c r="K19" i="55" s="1"/>
  <c r="J8" i="55"/>
  <c r="K8" i="55" s="1"/>
  <c r="J12" i="55"/>
  <c r="K12" i="55" s="1"/>
  <c r="O16" i="55"/>
  <c r="J16" i="55"/>
  <c r="K16" i="55" s="1"/>
  <c r="O20" i="55"/>
  <c r="J20" i="55"/>
  <c r="K20" i="55" s="1"/>
  <c r="O24" i="55"/>
  <c r="J24" i="55"/>
  <c r="K24" i="55" s="1"/>
  <c r="O28" i="55"/>
  <c r="J28" i="55"/>
  <c r="K28" i="55" s="1"/>
  <c r="O32" i="55"/>
  <c r="J32" i="55"/>
  <c r="K32" i="55" s="1"/>
  <c r="F10" i="55"/>
  <c r="J10" i="55"/>
  <c r="K10" i="55" s="1"/>
  <c r="F22" i="55"/>
  <c r="J22" i="55"/>
  <c r="K22" i="55" s="1"/>
  <c r="F30" i="55"/>
  <c r="J30" i="55"/>
  <c r="K30" i="55" s="1"/>
  <c r="O15" i="55"/>
  <c r="J15" i="55"/>
  <c r="K15" i="55" s="1"/>
  <c r="M23" i="55"/>
  <c r="J23" i="55"/>
  <c r="K23" i="55" s="1"/>
  <c r="F9" i="55"/>
  <c r="J9" i="55"/>
  <c r="K9" i="55" s="1"/>
  <c r="F13" i="55"/>
  <c r="J13" i="55"/>
  <c r="K13" i="55" s="1"/>
  <c r="F17" i="55"/>
  <c r="J17" i="55"/>
  <c r="K17" i="55" s="1"/>
  <c r="F21" i="55"/>
  <c r="J21" i="55"/>
  <c r="K21" i="55" s="1"/>
  <c r="F25" i="55"/>
  <c r="J25" i="55"/>
  <c r="K25" i="55" s="1"/>
  <c r="F29" i="55"/>
  <c r="J29" i="55"/>
  <c r="K29" i="55" s="1"/>
  <c r="F33" i="55"/>
  <c r="J33" i="55"/>
  <c r="K33" i="55" s="1"/>
  <c r="O6" i="55"/>
  <c r="J6" i="55"/>
  <c r="K6" i="55" s="1"/>
  <c r="C10" i="56"/>
  <c r="K10" i="56" s="1"/>
  <c r="C9" i="56"/>
  <c r="K9" i="56" s="1"/>
  <c r="C8" i="56"/>
  <c r="K8" i="56" s="1"/>
  <c r="C14" i="56"/>
  <c r="K14" i="56" s="1"/>
  <c r="C6" i="56"/>
  <c r="K6" i="56" s="1"/>
  <c r="C33" i="56"/>
  <c r="K33" i="56" s="1"/>
  <c r="C29" i="56"/>
  <c r="K29" i="56" s="1"/>
  <c r="C25" i="56"/>
  <c r="K25" i="56" s="1"/>
  <c r="C21" i="56"/>
  <c r="K21" i="56" s="1"/>
  <c r="C17" i="56"/>
  <c r="K17" i="56" s="1"/>
  <c r="C32" i="56"/>
  <c r="K32" i="56" s="1"/>
  <c r="C28" i="56"/>
  <c r="K28" i="56" s="1"/>
  <c r="C24" i="56"/>
  <c r="K24" i="56" s="1"/>
  <c r="C20" i="56"/>
  <c r="K20" i="56" s="1"/>
  <c r="C16" i="56"/>
  <c r="K16" i="56" s="1"/>
  <c r="C12" i="56"/>
  <c r="K12" i="56" s="1"/>
  <c r="C31" i="56"/>
  <c r="K31" i="56" s="1"/>
  <c r="C27" i="56"/>
  <c r="K27" i="56" s="1"/>
  <c r="C23" i="56"/>
  <c r="K23" i="56" s="1"/>
  <c r="C19" i="56"/>
  <c r="K19" i="56" s="1"/>
  <c r="C15" i="56"/>
  <c r="K15" i="56" s="1"/>
  <c r="C11" i="56"/>
  <c r="K11" i="56" s="1"/>
  <c r="C7" i="56"/>
  <c r="K7" i="56" s="1"/>
  <c r="C34" i="56"/>
  <c r="K34" i="56" s="1"/>
  <c r="C30" i="56"/>
  <c r="K30" i="56" s="1"/>
  <c r="C26" i="56"/>
  <c r="K26" i="56" s="1"/>
  <c r="C22" i="56"/>
  <c r="K22" i="56" s="1"/>
  <c r="C18" i="56"/>
  <c r="K18" i="56" s="1"/>
  <c r="L17" i="55"/>
  <c r="N17" i="55" s="1"/>
  <c r="O7" i="55"/>
  <c r="M12" i="55"/>
  <c r="L12" i="55"/>
  <c r="N12" i="55" s="1"/>
  <c r="M20" i="55"/>
  <c r="M8" i="55"/>
  <c r="O17" i="55"/>
  <c r="O13" i="55"/>
  <c r="F20" i="55"/>
  <c r="F12" i="55"/>
  <c r="O25" i="55"/>
  <c r="M28" i="55"/>
  <c r="L13" i="55"/>
  <c r="N13" i="55" s="1"/>
  <c r="F28" i="55"/>
  <c r="F32" i="55"/>
  <c r="L9" i="55"/>
  <c r="N9" i="55" s="1"/>
  <c r="L21" i="55"/>
  <c r="N21" i="55" s="1"/>
  <c r="L24" i="55"/>
  <c r="N24" i="55" s="1"/>
  <c r="O27" i="55"/>
  <c r="L29" i="55"/>
  <c r="N29" i="55" s="1"/>
  <c r="L32" i="55"/>
  <c r="N32" i="55" s="1"/>
  <c r="F16" i="55"/>
  <c r="O9" i="55"/>
  <c r="L16" i="55"/>
  <c r="N16" i="55" s="1"/>
  <c r="O21" i="55"/>
  <c r="M24" i="55"/>
  <c r="O29" i="55"/>
  <c r="M32" i="55"/>
  <c r="M16" i="55"/>
  <c r="F24" i="55"/>
  <c r="F8" i="55"/>
  <c r="L8" i="55"/>
  <c r="N8" i="55" s="1"/>
  <c r="L20" i="55"/>
  <c r="N20" i="55" s="1"/>
  <c r="O23" i="55"/>
  <c r="L25" i="55"/>
  <c r="N25" i="55" s="1"/>
  <c r="L28" i="55"/>
  <c r="N28" i="55" s="1"/>
  <c r="O31" i="55"/>
  <c r="O33" i="55"/>
  <c r="F6" i="55"/>
  <c r="L33" i="55"/>
  <c r="N33" i="55" s="1"/>
  <c r="F7" i="55"/>
  <c r="O8" i="55"/>
  <c r="M9" i="55"/>
  <c r="F11" i="55"/>
  <c r="O12" i="55"/>
  <c r="M13" i="55"/>
  <c r="F15" i="55"/>
  <c r="M17" i="55"/>
  <c r="F19" i="55"/>
  <c r="M21" i="55"/>
  <c r="F23" i="55"/>
  <c r="M25" i="55"/>
  <c r="F27" i="55"/>
  <c r="M29" i="55"/>
  <c r="F31" i="55"/>
  <c r="M33" i="55"/>
  <c r="L6" i="55"/>
  <c r="N6" i="55" s="1"/>
  <c r="L10" i="55"/>
  <c r="N10" i="55" s="1"/>
  <c r="L14" i="55"/>
  <c r="N14" i="55" s="1"/>
  <c r="L18" i="55"/>
  <c r="N18" i="55" s="1"/>
  <c r="L22" i="55"/>
  <c r="N22" i="55" s="1"/>
  <c r="L26" i="55"/>
  <c r="N26" i="55" s="1"/>
  <c r="L30" i="55"/>
  <c r="N30" i="55" s="1"/>
  <c r="L34" i="55"/>
  <c r="N34" i="55" s="1"/>
  <c r="M22" i="55"/>
  <c r="M26" i="55"/>
  <c r="M34" i="55"/>
  <c r="M6" i="55"/>
  <c r="M10" i="55"/>
  <c r="M14" i="55"/>
  <c r="L7" i="55"/>
  <c r="N7" i="55" s="1"/>
  <c r="M18" i="55"/>
  <c r="M30" i="55"/>
  <c r="L11" i="55"/>
  <c r="N11" i="55" s="1"/>
  <c r="L15" i="55"/>
  <c r="N15" i="55" s="1"/>
  <c r="L19" i="55"/>
  <c r="N19" i="55" s="1"/>
  <c r="L23" i="55"/>
  <c r="N23" i="55" s="1"/>
  <c r="L27" i="55"/>
  <c r="N27" i="55" s="1"/>
  <c r="L31" i="55"/>
  <c r="N31" i="55" s="1"/>
  <c r="O10" i="55"/>
  <c r="M11" i="55"/>
  <c r="O14" i="55"/>
  <c r="M15" i="55"/>
  <c r="O18" i="55"/>
  <c r="M19" i="55"/>
  <c r="O22" i="55"/>
  <c r="O26" i="55"/>
  <c r="O30" i="55"/>
  <c r="O34" i="55"/>
  <c r="P15" i="55" l="1"/>
  <c r="Q15" i="55" s="1"/>
  <c r="P32" i="55"/>
  <c r="Q32" i="55" s="1"/>
  <c r="P24" i="55"/>
  <c r="Q24" i="55" s="1"/>
  <c r="P16" i="55"/>
  <c r="Q16" i="55" s="1"/>
  <c r="P11" i="55"/>
  <c r="Q11" i="55" s="1"/>
  <c r="K20" i="59"/>
  <c r="L20" i="59" s="1"/>
  <c r="P20" i="59"/>
  <c r="F20" i="59"/>
  <c r="P16" i="59"/>
  <c r="K16" i="59"/>
  <c r="L16" i="59" s="1"/>
  <c r="F16" i="59"/>
  <c r="K28" i="59"/>
  <c r="L28" i="59" s="1"/>
  <c r="F28" i="59"/>
  <c r="P28" i="59"/>
  <c r="L6" i="59"/>
  <c r="P6" i="59"/>
  <c r="K22" i="59"/>
  <c r="L22" i="59" s="1"/>
  <c r="F22" i="59"/>
  <c r="P22" i="59"/>
  <c r="O6" i="59"/>
  <c r="O4" i="59" s="1"/>
  <c r="M4" i="59"/>
  <c r="P11" i="59"/>
  <c r="K11" i="59"/>
  <c r="L11" i="59" s="1"/>
  <c r="F11" i="59"/>
  <c r="F15" i="59"/>
  <c r="K15" i="59"/>
  <c r="L15" i="59" s="1"/>
  <c r="P15" i="59"/>
  <c r="F31" i="59"/>
  <c r="K31" i="59"/>
  <c r="L31" i="59" s="1"/>
  <c r="P31" i="59"/>
  <c r="F12" i="59"/>
  <c r="P12" i="59"/>
  <c r="K12" i="59"/>
  <c r="L12" i="59" s="1"/>
  <c r="P24" i="59"/>
  <c r="K24" i="59"/>
  <c r="L24" i="59" s="1"/>
  <c r="F24" i="59"/>
  <c r="F17" i="59"/>
  <c r="P17" i="59"/>
  <c r="K17" i="59"/>
  <c r="L17" i="59" s="1"/>
  <c r="P13" i="59"/>
  <c r="F13" i="59"/>
  <c r="K13" i="59"/>
  <c r="L13" i="59" s="1"/>
  <c r="P25" i="59"/>
  <c r="F25" i="59"/>
  <c r="K25" i="59"/>
  <c r="L25" i="59" s="1"/>
  <c r="F10" i="59"/>
  <c r="P10" i="59"/>
  <c r="K10" i="59"/>
  <c r="L10" i="59" s="1"/>
  <c r="F23" i="59"/>
  <c r="P23" i="59"/>
  <c r="K23" i="59"/>
  <c r="L23" i="59" s="1"/>
  <c r="K18" i="59"/>
  <c r="L18" i="59" s="1"/>
  <c r="F18" i="59"/>
  <c r="P18" i="59"/>
  <c r="K34" i="59"/>
  <c r="L34" i="59" s="1"/>
  <c r="P34" i="59"/>
  <c r="F34" i="59"/>
  <c r="F33" i="59"/>
  <c r="P33" i="59"/>
  <c r="K33" i="59"/>
  <c r="L33" i="59" s="1"/>
  <c r="N4" i="59"/>
  <c r="F21" i="59"/>
  <c r="K21" i="59"/>
  <c r="L21" i="59" s="1"/>
  <c r="P21" i="59"/>
  <c r="P27" i="59"/>
  <c r="K27" i="59"/>
  <c r="L27" i="59" s="1"/>
  <c r="F27" i="59"/>
  <c r="P19" i="59"/>
  <c r="K19" i="59"/>
  <c r="L19" i="59" s="1"/>
  <c r="F19" i="59"/>
  <c r="K8" i="59"/>
  <c r="L8" i="59" s="1"/>
  <c r="F8" i="59"/>
  <c r="P8" i="59"/>
  <c r="K29" i="59"/>
  <c r="L29" i="59" s="1"/>
  <c r="P29" i="59"/>
  <c r="F29" i="59"/>
  <c r="K32" i="59"/>
  <c r="L32" i="59" s="1"/>
  <c r="P32" i="59"/>
  <c r="F32" i="59"/>
  <c r="F9" i="59"/>
  <c r="K9" i="59"/>
  <c r="L9" i="59" s="1"/>
  <c r="P9" i="59"/>
  <c r="F7" i="59"/>
  <c r="P7" i="59"/>
  <c r="K7" i="59"/>
  <c r="L7" i="59" s="1"/>
  <c r="F26" i="59"/>
  <c r="P26" i="59"/>
  <c r="K26" i="59"/>
  <c r="L26" i="59" s="1"/>
  <c r="K14" i="59"/>
  <c r="L14" i="59" s="1"/>
  <c r="F14" i="59"/>
  <c r="P14" i="59"/>
  <c r="K30" i="59"/>
  <c r="L30" i="59" s="1"/>
  <c r="F30" i="59"/>
  <c r="P30" i="59"/>
  <c r="P35" i="59"/>
  <c r="F35" i="59"/>
  <c r="K35" i="59"/>
  <c r="L35" i="59" s="1"/>
  <c r="P19" i="55"/>
  <c r="Q19" i="55" s="1"/>
  <c r="P7" i="55"/>
  <c r="Q7" i="55" s="1"/>
  <c r="P28" i="55"/>
  <c r="Q28" i="55" s="1"/>
  <c r="P20" i="55"/>
  <c r="Q20" i="55" s="1"/>
  <c r="P12" i="55"/>
  <c r="Q12" i="55" s="1"/>
  <c r="P27" i="55"/>
  <c r="Q27" i="55" s="1"/>
  <c r="P8" i="55"/>
  <c r="Q8" i="55" s="1"/>
  <c r="P34" i="55"/>
  <c r="Q34" i="55" s="1"/>
  <c r="P6" i="55"/>
  <c r="Q6" i="55" s="1"/>
  <c r="P18" i="55"/>
  <c r="Q18" i="55" s="1"/>
  <c r="P9" i="55"/>
  <c r="Q9" i="55" s="1"/>
  <c r="P26" i="55"/>
  <c r="Q26" i="55" s="1"/>
  <c r="P29" i="55"/>
  <c r="Q29" i="55" s="1"/>
  <c r="P17" i="55"/>
  <c r="Q17" i="55" s="1"/>
  <c r="P13" i="55"/>
  <c r="Q13" i="55" s="1"/>
  <c r="P14" i="55"/>
  <c r="Q14" i="55" s="1"/>
  <c r="P21" i="55"/>
  <c r="Q21" i="55" s="1"/>
  <c r="P23" i="55"/>
  <c r="Q23" i="55" s="1"/>
  <c r="P25" i="55"/>
  <c r="Q25" i="55" s="1"/>
  <c r="P31" i="55"/>
  <c r="Q31" i="55" s="1"/>
  <c r="P30" i="55"/>
  <c r="Q30" i="55" s="1"/>
  <c r="P33" i="55"/>
  <c r="Q33" i="55" s="1"/>
  <c r="P10" i="55"/>
  <c r="Q10" i="55" s="1"/>
  <c r="P22" i="55"/>
  <c r="Q22" i="55" s="1"/>
  <c r="Q29" i="59" l="1"/>
  <c r="R29" i="59" s="1"/>
  <c r="Q15" i="59"/>
  <c r="R15" i="59" s="1"/>
  <c r="Q27" i="59"/>
  <c r="R27" i="59" s="1"/>
  <c r="Q28" i="59"/>
  <c r="R28" i="59" s="1"/>
  <c r="Q35" i="59"/>
  <c r="R35" i="59" s="1"/>
  <c r="Q14" i="59"/>
  <c r="R14" i="59" s="1"/>
  <c r="Q19" i="59"/>
  <c r="R19" i="59" s="1"/>
  <c r="Q21" i="59"/>
  <c r="R21" i="59" s="1"/>
  <c r="Q34" i="59"/>
  <c r="R34" i="59" s="1"/>
  <c r="Q13" i="59"/>
  <c r="R13" i="59" s="1"/>
  <c r="Q12" i="59"/>
  <c r="R12" i="59" s="1"/>
  <c r="Q16" i="59"/>
  <c r="R16" i="59" s="1"/>
  <c r="Q7" i="59"/>
  <c r="R7" i="59" s="1"/>
  <c r="Q6" i="59"/>
  <c r="P4" i="59"/>
  <c r="Q33" i="59"/>
  <c r="R33" i="59" s="1"/>
  <c r="Q10" i="59"/>
  <c r="R10" i="59" s="1"/>
  <c r="Q25" i="59"/>
  <c r="R25" i="59" s="1"/>
  <c r="Q22" i="59"/>
  <c r="R22" i="59" s="1"/>
  <c r="Q26" i="59"/>
  <c r="R26" i="59" s="1"/>
  <c r="Q30" i="59"/>
  <c r="R30" i="59" s="1"/>
  <c r="Q9" i="59"/>
  <c r="R9" i="59" s="1"/>
  <c r="Q32" i="59"/>
  <c r="R32" i="59" s="1"/>
  <c r="Q18" i="59"/>
  <c r="R18" i="59" s="1"/>
  <c r="Q23" i="59"/>
  <c r="R23" i="59" s="1"/>
  <c r="Q17" i="59"/>
  <c r="R17" i="59" s="1"/>
  <c r="Q24" i="59"/>
  <c r="R24" i="59" s="1"/>
  <c r="Q31" i="59"/>
  <c r="R31" i="59" s="1"/>
  <c r="Q11" i="59"/>
  <c r="R11" i="59" s="1"/>
  <c r="Q20" i="59"/>
  <c r="R20" i="59" s="1"/>
  <c r="Q8" i="59"/>
  <c r="R8" i="59" s="1"/>
  <c r="L4" i="59"/>
  <c r="B28" i="57"/>
  <c r="B38" i="55"/>
  <c r="B38" i="56"/>
  <c r="B38" i="46"/>
  <c r="B59" i="27"/>
  <c r="B59" i="1"/>
  <c r="B42" i="37"/>
  <c r="B47" i="52"/>
  <c r="B19" i="44"/>
  <c r="B195" i="28"/>
  <c r="J195" i="28"/>
  <c r="K195" i="28"/>
  <c r="L195" i="28"/>
  <c r="M195" i="28"/>
  <c r="B196" i="28"/>
  <c r="J196" i="28"/>
  <c r="K196" i="28"/>
  <c r="L196" i="28"/>
  <c r="M196" i="28"/>
  <c r="B197" i="28"/>
  <c r="J197" i="28"/>
  <c r="K197" i="28"/>
  <c r="L197" i="28"/>
  <c r="M197" i="28"/>
  <c r="B198" i="28"/>
  <c r="J198" i="28"/>
  <c r="K198" i="28"/>
  <c r="L198" i="28"/>
  <c r="M198" i="28"/>
  <c r="B199" i="28"/>
  <c r="J199" i="28"/>
  <c r="K199" i="28"/>
  <c r="L199" i="28"/>
  <c r="M199" i="28"/>
  <c r="B200" i="28"/>
  <c r="J200" i="28"/>
  <c r="K200" i="28"/>
  <c r="L200" i="28"/>
  <c r="M200" i="28"/>
  <c r="B201" i="28"/>
  <c r="J201" i="28"/>
  <c r="K201" i="28"/>
  <c r="L201" i="28"/>
  <c r="M201" i="28"/>
  <c r="B202" i="28"/>
  <c r="J202" i="28"/>
  <c r="K202" i="28"/>
  <c r="L202" i="28"/>
  <c r="M202" i="28"/>
  <c r="B203" i="28"/>
  <c r="J203" i="28"/>
  <c r="K203" i="28"/>
  <c r="L203" i="28"/>
  <c r="M203" i="28"/>
  <c r="B204" i="28"/>
  <c r="J204" i="28"/>
  <c r="K204" i="28"/>
  <c r="L204" i="28"/>
  <c r="M204" i="28"/>
  <c r="B205" i="28"/>
  <c r="J205" i="28"/>
  <c r="K205" i="28"/>
  <c r="L205" i="28"/>
  <c r="M205" i="28"/>
  <c r="B206" i="28"/>
  <c r="J206" i="28"/>
  <c r="K206" i="28"/>
  <c r="L206" i="28"/>
  <c r="M206" i="28"/>
  <c r="B207" i="28"/>
  <c r="J207" i="28"/>
  <c r="K207" i="28"/>
  <c r="L207" i="28"/>
  <c r="M207" i="28"/>
  <c r="B208" i="28"/>
  <c r="J208" i="28"/>
  <c r="K208" i="28"/>
  <c r="L208" i="28"/>
  <c r="M208" i="28"/>
  <c r="B209" i="28"/>
  <c r="J209" i="28"/>
  <c r="K209" i="28"/>
  <c r="L209" i="28"/>
  <c r="M209" i="28"/>
  <c r="B210" i="28"/>
  <c r="J210" i="28"/>
  <c r="K210" i="28"/>
  <c r="L210" i="28"/>
  <c r="M210" i="28"/>
  <c r="B211" i="28"/>
  <c r="J211" i="28"/>
  <c r="K211" i="28"/>
  <c r="L211" i="28"/>
  <c r="M211" i="28"/>
  <c r="B212" i="28"/>
  <c r="J212" i="28"/>
  <c r="K212" i="28"/>
  <c r="L212" i="28"/>
  <c r="M212" i="28"/>
  <c r="J194" i="28"/>
  <c r="K194" i="28"/>
  <c r="L194" i="28"/>
  <c r="M194" i="28"/>
  <c r="M193" i="28"/>
  <c r="L193" i="28"/>
  <c r="K193" i="28"/>
  <c r="J193" i="28"/>
  <c r="C5" i="57"/>
  <c r="D193" i="28" s="1"/>
  <c r="C6" i="57"/>
  <c r="D194" i="28" s="1"/>
  <c r="C7" i="57"/>
  <c r="D195" i="28" s="1"/>
  <c r="C8" i="57"/>
  <c r="D196" i="28" s="1"/>
  <c r="C9" i="57"/>
  <c r="D197" i="28" s="1"/>
  <c r="C10" i="57"/>
  <c r="D198" i="28" s="1"/>
  <c r="C11" i="57"/>
  <c r="D199" i="28" s="1"/>
  <c r="C12" i="57"/>
  <c r="D200" i="28" s="1"/>
  <c r="C13" i="57"/>
  <c r="D201" i="28" s="1"/>
  <c r="C14" i="57"/>
  <c r="D202" i="28" s="1"/>
  <c r="C15" i="57"/>
  <c r="D203" i="28" s="1"/>
  <c r="C16" i="57"/>
  <c r="D204" i="28" s="1"/>
  <c r="C17" i="57"/>
  <c r="D205" i="28" s="1"/>
  <c r="C18" i="57"/>
  <c r="D206" i="28" s="1"/>
  <c r="C19" i="57"/>
  <c r="D207" i="28" s="1"/>
  <c r="C20" i="57"/>
  <c r="D208" i="28" s="1"/>
  <c r="C21" i="57"/>
  <c r="D209" i="28" s="1"/>
  <c r="C22" i="57"/>
  <c r="D210" i="28" s="1"/>
  <c r="C23" i="57"/>
  <c r="D211" i="28" s="1"/>
  <c r="C24" i="57"/>
  <c r="D212" i="28" s="1"/>
  <c r="B194" i="28"/>
  <c r="B193" i="28"/>
  <c r="B165" i="28"/>
  <c r="F165" i="28"/>
  <c r="J165" i="28"/>
  <c r="K165" i="28"/>
  <c r="L165" i="28"/>
  <c r="M165" i="28"/>
  <c r="B166" i="28"/>
  <c r="F166" i="28"/>
  <c r="J166" i="28"/>
  <c r="K166" i="28"/>
  <c r="L166" i="28"/>
  <c r="M166" i="28"/>
  <c r="B167" i="28"/>
  <c r="F167" i="28"/>
  <c r="J167" i="28"/>
  <c r="K167" i="28"/>
  <c r="L167" i="28"/>
  <c r="M167" i="28"/>
  <c r="B168" i="28"/>
  <c r="F168" i="28"/>
  <c r="J168" i="28"/>
  <c r="K168" i="28"/>
  <c r="L168" i="28"/>
  <c r="M168" i="28"/>
  <c r="B169" i="28"/>
  <c r="F169" i="28"/>
  <c r="J169" i="28"/>
  <c r="K169" i="28"/>
  <c r="L169" i="28"/>
  <c r="M169" i="28"/>
  <c r="B170" i="28"/>
  <c r="F170" i="28"/>
  <c r="J170" i="28"/>
  <c r="K170" i="28"/>
  <c r="L170" i="28"/>
  <c r="M170" i="28"/>
  <c r="B171" i="28"/>
  <c r="F171" i="28"/>
  <c r="J171" i="28"/>
  <c r="K171" i="28"/>
  <c r="L171" i="28"/>
  <c r="M171" i="28"/>
  <c r="B172" i="28"/>
  <c r="F172" i="28"/>
  <c r="J172" i="28"/>
  <c r="K172" i="28"/>
  <c r="L172" i="28"/>
  <c r="M172" i="28"/>
  <c r="B173" i="28"/>
  <c r="F173" i="28"/>
  <c r="J173" i="28"/>
  <c r="K173" i="28"/>
  <c r="L173" i="28"/>
  <c r="M173" i="28"/>
  <c r="B174" i="28"/>
  <c r="F174" i="28"/>
  <c r="J174" i="28"/>
  <c r="K174" i="28"/>
  <c r="L174" i="28"/>
  <c r="M174" i="28"/>
  <c r="B175" i="28"/>
  <c r="F175" i="28"/>
  <c r="J175" i="28"/>
  <c r="K175" i="28"/>
  <c r="L175" i="28"/>
  <c r="M175" i="28"/>
  <c r="B176" i="28"/>
  <c r="F176" i="28"/>
  <c r="J176" i="28"/>
  <c r="K176" i="28"/>
  <c r="L176" i="28"/>
  <c r="M176" i="28"/>
  <c r="B177" i="28"/>
  <c r="F177" i="28"/>
  <c r="J177" i="28"/>
  <c r="K177" i="28"/>
  <c r="L177" i="28"/>
  <c r="M177" i="28"/>
  <c r="B178" i="28"/>
  <c r="F178" i="28"/>
  <c r="J178" i="28"/>
  <c r="K178" i="28"/>
  <c r="L178" i="28"/>
  <c r="M178" i="28"/>
  <c r="B179" i="28"/>
  <c r="F179" i="28"/>
  <c r="J179" i="28"/>
  <c r="K179" i="28"/>
  <c r="L179" i="28"/>
  <c r="M179" i="28"/>
  <c r="B180" i="28"/>
  <c r="F180" i="28"/>
  <c r="J180" i="28"/>
  <c r="K180" i="28"/>
  <c r="L180" i="28"/>
  <c r="M180" i="28"/>
  <c r="B181" i="28"/>
  <c r="F181" i="28"/>
  <c r="J181" i="28"/>
  <c r="K181" i="28"/>
  <c r="L181" i="28"/>
  <c r="M181" i="28"/>
  <c r="B182" i="28"/>
  <c r="F182" i="28"/>
  <c r="J182" i="28"/>
  <c r="K182" i="28"/>
  <c r="L182" i="28"/>
  <c r="M182" i="28"/>
  <c r="B183" i="28"/>
  <c r="F183" i="28"/>
  <c r="J183" i="28"/>
  <c r="K183" i="28"/>
  <c r="L183" i="28"/>
  <c r="M183" i="28"/>
  <c r="B184" i="28"/>
  <c r="F184" i="28"/>
  <c r="J184" i="28"/>
  <c r="K184" i="28"/>
  <c r="L184" i="28"/>
  <c r="M184" i="28"/>
  <c r="B185" i="28"/>
  <c r="F185" i="28"/>
  <c r="J185" i="28"/>
  <c r="K185" i="28"/>
  <c r="L185" i="28"/>
  <c r="M185" i="28"/>
  <c r="B186" i="28"/>
  <c r="F186" i="28"/>
  <c r="J186" i="28"/>
  <c r="K186" i="28"/>
  <c r="L186" i="28"/>
  <c r="M186" i="28"/>
  <c r="B187" i="28"/>
  <c r="F187" i="28"/>
  <c r="J187" i="28"/>
  <c r="K187" i="28"/>
  <c r="L187" i="28"/>
  <c r="M187" i="28"/>
  <c r="B188" i="28"/>
  <c r="F188" i="28"/>
  <c r="J188" i="28"/>
  <c r="K188" i="28"/>
  <c r="L188" i="28"/>
  <c r="M188" i="28"/>
  <c r="B189" i="28"/>
  <c r="F189" i="28"/>
  <c r="J189" i="28"/>
  <c r="K189" i="28"/>
  <c r="L189" i="28"/>
  <c r="M189" i="28"/>
  <c r="B190" i="28"/>
  <c r="F190" i="28"/>
  <c r="J190" i="28"/>
  <c r="K190" i="28"/>
  <c r="L190" i="28"/>
  <c r="M190" i="28"/>
  <c r="B191" i="28"/>
  <c r="F191" i="28"/>
  <c r="J191" i="28"/>
  <c r="K191" i="28"/>
  <c r="L191" i="28"/>
  <c r="M191" i="28"/>
  <c r="B192" i="28"/>
  <c r="F192" i="28"/>
  <c r="J192" i="28"/>
  <c r="K192" i="28"/>
  <c r="L192" i="28"/>
  <c r="M192" i="28"/>
  <c r="F164" i="28"/>
  <c r="J164" i="28"/>
  <c r="K164" i="28"/>
  <c r="L164" i="28"/>
  <c r="M164" i="28"/>
  <c r="M163" i="28"/>
  <c r="L163" i="28"/>
  <c r="K163" i="28"/>
  <c r="J163" i="28"/>
  <c r="F163" i="28"/>
  <c r="B164" i="28"/>
  <c r="B163" i="28"/>
  <c r="B159" i="28"/>
  <c r="F159" i="28"/>
  <c r="J159" i="28"/>
  <c r="K159" i="28"/>
  <c r="L159" i="28"/>
  <c r="M159" i="28"/>
  <c r="B160" i="28"/>
  <c r="F160" i="28"/>
  <c r="J160" i="28"/>
  <c r="K160" i="28"/>
  <c r="L160" i="28"/>
  <c r="M160" i="28"/>
  <c r="B161" i="28"/>
  <c r="F161" i="28"/>
  <c r="J161" i="28"/>
  <c r="K161" i="28"/>
  <c r="L161" i="28"/>
  <c r="M161" i="28"/>
  <c r="B162" i="28"/>
  <c r="F162" i="28"/>
  <c r="J162" i="28"/>
  <c r="K162" i="28"/>
  <c r="L162" i="28"/>
  <c r="M162" i="28"/>
  <c r="B135" i="28"/>
  <c r="F135" i="28"/>
  <c r="J135" i="28"/>
  <c r="K135" i="28"/>
  <c r="L135" i="28"/>
  <c r="M135" i="28"/>
  <c r="B136" i="28"/>
  <c r="F136" i="28"/>
  <c r="J136" i="28"/>
  <c r="K136" i="28"/>
  <c r="L136" i="28"/>
  <c r="M136" i="28"/>
  <c r="B137" i="28"/>
  <c r="F137" i="28"/>
  <c r="J137" i="28"/>
  <c r="K137" i="28"/>
  <c r="L137" i="28"/>
  <c r="M137" i="28"/>
  <c r="B138" i="28"/>
  <c r="F138" i="28"/>
  <c r="J138" i="28"/>
  <c r="K138" i="28"/>
  <c r="L138" i="28"/>
  <c r="M138" i="28"/>
  <c r="B139" i="28"/>
  <c r="F139" i="28"/>
  <c r="J139" i="28"/>
  <c r="K139" i="28"/>
  <c r="L139" i="28"/>
  <c r="M139" i="28"/>
  <c r="B140" i="28"/>
  <c r="F140" i="28"/>
  <c r="J140" i="28"/>
  <c r="K140" i="28"/>
  <c r="L140" i="28"/>
  <c r="M140" i="28"/>
  <c r="B141" i="28"/>
  <c r="F141" i="28"/>
  <c r="J141" i="28"/>
  <c r="K141" i="28"/>
  <c r="L141" i="28"/>
  <c r="M141" i="28"/>
  <c r="B142" i="28"/>
  <c r="F142" i="28"/>
  <c r="J142" i="28"/>
  <c r="K142" i="28"/>
  <c r="L142" i="28"/>
  <c r="M142" i="28"/>
  <c r="B143" i="28"/>
  <c r="F143" i="28"/>
  <c r="J143" i="28"/>
  <c r="K143" i="28"/>
  <c r="L143" i="28"/>
  <c r="M143" i="28"/>
  <c r="B144" i="28"/>
  <c r="F144" i="28"/>
  <c r="J144" i="28"/>
  <c r="K144" i="28"/>
  <c r="L144" i="28"/>
  <c r="M144" i="28"/>
  <c r="B145" i="28"/>
  <c r="F145" i="28"/>
  <c r="J145" i="28"/>
  <c r="K145" i="28"/>
  <c r="L145" i="28"/>
  <c r="M145" i="28"/>
  <c r="B146" i="28"/>
  <c r="F146" i="28"/>
  <c r="J146" i="28"/>
  <c r="K146" i="28"/>
  <c r="L146" i="28"/>
  <c r="M146" i="28"/>
  <c r="B147" i="28"/>
  <c r="F147" i="28"/>
  <c r="J147" i="28"/>
  <c r="K147" i="28"/>
  <c r="L147" i="28"/>
  <c r="M147" i="28"/>
  <c r="B148" i="28"/>
  <c r="F148" i="28"/>
  <c r="J148" i="28"/>
  <c r="K148" i="28"/>
  <c r="L148" i="28"/>
  <c r="M148" i="28"/>
  <c r="B149" i="28"/>
  <c r="F149" i="28"/>
  <c r="J149" i="28"/>
  <c r="K149" i="28"/>
  <c r="L149" i="28"/>
  <c r="M149" i="28"/>
  <c r="B150" i="28"/>
  <c r="F150" i="28"/>
  <c r="J150" i="28"/>
  <c r="K150" i="28"/>
  <c r="L150" i="28"/>
  <c r="M150" i="28"/>
  <c r="B151" i="28"/>
  <c r="F151" i="28"/>
  <c r="J151" i="28"/>
  <c r="K151" i="28"/>
  <c r="L151" i="28"/>
  <c r="M151" i="28"/>
  <c r="B152" i="28"/>
  <c r="F152" i="28"/>
  <c r="J152" i="28"/>
  <c r="K152" i="28"/>
  <c r="L152" i="28"/>
  <c r="M152" i="28"/>
  <c r="B153" i="28"/>
  <c r="F153" i="28"/>
  <c r="J153" i="28"/>
  <c r="K153" i="28"/>
  <c r="L153" i="28"/>
  <c r="M153" i="28"/>
  <c r="B154" i="28"/>
  <c r="F154" i="28"/>
  <c r="J154" i="28"/>
  <c r="K154" i="28"/>
  <c r="L154" i="28"/>
  <c r="M154" i="28"/>
  <c r="B155" i="28"/>
  <c r="F155" i="28"/>
  <c r="J155" i="28"/>
  <c r="K155" i="28"/>
  <c r="L155" i="28"/>
  <c r="M155" i="28"/>
  <c r="B156" i="28"/>
  <c r="F156" i="28"/>
  <c r="J156" i="28"/>
  <c r="K156" i="28"/>
  <c r="L156" i="28"/>
  <c r="M156" i="28"/>
  <c r="B157" i="28"/>
  <c r="F157" i="28"/>
  <c r="J157" i="28"/>
  <c r="K157" i="28"/>
  <c r="L157" i="28"/>
  <c r="M157" i="28"/>
  <c r="B158" i="28"/>
  <c r="F158" i="28"/>
  <c r="J158" i="28"/>
  <c r="K158" i="28"/>
  <c r="L158" i="28"/>
  <c r="M158" i="28"/>
  <c r="M134" i="28"/>
  <c r="F134" i="28"/>
  <c r="J134" i="28"/>
  <c r="K134" i="28"/>
  <c r="L134" i="28"/>
  <c r="M133" i="28"/>
  <c r="L133" i="28"/>
  <c r="K133" i="28"/>
  <c r="J133" i="28"/>
  <c r="F133" i="28"/>
  <c r="B134" i="28"/>
  <c r="B133" i="28"/>
  <c r="C54" i="28"/>
  <c r="F54" i="28"/>
  <c r="J54" i="28"/>
  <c r="K54" i="28"/>
  <c r="L54" i="28"/>
  <c r="M54" i="28"/>
  <c r="C55" i="28"/>
  <c r="F55" i="28"/>
  <c r="J55" i="28"/>
  <c r="K55" i="28"/>
  <c r="L55" i="28"/>
  <c r="M55" i="28"/>
  <c r="C56" i="28"/>
  <c r="F56" i="28"/>
  <c r="J56" i="28"/>
  <c r="K56" i="28"/>
  <c r="L56" i="28"/>
  <c r="M56" i="28"/>
  <c r="C57" i="28"/>
  <c r="F57" i="28"/>
  <c r="J57" i="28"/>
  <c r="K57" i="28"/>
  <c r="L57" i="28"/>
  <c r="M57" i="28"/>
  <c r="C58" i="28"/>
  <c r="F58" i="28"/>
  <c r="J58" i="28"/>
  <c r="K58" i="28"/>
  <c r="L58" i="28"/>
  <c r="M58" i="28"/>
  <c r="C59" i="28"/>
  <c r="F59" i="28"/>
  <c r="J59" i="28"/>
  <c r="K59" i="28"/>
  <c r="L59" i="28"/>
  <c r="M59" i="28"/>
  <c r="C60" i="28"/>
  <c r="F60" i="28"/>
  <c r="J60" i="28"/>
  <c r="K60" i="28"/>
  <c r="L60" i="28"/>
  <c r="M60" i="28"/>
  <c r="C61" i="28"/>
  <c r="F61" i="28"/>
  <c r="J61" i="28"/>
  <c r="K61" i="28"/>
  <c r="L61" i="28"/>
  <c r="M61" i="28"/>
  <c r="C62" i="28"/>
  <c r="F62" i="28"/>
  <c r="J62" i="28"/>
  <c r="K62" i="28"/>
  <c r="L62" i="28"/>
  <c r="M62" i="28"/>
  <c r="C63" i="28"/>
  <c r="F63" i="28"/>
  <c r="J63" i="28"/>
  <c r="K63" i="28"/>
  <c r="L63" i="28"/>
  <c r="M63" i="28"/>
  <c r="C64" i="28"/>
  <c r="F64" i="28"/>
  <c r="J64" i="28"/>
  <c r="K64" i="28"/>
  <c r="L64" i="28"/>
  <c r="M64" i="28"/>
  <c r="C65" i="28"/>
  <c r="F65" i="28"/>
  <c r="J65" i="28"/>
  <c r="K65" i="28"/>
  <c r="L65" i="28"/>
  <c r="M65" i="28"/>
  <c r="C66" i="28"/>
  <c r="F66" i="28"/>
  <c r="J66" i="28"/>
  <c r="K66" i="28"/>
  <c r="L66" i="28"/>
  <c r="M66" i="28"/>
  <c r="C67" i="28"/>
  <c r="F67" i="28"/>
  <c r="J67" i="28"/>
  <c r="K67" i="28"/>
  <c r="L67" i="28"/>
  <c r="M67" i="28"/>
  <c r="C68" i="28"/>
  <c r="F68" i="28"/>
  <c r="J68" i="28"/>
  <c r="K68" i="28"/>
  <c r="L68" i="28"/>
  <c r="M68" i="28"/>
  <c r="C69" i="28"/>
  <c r="F69" i="28"/>
  <c r="J69" i="28"/>
  <c r="K69" i="28"/>
  <c r="L69" i="28"/>
  <c r="M69" i="28"/>
  <c r="C70" i="28"/>
  <c r="F70" i="28"/>
  <c r="J70" i="28"/>
  <c r="K70" i="28"/>
  <c r="L70" i="28"/>
  <c r="M70" i="28"/>
  <c r="C71" i="28"/>
  <c r="F71" i="28"/>
  <c r="J71" i="28"/>
  <c r="K71" i="28"/>
  <c r="L71" i="28"/>
  <c r="M71" i="28"/>
  <c r="C72" i="28"/>
  <c r="F72" i="28"/>
  <c r="J72" i="28"/>
  <c r="K72" i="28"/>
  <c r="L72" i="28"/>
  <c r="M72" i="28"/>
  <c r="C73" i="28"/>
  <c r="F73" i="28"/>
  <c r="J73" i="28"/>
  <c r="K73" i="28"/>
  <c r="L73" i="28"/>
  <c r="M73" i="28"/>
  <c r="C74" i="28"/>
  <c r="F74" i="28"/>
  <c r="J74" i="28"/>
  <c r="K74" i="28"/>
  <c r="L74" i="28"/>
  <c r="M74" i="28"/>
  <c r="C75" i="28"/>
  <c r="F75" i="28"/>
  <c r="J75" i="28"/>
  <c r="K75" i="28"/>
  <c r="L75" i="28"/>
  <c r="M75" i="28"/>
  <c r="C76" i="28"/>
  <c r="F76" i="28"/>
  <c r="J76" i="28"/>
  <c r="K76" i="28"/>
  <c r="L76" i="28"/>
  <c r="M76" i="28"/>
  <c r="C77" i="28"/>
  <c r="F77" i="28"/>
  <c r="J77" i="28"/>
  <c r="K77" i="28"/>
  <c r="L77" i="28"/>
  <c r="M77" i="28"/>
  <c r="C78" i="28"/>
  <c r="F78" i="28"/>
  <c r="J78" i="28"/>
  <c r="K78" i="28"/>
  <c r="L78" i="28"/>
  <c r="M78" i="28"/>
  <c r="C79" i="28"/>
  <c r="F79" i="28"/>
  <c r="J79" i="28"/>
  <c r="K79" i="28"/>
  <c r="L79" i="28"/>
  <c r="M79" i="28"/>
  <c r="C80" i="28"/>
  <c r="F80" i="28"/>
  <c r="J80" i="28"/>
  <c r="K80" i="28"/>
  <c r="L80" i="28"/>
  <c r="M80" i="28"/>
  <c r="C81" i="28"/>
  <c r="F81" i="28"/>
  <c r="J81" i="28"/>
  <c r="K81" i="28"/>
  <c r="L81" i="28"/>
  <c r="M81" i="28"/>
  <c r="C82" i="28"/>
  <c r="F82" i="28"/>
  <c r="J82" i="28"/>
  <c r="K82" i="28"/>
  <c r="L82" i="28"/>
  <c r="M82" i="28"/>
  <c r="C83" i="28"/>
  <c r="F83" i="28"/>
  <c r="J83" i="28"/>
  <c r="K83" i="28"/>
  <c r="L83" i="28"/>
  <c r="M83" i="28"/>
  <c r="C84" i="28"/>
  <c r="F84" i="28"/>
  <c r="J84" i="28"/>
  <c r="K84" i="28"/>
  <c r="L84" i="28"/>
  <c r="M84" i="28"/>
  <c r="C85" i="28"/>
  <c r="F85" i="28"/>
  <c r="J85" i="28"/>
  <c r="K85" i="28"/>
  <c r="L85" i="28"/>
  <c r="M85" i="28"/>
  <c r="C86" i="28"/>
  <c r="F86" i="28"/>
  <c r="J86" i="28"/>
  <c r="K86" i="28"/>
  <c r="L86" i="28"/>
  <c r="M86" i="28"/>
  <c r="C87" i="28"/>
  <c r="F87" i="28"/>
  <c r="J87" i="28"/>
  <c r="K87" i="28"/>
  <c r="L87" i="28"/>
  <c r="M87" i="28"/>
  <c r="C88" i="28"/>
  <c r="F88" i="28"/>
  <c r="J88" i="28"/>
  <c r="K88" i="28"/>
  <c r="L88" i="28"/>
  <c r="M88" i="28"/>
  <c r="C89" i="28"/>
  <c r="F89" i="28"/>
  <c r="J89" i="28"/>
  <c r="K89" i="28"/>
  <c r="L89" i="28"/>
  <c r="M89" i="28"/>
  <c r="C90" i="28"/>
  <c r="F90" i="28"/>
  <c r="J90" i="28"/>
  <c r="K90" i="28"/>
  <c r="L90" i="28"/>
  <c r="M90" i="28"/>
  <c r="C91" i="28"/>
  <c r="F91" i="28"/>
  <c r="J91" i="28"/>
  <c r="K91" i="28"/>
  <c r="L91" i="28"/>
  <c r="M91" i="28"/>
  <c r="C92" i="28"/>
  <c r="F92" i="28"/>
  <c r="J92" i="28"/>
  <c r="K92" i="28"/>
  <c r="L92" i="28"/>
  <c r="M92" i="28"/>
  <c r="C93" i="28"/>
  <c r="F93" i="28"/>
  <c r="J93" i="28"/>
  <c r="K93" i="28"/>
  <c r="L93" i="28"/>
  <c r="M93" i="28"/>
  <c r="C94" i="28"/>
  <c r="F94" i="28"/>
  <c r="J94" i="28"/>
  <c r="K94" i="28"/>
  <c r="L94" i="28"/>
  <c r="M94" i="28"/>
  <c r="C95" i="28"/>
  <c r="F95" i="28"/>
  <c r="J95" i="28"/>
  <c r="K95" i="28"/>
  <c r="L95" i="28"/>
  <c r="M95" i="28"/>
  <c r="C96" i="28"/>
  <c r="F96" i="28"/>
  <c r="J96" i="28"/>
  <c r="K96" i="28"/>
  <c r="L96" i="28"/>
  <c r="M96" i="28"/>
  <c r="C97" i="28"/>
  <c r="F97" i="28"/>
  <c r="J97" i="28"/>
  <c r="K97" i="28"/>
  <c r="L97" i="28"/>
  <c r="M97" i="28"/>
  <c r="C98" i="28"/>
  <c r="F98" i="28"/>
  <c r="J98" i="28"/>
  <c r="K98" i="28"/>
  <c r="L98" i="28"/>
  <c r="M98" i="28"/>
  <c r="C99" i="28"/>
  <c r="F99" i="28"/>
  <c r="J99" i="28"/>
  <c r="K99" i="28"/>
  <c r="L99" i="28"/>
  <c r="M99" i="28"/>
  <c r="C100" i="28"/>
  <c r="F100" i="28"/>
  <c r="J100" i="28"/>
  <c r="K100" i="28"/>
  <c r="L100" i="28"/>
  <c r="M100" i="28"/>
  <c r="C101" i="28"/>
  <c r="F101" i="28"/>
  <c r="J101" i="28"/>
  <c r="K101" i="28"/>
  <c r="L101" i="28"/>
  <c r="M101" i="28"/>
  <c r="C102" i="28"/>
  <c r="F102" i="28"/>
  <c r="J102" i="28"/>
  <c r="K102" i="28"/>
  <c r="L102" i="28"/>
  <c r="M102" i="28"/>
  <c r="M53" i="28"/>
  <c r="L103" i="28"/>
  <c r="L104" i="28"/>
  <c r="L105" i="28"/>
  <c r="L106" i="28"/>
  <c r="L107" i="28"/>
  <c r="L108" i="28"/>
  <c r="L109" i="28"/>
  <c r="L110" i="28"/>
  <c r="L111" i="28"/>
  <c r="L112" i="28"/>
  <c r="L113" i="28"/>
  <c r="L114" i="28"/>
  <c r="L115" i="28"/>
  <c r="L116" i="28"/>
  <c r="L117" i="28"/>
  <c r="L118" i="28"/>
  <c r="L119" i="28"/>
  <c r="L120" i="28"/>
  <c r="L121" i="28"/>
  <c r="L122" i="28"/>
  <c r="L123" i="28"/>
  <c r="L124" i="28"/>
  <c r="L125" i="28"/>
  <c r="L126" i="28"/>
  <c r="L127" i="28"/>
  <c r="L128" i="28"/>
  <c r="L129" i="28"/>
  <c r="L130" i="28"/>
  <c r="L131" i="28"/>
  <c r="L132" i="28"/>
  <c r="L4"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3" i="28"/>
  <c r="B28" i="26"/>
  <c r="B29" i="26"/>
  <c r="B30" i="26"/>
  <c r="B31" i="26"/>
  <c r="B32" i="26"/>
  <c r="B27" i="26"/>
  <c r="B19" i="26"/>
  <c r="B20" i="26"/>
  <c r="B21" i="26"/>
  <c r="B22" i="26"/>
  <c r="B17" i="26"/>
  <c r="R15" i="57"/>
  <c r="N203" i="28" s="1"/>
  <c r="S15" i="57"/>
  <c r="U15" i="57" s="1"/>
  <c r="T15" i="57"/>
  <c r="H203" i="28" s="1"/>
  <c r="V15" i="57"/>
  <c r="R16" i="57"/>
  <c r="N204" i="28" s="1"/>
  <c r="S16" i="57"/>
  <c r="U16" i="57" s="1"/>
  <c r="T16" i="57"/>
  <c r="H204" i="28" s="1"/>
  <c r="V16" i="57"/>
  <c r="R17" i="57"/>
  <c r="N205" i="28" s="1"/>
  <c r="S17" i="57"/>
  <c r="U17" i="57" s="1"/>
  <c r="T17" i="57"/>
  <c r="H205" i="28" s="1"/>
  <c r="V17" i="57"/>
  <c r="R18" i="57"/>
  <c r="N206" i="28" s="1"/>
  <c r="S18" i="57"/>
  <c r="U18" i="57" s="1"/>
  <c r="T18" i="57"/>
  <c r="H206" i="28" s="1"/>
  <c r="V18" i="57"/>
  <c r="R19" i="57"/>
  <c r="N207" i="28" s="1"/>
  <c r="S19" i="57"/>
  <c r="U19" i="57" s="1"/>
  <c r="T19" i="57"/>
  <c r="H207" i="28" s="1"/>
  <c r="V19" i="57"/>
  <c r="R20" i="57"/>
  <c r="N208" i="28" s="1"/>
  <c r="S20" i="57"/>
  <c r="U20" i="57" s="1"/>
  <c r="T20" i="57"/>
  <c r="H208" i="28" s="1"/>
  <c r="V20" i="57"/>
  <c r="R21" i="57"/>
  <c r="N209" i="28" s="1"/>
  <c r="S21" i="57"/>
  <c r="U21" i="57" s="1"/>
  <c r="T21" i="57"/>
  <c r="H209" i="28" s="1"/>
  <c r="V21" i="57"/>
  <c r="R22" i="57"/>
  <c r="N210" i="28" s="1"/>
  <c r="S22" i="57"/>
  <c r="U22" i="57" s="1"/>
  <c r="T22" i="57"/>
  <c r="H210" i="28" s="1"/>
  <c r="V22" i="57"/>
  <c r="R23" i="57"/>
  <c r="N211" i="28" s="1"/>
  <c r="S23" i="57"/>
  <c r="U23" i="57" s="1"/>
  <c r="T23" i="57"/>
  <c r="H211" i="28" s="1"/>
  <c r="V23" i="57"/>
  <c r="R24" i="57"/>
  <c r="N212" i="28" s="1"/>
  <c r="S24" i="57"/>
  <c r="U24" i="57" s="1"/>
  <c r="T24" i="57"/>
  <c r="H212" i="28" s="1"/>
  <c r="V24" i="57"/>
  <c r="R8" i="57"/>
  <c r="N196" i="28" s="1"/>
  <c r="R9" i="57"/>
  <c r="N197" i="28" s="1"/>
  <c r="R10" i="57"/>
  <c r="N198" i="28" s="1"/>
  <c r="R11" i="57"/>
  <c r="N199" i="28" s="1"/>
  <c r="R12" i="57"/>
  <c r="N200" i="28" s="1"/>
  <c r="R13" i="57"/>
  <c r="N201" i="28" s="1"/>
  <c r="R14" i="57"/>
  <c r="N202" i="28" s="1"/>
  <c r="T5" i="57"/>
  <c r="T6" i="57"/>
  <c r="H194" i="28" s="1"/>
  <c r="T7" i="57"/>
  <c r="H195" i="28" s="1"/>
  <c r="T8" i="57"/>
  <c r="H196" i="28" s="1"/>
  <c r="T9" i="57"/>
  <c r="H197" i="28" s="1"/>
  <c r="T10" i="57"/>
  <c r="H198" i="28" s="1"/>
  <c r="T11" i="57"/>
  <c r="H199" i="28" s="1"/>
  <c r="T12" i="57"/>
  <c r="H200" i="28" s="1"/>
  <c r="T13" i="57"/>
  <c r="H201" i="28" s="1"/>
  <c r="T14" i="57"/>
  <c r="H202" i="28" s="1"/>
  <c r="S5" i="57"/>
  <c r="G193" i="28" s="1"/>
  <c r="S6" i="57"/>
  <c r="G194" i="28" s="1"/>
  <c r="S7" i="57"/>
  <c r="G195" i="28" s="1"/>
  <c r="S8" i="57"/>
  <c r="G196" i="28" s="1"/>
  <c r="S9" i="57"/>
  <c r="G197" i="28" s="1"/>
  <c r="S10" i="57"/>
  <c r="G198" i="28" s="1"/>
  <c r="S11" i="57"/>
  <c r="G199" i="28" s="1"/>
  <c r="S12" i="57"/>
  <c r="G200" i="28" s="1"/>
  <c r="S13" i="57"/>
  <c r="G201" i="28" s="1"/>
  <c r="S14" i="57"/>
  <c r="G202" i="28" s="1"/>
  <c r="V11" i="57"/>
  <c r="V7" i="57"/>
  <c r="P31" i="56"/>
  <c r="P23" i="56"/>
  <c r="P15" i="56"/>
  <c r="D141" i="28"/>
  <c r="P7" i="56"/>
  <c r="C5" i="55"/>
  <c r="C6" i="46"/>
  <c r="J6" i="46" s="1"/>
  <c r="C7" i="46"/>
  <c r="C8" i="46"/>
  <c r="J8" i="46" s="1"/>
  <c r="C9" i="46"/>
  <c r="J9" i="46" s="1"/>
  <c r="C10" i="46"/>
  <c r="J10" i="46" s="1"/>
  <c r="C11" i="46"/>
  <c r="C12" i="46"/>
  <c r="J12" i="46" s="1"/>
  <c r="C13" i="46"/>
  <c r="J13" i="46" s="1"/>
  <c r="C14" i="46"/>
  <c r="J14" i="46" s="1"/>
  <c r="C15" i="46"/>
  <c r="C16" i="46"/>
  <c r="J16" i="46" s="1"/>
  <c r="C17" i="46"/>
  <c r="J17" i="46" s="1"/>
  <c r="C18" i="46"/>
  <c r="J18" i="46" s="1"/>
  <c r="C19" i="46"/>
  <c r="C20" i="46"/>
  <c r="J20" i="46" s="1"/>
  <c r="C21" i="46"/>
  <c r="J21" i="46" s="1"/>
  <c r="C22" i="46"/>
  <c r="J22" i="46" s="1"/>
  <c r="C23" i="46"/>
  <c r="C24" i="46"/>
  <c r="J24" i="46" s="1"/>
  <c r="C25" i="46"/>
  <c r="J25" i="46" s="1"/>
  <c r="C26" i="46"/>
  <c r="J26" i="46" s="1"/>
  <c r="C27" i="46"/>
  <c r="C28" i="46"/>
  <c r="J28" i="46" s="1"/>
  <c r="C29" i="46"/>
  <c r="J29" i="46" s="1"/>
  <c r="C30" i="46"/>
  <c r="J30" i="46" s="1"/>
  <c r="C31" i="46"/>
  <c r="C32" i="46"/>
  <c r="J32" i="46" s="1"/>
  <c r="C33" i="46"/>
  <c r="J33" i="46" s="1"/>
  <c r="C34" i="46"/>
  <c r="J34" i="46" s="1"/>
  <c r="C7" i="1"/>
  <c r="S7" i="1" s="1"/>
  <c r="V7" i="1"/>
  <c r="C8" i="1"/>
  <c r="S8" i="1" s="1"/>
  <c r="V8" i="1"/>
  <c r="C9" i="1"/>
  <c r="S9" i="1" s="1"/>
  <c r="V9" i="1"/>
  <c r="C10" i="1"/>
  <c r="S10" i="1" s="1"/>
  <c r="V10" i="1"/>
  <c r="C11" i="1"/>
  <c r="S11" i="1" s="1"/>
  <c r="V11" i="1"/>
  <c r="C12" i="1"/>
  <c r="S12" i="1" s="1"/>
  <c r="V12" i="1"/>
  <c r="C13" i="1"/>
  <c r="V13" i="1"/>
  <c r="C14" i="1"/>
  <c r="V14" i="1"/>
  <c r="C15" i="1"/>
  <c r="V15" i="1"/>
  <c r="C16" i="1"/>
  <c r="V16" i="1"/>
  <c r="C17" i="1"/>
  <c r="V17" i="1"/>
  <c r="C18" i="1"/>
  <c r="V18" i="1"/>
  <c r="C19" i="1"/>
  <c r="V19" i="1"/>
  <c r="C20" i="1"/>
  <c r="V20" i="1"/>
  <c r="C21" i="1"/>
  <c r="V21" i="1"/>
  <c r="C22" i="1"/>
  <c r="V22" i="1"/>
  <c r="C23" i="1"/>
  <c r="V23" i="1"/>
  <c r="C24" i="1"/>
  <c r="V24" i="1"/>
  <c r="C25" i="1"/>
  <c r="V25" i="1"/>
  <c r="C26" i="1"/>
  <c r="V26" i="1"/>
  <c r="C27" i="1"/>
  <c r="V27" i="1"/>
  <c r="C28" i="1"/>
  <c r="V28" i="1"/>
  <c r="C29" i="1"/>
  <c r="V29" i="1"/>
  <c r="C30" i="1"/>
  <c r="V30" i="1"/>
  <c r="C31" i="1"/>
  <c r="V31" i="1"/>
  <c r="C32" i="1"/>
  <c r="V32" i="1"/>
  <c r="C33" i="1"/>
  <c r="V33" i="1"/>
  <c r="C34" i="1"/>
  <c r="V34" i="1"/>
  <c r="C35" i="1"/>
  <c r="V35" i="1"/>
  <c r="C36" i="1"/>
  <c r="V36" i="1"/>
  <c r="C37" i="1"/>
  <c r="V37" i="1"/>
  <c r="C38" i="1"/>
  <c r="V38" i="1"/>
  <c r="C39" i="1"/>
  <c r="V39" i="1"/>
  <c r="C40" i="1"/>
  <c r="V40" i="1"/>
  <c r="C41" i="1"/>
  <c r="V41" i="1"/>
  <c r="C42" i="1"/>
  <c r="V42" i="1"/>
  <c r="C43" i="1"/>
  <c r="V43" i="1"/>
  <c r="C44" i="1"/>
  <c r="V44" i="1"/>
  <c r="C45" i="1"/>
  <c r="V45" i="1"/>
  <c r="C46" i="1"/>
  <c r="V46" i="1"/>
  <c r="C47" i="1"/>
  <c r="V47" i="1"/>
  <c r="C48" i="1"/>
  <c r="V48" i="1"/>
  <c r="C49" i="1"/>
  <c r="V49" i="1"/>
  <c r="C50" i="1"/>
  <c r="V50" i="1"/>
  <c r="C51" i="1"/>
  <c r="V51" i="1"/>
  <c r="C52" i="1"/>
  <c r="V52" i="1"/>
  <c r="C53" i="1"/>
  <c r="V53" i="1"/>
  <c r="C54" i="1"/>
  <c r="V54" i="1"/>
  <c r="C55" i="1"/>
  <c r="V55" i="1"/>
  <c r="V6" i="1"/>
  <c r="S50" i="1" l="1"/>
  <c r="T50" i="1"/>
  <c r="S44" i="1"/>
  <c r="T44" i="1"/>
  <c r="S34" i="1"/>
  <c r="T34" i="1"/>
  <c r="S24" i="1"/>
  <c r="T24" i="1"/>
  <c r="S14" i="1"/>
  <c r="T14" i="1"/>
  <c r="T8" i="1"/>
  <c r="S52" i="1"/>
  <c r="T52" i="1"/>
  <c r="S48" i="1"/>
  <c r="T48" i="1"/>
  <c r="S40" i="1"/>
  <c r="T40" i="1"/>
  <c r="S38" i="1"/>
  <c r="T38" i="1"/>
  <c r="S32" i="1"/>
  <c r="T32" i="1"/>
  <c r="S26" i="1"/>
  <c r="T26" i="1"/>
  <c r="S20" i="1"/>
  <c r="T20" i="1"/>
  <c r="S18" i="1"/>
  <c r="T18" i="1"/>
  <c r="T12" i="1"/>
  <c r="T10" i="1"/>
  <c r="S54" i="1"/>
  <c r="T54" i="1"/>
  <c r="S46" i="1"/>
  <c r="T46" i="1"/>
  <c r="S42" i="1"/>
  <c r="T42" i="1"/>
  <c r="S36" i="1"/>
  <c r="T36" i="1"/>
  <c r="S30" i="1"/>
  <c r="T30" i="1"/>
  <c r="S28" i="1"/>
  <c r="T28" i="1"/>
  <c r="S22" i="1"/>
  <c r="T22" i="1"/>
  <c r="S16" i="1"/>
  <c r="T16" i="1"/>
  <c r="S55" i="1"/>
  <c r="T55" i="1"/>
  <c r="S53" i="1"/>
  <c r="T53" i="1"/>
  <c r="S51" i="1"/>
  <c r="T51" i="1"/>
  <c r="S49" i="1"/>
  <c r="T49" i="1"/>
  <c r="S47" i="1"/>
  <c r="T47" i="1"/>
  <c r="S45" i="1"/>
  <c r="T45" i="1"/>
  <c r="S43" i="1"/>
  <c r="T43" i="1"/>
  <c r="S41" i="1"/>
  <c r="T41" i="1"/>
  <c r="S39" i="1"/>
  <c r="T39" i="1"/>
  <c r="S37" i="1"/>
  <c r="T37" i="1"/>
  <c r="S35" i="1"/>
  <c r="T35" i="1"/>
  <c r="S33" i="1"/>
  <c r="T33" i="1"/>
  <c r="S31" i="1"/>
  <c r="T31" i="1"/>
  <c r="S29" i="1"/>
  <c r="T29" i="1"/>
  <c r="S27" i="1"/>
  <c r="T27" i="1"/>
  <c r="S25" i="1"/>
  <c r="T25" i="1"/>
  <c r="S23" i="1"/>
  <c r="T23" i="1"/>
  <c r="S21" i="1"/>
  <c r="T21" i="1"/>
  <c r="S19" i="1"/>
  <c r="T19" i="1"/>
  <c r="S17" i="1"/>
  <c r="T17" i="1"/>
  <c r="S15" i="1"/>
  <c r="T15" i="1"/>
  <c r="S13" i="1"/>
  <c r="T13" i="1"/>
  <c r="T11" i="1"/>
  <c r="T9" i="1"/>
  <c r="T7" i="1"/>
  <c r="Q7" i="1"/>
  <c r="R6" i="59"/>
  <c r="Q4" i="59"/>
  <c r="R4" i="59" s="1"/>
  <c r="G203" i="28"/>
  <c r="Q54" i="1"/>
  <c r="Q44" i="1"/>
  <c r="Q34" i="1"/>
  <c r="Q28" i="1"/>
  <c r="Q18" i="1"/>
  <c r="Q52" i="1"/>
  <c r="Q42" i="1"/>
  <c r="Q38" i="1"/>
  <c r="Q30" i="1"/>
  <c r="Q24" i="1"/>
  <c r="Q20" i="1"/>
  <c r="Q16" i="1"/>
  <c r="Q14" i="1"/>
  <c r="Q17" i="1"/>
  <c r="Q50" i="1"/>
  <c r="Q46" i="1"/>
  <c r="Q40" i="1"/>
  <c r="Q36" i="1"/>
  <c r="Q32" i="1"/>
  <c r="Q26" i="1"/>
  <c r="Q22" i="1"/>
  <c r="Q55" i="1"/>
  <c r="Q53" i="1"/>
  <c r="Q51" i="1"/>
  <c r="Q49" i="1"/>
  <c r="Q47" i="1"/>
  <c r="Q45" i="1"/>
  <c r="Q43" i="1"/>
  <c r="Q41" i="1"/>
  <c r="Q39" i="1"/>
  <c r="Q37" i="1"/>
  <c r="Q35" i="1"/>
  <c r="Q33" i="1"/>
  <c r="Q31" i="1"/>
  <c r="Q29" i="1"/>
  <c r="Q27" i="1"/>
  <c r="Q25" i="1"/>
  <c r="Q23" i="1"/>
  <c r="Q21" i="1"/>
  <c r="Q15" i="1"/>
  <c r="Q12" i="1"/>
  <c r="Q13" i="1"/>
  <c r="Q10" i="1"/>
  <c r="Q9" i="1"/>
  <c r="Q8" i="1"/>
  <c r="O5" i="55"/>
  <c r="J5" i="55"/>
  <c r="D45" i="28"/>
  <c r="F45" i="28" s="1"/>
  <c r="Q48" i="1"/>
  <c r="D8" i="28"/>
  <c r="F8" i="28" s="1"/>
  <c r="Q11" i="1"/>
  <c r="O31" i="46"/>
  <c r="J31" i="46"/>
  <c r="O27" i="46"/>
  <c r="J27" i="46"/>
  <c r="O23" i="46"/>
  <c r="J23" i="46"/>
  <c r="O19" i="46"/>
  <c r="J19" i="46"/>
  <c r="O15" i="46"/>
  <c r="J15" i="46"/>
  <c r="O11" i="46"/>
  <c r="J11" i="46"/>
  <c r="O7" i="46"/>
  <c r="J7" i="46"/>
  <c r="D16" i="28"/>
  <c r="F16" i="28" s="1"/>
  <c r="Q19" i="1"/>
  <c r="H193" i="28"/>
  <c r="G211" i="28"/>
  <c r="G209" i="28"/>
  <c r="G212" i="28"/>
  <c r="G204" i="28"/>
  <c r="G205" i="28"/>
  <c r="G206" i="28"/>
  <c r="G210" i="28"/>
  <c r="W24" i="57"/>
  <c r="X24" i="57" s="1"/>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P11" i="56"/>
  <c r="D139" i="28"/>
  <c r="D50" i="28"/>
  <c r="F50" i="28" s="1"/>
  <c r="D40" i="28"/>
  <c r="F40" i="28" s="1"/>
  <c r="D190" i="28"/>
  <c r="D44" i="28"/>
  <c r="F44" i="28" s="1"/>
  <c r="D47" i="28"/>
  <c r="F47" i="28" s="1"/>
  <c r="D27" i="28"/>
  <c r="F27" i="28" s="1"/>
  <c r="D175" i="28"/>
  <c r="P27" i="56"/>
  <c r="D155" i="28"/>
  <c r="D43" i="28"/>
  <c r="F43" i="28" s="1"/>
  <c r="D23" i="28"/>
  <c r="F23" i="28" s="1"/>
  <c r="D183" i="28"/>
  <c r="D48" i="28"/>
  <c r="F48" i="28" s="1"/>
  <c r="D182" i="28"/>
  <c r="D51" i="28"/>
  <c r="F51" i="28" s="1"/>
  <c r="D31" i="28"/>
  <c r="F31" i="28" s="1"/>
  <c r="D15" i="28"/>
  <c r="F15" i="28" s="1"/>
  <c r="D7" i="28"/>
  <c r="F7" i="28" s="1"/>
  <c r="D167" i="28"/>
  <c r="P19" i="56"/>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W21" i="57"/>
  <c r="X21" i="57" s="1"/>
  <c r="W19" i="57"/>
  <c r="X19" i="57" s="1"/>
  <c r="W17" i="57"/>
  <c r="X17" i="57" s="1"/>
  <c r="D38" i="28"/>
  <c r="F38" i="28" s="1"/>
  <c r="D30" i="28"/>
  <c r="F30" i="28" s="1"/>
  <c r="D22" i="28"/>
  <c r="F22" i="28" s="1"/>
  <c r="D14" i="28"/>
  <c r="F14" i="28" s="1"/>
  <c r="D6" i="28"/>
  <c r="F6" i="28" s="1"/>
  <c r="D134" i="28"/>
  <c r="D151" i="28"/>
  <c r="D143" i="28"/>
  <c r="D135" i="28"/>
  <c r="D163" i="28"/>
  <c r="D158" i="28"/>
  <c r="D150" i="28"/>
  <c r="D142" i="28"/>
  <c r="D188" i="28"/>
  <c r="D180" i="28"/>
  <c r="D172" i="28"/>
  <c r="D133" i="28"/>
  <c r="W20" i="57"/>
  <c r="X20" i="57" s="1"/>
  <c r="W18" i="57"/>
  <c r="X18" i="57" s="1"/>
  <c r="W16" i="57"/>
  <c r="X16" i="57" s="1"/>
  <c r="W23" i="57"/>
  <c r="X23" i="57" s="1"/>
  <c r="K16" i="28"/>
  <c r="W22" i="57"/>
  <c r="X22" i="57" s="1"/>
  <c r="W15" i="57"/>
  <c r="X15" i="57" s="1"/>
  <c r="U5" i="57"/>
  <c r="U8" i="57"/>
  <c r="U13" i="57"/>
  <c r="U12" i="57"/>
  <c r="U9" i="57"/>
  <c r="V8" i="57"/>
  <c r="V12" i="57"/>
  <c r="U6" i="57"/>
  <c r="U10" i="57"/>
  <c r="W11" i="57"/>
  <c r="U14" i="57"/>
  <c r="V5" i="57"/>
  <c r="V9" i="57"/>
  <c r="W9" i="57" s="1"/>
  <c r="V13" i="57"/>
  <c r="U7" i="57"/>
  <c r="U11" i="57"/>
  <c r="V6" i="57"/>
  <c r="V10" i="57"/>
  <c r="V14" i="57"/>
  <c r="W14" i="57" s="1"/>
  <c r="P8" i="56"/>
  <c r="P12" i="56"/>
  <c r="P16" i="56"/>
  <c r="P20" i="56"/>
  <c r="P24" i="56"/>
  <c r="P28" i="56"/>
  <c r="P32" i="56"/>
  <c r="P5" i="56"/>
  <c r="P9" i="56"/>
  <c r="P13" i="56"/>
  <c r="P17" i="56"/>
  <c r="P21" i="56"/>
  <c r="P25" i="56"/>
  <c r="P29" i="56"/>
  <c r="P33" i="56"/>
  <c r="P6" i="56"/>
  <c r="P10" i="56"/>
  <c r="P14" i="56"/>
  <c r="P18" i="56"/>
  <c r="P22" i="56"/>
  <c r="P26" i="56"/>
  <c r="P30" i="56"/>
  <c r="P34" i="56"/>
  <c r="O33" i="46"/>
  <c r="O30" i="46"/>
  <c r="O29" i="46"/>
  <c r="O14" i="46"/>
  <c r="O34" i="46"/>
  <c r="O10" i="46"/>
  <c r="O22" i="46"/>
  <c r="O17" i="46"/>
  <c r="O9" i="46"/>
  <c r="O26" i="46"/>
  <c r="O21" i="46"/>
  <c r="O6" i="46"/>
  <c r="O18" i="46"/>
  <c r="O13" i="46"/>
  <c r="O25" i="46"/>
  <c r="O32" i="46"/>
  <c r="O28" i="46"/>
  <c r="O24" i="46"/>
  <c r="O20" i="46"/>
  <c r="O16" i="46"/>
  <c r="O12" i="46"/>
  <c r="O8" i="46"/>
  <c r="J8" i="28" l="1"/>
  <c r="J45" i="28"/>
  <c r="J16" i="28"/>
  <c r="G16" i="28"/>
  <c r="H16" i="28"/>
  <c r="K8" i="28"/>
  <c r="H45" i="28"/>
  <c r="G45" i="28"/>
  <c r="K45" i="28"/>
  <c r="H15" i="28"/>
  <c r="H40" i="28"/>
  <c r="K21" i="28"/>
  <c r="H21" i="28"/>
  <c r="P3" i="56"/>
  <c r="G6" i="51" s="1"/>
  <c r="D30" i="26" s="1"/>
  <c r="J5" i="28"/>
  <c r="J31" i="28"/>
  <c r="H12" i="28"/>
  <c r="J21" i="28"/>
  <c r="G21" i="28"/>
  <c r="H38" i="28"/>
  <c r="K14" i="28"/>
  <c r="G27" i="28"/>
  <c r="H27" i="28"/>
  <c r="J27" i="28"/>
  <c r="K5" i="28"/>
  <c r="J11" i="28"/>
  <c r="G31" i="28"/>
  <c r="H20" i="28"/>
  <c r="G40" i="28"/>
  <c r="H31" i="28"/>
  <c r="K40" i="28"/>
  <c r="K31" i="28"/>
  <c r="J40" i="28"/>
  <c r="G13" i="28"/>
  <c r="K23" i="28"/>
  <c r="H13" i="28"/>
  <c r="H49" i="28"/>
  <c r="G36" i="28"/>
  <c r="J36" i="28"/>
  <c r="H44" i="28"/>
  <c r="J13" i="28"/>
  <c r="K50" i="28"/>
  <c r="H23" i="28"/>
  <c r="H50" i="28"/>
  <c r="J23" i="28"/>
  <c r="K4" i="28"/>
  <c r="K13" i="28"/>
  <c r="G50" i="28"/>
  <c r="J50" i="28"/>
  <c r="G23" i="28"/>
  <c r="J4" i="28"/>
  <c r="J26" i="28"/>
  <c r="J37" i="28"/>
  <c r="K38" i="28"/>
  <c r="K27" i="28"/>
  <c r="K47" i="28"/>
  <c r="J18" i="28"/>
  <c r="K24" i="28"/>
  <c r="G30" i="28"/>
  <c r="K30" i="28"/>
  <c r="H30" i="28"/>
  <c r="J49" i="28"/>
  <c r="G37" i="28"/>
  <c r="G22" i="28"/>
  <c r="G38" i="28"/>
  <c r="J38" i="28"/>
  <c r="G24" i="28"/>
  <c r="G43" i="28"/>
  <c r="H37" i="28"/>
  <c r="J24" i="28"/>
  <c r="K37" i="28"/>
  <c r="H24" i="28"/>
  <c r="K25" i="28"/>
  <c r="J6" i="28"/>
  <c r="H25" i="28"/>
  <c r="G25" i="28"/>
  <c r="G46" i="28"/>
  <c r="H36" i="28"/>
  <c r="J29" i="28"/>
  <c r="K52" i="28"/>
  <c r="G32" i="28"/>
  <c r="G49" i="28"/>
  <c r="H26" i="28"/>
  <c r="H52" i="28"/>
  <c r="J30" i="28"/>
  <c r="G10" i="28"/>
  <c r="G52" i="28"/>
  <c r="H28" i="28"/>
  <c r="J32" i="28"/>
  <c r="K32" i="28"/>
  <c r="G26" i="28"/>
  <c r="H29" i="28"/>
  <c r="J35" i="28"/>
  <c r="J52" i="28"/>
  <c r="K36" i="28"/>
  <c r="K29" i="28"/>
  <c r="G15" i="28"/>
  <c r="G29" i="28"/>
  <c r="H46" i="28"/>
  <c r="H32" i="28"/>
  <c r="J28" i="28"/>
  <c r="G14" i="28"/>
  <c r="G33" i="28"/>
  <c r="H18" i="28"/>
  <c r="J19" i="28"/>
  <c r="J51" i="28"/>
  <c r="K18" i="28"/>
  <c r="G47" i="28"/>
  <c r="H19" i="28"/>
  <c r="H47" i="28"/>
  <c r="J20" i="28"/>
  <c r="K22" i="28"/>
  <c r="K48" i="28"/>
  <c r="K19" i="28"/>
  <c r="H10" i="28"/>
  <c r="J10" i="28"/>
  <c r="K51" i="28"/>
  <c r="H33" i="28"/>
  <c r="G18" i="28"/>
  <c r="J22" i="28"/>
  <c r="J43" i="28"/>
  <c r="K6" i="28"/>
  <c r="K26" i="28"/>
  <c r="K41" i="28"/>
  <c r="K43" i="28"/>
  <c r="G19" i="28"/>
  <c r="G51" i="28"/>
  <c r="H22" i="28"/>
  <c r="H41" i="28"/>
  <c r="H51" i="28"/>
  <c r="K33" i="28"/>
  <c r="G41" i="28"/>
  <c r="H14" i="28"/>
  <c r="H43" i="28"/>
  <c r="J14" i="28"/>
  <c r="J33" i="28"/>
  <c r="J47" i="28"/>
  <c r="K10" i="28"/>
  <c r="K49" i="28"/>
  <c r="J12" i="28"/>
  <c r="K7" i="28"/>
  <c r="G39" i="28"/>
  <c r="K20" i="28"/>
  <c r="G48" i="28"/>
  <c r="H39" i="28"/>
  <c r="J46" i="28"/>
  <c r="K17" i="28"/>
  <c r="K39" i="28"/>
  <c r="J44" i="28"/>
  <c r="K34" i="28"/>
  <c r="G9" i="28"/>
  <c r="G17" i="28"/>
  <c r="H48" i="28"/>
  <c r="J7" i="28"/>
  <c r="J15" i="28"/>
  <c r="J39" i="28"/>
  <c r="G34" i="28"/>
  <c r="G42" i="28"/>
  <c r="H9" i="28"/>
  <c r="H17" i="28"/>
  <c r="J48" i="28"/>
  <c r="K42" i="28"/>
  <c r="K35" i="28"/>
  <c r="K11" i="28"/>
  <c r="G11" i="28"/>
  <c r="G35" i="28"/>
  <c r="H34" i="28"/>
  <c r="H42" i="28"/>
  <c r="J9" i="28"/>
  <c r="J17" i="28"/>
  <c r="J25" i="28"/>
  <c r="J41" i="28"/>
  <c r="K12" i="28"/>
  <c r="K28" i="28"/>
  <c r="K44" i="28"/>
  <c r="K15" i="28"/>
  <c r="K9" i="28"/>
  <c r="G12" i="28"/>
  <c r="G20" i="28"/>
  <c r="G28" i="28"/>
  <c r="G44" i="28"/>
  <c r="H11" i="28"/>
  <c r="H35" i="28"/>
  <c r="J34" i="28"/>
  <c r="J42" i="28"/>
  <c r="K46" i="28"/>
  <c r="W10" i="57"/>
  <c r="X10" i="57" s="1"/>
  <c r="W13" i="57"/>
  <c r="X13" i="57" s="1"/>
  <c r="X9" i="57"/>
  <c r="X14" i="57"/>
  <c r="V3" i="57"/>
  <c r="G8" i="51" s="1"/>
  <c r="D32" i="26" s="1"/>
  <c r="C19" i="33" s="1"/>
  <c r="U3" i="57"/>
  <c r="F8" i="51" s="1"/>
  <c r="C32" i="26" s="1"/>
  <c r="S3" i="57"/>
  <c r="D8" i="51" s="1"/>
  <c r="C22" i="26" s="1"/>
  <c r="W12" i="57"/>
  <c r="X12" i="57" s="1"/>
  <c r="X11" i="57"/>
  <c r="W8" i="57"/>
  <c r="X8" i="57" s="1"/>
  <c r="T3" i="57"/>
  <c r="E8" i="51" s="1"/>
  <c r="D22" i="26" s="1"/>
  <c r="O3" i="55"/>
  <c r="G7" i="51" s="1"/>
  <c r="D31" i="26" s="1"/>
  <c r="C7" i="27" l="1"/>
  <c r="J7" i="27" s="1"/>
  <c r="C8" i="27"/>
  <c r="J8" i="27" s="1"/>
  <c r="C9" i="27"/>
  <c r="J9" i="27" s="1"/>
  <c r="C10" i="27"/>
  <c r="J10" i="27" s="1"/>
  <c r="C11" i="27"/>
  <c r="J11" i="27" s="1"/>
  <c r="C12" i="27"/>
  <c r="J12" i="27" s="1"/>
  <c r="C13" i="27"/>
  <c r="J13" i="27" s="1"/>
  <c r="C14" i="27"/>
  <c r="J14" i="27" s="1"/>
  <c r="C15" i="27"/>
  <c r="J15" i="27" s="1"/>
  <c r="C16" i="27"/>
  <c r="J16" i="27" s="1"/>
  <c r="C17" i="27"/>
  <c r="J17" i="27" s="1"/>
  <c r="C18" i="27"/>
  <c r="J18" i="27" s="1"/>
  <c r="C19" i="27"/>
  <c r="J19" i="27" s="1"/>
  <c r="C20" i="27"/>
  <c r="J20" i="27" s="1"/>
  <c r="C21" i="27"/>
  <c r="J21" i="27" s="1"/>
  <c r="C22" i="27"/>
  <c r="J22" i="27" s="1"/>
  <c r="C23" i="27"/>
  <c r="J23" i="27" s="1"/>
  <c r="C24" i="27"/>
  <c r="J24" i="27" s="1"/>
  <c r="C25" i="27"/>
  <c r="J25" i="27" s="1"/>
  <c r="C26" i="27"/>
  <c r="J26" i="27" s="1"/>
  <c r="C27" i="27"/>
  <c r="J27" i="27" s="1"/>
  <c r="C28" i="27"/>
  <c r="J28" i="27" s="1"/>
  <c r="C29" i="27"/>
  <c r="J29" i="27" s="1"/>
  <c r="C30" i="27"/>
  <c r="J30" i="27" s="1"/>
  <c r="C31" i="27"/>
  <c r="J31" i="27" s="1"/>
  <c r="C32" i="27"/>
  <c r="J32" i="27" s="1"/>
  <c r="C33" i="27"/>
  <c r="J33" i="27" s="1"/>
  <c r="C34" i="27"/>
  <c r="J34" i="27" s="1"/>
  <c r="C35" i="27"/>
  <c r="J35" i="27" s="1"/>
  <c r="C36" i="27"/>
  <c r="J36" i="27" s="1"/>
  <c r="C37" i="27"/>
  <c r="J37" i="27" s="1"/>
  <c r="C38" i="27"/>
  <c r="J38" i="27" s="1"/>
  <c r="C39" i="27"/>
  <c r="J39" i="27" s="1"/>
  <c r="C40" i="27"/>
  <c r="J40" i="27" s="1"/>
  <c r="C41" i="27"/>
  <c r="J41" i="27" s="1"/>
  <c r="C42" i="27"/>
  <c r="J42" i="27" s="1"/>
  <c r="C43" i="27"/>
  <c r="J43" i="27" s="1"/>
  <c r="C44" i="27"/>
  <c r="J44" i="27" s="1"/>
  <c r="C45" i="27"/>
  <c r="J45" i="27" s="1"/>
  <c r="C46" i="27"/>
  <c r="J46" i="27" s="1"/>
  <c r="C47" i="27"/>
  <c r="J47" i="27" s="1"/>
  <c r="C48" i="27"/>
  <c r="J48" i="27" s="1"/>
  <c r="C49" i="27"/>
  <c r="J49" i="27" s="1"/>
  <c r="C50" i="27"/>
  <c r="J50" i="27" s="1"/>
  <c r="C51" i="27"/>
  <c r="J51" i="27" s="1"/>
  <c r="C52" i="27"/>
  <c r="J52" i="27" s="1"/>
  <c r="C53" i="27"/>
  <c r="J53" i="27" s="1"/>
  <c r="C54" i="27"/>
  <c r="J54" i="27" s="1"/>
  <c r="C55" i="27"/>
  <c r="J55" i="27" s="1"/>
  <c r="C6" i="27"/>
  <c r="J6" i="27" s="1"/>
  <c r="D101" i="28" l="1"/>
  <c r="D100" i="28"/>
  <c r="D92" i="28"/>
  <c r="D84" i="28"/>
  <c r="D76" i="28"/>
  <c r="D68" i="28"/>
  <c r="D60" i="28"/>
  <c r="D93" i="28"/>
  <c r="D99" i="28"/>
  <c r="D91" i="28"/>
  <c r="D83" i="28"/>
  <c r="D75" i="28"/>
  <c r="D67" i="28"/>
  <c r="D59" i="28"/>
  <c r="D61" i="28"/>
  <c r="D98" i="28"/>
  <c r="D90" i="28"/>
  <c r="D82" i="28"/>
  <c r="D74" i="28"/>
  <c r="D66" i="28"/>
  <c r="D58" i="28"/>
  <c r="D97" i="28"/>
  <c r="D89" i="28"/>
  <c r="D81" i="28"/>
  <c r="D73" i="28"/>
  <c r="D65" i="28"/>
  <c r="D57" i="28"/>
  <c r="D69" i="28"/>
  <c r="D96" i="28"/>
  <c r="D88" i="28"/>
  <c r="D80" i="28"/>
  <c r="D72" i="28"/>
  <c r="D64" i="28"/>
  <c r="D56" i="28"/>
  <c r="D85" i="28"/>
  <c r="D95" i="28"/>
  <c r="D87" i="28"/>
  <c r="D79" i="28"/>
  <c r="D71" i="28"/>
  <c r="D63" i="28"/>
  <c r="D55" i="28"/>
  <c r="D77" i="28"/>
  <c r="D102" i="28"/>
  <c r="D94" i="28"/>
  <c r="D86" i="28"/>
  <c r="D78" i="28"/>
  <c r="D70" i="28"/>
  <c r="D62" i="28"/>
  <c r="D54" i="28"/>
  <c r="F6" i="27"/>
  <c r="E53" i="28" s="1"/>
  <c r="M6" i="27"/>
  <c r="K6" i="27"/>
  <c r="L6" i="27"/>
  <c r="O6" i="27"/>
  <c r="O12" i="27"/>
  <c r="P12" i="27" s="1"/>
  <c r="O54" i="27"/>
  <c r="P54" i="27" s="1"/>
  <c r="O52" i="27"/>
  <c r="P52" i="27"/>
  <c r="O50" i="27"/>
  <c r="P50" i="27" s="1"/>
  <c r="O48" i="27"/>
  <c r="P48" i="27"/>
  <c r="O46" i="27"/>
  <c r="P46" i="27" s="1"/>
  <c r="O44" i="27"/>
  <c r="P44" i="27"/>
  <c r="O42" i="27"/>
  <c r="P42" i="27" s="1"/>
  <c r="O40" i="27"/>
  <c r="P40" i="27"/>
  <c r="O38" i="27"/>
  <c r="P38" i="27" s="1"/>
  <c r="O36" i="27"/>
  <c r="P36" i="27"/>
  <c r="O34" i="27"/>
  <c r="P34" i="27" s="1"/>
  <c r="O32" i="27"/>
  <c r="P32" i="27"/>
  <c r="O30" i="27"/>
  <c r="P30" i="27" s="1"/>
  <c r="O28" i="27"/>
  <c r="P28" i="27"/>
  <c r="O26" i="27"/>
  <c r="P26" i="27" s="1"/>
  <c r="O24" i="27"/>
  <c r="P24" i="27"/>
  <c r="O22" i="27"/>
  <c r="P22" i="27" s="1"/>
  <c r="O20" i="27"/>
  <c r="P20" i="27"/>
  <c r="O18" i="27"/>
  <c r="P18" i="27" s="1"/>
  <c r="O16" i="27"/>
  <c r="P16" i="27"/>
  <c r="O14" i="27"/>
  <c r="P14" i="27" s="1"/>
  <c r="O9" i="27"/>
  <c r="O11" i="27"/>
  <c r="P11" i="27"/>
  <c r="O8" i="27"/>
  <c r="O55" i="27"/>
  <c r="P55" i="27" s="1"/>
  <c r="O53" i="27"/>
  <c r="P53" i="27"/>
  <c r="O51" i="27"/>
  <c r="P51" i="27" s="1"/>
  <c r="O49" i="27"/>
  <c r="P49" i="27"/>
  <c r="O47" i="27"/>
  <c r="P47" i="27" s="1"/>
  <c r="O45" i="27"/>
  <c r="P45" i="27"/>
  <c r="O43" i="27"/>
  <c r="P43" i="27" s="1"/>
  <c r="O41" i="27"/>
  <c r="P41" i="27"/>
  <c r="O39" i="27"/>
  <c r="P39" i="27" s="1"/>
  <c r="O37" i="27"/>
  <c r="P37" i="27"/>
  <c r="O35" i="27"/>
  <c r="P35" i="27" s="1"/>
  <c r="O33" i="27"/>
  <c r="P33" i="27"/>
  <c r="O31" i="27"/>
  <c r="P31" i="27" s="1"/>
  <c r="O29" i="27"/>
  <c r="P29" i="27"/>
  <c r="O27" i="27"/>
  <c r="P27" i="27" s="1"/>
  <c r="O25" i="27"/>
  <c r="P25" i="27"/>
  <c r="O23" i="27"/>
  <c r="P23" i="27" s="1"/>
  <c r="O21" i="27"/>
  <c r="P21" i="27"/>
  <c r="O19" i="27"/>
  <c r="P19" i="27" s="1"/>
  <c r="O17" i="27"/>
  <c r="P17" i="27"/>
  <c r="O15" i="27"/>
  <c r="P15" i="27" s="1"/>
  <c r="O13" i="27"/>
  <c r="P13" i="27"/>
  <c r="O10" i="27"/>
  <c r="P10" i="27"/>
  <c r="O7" i="27"/>
  <c r="P6" i="27" l="1"/>
  <c r="B104" i="28"/>
  <c r="C104" i="28"/>
  <c r="F104" i="28"/>
  <c r="J104" i="28"/>
  <c r="K104" i="28"/>
  <c r="M104" i="28"/>
  <c r="B105" i="28"/>
  <c r="C105" i="28"/>
  <c r="F105" i="28"/>
  <c r="J105" i="28"/>
  <c r="K105" i="28"/>
  <c r="M105" i="28"/>
  <c r="B106" i="28"/>
  <c r="C106" i="28"/>
  <c r="F106" i="28"/>
  <c r="J106" i="28"/>
  <c r="K106" i="28"/>
  <c r="M106" i="28"/>
  <c r="B107" i="28"/>
  <c r="C107" i="28"/>
  <c r="F107" i="28"/>
  <c r="J107" i="28"/>
  <c r="K107" i="28"/>
  <c r="M107" i="28"/>
  <c r="B108" i="28"/>
  <c r="C108" i="28"/>
  <c r="F108" i="28"/>
  <c r="J108" i="28"/>
  <c r="K108" i="28"/>
  <c r="M108" i="28"/>
  <c r="B109" i="28"/>
  <c r="C109" i="28"/>
  <c r="F109" i="28"/>
  <c r="J109" i="28"/>
  <c r="K109" i="28"/>
  <c r="M109" i="28"/>
  <c r="B110" i="28"/>
  <c r="C110" i="28"/>
  <c r="F110" i="28"/>
  <c r="J110" i="28"/>
  <c r="K110" i="28"/>
  <c r="M110" i="28"/>
  <c r="B111" i="28"/>
  <c r="C111" i="28"/>
  <c r="F111" i="28"/>
  <c r="J111" i="28"/>
  <c r="K111" i="28"/>
  <c r="M111" i="28"/>
  <c r="B112" i="28"/>
  <c r="C112" i="28"/>
  <c r="F112" i="28"/>
  <c r="J112" i="28"/>
  <c r="K112" i="28"/>
  <c r="M112" i="28"/>
  <c r="B113" i="28"/>
  <c r="C113" i="28"/>
  <c r="F113" i="28"/>
  <c r="J113" i="28"/>
  <c r="K113" i="28"/>
  <c r="M113" i="28"/>
  <c r="B114" i="28"/>
  <c r="C114" i="28"/>
  <c r="F114" i="28"/>
  <c r="J114" i="28"/>
  <c r="K114" i="28"/>
  <c r="M114" i="28"/>
  <c r="B115" i="28"/>
  <c r="C115" i="28"/>
  <c r="F115" i="28"/>
  <c r="J115" i="28"/>
  <c r="K115" i="28"/>
  <c r="M115" i="28"/>
  <c r="B116" i="28"/>
  <c r="C116" i="28"/>
  <c r="F116" i="28"/>
  <c r="J116" i="28"/>
  <c r="K116" i="28"/>
  <c r="M116" i="28"/>
  <c r="B117" i="28"/>
  <c r="C117" i="28"/>
  <c r="F117" i="28"/>
  <c r="J117" i="28"/>
  <c r="K117" i="28"/>
  <c r="M117" i="28"/>
  <c r="B118" i="28"/>
  <c r="C118" i="28"/>
  <c r="F118" i="28"/>
  <c r="J118" i="28"/>
  <c r="K118" i="28"/>
  <c r="M118" i="28"/>
  <c r="B119" i="28"/>
  <c r="C119" i="28"/>
  <c r="F119" i="28"/>
  <c r="J119" i="28"/>
  <c r="K119" i="28"/>
  <c r="M119" i="28"/>
  <c r="B120" i="28"/>
  <c r="C120" i="28"/>
  <c r="F120" i="28"/>
  <c r="J120" i="28"/>
  <c r="K120" i="28"/>
  <c r="M120" i="28"/>
  <c r="B121" i="28"/>
  <c r="C121" i="28"/>
  <c r="F121" i="28"/>
  <c r="J121" i="28"/>
  <c r="K121" i="28"/>
  <c r="M121" i="28"/>
  <c r="B122" i="28"/>
  <c r="C122" i="28"/>
  <c r="F122" i="28"/>
  <c r="J122" i="28"/>
  <c r="K122" i="28"/>
  <c r="M122" i="28"/>
  <c r="B123" i="28"/>
  <c r="C123" i="28"/>
  <c r="F123" i="28"/>
  <c r="J123" i="28"/>
  <c r="K123" i="28"/>
  <c r="M123" i="28"/>
  <c r="B124" i="28"/>
  <c r="C124" i="28"/>
  <c r="F124" i="28"/>
  <c r="J124" i="28"/>
  <c r="K124" i="28"/>
  <c r="M124" i="28"/>
  <c r="B125" i="28"/>
  <c r="C125" i="28"/>
  <c r="F125" i="28"/>
  <c r="J125" i="28"/>
  <c r="K125" i="28"/>
  <c r="M125" i="28"/>
  <c r="B126" i="28"/>
  <c r="C126" i="28"/>
  <c r="F126" i="28"/>
  <c r="J126" i="28"/>
  <c r="K126" i="28"/>
  <c r="M126" i="28"/>
  <c r="B127" i="28"/>
  <c r="C127" i="28"/>
  <c r="F127" i="28"/>
  <c r="J127" i="28"/>
  <c r="K127" i="28"/>
  <c r="M127" i="28"/>
  <c r="B128" i="28"/>
  <c r="C128" i="28"/>
  <c r="F128" i="28"/>
  <c r="J128" i="28"/>
  <c r="K128" i="28"/>
  <c r="M128" i="28"/>
  <c r="B129" i="28"/>
  <c r="C129" i="28"/>
  <c r="F129" i="28"/>
  <c r="J129" i="28"/>
  <c r="K129" i="28"/>
  <c r="M129" i="28"/>
  <c r="B130" i="28"/>
  <c r="C130" i="28"/>
  <c r="F130" i="28"/>
  <c r="J130" i="28"/>
  <c r="K130" i="28"/>
  <c r="M130" i="28"/>
  <c r="B131" i="28"/>
  <c r="C131" i="28"/>
  <c r="F131" i="28"/>
  <c r="J131" i="28"/>
  <c r="K131" i="28"/>
  <c r="M131" i="28"/>
  <c r="B132" i="28"/>
  <c r="C132" i="28"/>
  <c r="F132" i="28"/>
  <c r="J132" i="28"/>
  <c r="K132" i="28"/>
  <c r="M132" i="28"/>
  <c r="M103" i="28"/>
  <c r="K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K53" i="28"/>
  <c r="J53" i="28"/>
  <c r="F53" i="28"/>
  <c r="D53" i="28"/>
  <c r="C53"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37" i="26" l="1"/>
  <c r="B34" i="41"/>
  <c r="B6" i="22"/>
  <c r="R7" i="57" s="1"/>
  <c r="N195" i="28" l="1"/>
  <c r="W7" i="57"/>
  <c r="X7" i="57" s="1"/>
  <c r="R5" i="57"/>
  <c r="N193" i="28" s="1"/>
  <c r="R6" i="57"/>
  <c r="V4" i="1"/>
  <c r="G3" i="51" s="1"/>
  <c r="D27" i="26" s="1"/>
  <c r="H53" i="28"/>
  <c r="R3" i="57" l="1"/>
  <c r="C8" i="51" s="1"/>
  <c r="I8" i="51" s="1"/>
  <c r="W5" i="57"/>
  <c r="X5" i="57" s="1"/>
  <c r="N194" i="28"/>
  <c r="W6" i="57"/>
  <c r="X6" i="57" s="1"/>
  <c r="C5" i="46"/>
  <c r="J5" i="46" s="1"/>
  <c r="AN5" i="22"/>
  <c r="AN6" i="22"/>
  <c r="AN7" i="22"/>
  <c r="AN8" i="22"/>
  <c r="AN9" i="22"/>
  <c r="AN10" i="22"/>
  <c r="AN11" i="22"/>
  <c r="AN12" i="22"/>
  <c r="AN13" i="22"/>
  <c r="AN4" i="22"/>
  <c r="W3" i="57" l="1"/>
  <c r="X3" i="57" s="1"/>
  <c r="M5" i="46"/>
  <c r="L5" i="46"/>
  <c r="K5" i="46"/>
  <c r="O5" i="46"/>
  <c r="D103" i="28"/>
  <c r="F5" i="46"/>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G53" i="28"/>
  <c r="H8" i="51" l="1"/>
  <c r="O3" i="46"/>
  <c r="G5" i="51" s="1"/>
  <c r="H103" i="28"/>
  <c r="N103" i="28"/>
  <c r="P5" i="46"/>
  <c r="N53" i="28"/>
  <c r="N6" i="27"/>
  <c r="D29" i="26" l="1"/>
  <c r="G103" i="28"/>
  <c r="N5" i="46" l="1"/>
  <c r="Q5" i="46" l="1"/>
  <c r="C6" i="1"/>
  <c r="S6" i="1" s="1"/>
  <c r="T6" i="1" l="1"/>
  <c r="Q6" i="1"/>
  <c r="R6" i="1" s="1"/>
  <c r="F6" i="1"/>
  <c r="E3" i="28" s="1"/>
  <c r="W6" i="1" l="1"/>
  <c r="N3" i="28"/>
  <c r="M35" i="28"/>
  <c r="M51" i="28"/>
  <c r="M13" i="28"/>
  <c r="M34" i="28"/>
  <c r="M48" i="28"/>
  <c r="M23" i="28"/>
  <c r="M38" i="28"/>
  <c r="M26" i="28"/>
  <c r="M27" i="28"/>
  <c r="M52" i="28"/>
  <c r="M43" i="28"/>
  <c r="M21" i="28"/>
  <c r="M6" i="28"/>
  <c r="M49" i="28"/>
  <c r="M16" i="28"/>
  <c r="M32" i="28"/>
  <c r="M30" i="28"/>
  <c r="M45" i="28"/>
  <c r="M36" i="28"/>
  <c r="M44" i="28"/>
  <c r="M47" i="28"/>
  <c r="M4" i="28"/>
  <c r="M9" i="28"/>
  <c r="M50" i="28"/>
  <c r="M14" i="28"/>
  <c r="M33" i="28"/>
  <c r="M41" i="28"/>
  <c r="M24" i="28"/>
  <c r="M25" i="28"/>
  <c r="M40" i="28"/>
  <c r="M10" i="28"/>
  <c r="M29" i="28"/>
  <c r="M20" i="28"/>
  <c r="M39" i="28"/>
  <c r="M37" i="28"/>
  <c r="M12" i="28"/>
  <c r="M5" i="28"/>
  <c r="M42" i="28"/>
  <c r="M22" i="28"/>
  <c r="M15" i="28"/>
  <c r="M7" i="28"/>
  <c r="M8" i="28"/>
  <c r="M17" i="28"/>
  <c r="M46" i="28"/>
  <c r="M18" i="28"/>
  <c r="M19" i="28"/>
  <c r="M11" i="28"/>
  <c r="M28" i="28"/>
  <c r="M31" i="28"/>
  <c r="O4" i="27" l="1"/>
  <c r="G4" i="51" s="1"/>
  <c r="D28" i="26" l="1"/>
  <c r="G9" i="51"/>
  <c r="B103" i="28"/>
  <c r="B53" i="28"/>
  <c r="B3" i="28"/>
  <c r="D34" i="26" l="1"/>
  <c r="B19" i="33"/>
  <c r="Q6" i="27"/>
  <c r="C8" i="26" l="1"/>
  <c r="D3" i="28"/>
  <c r="K3" i="28" l="1"/>
  <c r="J3" i="28"/>
  <c r="F3" i="28"/>
  <c r="M3" i="28"/>
  <c r="B26" i="33" l="1"/>
  <c r="D19" i="33"/>
  <c r="C13" i="52" l="1"/>
  <c r="F39" i="1" l="1"/>
  <c r="E36" i="28" s="1"/>
  <c r="F15" i="46"/>
  <c r="F6" i="46"/>
  <c r="F20" i="46"/>
  <c r="F17" i="46"/>
  <c r="F16" i="46"/>
  <c r="F24" i="46"/>
  <c r="F29" i="46"/>
  <c r="N18" i="56" l="1"/>
  <c r="H146" i="28" s="1"/>
  <c r="M9" i="56"/>
  <c r="G137" i="28" s="1"/>
  <c r="L30" i="46"/>
  <c r="L32" i="46"/>
  <c r="F27" i="46"/>
  <c r="F14" i="46"/>
  <c r="F30" i="46"/>
  <c r="F11" i="46"/>
  <c r="F7" i="46"/>
  <c r="K24" i="46"/>
  <c r="L11" i="56"/>
  <c r="F52" i="1"/>
  <c r="E49" i="28" s="1"/>
  <c r="M8" i="46"/>
  <c r="H106" i="28" s="1"/>
  <c r="R31" i="1"/>
  <c r="R28" i="1"/>
  <c r="E173" i="28"/>
  <c r="F20" i="56"/>
  <c r="E148" i="28" s="1"/>
  <c r="F33" i="46"/>
  <c r="F19" i="46"/>
  <c r="R47" i="1"/>
  <c r="L5" i="56"/>
  <c r="K49" i="27"/>
  <c r="N96" i="28" s="1"/>
  <c r="K19" i="46"/>
  <c r="F21" i="46"/>
  <c r="L42" i="27"/>
  <c r="K50" i="27"/>
  <c r="N97" i="28" s="1"/>
  <c r="M20" i="56"/>
  <c r="F46" i="1"/>
  <c r="E43" i="28" s="1"/>
  <c r="K17" i="46"/>
  <c r="H6" i="28"/>
  <c r="F9" i="46"/>
  <c r="F32" i="46"/>
  <c r="H7" i="28"/>
  <c r="F13" i="46"/>
  <c r="L32" i="56"/>
  <c r="M7" i="56"/>
  <c r="M34" i="56"/>
  <c r="N21" i="56"/>
  <c r="H149" i="28" s="1"/>
  <c r="N30" i="56"/>
  <c r="H158" i="28" s="1"/>
  <c r="N19" i="56"/>
  <c r="H147" i="28" s="1"/>
  <c r="M23" i="56"/>
  <c r="M16" i="56"/>
  <c r="N6" i="56"/>
  <c r="H134" i="28" s="1"/>
  <c r="N28" i="56"/>
  <c r="H156" i="28" s="1"/>
  <c r="M25" i="56"/>
  <c r="N27" i="56"/>
  <c r="H155" i="28" s="1"/>
  <c r="M10" i="56"/>
  <c r="M30" i="56"/>
  <c r="N33" i="56"/>
  <c r="H161" i="28" s="1"/>
  <c r="N11" i="56"/>
  <c r="H139" i="28" s="1"/>
  <c r="M26" i="56"/>
  <c r="N20" i="56"/>
  <c r="H148" i="28" s="1"/>
  <c r="M29" i="56"/>
  <c r="N8" i="56"/>
  <c r="H136" i="28" s="1"/>
  <c r="M18" i="56"/>
  <c r="N25" i="56"/>
  <c r="H153" i="28" s="1"/>
  <c r="N14" i="56"/>
  <c r="H142" i="28" s="1"/>
  <c r="M22" i="56"/>
  <c r="N26" i="56"/>
  <c r="H154" i="28" s="1"/>
  <c r="N13" i="56"/>
  <c r="H141" i="28" s="1"/>
  <c r="M11" i="56"/>
  <c r="N12" i="56"/>
  <c r="H140" i="28" s="1"/>
  <c r="N17" i="56"/>
  <c r="H145" i="28" s="1"/>
  <c r="N16" i="56"/>
  <c r="H144" i="28" s="1"/>
  <c r="N34" i="56"/>
  <c r="H162" i="28" s="1"/>
  <c r="N24" i="56"/>
  <c r="H152" i="28" s="1"/>
  <c r="N10" i="56"/>
  <c r="H138" i="28" s="1"/>
  <c r="M15" i="56"/>
  <c r="M33" i="56"/>
  <c r="M5" i="56"/>
  <c r="N5" i="56"/>
  <c r="M13" i="56"/>
  <c r="M12" i="56"/>
  <c r="N9" i="56"/>
  <c r="H137" i="28" s="1"/>
  <c r="N7" i="56"/>
  <c r="H135" i="28" s="1"/>
  <c r="N23" i="56"/>
  <c r="H151" i="28" s="1"/>
  <c r="M17" i="56"/>
  <c r="N15" i="56"/>
  <c r="H143" i="28" s="1"/>
  <c r="M24" i="56"/>
  <c r="M32" i="56"/>
  <c r="N29" i="56"/>
  <c r="H157" i="28" s="1"/>
  <c r="M14" i="56"/>
  <c r="M27" i="56"/>
  <c r="M19" i="56"/>
  <c r="N22" i="56"/>
  <c r="H150" i="28" s="1"/>
  <c r="N32" i="56"/>
  <c r="H160" i="28" s="1"/>
  <c r="M31" i="56"/>
  <c r="M6" i="56"/>
  <c r="N31" i="56"/>
  <c r="H159" i="28" s="1"/>
  <c r="M28" i="56"/>
  <c r="K12" i="27"/>
  <c r="N59" i="28" s="1"/>
  <c r="H183" i="28"/>
  <c r="M8" i="56"/>
  <c r="L10" i="46"/>
  <c r="R35" i="1"/>
  <c r="R43" i="1"/>
  <c r="F8" i="46"/>
  <c r="F28" i="46"/>
  <c r="F10" i="46"/>
  <c r="F34" i="46"/>
  <c r="F18" i="46"/>
  <c r="F22" i="46"/>
  <c r="E192" i="28"/>
  <c r="L12" i="46"/>
  <c r="R18" i="1"/>
  <c r="L46" i="27"/>
  <c r="M21" i="56"/>
  <c r="R8" i="1"/>
  <c r="K39" i="27"/>
  <c r="N86" i="28" s="1"/>
  <c r="F25" i="46"/>
  <c r="F23" i="46"/>
  <c r="F26" i="46"/>
  <c r="F31" i="46"/>
  <c r="F12" i="46"/>
  <c r="K13" i="27"/>
  <c r="N60" i="28" s="1"/>
  <c r="K9" i="27"/>
  <c r="M34" i="27"/>
  <c r="H81" i="28" s="1"/>
  <c r="M18" i="27"/>
  <c r="H65" i="28" s="1"/>
  <c r="L27" i="46"/>
  <c r="F30" i="1"/>
  <c r="E27" i="28" s="1"/>
  <c r="F21" i="56"/>
  <c r="E149" i="28" s="1"/>
  <c r="F49" i="27"/>
  <c r="E96" i="28" s="1"/>
  <c r="K37" i="27"/>
  <c r="N84" i="28" s="1"/>
  <c r="F22" i="27"/>
  <c r="E69" i="28" s="1"/>
  <c r="M13" i="27"/>
  <c r="H60" i="28" s="1"/>
  <c r="L47" i="27"/>
  <c r="F15" i="27"/>
  <c r="E62" i="28" s="1"/>
  <c r="L14" i="46"/>
  <c r="L41" i="27"/>
  <c r="M30" i="27"/>
  <c r="H77" i="28" s="1"/>
  <c r="K11" i="27"/>
  <c r="N58" i="28" s="1"/>
  <c r="L26" i="46"/>
  <c r="K20" i="27"/>
  <c r="N67" i="28" s="1"/>
  <c r="M7" i="27"/>
  <c r="R53" i="1"/>
  <c r="K47" i="27"/>
  <c r="N94" i="28" s="1"/>
  <c r="L31" i="46"/>
  <c r="L8" i="46"/>
  <c r="R45" i="1"/>
  <c r="K30" i="27"/>
  <c r="N77" i="28" s="1"/>
  <c r="E164" i="28"/>
  <c r="F20" i="1"/>
  <c r="E17" i="28" s="1"/>
  <c r="K22" i="46"/>
  <c r="L16" i="46"/>
  <c r="M22" i="27"/>
  <c r="H69" i="28" s="1"/>
  <c r="K26" i="27"/>
  <c r="N73" i="28" s="1"/>
  <c r="F12" i="56"/>
  <c r="E140" i="28" s="1"/>
  <c r="K38" i="27"/>
  <c r="N85" i="28" s="1"/>
  <c r="M39" i="27"/>
  <c r="H86" i="28" s="1"/>
  <c r="F10" i="56"/>
  <c r="E138" i="28" s="1"/>
  <c r="E184" i="28"/>
  <c r="F23" i="56"/>
  <c r="E151" i="28" s="1"/>
  <c r="M28" i="27"/>
  <c r="H75" i="28" s="1"/>
  <c r="M11" i="46"/>
  <c r="H109" i="28" s="1"/>
  <c r="R41" i="1"/>
  <c r="M15" i="46"/>
  <c r="H113" i="28" s="1"/>
  <c r="F26" i="1"/>
  <c r="E23" i="28" s="1"/>
  <c r="M16" i="27"/>
  <c r="H63" i="28" s="1"/>
  <c r="R50" i="1"/>
  <c r="F51" i="27"/>
  <c r="E98" i="28" s="1"/>
  <c r="F46" i="27"/>
  <c r="E93" i="28" s="1"/>
  <c r="F53" i="1"/>
  <c r="E50" i="28" s="1"/>
  <c r="L33" i="46"/>
  <c r="F13" i="1"/>
  <c r="E10" i="28" s="1"/>
  <c r="F36" i="1"/>
  <c r="E33" i="28" s="1"/>
  <c r="F17" i="1"/>
  <c r="E14" i="28" s="1"/>
  <c r="M19" i="46"/>
  <c r="H117" i="28" s="1"/>
  <c r="L28" i="27"/>
  <c r="M21" i="27"/>
  <c r="H68" i="28" s="1"/>
  <c r="F15" i="1"/>
  <c r="E12" i="28" s="1"/>
  <c r="H178" i="28"/>
  <c r="M20" i="46"/>
  <c r="H118" i="28" s="1"/>
  <c r="E182" i="28"/>
  <c r="L7" i="56"/>
  <c r="F21" i="1"/>
  <c r="E18" i="28" s="1"/>
  <c r="F16" i="56"/>
  <c r="E144" i="28" s="1"/>
  <c r="L40" i="27"/>
  <c r="K54" i="27"/>
  <c r="N101" i="28" s="1"/>
  <c r="F10" i="27"/>
  <c r="E57" i="28" s="1"/>
  <c r="M45" i="27"/>
  <c r="H92" i="28" s="1"/>
  <c r="F43" i="1"/>
  <c r="E40" i="28" s="1"/>
  <c r="L53" i="27"/>
  <c r="F35" i="27"/>
  <c r="E82" i="28" s="1"/>
  <c r="M24" i="46"/>
  <c r="H122" i="28" s="1"/>
  <c r="K52" i="27"/>
  <c r="N99" i="28" s="1"/>
  <c r="M38" i="27"/>
  <c r="H85" i="28" s="1"/>
  <c r="M49" i="27"/>
  <c r="H96" i="28" s="1"/>
  <c r="F13" i="27"/>
  <c r="E60" i="28" s="1"/>
  <c r="M32" i="46"/>
  <c r="H130" i="28" s="1"/>
  <c r="M26" i="46"/>
  <c r="H124" i="28" s="1"/>
  <c r="L25" i="46"/>
  <c r="H181" i="28"/>
  <c r="L30" i="27"/>
  <c r="M33" i="27"/>
  <c r="H80" i="28" s="1"/>
  <c r="L34" i="46"/>
  <c r="H171" i="28"/>
  <c r="F26" i="56"/>
  <c r="E154" i="28" s="1"/>
  <c r="K51" i="27"/>
  <c r="N98" i="28" s="1"/>
  <c r="R48" i="1"/>
  <c r="F45" i="27"/>
  <c r="E92" i="28" s="1"/>
  <c r="M32" i="27"/>
  <c r="H79" i="28" s="1"/>
  <c r="F55" i="1"/>
  <c r="E52" i="28" s="1"/>
  <c r="M34" i="46"/>
  <c r="H132" i="28" s="1"/>
  <c r="F27" i="56"/>
  <c r="E155" i="28" s="1"/>
  <c r="F25" i="56"/>
  <c r="E153" i="28" s="1"/>
  <c r="F22" i="56"/>
  <c r="E150" i="28" s="1"/>
  <c r="M33" i="46"/>
  <c r="H131" i="28" s="1"/>
  <c r="F47" i="27"/>
  <c r="E94" i="28" s="1"/>
  <c r="L54" i="27"/>
  <c r="M23" i="27"/>
  <c r="H70" i="28" s="1"/>
  <c r="L49" i="27"/>
  <c r="R37" i="1"/>
  <c r="K22" i="27"/>
  <c r="N69" i="28" s="1"/>
  <c r="F30" i="56"/>
  <c r="E158" i="28" s="1"/>
  <c r="E191" i="28"/>
  <c r="F18" i="1"/>
  <c r="E15" i="28" s="1"/>
  <c r="F50" i="1"/>
  <c r="E47" i="28" s="1"/>
  <c r="K21" i="27"/>
  <c r="N68" i="28" s="1"/>
  <c r="F32" i="1"/>
  <c r="E29" i="28" s="1"/>
  <c r="M48" i="27"/>
  <c r="H95" i="28" s="1"/>
  <c r="L21" i="27"/>
  <c r="M36" i="27"/>
  <c r="H83" i="28" s="1"/>
  <c r="H165" i="28"/>
  <c r="F28" i="56"/>
  <c r="E156" i="28" s="1"/>
  <c r="K18" i="27"/>
  <c r="N65" i="28" s="1"/>
  <c r="F34" i="1"/>
  <c r="E31" i="28" s="1"/>
  <c r="M22" i="46"/>
  <c r="H120" i="28" s="1"/>
  <c r="L14" i="56"/>
  <c r="M13" i="46"/>
  <c r="H111" i="28" s="1"/>
  <c r="F40" i="27"/>
  <c r="E87" i="28" s="1"/>
  <c r="L17" i="46"/>
  <c r="F11" i="56"/>
  <c r="E139" i="28" s="1"/>
  <c r="F41" i="1"/>
  <c r="E38" i="28" s="1"/>
  <c r="L12" i="27"/>
  <c r="F17" i="27"/>
  <c r="E64" i="28" s="1"/>
  <c r="L20" i="46"/>
  <c r="F14" i="56"/>
  <c r="E142" i="28" s="1"/>
  <c r="F7" i="27"/>
  <c r="E54" i="28" s="1"/>
  <c r="L29" i="56"/>
  <c r="F37" i="27"/>
  <c r="E84" i="28" s="1"/>
  <c r="F43" i="27"/>
  <c r="E90" i="28" s="1"/>
  <c r="L28" i="56"/>
  <c r="K26" i="46"/>
  <c r="H167" i="28"/>
  <c r="R30" i="1"/>
  <c r="F14" i="27"/>
  <c r="E61" i="28" s="1"/>
  <c r="F8" i="1"/>
  <c r="E5" i="28" s="1"/>
  <c r="K20" i="46"/>
  <c r="M6" i="46"/>
  <c r="L27" i="27"/>
  <c r="H166" i="28"/>
  <c r="E175" i="28"/>
  <c r="L31" i="56"/>
  <c r="M42" i="27"/>
  <c r="H89" i="28" s="1"/>
  <c r="F9" i="56"/>
  <c r="E137" i="28" s="1"/>
  <c r="K23" i="27"/>
  <c r="N70" i="28" s="1"/>
  <c r="F24" i="56"/>
  <c r="E152" i="28" s="1"/>
  <c r="F32" i="56"/>
  <c r="E160" i="28" s="1"/>
  <c r="M12" i="27"/>
  <c r="H59" i="28" s="1"/>
  <c r="M15" i="27"/>
  <c r="H62" i="28" s="1"/>
  <c r="H176" i="28"/>
  <c r="M23" i="46"/>
  <c r="H121" i="28" s="1"/>
  <c r="M14" i="46"/>
  <c r="H112" i="28" s="1"/>
  <c r="H186" i="28"/>
  <c r="K31" i="46"/>
  <c r="R40" i="1"/>
  <c r="K14" i="27"/>
  <c r="N61" i="28" s="1"/>
  <c r="L6" i="46"/>
  <c r="K27" i="46"/>
  <c r="L23" i="46"/>
  <c r="K9" i="46"/>
  <c r="F6" i="56"/>
  <c r="E134" i="28" s="1"/>
  <c r="H170" i="28"/>
  <c r="M17" i="27"/>
  <c r="H64" i="28" s="1"/>
  <c r="M21" i="46"/>
  <c r="H119" i="28" s="1"/>
  <c r="F10" i="1"/>
  <c r="E7" i="28" s="1"/>
  <c r="K36" i="27"/>
  <c r="N83" i="28" s="1"/>
  <c r="E188" i="28"/>
  <c r="E186" i="28"/>
  <c r="R15" i="1"/>
  <c r="F7" i="1"/>
  <c r="E4" i="28" s="1"/>
  <c r="F31" i="27"/>
  <c r="E78" i="28" s="1"/>
  <c r="E185" i="28"/>
  <c r="H177" i="28"/>
  <c r="L48" i="27"/>
  <c r="K42" i="27"/>
  <c r="N89" i="28" s="1"/>
  <c r="R44" i="1"/>
  <c r="K15" i="27"/>
  <c r="N62" i="28" s="1"/>
  <c r="K45" i="27"/>
  <c r="N92" i="28" s="1"/>
  <c r="L34" i="27"/>
  <c r="K55" i="27"/>
  <c r="N102" i="28" s="1"/>
  <c r="F16" i="1"/>
  <c r="E13" i="28" s="1"/>
  <c r="H172" i="28"/>
  <c r="F15" i="56"/>
  <c r="E143" i="28" s="1"/>
  <c r="L9" i="27"/>
  <c r="F23" i="1"/>
  <c r="E20" i="28" s="1"/>
  <c r="M40" i="27"/>
  <c r="H87" i="28" s="1"/>
  <c r="M19" i="27"/>
  <c r="H66" i="28" s="1"/>
  <c r="F44" i="27"/>
  <c r="E91" i="28" s="1"/>
  <c r="F54" i="1"/>
  <c r="E51" i="28" s="1"/>
  <c r="M54" i="27"/>
  <c r="H101" i="28" s="1"/>
  <c r="F32" i="27"/>
  <c r="E79" i="28" s="1"/>
  <c r="L44" i="27"/>
  <c r="K12" i="46"/>
  <c r="F48" i="27"/>
  <c r="E95" i="28" s="1"/>
  <c r="K48" i="27"/>
  <c r="N95" i="28" s="1"/>
  <c r="F5" i="55"/>
  <c r="E163" i="28" s="1"/>
  <c r="L22" i="27"/>
  <c r="L35" i="27"/>
  <c r="K25" i="46"/>
  <c r="K29" i="27"/>
  <c r="N76" i="28" s="1"/>
  <c r="M28" i="46"/>
  <c r="H126" i="28" s="1"/>
  <c r="F22" i="1"/>
  <c r="E19" i="28" s="1"/>
  <c r="F33" i="27"/>
  <c r="E80" i="28" s="1"/>
  <c r="L14" i="27"/>
  <c r="R36" i="1"/>
  <c r="L22" i="56"/>
  <c r="F40" i="1"/>
  <c r="E37" i="28" s="1"/>
  <c r="R42" i="1"/>
  <c r="L24" i="27"/>
  <c r="M44" i="27"/>
  <c r="H91" i="28" s="1"/>
  <c r="U55" i="1"/>
  <c r="F31" i="1"/>
  <c r="E28" i="28" s="1"/>
  <c r="M35" i="27"/>
  <c r="H82" i="28" s="1"/>
  <c r="M24" i="27"/>
  <c r="H71" i="28" s="1"/>
  <c r="L45" i="27"/>
  <c r="H174" i="28"/>
  <c r="H164" i="28"/>
  <c r="F55" i="27"/>
  <c r="E102" i="28" s="1"/>
  <c r="F47" i="1"/>
  <c r="E44" i="28" s="1"/>
  <c r="L13" i="56"/>
  <c r="R14" i="1"/>
  <c r="K10" i="46"/>
  <c r="M26" i="27"/>
  <c r="H73" i="28" s="1"/>
  <c r="F18" i="27"/>
  <c r="E65" i="28" s="1"/>
  <c r="L55" i="27"/>
  <c r="L43" i="27"/>
  <c r="H190" i="28"/>
  <c r="K33" i="27"/>
  <c r="N80" i="28" s="1"/>
  <c r="F33" i="56"/>
  <c r="E161" i="28" s="1"/>
  <c r="M14" i="27"/>
  <c r="H61" i="28" s="1"/>
  <c r="R54" i="1"/>
  <c r="F18" i="56"/>
  <c r="E146" i="28" s="1"/>
  <c r="K41" i="27"/>
  <c r="N88" i="28" s="1"/>
  <c r="K34" i="46"/>
  <c r="F51" i="1"/>
  <c r="E48" i="28" s="1"/>
  <c r="L17" i="27"/>
  <c r="L16" i="56"/>
  <c r="M53" i="27"/>
  <c r="H100" i="28" s="1"/>
  <c r="E174" i="28"/>
  <c r="F36" i="27"/>
  <c r="E83" i="28" s="1"/>
  <c r="L19" i="46"/>
  <c r="K18" i="46"/>
  <c r="E189" i="28"/>
  <c r="R55" i="1"/>
  <c r="L22" i="46"/>
  <c r="R17" i="1"/>
  <c r="M17" i="46"/>
  <c r="H115" i="28" s="1"/>
  <c r="F9" i="1"/>
  <c r="E6" i="28" s="1"/>
  <c r="F27" i="1"/>
  <c r="E24" i="28" s="1"/>
  <c r="F29" i="27"/>
  <c r="E76" i="28" s="1"/>
  <c r="F27" i="27"/>
  <c r="E74" i="28" s="1"/>
  <c r="H173" i="28"/>
  <c r="K44" i="27"/>
  <c r="N91" i="28" s="1"/>
  <c r="K15" i="46"/>
  <c r="M41" i="27"/>
  <c r="H88" i="28" s="1"/>
  <c r="M9" i="27"/>
  <c r="H56" i="28" s="1"/>
  <c r="F19" i="1"/>
  <c r="E16" i="28" s="1"/>
  <c r="L38" i="27"/>
  <c r="K7" i="27"/>
  <c r="P7" i="27" s="1"/>
  <c r="M10" i="27"/>
  <c r="H57" i="28" s="1"/>
  <c r="L36" i="27"/>
  <c r="M55" i="27"/>
  <c r="H102" i="28" s="1"/>
  <c r="K16" i="27"/>
  <c r="N63" i="28" s="1"/>
  <c r="R26" i="1"/>
  <c r="M29" i="46"/>
  <c r="H127" i="28" s="1"/>
  <c r="F19" i="27"/>
  <c r="E66" i="28" s="1"/>
  <c r="L21" i="46"/>
  <c r="F19" i="56"/>
  <c r="E147" i="28" s="1"/>
  <c r="M5" i="55"/>
  <c r="R9" i="1"/>
  <c r="F25" i="1"/>
  <c r="E22" i="28" s="1"/>
  <c r="F14" i="1"/>
  <c r="E11" i="28" s="1"/>
  <c r="R22" i="1"/>
  <c r="L5" i="55"/>
  <c r="L26" i="56"/>
  <c r="F29" i="1"/>
  <c r="E26" i="28" s="1"/>
  <c r="L16" i="27"/>
  <c r="F37" i="1"/>
  <c r="E34" i="28" s="1"/>
  <c r="E181" i="28"/>
  <c r="E190" i="28"/>
  <c r="M8" i="27"/>
  <c r="H55" i="28" s="1"/>
  <c r="M29" i="27"/>
  <c r="H76" i="28" s="1"/>
  <c r="H169" i="28"/>
  <c r="H184" i="28"/>
  <c r="L11" i="46"/>
  <c r="M30" i="46"/>
  <c r="H128" i="28" s="1"/>
  <c r="F28" i="27"/>
  <c r="E75" i="28" s="1"/>
  <c r="M31" i="46"/>
  <c r="H129" i="28" s="1"/>
  <c r="E169" i="28"/>
  <c r="E177" i="28"/>
  <c r="F12" i="27"/>
  <c r="E59" i="28" s="1"/>
  <c r="K7" i="46"/>
  <c r="L15" i="27"/>
  <c r="F50" i="27"/>
  <c r="E97" i="28" s="1"/>
  <c r="M31" i="27"/>
  <c r="H78" i="28" s="1"/>
  <c r="F25" i="27"/>
  <c r="E72" i="28" s="1"/>
  <c r="M46" i="27"/>
  <c r="H93" i="28" s="1"/>
  <c r="F38" i="1"/>
  <c r="E35" i="28" s="1"/>
  <c r="F54" i="27"/>
  <c r="E101" i="28" s="1"/>
  <c r="F12" i="1"/>
  <c r="E9" i="28" s="1"/>
  <c r="L30" i="56"/>
  <c r="M9" i="46"/>
  <c r="H107" i="28" s="1"/>
  <c r="L13" i="27"/>
  <c r="K34" i="27"/>
  <c r="N81" i="28" s="1"/>
  <c r="E179" i="28"/>
  <c r="L15" i="46"/>
  <c r="R33" i="1"/>
  <c r="M20" i="27"/>
  <c r="H67" i="28" s="1"/>
  <c r="H182" i="28"/>
  <c r="M11" i="27"/>
  <c r="H58" i="28" s="1"/>
  <c r="F48" i="1"/>
  <c r="E45" i="28" s="1"/>
  <c r="F44" i="1"/>
  <c r="E41" i="28" s="1"/>
  <c r="K28" i="46"/>
  <c r="K10" i="27"/>
  <c r="N57" i="28" s="1"/>
  <c r="K24" i="27"/>
  <c r="N71" i="28" s="1"/>
  <c r="L52" i="27"/>
  <c r="M10" i="46"/>
  <c r="H108" i="28" s="1"/>
  <c r="K19" i="27"/>
  <c r="N66" i="28" s="1"/>
  <c r="F13" i="56"/>
  <c r="E141" i="28" s="1"/>
  <c r="H179" i="28"/>
  <c r="L28" i="46"/>
  <c r="K46" i="27"/>
  <c r="N93" i="28" s="1"/>
  <c r="K29" i="46"/>
  <c r="R32" i="1"/>
  <c r="K40" i="27"/>
  <c r="N87" i="28" s="1"/>
  <c r="H168" i="28"/>
  <c r="K16" i="46"/>
  <c r="M25" i="27"/>
  <c r="H72" i="28" s="1"/>
  <c r="E178" i="28"/>
  <c r="L26" i="27"/>
  <c r="E171" i="28"/>
  <c r="F11" i="1"/>
  <c r="E8" i="28" s="1"/>
  <c r="M18" i="46"/>
  <c r="H116" i="28" s="1"/>
  <c r="F7" i="56"/>
  <c r="E135" i="28" s="1"/>
  <c r="H185" i="28"/>
  <c r="R46" i="1"/>
  <c r="M16" i="46"/>
  <c r="H114" i="28" s="1"/>
  <c r="H189" i="28"/>
  <c r="H175" i="28"/>
  <c r="K6" i="46"/>
  <c r="M7" i="46"/>
  <c r="H105" i="28" s="1"/>
  <c r="R12" i="1"/>
  <c r="R23" i="1"/>
  <c r="H191" i="28"/>
  <c r="F5" i="56"/>
  <c r="E133" i="28" s="1"/>
  <c r="F17" i="56"/>
  <c r="E145" i="28" s="1"/>
  <c r="M47" i="27"/>
  <c r="H94" i="28" s="1"/>
  <c r="E183" i="28"/>
  <c r="F31" i="56"/>
  <c r="E159" i="28" s="1"/>
  <c r="L20" i="27"/>
  <c r="E180" i="28"/>
  <c r="H192" i="28"/>
  <c r="R20" i="1"/>
  <c r="M27" i="46"/>
  <c r="H125" i="28" s="1"/>
  <c r="F33" i="1"/>
  <c r="E30" i="28" s="1"/>
  <c r="R51" i="1"/>
  <c r="F23" i="27"/>
  <c r="E70" i="28" s="1"/>
  <c r="M52" i="27"/>
  <c r="H99" i="28" s="1"/>
  <c r="E187" i="28"/>
  <c r="F52" i="27"/>
  <c r="E99" i="28" s="1"/>
  <c r="F24" i="27"/>
  <c r="E71" i="28" s="1"/>
  <c r="L23" i="56"/>
  <c r="K32" i="27"/>
  <c r="N79" i="28" s="1"/>
  <c r="F38" i="27"/>
  <c r="E85" i="28" s="1"/>
  <c r="K27" i="27"/>
  <c r="N74" i="28" s="1"/>
  <c r="H188" i="28"/>
  <c r="K5" i="55"/>
  <c r="F8" i="27"/>
  <c r="E55" i="28" s="1"/>
  <c r="L25" i="56"/>
  <c r="K17" i="27"/>
  <c r="N64" i="28" s="1"/>
  <c r="M51" i="27"/>
  <c r="H98" i="28" s="1"/>
  <c r="L32" i="27"/>
  <c r="F39" i="27"/>
  <c r="E86" i="28" s="1"/>
  <c r="H180" i="28"/>
  <c r="L7" i="46"/>
  <c r="L7" i="27"/>
  <c r="L37" i="27"/>
  <c r="L6" i="56"/>
  <c r="E172" i="28"/>
  <c r="L11" i="27"/>
  <c r="R38" i="1"/>
  <c r="R19" i="1"/>
  <c r="L27" i="56"/>
  <c r="R29" i="1"/>
  <c r="F49" i="1"/>
  <c r="E46" i="28" s="1"/>
  <c r="F24" i="1"/>
  <c r="E21" i="28" s="1"/>
  <c r="E165" i="28"/>
  <c r="F8" i="56"/>
  <c r="E136" i="28" s="1"/>
  <c r="E176" i="28"/>
  <c r="L24" i="56"/>
  <c r="M12" i="46"/>
  <c r="H110" i="28" s="1"/>
  <c r="R49" i="1"/>
  <c r="K43" i="27"/>
  <c r="N90" i="28" s="1"/>
  <c r="R16" i="1"/>
  <c r="M50" i="27"/>
  <c r="H97" i="28" s="1"/>
  <c r="R13" i="1"/>
  <c r="L8" i="56"/>
  <c r="F20" i="27"/>
  <c r="E67" i="28" s="1"/>
  <c r="L51" i="27"/>
  <c r="L34" i="56"/>
  <c r="R52" i="1"/>
  <c r="F42" i="1"/>
  <c r="E39" i="28" s="1"/>
  <c r="M25" i="46"/>
  <c r="H123" i="28" s="1"/>
  <c r="L29" i="27"/>
  <c r="E167" i="28"/>
  <c r="F26" i="27"/>
  <c r="E73" i="28" s="1"/>
  <c r="K8" i="46"/>
  <c r="R39" i="1"/>
  <c r="L15" i="56"/>
  <c r="F28" i="1"/>
  <c r="E25" i="28" s="1"/>
  <c r="F11" i="27"/>
  <c r="E58" i="28" s="1"/>
  <c r="L19" i="27"/>
  <c r="F29" i="56"/>
  <c r="E157" i="28" s="1"/>
  <c r="F41" i="27"/>
  <c r="E88" i="28" s="1"/>
  <c r="L9" i="56"/>
  <c r="L24" i="46"/>
  <c r="L19" i="56"/>
  <c r="K21" i="46"/>
  <c r="L50" i="27"/>
  <c r="F35" i="1"/>
  <c r="E32" i="28" s="1"/>
  <c r="F30" i="27"/>
  <c r="E77" i="28" s="1"/>
  <c r="K33" i="46"/>
  <c r="R21" i="1"/>
  <c r="L18" i="27"/>
  <c r="K25" i="27"/>
  <c r="N72" i="28" s="1"/>
  <c r="F34" i="56"/>
  <c r="E162" i="28" s="1"/>
  <c r="F53" i="27"/>
  <c r="E100" i="28" s="1"/>
  <c r="R10" i="1"/>
  <c r="F21" i="27"/>
  <c r="E68" i="28" s="1"/>
  <c r="E170" i="28"/>
  <c r="F42" i="27"/>
  <c r="E89" i="28" s="1"/>
  <c r="F45" i="1"/>
  <c r="E42" i="28" s="1"/>
  <c r="L39" i="27"/>
  <c r="L31" i="27"/>
  <c r="L29" i="46"/>
  <c r="K31" i="27"/>
  <c r="N78" i="28" s="1"/>
  <c r="M27" i="27"/>
  <c r="H74" i="28" s="1"/>
  <c r="K11" i="46"/>
  <c r="L18" i="46"/>
  <c r="F9" i="27"/>
  <c r="E56" i="28" s="1"/>
  <c r="H187" i="28"/>
  <c r="K30" i="46"/>
  <c r="L33" i="27"/>
  <c r="E166" i="28"/>
  <c r="K53" i="27"/>
  <c r="N100" i="28" s="1"/>
  <c r="L20" i="56"/>
  <c r="E168" i="28"/>
  <c r="F34" i="27"/>
  <c r="E81" i="28" s="1"/>
  <c r="K23" i="46"/>
  <c r="L13" i="46"/>
  <c r="L10" i="56"/>
  <c r="R34" i="1"/>
  <c r="L9" i="46"/>
  <c r="K13" i="46"/>
  <c r="L23" i="27"/>
  <c r="L18" i="56"/>
  <c r="L17" i="56"/>
  <c r="K28" i="27"/>
  <c r="N75" i="28" s="1"/>
  <c r="L8" i="27"/>
  <c r="K35" i="27"/>
  <c r="N82" i="28" s="1"/>
  <c r="L21" i="56"/>
  <c r="L25" i="27"/>
  <c r="L12" i="56"/>
  <c r="R27" i="1"/>
  <c r="L10" i="27"/>
  <c r="R7" i="1"/>
  <c r="R11" i="1"/>
  <c r="M37" i="27"/>
  <c r="H84" i="28" s="1"/>
  <c r="K32" i="46"/>
  <c r="F16" i="27"/>
  <c r="E63" i="28" s="1"/>
  <c r="L33" i="56"/>
  <c r="H8" i="28"/>
  <c r="M43" i="27"/>
  <c r="H90" i="28" s="1"/>
  <c r="R24" i="1"/>
  <c r="K14" i="46"/>
  <c r="R25" i="1"/>
  <c r="K8" i="27"/>
  <c r="G8" i="28" l="1"/>
  <c r="G7" i="28"/>
  <c r="G6" i="28"/>
  <c r="N56" i="28"/>
  <c r="P9" i="27"/>
  <c r="N55" i="28"/>
  <c r="P8" i="27"/>
  <c r="O9" i="56"/>
  <c r="N3" i="56"/>
  <c r="E6" i="51" s="1"/>
  <c r="D20" i="26" s="1"/>
  <c r="M3" i="56"/>
  <c r="D6" i="51" s="1"/>
  <c r="C20" i="26" s="1"/>
  <c r="L3" i="56"/>
  <c r="C6" i="51" s="1"/>
  <c r="P13" i="46"/>
  <c r="N111" i="28"/>
  <c r="G178" i="28"/>
  <c r="G173" i="28"/>
  <c r="Q9" i="56"/>
  <c r="N137" i="28"/>
  <c r="N186" i="28"/>
  <c r="Q27" i="56"/>
  <c r="N155" i="28"/>
  <c r="G54" i="28"/>
  <c r="N7" i="27"/>
  <c r="L4" i="27"/>
  <c r="D4" i="51" s="1"/>
  <c r="C18" i="26" s="1"/>
  <c r="Q25" i="56"/>
  <c r="N153" i="28"/>
  <c r="N172" i="28"/>
  <c r="W12" i="1"/>
  <c r="N9" i="28"/>
  <c r="W46" i="1"/>
  <c r="N43" i="28"/>
  <c r="N184" i="28"/>
  <c r="N167" i="28"/>
  <c r="Q26" i="56"/>
  <c r="N154" i="28"/>
  <c r="G83" i="28"/>
  <c r="N36" i="27"/>
  <c r="Q36" i="27" s="1"/>
  <c r="P15" i="46"/>
  <c r="N113" i="28"/>
  <c r="N19" i="46"/>
  <c r="G117" i="28"/>
  <c r="P34" i="46"/>
  <c r="N132" i="28"/>
  <c r="W14" i="1"/>
  <c r="N11" i="28"/>
  <c r="N39" i="28"/>
  <c r="W42" i="1"/>
  <c r="N110" i="28"/>
  <c r="P12" i="46"/>
  <c r="G166" i="28"/>
  <c r="N118" i="28"/>
  <c r="P20" i="46"/>
  <c r="N17" i="46"/>
  <c r="G115" i="28"/>
  <c r="N34" i="28"/>
  <c r="W37" i="1"/>
  <c r="N45" i="28"/>
  <c r="W48" i="1"/>
  <c r="N47" i="28"/>
  <c r="W50" i="1"/>
  <c r="G129" i="28"/>
  <c r="N31" i="46"/>
  <c r="G93" i="28"/>
  <c r="N46" i="27"/>
  <c r="Q46" i="27" s="1"/>
  <c r="W43" i="1"/>
  <c r="N40" i="28"/>
  <c r="G156" i="28"/>
  <c r="O28" i="56"/>
  <c r="G142" i="28"/>
  <c r="O14" i="56"/>
  <c r="O22" i="56"/>
  <c r="G150" i="28"/>
  <c r="O16" i="56"/>
  <c r="G144" i="28"/>
  <c r="G184" i="28"/>
  <c r="P17" i="46"/>
  <c r="N115" i="28"/>
  <c r="P19" i="46"/>
  <c r="N117" i="28"/>
  <c r="N122" i="28"/>
  <c r="P24" i="46"/>
  <c r="N188" i="28"/>
  <c r="W10" i="1"/>
  <c r="N7" i="28"/>
  <c r="P33" i="46"/>
  <c r="N131" i="28"/>
  <c r="Q15" i="56"/>
  <c r="N143" i="28"/>
  <c r="N10" i="28"/>
  <c r="W13" i="1"/>
  <c r="N152" i="28"/>
  <c r="Q24" i="56"/>
  <c r="W19" i="1"/>
  <c r="N16" i="28"/>
  <c r="N7" i="46"/>
  <c r="G105" i="28"/>
  <c r="N151" i="28"/>
  <c r="Q23" i="56"/>
  <c r="N191" i="28"/>
  <c r="W32" i="1"/>
  <c r="N29" i="28"/>
  <c r="N13" i="27"/>
  <c r="Q13" i="27" s="1"/>
  <c r="G60" i="28"/>
  <c r="G163" i="28"/>
  <c r="N5" i="55"/>
  <c r="L3" i="55"/>
  <c r="D7" i="51" s="1"/>
  <c r="C21" i="26" s="1"/>
  <c r="G119" i="28"/>
  <c r="N21" i="46"/>
  <c r="G183" i="28"/>
  <c r="N43" i="27"/>
  <c r="Q43" i="27" s="1"/>
  <c r="G90" i="28"/>
  <c r="N141" i="28"/>
  <c r="Q13" i="56"/>
  <c r="N123" i="28"/>
  <c r="P25" i="46"/>
  <c r="G91" i="28"/>
  <c r="N44" i="27"/>
  <c r="Q44" i="27" s="1"/>
  <c r="G189" i="28"/>
  <c r="N170" i="28"/>
  <c r="G176" i="28"/>
  <c r="N30" i="27"/>
  <c r="Q30" i="27" s="1"/>
  <c r="G77" i="28"/>
  <c r="G114" i="28"/>
  <c r="N16" i="46"/>
  <c r="N27" i="46"/>
  <c r="G125" i="28"/>
  <c r="N15" i="28"/>
  <c r="W18" i="1"/>
  <c r="W35" i="1"/>
  <c r="N32" i="28"/>
  <c r="O12" i="56"/>
  <c r="G140" i="28"/>
  <c r="O23" i="56"/>
  <c r="G151" i="28"/>
  <c r="N21" i="28"/>
  <c r="W24" i="1"/>
  <c r="Q21" i="56"/>
  <c r="N149" i="28"/>
  <c r="N13" i="46"/>
  <c r="G111" i="28"/>
  <c r="W11" i="1"/>
  <c r="N8" i="28"/>
  <c r="G107" i="28"/>
  <c r="N9" i="46"/>
  <c r="G175" i="28"/>
  <c r="N33" i="27"/>
  <c r="Q33" i="27" s="1"/>
  <c r="G80" i="28"/>
  <c r="N29" i="46"/>
  <c r="G127" i="28"/>
  <c r="N176" i="28"/>
  <c r="N36" i="28"/>
  <c r="W39" i="1"/>
  <c r="N49" i="28"/>
  <c r="W52" i="1"/>
  <c r="G185" i="28"/>
  <c r="W38" i="1"/>
  <c r="N35" i="28"/>
  <c r="K3" i="55"/>
  <c r="C7" i="51" s="1"/>
  <c r="N163" i="28"/>
  <c r="P5" i="55"/>
  <c r="N17" i="28"/>
  <c r="W20" i="1"/>
  <c r="P29" i="46"/>
  <c r="N127" i="28"/>
  <c r="G99" i="28"/>
  <c r="N52" i="27"/>
  <c r="Q52" i="27" s="1"/>
  <c r="N177" i="28"/>
  <c r="N54" i="28"/>
  <c r="K4" i="27"/>
  <c r="C4" i="51" s="1"/>
  <c r="I4" i="51" s="1"/>
  <c r="W17" i="1"/>
  <c r="N14" i="28"/>
  <c r="N55" i="27"/>
  <c r="Q55" i="27" s="1"/>
  <c r="G102" i="28"/>
  <c r="Q22" i="56"/>
  <c r="N150" i="28"/>
  <c r="G82" i="28"/>
  <c r="N35" i="27"/>
  <c r="Q35" i="27" s="1"/>
  <c r="N9" i="27"/>
  <c r="G56" i="28"/>
  <c r="G179" i="28"/>
  <c r="N185" i="28"/>
  <c r="P26" i="46"/>
  <c r="N124" i="28"/>
  <c r="N20" i="46"/>
  <c r="G118" i="28"/>
  <c r="N49" i="27"/>
  <c r="Q49" i="27" s="1"/>
  <c r="G96" i="28"/>
  <c r="N40" i="27"/>
  <c r="Q40" i="27" s="1"/>
  <c r="G87" i="28"/>
  <c r="N120" i="28"/>
  <c r="P22" i="46"/>
  <c r="W53" i="1"/>
  <c r="N50" i="28"/>
  <c r="N41" i="27"/>
  <c r="Q41" i="27" s="1"/>
  <c r="G88" i="28"/>
  <c r="N12" i="46"/>
  <c r="G110" i="28"/>
  <c r="G134" i="28"/>
  <c r="O6" i="56"/>
  <c r="G160" i="28"/>
  <c r="O32" i="56"/>
  <c r="G141" i="28"/>
  <c r="O13" i="56"/>
  <c r="O30" i="56"/>
  <c r="G158" i="28"/>
  <c r="O20" i="56"/>
  <c r="G148" i="28"/>
  <c r="N174" i="28"/>
  <c r="N180" i="28"/>
  <c r="N130" i="28"/>
  <c r="P32" i="46"/>
  <c r="N189" i="28"/>
  <c r="W7" i="1"/>
  <c r="N4" i="28"/>
  <c r="R4" i="1"/>
  <c r="C3" i="51" s="1"/>
  <c r="G55" i="28"/>
  <c r="N8" i="27"/>
  <c r="W34" i="1"/>
  <c r="N31" i="28"/>
  <c r="N121" i="28"/>
  <c r="P23" i="46"/>
  <c r="P30" i="46"/>
  <c r="N128" i="28"/>
  <c r="N31" i="27"/>
  <c r="Q31" i="27" s="1"/>
  <c r="G78" i="28"/>
  <c r="P8" i="46"/>
  <c r="N106" i="28"/>
  <c r="N166" i="28"/>
  <c r="G58" i="28"/>
  <c r="N11" i="27"/>
  <c r="Q11" i="27" s="1"/>
  <c r="N104" i="28"/>
  <c r="K3" i="46"/>
  <c r="C5" i="51" s="1"/>
  <c r="I5" i="51" s="1"/>
  <c r="P6" i="46"/>
  <c r="N181" i="28"/>
  <c r="Q30" i="56"/>
  <c r="N158" i="28"/>
  <c r="G62" i="28"/>
  <c r="N15" i="27"/>
  <c r="Q15" i="27" s="1"/>
  <c r="G171" i="28"/>
  <c r="N19" i="28"/>
  <c r="W22" i="1"/>
  <c r="N38" i="27"/>
  <c r="Q38" i="27" s="1"/>
  <c r="G85" i="28"/>
  <c r="G120" i="28"/>
  <c r="N22" i="46"/>
  <c r="N33" i="28"/>
  <c r="W36" i="1"/>
  <c r="N22" i="27"/>
  <c r="Q22" i="27" s="1"/>
  <c r="G69" i="28"/>
  <c r="W44" i="1"/>
  <c r="N41" i="28"/>
  <c r="N12" i="28"/>
  <c r="W15" i="1"/>
  <c r="N173" i="28"/>
  <c r="N6" i="46"/>
  <c r="G104" i="28"/>
  <c r="L3" i="46"/>
  <c r="D5" i="51" s="1"/>
  <c r="C19" i="26" s="1"/>
  <c r="Q31" i="56"/>
  <c r="N159" i="28"/>
  <c r="Q28" i="56"/>
  <c r="N156" i="28"/>
  <c r="N142" i="28"/>
  <c r="Q14" i="56"/>
  <c r="G68" i="28"/>
  <c r="N21" i="27"/>
  <c r="Q21" i="27" s="1"/>
  <c r="G188" i="28"/>
  <c r="G123" i="28"/>
  <c r="N25" i="46"/>
  <c r="N165" i="28"/>
  <c r="G187" i="28"/>
  <c r="M4" i="27"/>
  <c r="E4" i="51" s="1"/>
  <c r="D18" i="26" s="1"/>
  <c r="H54" i="28"/>
  <c r="N14" i="46"/>
  <c r="G112" i="28"/>
  <c r="N10" i="46"/>
  <c r="G108" i="28"/>
  <c r="O31" i="56"/>
  <c r="G159" i="28"/>
  <c r="G152" i="28"/>
  <c r="O24" i="56"/>
  <c r="H133" i="28"/>
  <c r="O18" i="56"/>
  <c r="G146" i="28"/>
  <c r="G138" i="28"/>
  <c r="O10" i="56"/>
  <c r="G170" i="28"/>
  <c r="N133" i="28"/>
  <c r="Q5" i="56"/>
  <c r="N25" i="28"/>
  <c r="W28" i="1"/>
  <c r="G130" i="28"/>
  <c r="N32" i="46"/>
  <c r="N171" i="28"/>
  <c r="N39" i="27"/>
  <c r="Q39" i="27" s="1"/>
  <c r="G86" i="28"/>
  <c r="G97" i="28"/>
  <c r="N50" i="27"/>
  <c r="Q50" i="27" s="1"/>
  <c r="N19" i="27"/>
  <c r="Q19" i="27" s="1"/>
  <c r="G66" i="28"/>
  <c r="N187" i="28"/>
  <c r="N162" i="28"/>
  <c r="Q34" i="56"/>
  <c r="N13" i="28"/>
  <c r="W16" i="1"/>
  <c r="G79" i="28"/>
  <c r="N32" i="27"/>
  <c r="Q32" i="27" s="1"/>
  <c r="G169" i="28"/>
  <c r="P16" i="46"/>
  <c r="N114" i="28"/>
  <c r="P7" i="46"/>
  <c r="N105" i="28"/>
  <c r="G109" i="28"/>
  <c r="N11" i="46"/>
  <c r="N23" i="28"/>
  <c r="W26" i="1"/>
  <c r="N52" i="28"/>
  <c r="W55" i="1"/>
  <c r="X55" i="1" s="1"/>
  <c r="W54" i="1"/>
  <c r="N51" i="28"/>
  <c r="N14" i="27"/>
  <c r="Q14" i="27" s="1"/>
  <c r="G61" i="28"/>
  <c r="N192" i="28"/>
  <c r="G59" i="28"/>
  <c r="N12" i="27"/>
  <c r="Q12" i="27" s="1"/>
  <c r="G180" i="28"/>
  <c r="N53" i="27"/>
  <c r="Q53" i="27" s="1"/>
  <c r="G100" i="28"/>
  <c r="N33" i="46"/>
  <c r="G131" i="28"/>
  <c r="O8" i="56"/>
  <c r="G136" i="28"/>
  <c r="G133" i="28"/>
  <c r="O5" i="56"/>
  <c r="G168" i="28"/>
  <c r="N28" i="28"/>
  <c r="W31" i="1"/>
  <c r="N30" i="46"/>
  <c r="G128" i="28"/>
  <c r="G57" i="28"/>
  <c r="N10" i="27"/>
  <c r="Q10" i="27" s="1"/>
  <c r="N168" i="28"/>
  <c r="Q33" i="56"/>
  <c r="N161" i="28"/>
  <c r="Q17" i="56"/>
  <c r="N145" i="28"/>
  <c r="G165" i="28"/>
  <c r="P21" i="46"/>
  <c r="N119" i="28"/>
  <c r="N51" i="27"/>
  <c r="Q51" i="27" s="1"/>
  <c r="G98" i="28"/>
  <c r="Q6" i="56"/>
  <c r="N134" i="28"/>
  <c r="G190" i="28"/>
  <c r="G192" i="28"/>
  <c r="N28" i="46"/>
  <c r="G126" i="28"/>
  <c r="N126" i="28"/>
  <c r="P28" i="46"/>
  <c r="N30" i="28"/>
  <c r="W33" i="1"/>
  <c r="G63" i="28"/>
  <c r="N16" i="27"/>
  <c r="Q16" i="27" s="1"/>
  <c r="Q16" i="56"/>
  <c r="N144" i="28"/>
  <c r="N178" i="28"/>
  <c r="G95" i="28"/>
  <c r="N48" i="27"/>
  <c r="Q48" i="27" s="1"/>
  <c r="N107" i="28"/>
  <c r="P9" i="46"/>
  <c r="N54" i="27"/>
  <c r="Q54" i="27" s="1"/>
  <c r="G101" i="28"/>
  <c r="G186" i="28"/>
  <c r="N38" i="28"/>
  <c r="W41" i="1"/>
  <c r="N26" i="46"/>
  <c r="G124" i="28"/>
  <c r="N190" i="28"/>
  <c r="G182" i="28"/>
  <c r="O17" i="56"/>
  <c r="G145" i="28"/>
  <c r="O33" i="56"/>
  <c r="G161" i="28"/>
  <c r="O11" i="56"/>
  <c r="G139" i="28"/>
  <c r="G157" i="28"/>
  <c r="O29" i="56"/>
  <c r="G153" i="28"/>
  <c r="O25" i="56"/>
  <c r="O34" i="56"/>
  <c r="G162" i="28"/>
  <c r="N175" i="28"/>
  <c r="W47" i="1"/>
  <c r="N44" i="28"/>
  <c r="N25" i="27"/>
  <c r="Q25" i="27" s="1"/>
  <c r="G72" i="28"/>
  <c r="W25" i="1"/>
  <c r="N22" i="28"/>
  <c r="N24" i="28"/>
  <c r="W27" i="1"/>
  <c r="Q18" i="56"/>
  <c r="N146" i="28"/>
  <c r="G116" i="28"/>
  <c r="N18" i="46"/>
  <c r="N18" i="27"/>
  <c r="Q18" i="27" s="1"/>
  <c r="G65" i="28"/>
  <c r="Q19" i="56"/>
  <c r="N147" i="28"/>
  <c r="N46" i="28"/>
  <c r="W49" i="1"/>
  <c r="N37" i="27"/>
  <c r="Q37" i="27" s="1"/>
  <c r="G84" i="28"/>
  <c r="G167" i="28"/>
  <c r="G113" i="28"/>
  <c r="N15" i="46"/>
  <c r="G174" i="28"/>
  <c r="W9" i="1"/>
  <c r="N6" i="28"/>
  <c r="G64" i="28"/>
  <c r="N17" i="27"/>
  <c r="Q17" i="27" s="1"/>
  <c r="G181" i="28"/>
  <c r="N183" i="28"/>
  <c r="G121" i="28"/>
  <c r="N23" i="46"/>
  <c r="N37" i="28"/>
  <c r="W40" i="1"/>
  <c r="G74" i="28"/>
  <c r="N27" i="27"/>
  <c r="Q27" i="27" s="1"/>
  <c r="W30" i="1"/>
  <c r="N27" i="28"/>
  <c r="Q29" i="56"/>
  <c r="N157" i="28"/>
  <c r="N169" i="28"/>
  <c r="G75" i="28"/>
  <c r="N28" i="27"/>
  <c r="Q28" i="27" s="1"/>
  <c r="W45" i="1"/>
  <c r="N42" i="28"/>
  <c r="G172" i="28"/>
  <c r="G94" i="28"/>
  <c r="N47" i="27"/>
  <c r="Q47" i="27" s="1"/>
  <c r="G164" i="28"/>
  <c r="N5" i="28"/>
  <c r="W8" i="1"/>
  <c r="O19" i="56"/>
  <c r="G147" i="28"/>
  <c r="G143" i="28"/>
  <c r="O15" i="56"/>
  <c r="G135" i="28"/>
  <c r="O7" i="56"/>
  <c r="N42" i="27"/>
  <c r="Q42" i="27" s="1"/>
  <c r="G89" i="28"/>
  <c r="N112" i="28"/>
  <c r="P14" i="46"/>
  <c r="Q12" i="56"/>
  <c r="N140" i="28"/>
  <c r="N23" i="27"/>
  <c r="Q23" i="27" s="1"/>
  <c r="G70" i="28"/>
  <c r="Q10" i="56"/>
  <c r="N138" i="28"/>
  <c r="Q20" i="56"/>
  <c r="N148" i="28"/>
  <c r="P11" i="46"/>
  <c r="N109" i="28"/>
  <c r="W21" i="1"/>
  <c r="N18" i="28"/>
  <c r="N24" i="46"/>
  <c r="G122" i="28"/>
  <c r="G76" i="28"/>
  <c r="N29" i="27"/>
  <c r="Q29" i="27" s="1"/>
  <c r="N136" i="28"/>
  <c r="Q8" i="56"/>
  <c r="N179" i="28"/>
  <c r="W29" i="1"/>
  <c r="N26" i="28"/>
  <c r="N48" i="28"/>
  <c r="W51" i="1"/>
  <c r="N20" i="27"/>
  <c r="Q20" i="27" s="1"/>
  <c r="G67" i="28"/>
  <c r="N20" i="28"/>
  <c r="W23" i="1"/>
  <c r="N26" i="27"/>
  <c r="Q26" i="27" s="1"/>
  <c r="G73" i="28"/>
  <c r="G191" i="28"/>
  <c r="H163" i="28"/>
  <c r="M3" i="55"/>
  <c r="E7" i="51" s="1"/>
  <c r="D21" i="26" s="1"/>
  <c r="P18" i="46"/>
  <c r="N116" i="28"/>
  <c r="N108" i="28"/>
  <c r="P10" i="46"/>
  <c r="N45" i="27"/>
  <c r="Q45" i="27" s="1"/>
  <c r="G92" i="28"/>
  <c r="G71" i="28"/>
  <c r="N24" i="27"/>
  <c r="Q24" i="27" s="1"/>
  <c r="G81" i="28"/>
  <c r="N34" i="27"/>
  <c r="Q34" i="27" s="1"/>
  <c r="P27" i="46"/>
  <c r="N125" i="28"/>
  <c r="P31" i="46"/>
  <c r="N129" i="28"/>
  <c r="M3" i="46"/>
  <c r="E5" i="51" s="1"/>
  <c r="D19" i="26" s="1"/>
  <c r="H104" i="28"/>
  <c r="N164" i="28"/>
  <c r="G177" i="28"/>
  <c r="G132" i="28"/>
  <c r="N34" i="46"/>
  <c r="Q7" i="56"/>
  <c r="N135" i="28"/>
  <c r="N8" i="46"/>
  <c r="G106" i="28"/>
  <c r="N182" i="28"/>
  <c r="G149" i="28"/>
  <c r="O21" i="56"/>
  <c r="O27" i="56"/>
  <c r="G155" i="28"/>
  <c r="G154" i="28"/>
  <c r="O26" i="56"/>
  <c r="N160" i="28"/>
  <c r="Q32" i="56"/>
  <c r="N139" i="28"/>
  <c r="Q11" i="56"/>
  <c r="Q9" i="27" l="1"/>
  <c r="R32" i="56"/>
  <c r="Q8" i="27"/>
  <c r="R22" i="56"/>
  <c r="R9" i="56"/>
  <c r="R16" i="56"/>
  <c r="Q3" i="56"/>
  <c r="O3" i="56"/>
  <c r="F6" i="51" s="1"/>
  <c r="C30" i="26" s="1"/>
  <c r="R6" i="56"/>
  <c r="R11" i="56"/>
  <c r="Q21" i="46"/>
  <c r="Q10" i="46"/>
  <c r="Q19" i="46"/>
  <c r="R29" i="56"/>
  <c r="Q7" i="46"/>
  <c r="R30" i="56"/>
  <c r="Q11" i="46"/>
  <c r="R12" i="56"/>
  <c r="Q16" i="46"/>
  <c r="Q31" i="46"/>
  <c r="Q14" i="46"/>
  <c r="Q9" i="46"/>
  <c r="R14" i="56"/>
  <c r="R10" i="56"/>
  <c r="Q28" i="46"/>
  <c r="R8" i="56"/>
  <c r="Q27" i="46"/>
  <c r="R20" i="56"/>
  <c r="Q18" i="46"/>
  <c r="R19" i="56"/>
  <c r="R18" i="56"/>
  <c r="Q30" i="46"/>
  <c r="Q29" i="46"/>
  <c r="Q33" i="46"/>
  <c r="R13" i="56"/>
  <c r="R34" i="56"/>
  <c r="Q5" i="55"/>
  <c r="P3" i="55"/>
  <c r="R7" i="56"/>
  <c r="R33" i="56"/>
  <c r="R31" i="56"/>
  <c r="I3" i="51"/>
  <c r="C9" i="51"/>
  <c r="N3" i="55"/>
  <c r="F7" i="51" s="1"/>
  <c r="C31" i="26" s="1"/>
  <c r="R23" i="56"/>
  <c r="Q17" i="46"/>
  <c r="Q12" i="46"/>
  <c r="Q34" i="46"/>
  <c r="R26" i="56"/>
  <c r="N4" i="27"/>
  <c r="Q7" i="27"/>
  <c r="I6" i="51"/>
  <c r="R5" i="56"/>
  <c r="Q23" i="46"/>
  <c r="W4" i="1"/>
  <c r="I7" i="51"/>
  <c r="Q20" i="46"/>
  <c r="N3" i="46"/>
  <c r="F5" i="51" s="1"/>
  <c r="C29" i="26" s="1"/>
  <c r="R21" i="56"/>
  <c r="Q25" i="46"/>
  <c r="R15" i="56"/>
  <c r="Q24" i="46"/>
  <c r="R27" i="56"/>
  <c r="Q22" i="46"/>
  <c r="Q15" i="46"/>
  <c r="P3" i="46"/>
  <c r="Q6" i="46"/>
  <c r="Q8" i="46"/>
  <c r="Q32" i="46"/>
  <c r="Q26" i="46"/>
  <c r="P4" i="27"/>
  <c r="H4" i="51" s="1"/>
  <c r="R17" i="56"/>
  <c r="R28" i="56"/>
  <c r="R24" i="56"/>
  <c r="R25" i="56"/>
  <c r="Q13" i="46"/>
  <c r="H7" i="51" l="1"/>
  <c r="Q3" i="55"/>
  <c r="I135" i="28"/>
  <c r="I9" i="51"/>
  <c r="H5" i="51"/>
  <c r="Q3" i="46"/>
  <c r="H6" i="51"/>
  <c r="R3" i="56"/>
  <c r="J3" i="51"/>
  <c r="E27" i="26" s="1"/>
  <c r="F27" i="26" s="1"/>
  <c r="F4" i="51"/>
  <c r="C28"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J7" i="51"/>
  <c r="E31" i="26" s="1"/>
  <c r="F31" i="26" s="1"/>
  <c r="G31" i="26" s="1"/>
  <c r="I184" i="28"/>
  <c r="I125" i="28"/>
  <c r="I121" i="28"/>
  <c r="I187" i="28"/>
  <c r="I17" i="28"/>
  <c r="I117" i="28"/>
  <c r="I106" i="28"/>
  <c r="I179" i="28"/>
  <c r="I6" i="28"/>
  <c r="I178" i="28"/>
  <c r="I142" i="28"/>
  <c r="I19" i="28"/>
  <c r="Q4" i="27"/>
  <c r="I158" i="28"/>
  <c r="I15" i="28"/>
  <c r="I13" i="28"/>
  <c r="I164" i="28"/>
  <c r="I11" i="28"/>
  <c r="I183" i="28"/>
  <c r="I131" i="28"/>
  <c r="I189" i="28"/>
  <c r="I126" i="28"/>
  <c r="I175" i="28"/>
  <c r="I149" i="28"/>
  <c r="J6" i="51"/>
  <c r="E30" i="26" s="1"/>
  <c r="F30" i="26" s="1"/>
  <c r="G30" i="26" s="1"/>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8" i="26" s="1"/>
  <c r="F28" i="26" s="1"/>
  <c r="J5" i="51"/>
  <c r="E29" i="26" s="1"/>
  <c r="F29" i="26" s="1"/>
  <c r="G29" i="26" s="1"/>
  <c r="I204" i="28"/>
  <c r="I103" i="28"/>
  <c r="I203" i="28"/>
  <c r="I210" i="28"/>
  <c r="I211" i="28"/>
  <c r="I200" i="28"/>
  <c r="I212" i="28"/>
  <c r="I202" i="28"/>
  <c r="I3" i="28"/>
  <c r="I201" i="28"/>
  <c r="I205" i="28"/>
  <c r="I208" i="28"/>
  <c r="I195" i="28"/>
  <c r="I193" i="28"/>
  <c r="J8" i="51"/>
  <c r="E32" i="26" s="1"/>
  <c r="I194" i="28"/>
  <c r="I53"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F32" i="26"/>
  <c r="G32" i="26" s="1"/>
  <c r="C18" i="33"/>
  <c r="C20" i="33" s="1"/>
  <c r="H9" i="51"/>
  <c r="G28" i="26"/>
  <c r="J9" i="51"/>
  <c r="B21" i="33" l="1"/>
  <c r="B20" i="33"/>
  <c r="D18" i="33"/>
  <c r="C21" i="33"/>
  <c r="D21" i="33" l="1"/>
  <c r="D20" i="33"/>
  <c r="E34" i="26" l="1"/>
  <c r="F34" i="26"/>
  <c r="E8" i="26" l="1"/>
  <c r="E13" i="52" s="1"/>
  <c r="D8" i="26"/>
  <c r="D13" i="52" s="1"/>
  <c r="B25" i="33"/>
  <c r="U17" i="1" l="1"/>
  <c r="X17" i="1" s="1"/>
  <c r="U49" i="1" l="1"/>
  <c r="X49" i="1" s="1"/>
  <c r="U41" i="1"/>
  <c r="X41" i="1" s="1"/>
  <c r="U37" i="1"/>
  <c r="X37" i="1" s="1"/>
  <c r="U33" i="1"/>
  <c r="X33" i="1" s="1"/>
  <c r="U27" i="1"/>
  <c r="X27" i="1" s="1"/>
  <c r="U21" i="1"/>
  <c r="X21" i="1" s="1"/>
  <c r="U13" i="1"/>
  <c r="X13" i="1" s="1"/>
  <c r="U51" i="1"/>
  <c r="X51" i="1" s="1"/>
  <c r="U45" i="1"/>
  <c r="X45" i="1" s="1"/>
  <c r="U39" i="1"/>
  <c r="X39" i="1" s="1"/>
  <c r="U29" i="1"/>
  <c r="X29" i="1" s="1"/>
  <c r="U23" i="1"/>
  <c r="X23" i="1" s="1"/>
  <c r="U11" i="1"/>
  <c r="X11" i="1" s="1"/>
  <c r="H4" i="28"/>
  <c r="U54" i="1"/>
  <c r="X54" i="1" s="1"/>
  <c r="U52" i="1"/>
  <c r="X52" i="1" s="1"/>
  <c r="U50" i="1"/>
  <c r="X50" i="1" s="1"/>
  <c r="U48" i="1"/>
  <c r="X48" i="1" s="1"/>
  <c r="U46" i="1"/>
  <c r="X46" i="1" s="1"/>
  <c r="U44" i="1"/>
  <c r="X44" i="1" s="1"/>
  <c r="U42" i="1"/>
  <c r="X42" i="1" s="1"/>
  <c r="U40" i="1"/>
  <c r="X40" i="1" s="1"/>
  <c r="U38" i="1"/>
  <c r="X38" i="1" s="1"/>
  <c r="U36" i="1"/>
  <c r="X36" i="1" s="1"/>
  <c r="U34" i="1"/>
  <c r="X34" i="1" s="1"/>
  <c r="U32" i="1"/>
  <c r="X32" i="1" s="1"/>
  <c r="U30" i="1"/>
  <c r="X30" i="1" s="1"/>
  <c r="U28" i="1"/>
  <c r="X28" i="1" s="1"/>
  <c r="U26" i="1"/>
  <c r="X26" i="1" s="1"/>
  <c r="U24" i="1"/>
  <c r="X24" i="1" s="1"/>
  <c r="U22" i="1"/>
  <c r="X22" i="1" s="1"/>
  <c r="U20" i="1"/>
  <c r="X20" i="1" s="1"/>
  <c r="U18" i="1"/>
  <c r="X18" i="1" s="1"/>
  <c r="U16" i="1"/>
  <c r="X16" i="1" s="1"/>
  <c r="U14" i="1"/>
  <c r="X14" i="1" s="1"/>
  <c r="U12" i="1"/>
  <c r="X12" i="1" s="1"/>
  <c r="U10" i="1"/>
  <c r="X10" i="1" s="1"/>
  <c r="H5" i="28"/>
  <c r="U53" i="1"/>
  <c r="X53" i="1" s="1"/>
  <c r="U47" i="1"/>
  <c r="X47" i="1" s="1"/>
  <c r="U43" i="1"/>
  <c r="X43" i="1" s="1"/>
  <c r="U35" i="1"/>
  <c r="X35" i="1" s="1"/>
  <c r="U31" i="1"/>
  <c r="X31" i="1" s="1"/>
  <c r="U25" i="1"/>
  <c r="X25" i="1" s="1"/>
  <c r="U19" i="1"/>
  <c r="X19" i="1" s="1"/>
  <c r="U15" i="1"/>
  <c r="X15" i="1" s="1"/>
  <c r="U9" i="1"/>
  <c r="X9" i="1" s="1"/>
  <c r="U8" i="1" l="1"/>
  <c r="X8" i="1" s="1"/>
  <c r="G5" i="28"/>
  <c r="G4" i="28"/>
  <c r="U7" i="1"/>
  <c r="X7" i="1" s="1"/>
  <c r="H3" i="28"/>
  <c r="T4" i="1"/>
  <c r="E3" i="51" s="1"/>
  <c r="U6" i="1"/>
  <c r="G3" i="28"/>
  <c r="S4" i="1"/>
  <c r="D3" i="51" s="1"/>
  <c r="X6" i="1" l="1"/>
  <c r="U4" i="1"/>
  <c r="D17" i="26"/>
  <c r="D23" i="26" s="1"/>
  <c r="E9" i="51"/>
  <c r="C17" i="26"/>
  <c r="C23" i="26" s="1"/>
  <c r="D9" i="51"/>
  <c r="F3" i="51" l="1"/>
  <c r="X4" i="1"/>
  <c r="F8" i="26"/>
  <c r="F13" i="52" s="1"/>
  <c r="B3" i="33"/>
  <c r="B24" i="33"/>
  <c r="C27" i="26" l="1"/>
  <c r="F9" i="51"/>
  <c r="C34" i="26" l="1"/>
  <c r="G34" i="26" s="1"/>
  <c r="G2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9"/>
            <color indexed="81"/>
            <rFont val="Tahoma"/>
            <family val="2"/>
          </rPr>
          <t>Publicly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Kurtz, Spencer</author>
    <author>tc={8EF07D4B-37BF-4245-9CA3-94EB6DE9529C}</author>
    <author>tc={62C74FEC-860C-4FD5-BBC1-61E30FA1D7C5}</author>
    <author>tc={13CE2E3C-D381-46CB-B794-332D929AC969}</author>
  </authors>
  <commentList>
    <comment ref="K4" authorId="0" shapeId="0" xr:uid="{925763B6-7284-4CED-854D-63B36C45F65C}">
      <text>
        <r>
          <rPr>
            <b/>
            <sz val="9"/>
            <color indexed="81"/>
            <rFont val="Tahoma"/>
            <family val="2"/>
          </rPr>
          <t>EFLH cooling for A/C unit</t>
        </r>
      </text>
    </comment>
    <comment ref="L4" authorId="0" shapeId="0" xr:uid="{94F4E5D8-13D7-47FD-B5D8-48FBB3F310B3}">
      <text>
        <r>
          <rPr>
            <b/>
            <sz val="9"/>
            <color indexed="81"/>
            <rFont val="Tahoma"/>
            <family val="2"/>
          </rPr>
          <t>CF for A/C unit</t>
        </r>
      </text>
    </comment>
    <comment ref="K5" authorId="0" shapeId="0" xr:uid="{59CF48A0-AF6F-4720-BC5A-8E1BBC3B73CA}">
      <text>
        <r>
          <rPr>
            <b/>
            <sz val="9"/>
            <color indexed="81"/>
            <rFont val="Tahoma"/>
            <family val="2"/>
          </rPr>
          <t>EFLH cooling for heat pump unit</t>
        </r>
        <r>
          <rPr>
            <sz val="9"/>
            <color indexed="81"/>
            <rFont val="Tahoma"/>
            <family val="2"/>
          </rPr>
          <t xml:space="preserve">
</t>
        </r>
      </text>
    </comment>
    <comment ref="L5" authorId="0" shapeId="0" xr:uid="{24774E4D-5FB6-4782-A42B-727D55EE65D2}">
      <text>
        <r>
          <rPr>
            <sz val="9"/>
            <color indexed="81"/>
            <rFont val="Tahoma"/>
            <family val="2"/>
          </rPr>
          <t xml:space="preserve">CF for heat pump unit
</t>
        </r>
      </text>
    </comment>
    <comment ref="N5" authorId="0" shapeId="0" xr:uid="{B76BD9C3-CD71-489D-AC78-609CA04FFAC6}">
      <text>
        <r>
          <rPr>
            <sz val="9"/>
            <color indexed="81"/>
            <rFont val="Tahoma"/>
            <family val="2"/>
          </rPr>
          <t xml:space="preserve">EFLH heating for heat pumps
</t>
        </r>
      </text>
    </comment>
    <comment ref="M116" authorId="1"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M121" authorId="2"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N121" authorId="3"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E5" authorId="0" shapeId="0" xr:uid="{8065A11A-040A-4D3C-88BD-557317A3A6AA}">
      <text>
        <r>
          <rPr>
            <b/>
            <sz val="8"/>
            <color indexed="81"/>
            <rFont val="Tahoma"/>
            <family val="2"/>
          </rPr>
          <t xml:space="preserve">HVAC Measures - Minimum Efficiency Requirements
High Eff. AC Unit 
</t>
        </r>
        <r>
          <rPr>
            <sz val="8"/>
            <color indexed="81"/>
            <rFont val="Tahoma"/>
            <family val="2"/>
          </rPr>
          <t>*AC Unit (&lt; 5.4 tons):  min 12.3 EER, 14.5 SEER2;   
*AC Unit (5.4 to 11.2 tons):  min. 12.2 EER, 14.8 SEER;   
*AC Unit (11.3 to 20 tons):  min. 12.2 EER, 14.8 SEER;   
*AC Unit (20.1 to 63.3 tons):  min. 10.8 EER, 13.5 SEER;   
*AC Unit (&gt; 63.3 tons):  min. 10.4 EER, 13.0 SEER;   
*Must be AHRI Certified</t>
        </r>
        <r>
          <rPr>
            <b/>
            <sz val="8"/>
            <color indexed="81"/>
            <rFont val="Tahoma"/>
            <family val="2"/>
          </rPr>
          <t xml:space="preserve">
High Eff. Heat Pump Unit 
</t>
        </r>
        <r>
          <rPr>
            <sz val="8"/>
            <color indexed="81"/>
            <rFont val="Tahoma"/>
            <family val="2"/>
          </rPr>
          <t>*HP Unit (&lt; 5.4 tons):  min. 12.3 EER, 14.5 SEER2, 8.0 HSPF2;   
*HP Unit (5.4 to 11.2 tons):  min. 11.3 EER, 14.5 SEER, 12.0 HSPF;   
*HP Unit (11.3 to 20 tons):  min. 10.9 EER, 14.0 SEER, 12.0 HSPF;   
*HP Unit (&gt;20.1 tons):  min. 10.3 EER, 13.0 SEER, 12.0 HSPF;   
*Must be AHRI Certified</t>
        </r>
        <r>
          <rPr>
            <b/>
            <sz val="8"/>
            <color indexed="81"/>
            <rFont val="Tahoma"/>
            <family val="2"/>
          </rPr>
          <t xml:space="preserve"> 
High Eff. Packaged Terminal AC (PTAC) Unit 
</t>
        </r>
        <r>
          <rPr>
            <sz val="8"/>
            <color indexed="81"/>
            <rFont val="Tahoma"/>
            <family val="2"/>
          </rPr>
          <t>*Standard PTAC (&lt; 0.6 tons):  min. 13 EER;   
*Standard PTAC (0.6 to 1.25 tons):  min. 12 EER;   
*Standard PTAC (≥ 1.25 tons):  min. 11 EER;   
*Non-Standard PTAC (&lt; 0.6 tons):  min. 11 EER;   
*Non-Standard PTAC (0.6 to 1.25 tons):  min. 9 EER;   
*Non-Standard PTAC (≥ 1.25 tons):  min. 9 EER;   
*Standard refers to PTAC dimensions of  (42″ wide, 16″ high, and 13 3/4″ deep), all other dimensions are non-standard. 
*Must be AHRI Certified</t>
        </r>
        <r>
          <rPr>
            <b/>
            <sz val="9"/>
            <color indexed="81"/>
            <rFont val="Tahoma"/>
            <family val="2"/>
          </rPr>
          <t xml:space="preserve">
</t>
        </r>
        <r>
          <rPr>
            <b/>
            <sz val="8"/>
            <color indexed="81"/>
            <rFont val="Tahoma"/>
            <family val="2"/>
          </rPr>
          <t xml:space="preserve">High Eff. Packaged Terminal HP (PTHP) Unit 
</t>
        </r>
        <r>
          <rPr>
            <sz val="8"/>
            <color indexed="81"/>
            <rFont val="Tahoma"/>
            <family val="2"/>
          </rPr>
          <t>*Standard PTHP (&lt; 0.6 tons): 13 EER, 3.5 COP;   
*Standard PTHP (0.6 to 1.25 tons): 12 EER, 3.4 COP;   
*Standard PTHP (≥ 1.25 tons): 11 EER, 3.3 COP;   
*Non-Standard PTHP (&lt; 0.6 tons): 10 EER, 3.2 COP;   
*Non-Standard PTHP (0.6 to 1.25 tons): 9 EER, 3.1 COP;   
*Non-Standard PTHP (≥ 1.25 tons): 8 EER, 3 COP;   
*Standard refers to PTAC dimensions of  (42″ wide, 16″ high, and 13 3, 4″ deep), all other dimensions are non-standard.
*Must be AHRI Certified</t>
        </r>
        <r>
          <rPr>
            <b/>
            <sz val="8"/>
            <color indexed="81"/>
            <rFont val="Tahoma"/>
            <family val="2"/>
          </rPr>
          <t xml:space="preserve">
High Eff. Air-Cooled Chiller 
</t>
        </r>
        <r>
          <rPr>
            <sz val="8"/>
            <color indexed="81"/>
            <rFont val="Tahoma"/>
            <family val="2"/>
          </rPr>
          <t xml:space="preserve">*Air-Cooled Chiller (&lt;150 tons):  min 10.2 full-load EER, 15.8 IPLV EER;   
*Air-Cooled Chiller (&gt; 150 tons):  min 10.2 full-load EER, 16.0 IPLV EER;   </t>
        </r>
        <r>
          <rPr>
            <b/>
            <sz val="8"/>
            <color indexed="81"/>
            <rFont val="Tahoma"/>
            <family val="2"/>
          </rPr>
          <t xml:space="preserve">
High Eff. Positive Displacement Water-Cooled Chiller 
</t>
        </r>
        <r>
          <rPr>
            <sz val="8"/>
            <color indexed="81"/>
            <rFont val="Tahoma"/>
            <family val="2"/>
          </rPr>
          <t xml:space="preserve">*Water-Cooled PD Chiller (&lt; 75 tons):  min full-load kW/ton 0.74, IPLV kW/ton 0.5;   
*Water-Cooled PD Chiller (75 to 150 tons):  min full-load kW/ton 0.71, IPLV kW/ton 0.49;   
*Water-Cooled PD Chiller (150 to 300 tons):  min full-load kW/ton 0.65, IPLV kW/ton 0.44;   
*Water-Cooled PD Chiller (&gt; 300 tons):  min full-load kW/ton 0.57, IPLV kW/ton 0.41;  </t>
        </r>
        <r>
          <rPr>
            <b/>
            <sz val="8"/>
            <color indexed="81"/>
            <rFont val="Tahoma"/>
            <family val="2"/>
          </rPr>
          <t xml:space="preserve">    
High Eff. Centrifugal Water-Cooled Chiller 
</t>
        </r>
        <r>
          <rPr>
            <sz val="8"/>
            <color indexed="81"/>
            <rFont val="Tahoma"/>
            <family val="2"/>
          </rPr>
          <t xml:space="preserve">*Water-Cooled Cent. Chiller (&lt;300 tons):  min full-load kW/ton 0.6, IPLV kW/ton 0.4;   
*Water-Cooled Cent. Chiller (300 to 600 tons):  min full-load kW/ton 0.55, IPLV kW/ton 0.38;   
*Water-Cooled Cent. Chiller (&gt;600 tons):  min full-load kW/ton 0.55, IPLV kW/ton 0.38; </t>
        </r>
      </text>
    </comment>
    <comment ref="H5" authorId="0" shapeId="0" xr:uid="{5C19B579-CB5C-47F6-A84B-5B095FB34114}">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I5" authorId="0" shapeId="0" xr:uid="{9ADC7042-9D04-43F6-9183-207C3F411D50}">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J5" authorId="0" shapeId="0" xr:uid="{39C1FB96-5FC8-454E-959B-80C186A61424}">
      <text>
        <r>
          <rPr>
            <b/>
            <sz val="9"/>
            <color indexed="81"/>
            <rFont val="Tahoma"/>
            <family val="2"/>
          </rPr>
          <t>This input is only for the high efficiency A/C and heat pump unit measures</t>
        </r>
        <r>
          <rPr>
            <sz val="9"/>
            <color indexed="81"/>
            <rFont val="Tahoma"/>
            <family val="2"/>
          </rPr>
          <t xml:space="preserve">
</t>
        </r>
      </text>
    </comment>
    <comment ref="K5" authorId="0" shapeId="0" xr:uid="{8943A4EA-7000-40E6-B786-6FB024C6C39F}">
      <text>
        <r>
          <rPr>
            <b/>
            <sz val="9"/>
            <color indexed="81"/>
            <rFont val="Tahoma"/>
            <family val="2"/>
          </rPr>
          <t>This input is only for the high efficiency A/C and heat pump unit measures</t>
        </r>
        <r>
          <rPr>
            <sz val="9"/>
            <color indexed="81"/>
            <rFont val="Tahoma"/>
            <family val="2"/>
          </rPr>
          <t xml:space="preserve">
</t>
        </r>
      </text>
    </comment>
    <comment ref="L5" authorId="0" shapeId="0" xr:uid="{C3B60BF0-BFB5-4F6E-BD0E-621E053B5203}">
      <text>
        <r>
          <rPr>
            <b/>
            <sz val="9"/>
            <color indexed="81"/>
            <rFont val="Tahoma"/>
            <family val="2"/>
          </rPr>
          <t xml:space="preserve">This input is only for the high efficiency heat pump unit measure </t>
        </r>
        <r>
          <rPr>
            <sz val="9"/>
            <color indexed="81"/>
            <rFont val="Tahoma"/>
            <family val="2"/>
          </rPr>
          <t xml:space="preserve">
</t>
        </r>
      </text>
    </comment>
    <comment ref="M5" authorId="0" shapeId="0" xr:uid="{AA282716-442D-4C28-8EE9-2E7402CBE7E2}">
      <text>
        <r>
          <rPr>
            <b/>
            <sz val="9"/>
            <color indexed="81"/>
            <rFont val="Tahoma"/>
            <family val="2"/>
          </rPr>
          <t>This input is only for the chiller tune-up measures</t>
        </r>
        <r>
          <rPr>
            <sz val="9"/>
            <color indexed="81"/>
            <rFont val="Tahoma"/>
            <family val="2"/>
          </rPr>
          <t xml:space="preserve">
</t>
        </r>
      </text>
    </comment>
    <comment ref="N5" authorId="0" shapeId="0" xr:uid="{4C3BEDBF-6EEB-46D3-8408-C4E7EA79F0F5}">
      <text>
        <r>
          <rPr>
            <b/>
            <sz val="9"/>
            <color indexed="81"/>
            <rFont val="Tahoma"/>
            <family val="2"/>
          </rPr>
          <t>This input is only for the chiller tune-up measures</t>
        </r>
        <r>
          <rPr>
            <sz val="9"/>
            <color indexed="81"/>
            <rFont val="Tahoma"/>
            <family val="2"/>
          </rPr>
          <t xml:space="preserve">
</t>
        </r>
      </text>
    </comment>
    <comment ref="R5"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5"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8A42AD46-EFD6-4EAE-BB2F-FAFF90DEC139}">
      <text>
        <r>
          <rPr>
            <sz val="9"/>
            <color indexed="81"/>
            <rFont val="Tahoma"/>
            <family val="2"/>
          </rPr>
          <t>Add any additional or relevant notes or information for the project here that isn't captured in the previous "customer inputs" for each line item.</t>
        </r>
      </text>
    </comment>
    <comment ref="E5" authorId="1" shapeId="0" xr:uid="{15A9014C-490B-4575-B1B8-B6145EE82ED8}">
      <text>
        <r>
          <rPr>
            <sz val="9"/>
            <color indexed="81"/>
            <rFont val="Tahoma"/>
            <family val="2"/>
          </rPr>
          <t xml:space="preserve">Building/Space Type - Choose the most appropriate space type. If you don't see a space type that applies to your project location, please contact the Energy Smart program and we can assist you in choosing the best option. </t>
        </r>
      </text>
    </comment>
    <comment ref="K5" authorId="0" shapeId="0" xr:uid="{C577A4FD-8756-486A-A757-0099136FC362}">
      <text>
        <r>
          <rPr>
            <sz val="9"/>
            <color indexed="81"/>
            <rFont val="Tahoma"/>
            <family val="2"/>
          </rPr>
          <t>The estimated incentive shown below does not incorporate project level incentive caps, which may reduce the total incentive paid to a project.</t>
        </r>
      </text>
    </comment>
    <comment ref="P5" authorId="0" shapeId="0" xr:uid="{537E3DD7-C964-4BEA-986D-E47284CCFFBD}">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A32F2256-7DF3-4448-913E-5225BC9C90B3}">
      <text>
        <r>
          <rPr>
            <sz val="9"/>
            <color indexed="81"/>
            <rFont val="Tahoma"/>
            <family val="2"/>
          </rPr>
          <t>Add any additional or relevant notes or information for the project here that isn't captured in the previous "customer inputs" for each line item.</t>
        </r>
      </text>
    </comment>
    <comment ref="K4" authorId="0" shapeId="0" xr:uid="{372E2596-0167-4F15-B8BB-9504984122D1}">
      <text>
        <r>
          <rPr>
            <sz val="9"/>
            <color indexed="81"/>
            <rFont val="Tahoma"/>
            <family val="2"/>
          </rPr>
          <t>The estimated incentive shown below does not incorporate project level incentive caps, which may reduce the total incentive paid to a project.</t>
        </r>
      </text>
    </comment>
    <comment ref="P4" authorId="0" shapeId="0" xr:uid="{61CD1E34-8A0E-4C38-B2E6-4F19547BC4F0}">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4" authorId="0" shapeId="0" xr:uid="{8852E928-861B-4F50-9F15-931B672FE59D}">
      <text>
        <r>
          <rPr>
            <sz val="9"/>
            <color indexed="81"/>
            <rFont val="Tahoma"/>
            <family val="2"/>
          </rPr>
          <t>Add any additional or relevant notes or information for the project here that isn't captured in the previous "customer inputs" for each line item.</t>
        </r>
      </text>
    </comment>
    <comment ref="G4" authorId="1" shapeId="0" xr:uid="{370AD503-8518-4BE4-9F30-261E8131BB5E}">
      <text>
        <r>
          <rPr>
            <sz val="9"/>
            <color indexed="81"/>
            <rFont val="Tahoma"/>
            <family val="2"/>
          </rPr>
          <t>Window Direction refers to the primary cardinal direction that the outside of the window faces.  North facing windows are not eligible for incentives.</t>
        </r>
      </text>
    </comment>
    <comment ref="L4" authorId="0" shapeId="0" xr:uid="{E43AAA2B-FB59-4601-9A63-82D64B22A17C}">
      <text>
        <r>
          <rPr>
            <sz val="9"/>
            <color indexed="81"/>
            <rFont val="Tahoma"/>
            <family val="2"/>
          </rPr>
          <t>The estimated incentive shown below does not incorporate project level incentive caps, which may reduce the total incentive paid to a project.</t>
        </r>
      </text>
    </comment>
    <comment ref="Q4" authorId="0" shapeId="0" xr:uid="{FD1B5E53-4A50-44AD-A48E-79282DAC1595}">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DAAD1285-F039-432A-AAE5-D132FE3F433E}">
      <text>
        <r>
          <rPr>
            <sz val="9"/>
            <color indexed="81"/>
            <rFont val="Tahoma"/>
            <family val="2"/>
          </rPr>
          <t>Add any additional or relevant notes or information for the project here that isn't captured in the previous "customer inputs" for each line item.</t>
        </r>
      </text>
    </comment>
    <comment ref="E5" authorId="0" shapeId="0" xr:uid="{CCA20AD5-BC79-40D4-8F6D-89C46A550AAC}">
      <text>
        <r>
          <rPr>
            <b/>
            <sz val="9"/>
            <color indexed="81"/>
            <rFont val="Tahoma"/>
            <family val="2"/>
          </rPr>
          <t xml:space="preserve">NOLA TRM V7.0 Table 2-153 Efficient and Premium Window Specifications
Efficient Windows
SHGC      ≤ 0.25
U Factor      ≤ 0.40 
Premium Windows 
SHGC       ≤ 0.23
U Factor     ≤ 0.36
Only premium windows are eligible for New Construction.
</t>
        </r>
        <r>
          <rPr>
            <sz val="9"/>
            <color indexed="81"/>
            <rFont val="Tahoma"/>
            <family val="2"/>
          </rPr>
          <t xml:space="preserve">
</t>
        </r>
      </text>
    </comment>
    <comment ref="G5" authorId="1" shapeId="0" xr:uid="{9337BB8A-59AD-42D6-9F65-DD6146A6C1F6}">
      <text>
        <r>
          <rPr>
            <sz val="9"/>
            <color indexed="81"/>
            <rFont val="Tahoma"/>
            <family val="2"/>
          </rPr>
          <t>Window Direction refers to the primary cardinal direction that the outside of the window faces.</t>
        </r>
      </text>
    </comment>
    <comment ref="L5" authorId="0" shapeId="0" xr:uid="{5948E310-4F6C-4E1F-9A1F-2FB65357F6BF}">
      <text>
        <r>
          <rPr>
            <sz val="9"/>
            <color indexed="81"/>
            <rFont val="Tahoma"/>
            <family val="2"/>
          </rPr>
          <t>The estimated incentive shown below does not incorporate project level incentive caps, which may reduce the total incentive paid to a project.</t>
        </r>
      </text>
    </comment>
    <comment ref="Q5" authorId="0" shapeId="0" xr:uid="{E14AC848-E4DE-4322-80B0-B5DE0C422A8C}">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1DB39A87-3FF1-46CB-9139-B5E0C7B613B5}">
      <text>
        <r>
          <rPr>
            <sz val="9"/>
            <color indexed="81"/>
            <rFont val="Tahoma"/>
            <family val="2"/>
          </rPr>
          <t>Add any additional or relevant notes or information for the project here that isn't captured in the previous "customer inputs" for each line item.</t>
        </r>
      </text>
    </comment>
    <comment ref="K4" authorId="0" shapeId="0" xr:uid="{40736DC0-C175-4884-A3FD-1DB4D6A3C369}">
      <text>
        <r>
          <rPr>
            <sz val="9"/>
            <color indexed="81"/>
            <rFont val="Tahoma"/>
            <family val="2"/>
          </rPr>
          <t>The estimated incentive shown below does not incorporate project level incentive caps, which may reduce the total incentive paid to a project.</t>
        </r>
      </text>
    </comment>
    <comment ref="P4" authorId="0" shapeId="0" xr:uid="{C6642756-75EC-402F-9119-0730B5C51A69}">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CDB13C63-E3AA-4ADC-B5BB-53DD53F76244}">
      <text>
        <r>
          <rPr>
            <sz val="9"/>
            <color indexed="81"/>
            <rFont val="Tahoma"/>
            <family val="2"/>
          </rPr>
          <t>Add any additional or relevant notes or information for the project here that isn't captured in the previous "customer inputs" for each line item.</t>
        </r>
      </text>
    </comment>
    <comment ref="R4" authorId="0" shapeId="0" xr:uid="{1D268420-1B11-4337-8209-A03125C8CE8D}">
      <text>
        <r>
          <rPr>
            <sz val="9"/>
            <color indexed="81"/>
            <rFont val="Tahoma"/>
            <family val="2"/>
          </rPr>
          <t>The estimated incentive shown below does not incorporate project level incentive caps, which may reduce the total incentive paid to a project.</t>
        </r>
      </text>
    </comment>
    <comment ref="W4" authorId="0" shapeId="0" xr:uid="{9F4A06D3-C317-44AB-A1D9-E9D452E820C7}">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6"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sharedStrings.xml><?xml version="1.0" encoding="utf-8"?>
<sst xmlns="http://schemas.openxmlformats.org/spreadsheetml/2006/main" count="1464" uniqueCount="616">
  <si>
    <t>Commercial and Industrial non-lighting workbook</t>
  </si>
  <si>
    <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theme="8"/>
        <rFont val="Arial"/>
        <family val="2"/>
      </rPr>
      <t>Pre-approval and a pre-installation site inspection are required</t>
    </r>
    <r>
      <rPr>
        <sz val="10"/>
        <color theme="1"/>
        <rFont val="Arial"/>
        <family val="2"/>
      </rPr>
      <t xml:space="preserve">.
</t>
    </r>
  </si>
  <si>
    <t>Energy Smart project application package</t>
  </si>
  <si>
    <r>
      <t xml:space="preserve">Before ordering equipment, submit Application Package to </t>
    </r>
    <r>
      <rPr>
        <b/>
        <sz val="10"/>
        <color theme="8"/>
        <rFont val="Arial"/>
        <family val="2"/>
      </rPr>
      <t>commercialapps@energysmartnola.com</t>
    </r>
    <r>
      <rPr>
        <sz val="10"/>
        <rFont val="Arial"/>
        <family val="2"/>
      </rPr>
      <t>.</t>
    </r>
    <r>
      <rPr>
        <sz val="10"/>
        <color theme="1"/>
        <rFont val="Arial"/>
        <family val="2"/>
      </rPr>
      <t xml:space="preserve">
</t>
    </r>
    <r>
      <rPr>
        <b/>
        <sz val="10"/>
        <color theme="1"/>
        <rFont val="Arial"/>
        <family val="2"/>
      </rPr>
      <t xml:space="preserve">Application package includes: </t>
    </r>
    <r>
      <rPr>
        <sz val="10"/>
        <color theme="1"/>
        <rFont val="Arial"/>
        <family val="2"/>
      </rPr>
      <t xml:space="preserve">
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</si>
  <si>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</si>
  <si>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</si>
  <si>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Cells with a green background (or light gray) are data input cells where required information is needed. Some data entry cells will have drop-down selection lists that limit what data may be entered.</t>
  </si>
  <si>
    <t>No data entry required cell</t>
  </si>
  <si>
    <t xml:space="preserve">Cells colored in dark gray should not be filled in and may be locked to prevent data entry. </t>
  </si>
  <si>
    <t>Workbook tabs</t>
  </si>
  <si>
    <t>Intro tab</t>
  </si>
  <si>
    <t xml:space="preserve">Contains information about the workbook, requirements for eligible equipment and application package submittal instructions. </t>
  </si>
  <si>
    <t>Application tab</t>
  </si>
  <si>
    <r>
      <t xml:space="preserve">Provides project application. This tab must be completed before submitting application package to the Energy Smart program. </t>
    </r>
    <r>
      <rPr>
        <sz val="10"/>
        <color rgb="FFB41E83"/>
        <rFont val="Arial"/>
        <family val="2"/>
      </rPr>
      <t>Data entry required</t>
    </r>
    <r>
      <rPr>
        <b/>
        <sz val="10"/>
        <color rgb="FFB41E83"/>
        <rFont val="Arial"/>
        <family val="2"/>
      </rPr>
      <t xml:space="preserve">.  </t>
    </r>
  </si>
  <si>
    <t>Signature tab</t>
  </si>
  <si>
    <r>
      <rPr>
        <sz val="10"/>
        <color rgb="FF000000"/>
        <rFont val="Arial"/>
        <family val="2"/>
      </rPr>
      <t xml:space="preserve">Contains the Customer Application Agreement and link to program terms and conditions. </t>
    </r>
    <r>
      <rPr>
        <sz val="10"/>
        <color rgb="FFB41E83"/>
        <rFont val="Arial"/>
        <family val="2"/>
      </rPr>
      <t xml:space="preserve">Customer's electronic signature required. </t>
    </r>
  </si>
  <si>
    <t>HVAC tab</t>
  </si>
  <si>
    <r>
      <t xml:space="preserve">Provides a space for entering information on prescriptive HVAC measures. </t>
    </r>
    <r>
      <rPr>
        <sz val="10"/>
        <color rgb="FFB41E83"/>
        <rFont val="Arial"/>
        <family val="2"/>
      </rPr>
      <t xml:space="preserve">Data entry required if applying for prescriptive HVAC measures. </t>
    </r>
  </si>
  <si>
    <t>Refrigeration tab</t>
  </si>
  <si>
    <r>
      <t xml:space="preserve">Provides spaces for entering information on prescriptive refrigeration measures. </t>
    </r>
    <r>
      <rPr>
        <sz val="10"/>
        <color rgb="FFB41E83"/>
        <rFont val="Arial"/>
        <family val="2"/>
      </rPr>
      <t>Data entry required if applying for prescriptive refrigeration measures.</t>
    </r>
    <r>
      <rPr>
        <sz val="10"/>
        <color theme="1"/>
        <rFont val="Arial"/>
        <family val="2"/>
      </rPr>
      <t xml:space="preserve"> </t>
    </r>
  </si>
  <si>
    <t>Com kitchen tab</t>
  </si>
  <si>
    <r>
      <t xml:space="preserve">Provides a space for entering information on prescriptive commercial kitchen measures. </t>
    </r>
    <r>
      <rPr>
        <sz val="10"/>
        <color rgb="FFB41E83"/>
        <rFont val="Arial"/>
        <family val="2"/>
      </rPr>
      <t xml:space="preserve">Data entry required if applying for commercial kitchen measures.  </t>
    </r>
  </si>
  <si>
    <t>Window film tab</t>
  </si>
  <si>
    <r>
      <t xml:space="preserve">Provides a space for entering information on prescriptive window film measures. </t>
    </r>
    <r>
      <rPr>
        <sz val="10"/>
        <color rgb="FFB41E83"/>
        <rFont val="Arial"/>
        <family val="2"/>
      </rPr>
      <t xml:space="preserve">Data entry required if applying for window film measures. </t>
    </r>
  </si>
  <si>
    <t>Efficient windows tab</t>
  </si>
  <si>
    <r>
      <t xml:space="preserve">Provides a space for entering information on prescriptive window replacement measures. </t>
    </r>
    <r>
      <rPr>
        <sz val="10"/>
        <color rgb="FFB41E83"/>
        <rFont val="Arial"/>
        <family val="2"/>
      </rPr>
      <t xml:space="preserve">Data entry required if applying for window replacement measures.  </t>
    </r>
  </si>
  <si>
    <t>Misc. tab</t>
  </si>
  <si>
    <r>
      <t xml:space="preserve">Provides a space for entering information on miscellaneous prescriptive measures. </t>
    </r>
    <r>
      <rPr>
        <sz val="10"/>
        <color rgb="FFB41E83"/>
        <rFont val="Arial"/>
        <family val="2"/>
      </rPr>
      <t xml:space="preserve">Data entry required if applying for miscellaneous measures. </t>
    </r>
  </si>
  <si>
    <t>Custom tab</t>
  </si>
  <si>
    <r>
      <t xml:space="preserve">Provides a space for entering information on custom measures. </t>
    </r>
    <r>
      <rPr>
        <sz val="10"/>
        <color rgb="FFB41E83"/>
        <rFont val="Arial"/>
        <family val="2"/>
      </rPr>
      <t xml:space="preserve">Data entry required if applying for custom measures. </t>
    </r>
  </si>
  <si>
    <t>Summary tab</t>
  </si>
  <si>
    <t>Contains a project-level summary of all measures entered into the workbook. No data entry is required on this tab.</t>
  </si>
  <si>
    <t>Equipment qualifications</t>
  </si>
  <si>
    <t xml:space="preserve">For HVAC replacement equipment (A/C units, heat pumps, chillers) to be eligible for Energy Smart incentives, an AHRI reference number or documentation from the AHRI Manual to verify the required efficiency level for all systems is required. Minimum EER and SEER requirements are included on the Energy Smart prescriptive incentive list. </t>
  </si>
  <si>
    <r>
      <t xml:space="preserve">For Chiller Tune-Ups to be eligible for Energy Smart incentives:                                                                                                                                    </t>
    </r>
    <r>
      <rPr>
        <i/>
        <sz val="10"/>
        <color theme="1"/>
        <rFont val="Arial"/>
        <family val="2"/>
      </rPr>
      <t xml:space="preserve">Incentives are tiered based on the type of chiller equipment (air-cooled vs. water-cooled)   </t>
    </r>
    <r>
      <rPr>
        <sz val="10"/>
        <color theme="1"/>
        <rFont val="Arial"/>
        <family val="2"/>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and
▪ Check economizer operation. </t>
    </r>
  </si>
  <si>
    <t xml:space="preserve">To be eligible for duct sealing incentives, the facility must have central air conditioning with less than 50% of ducts in the conditioned space. Incentives are paid based on improvement of duct leakage measured via pre- and post-improvement tests. Total leakage is the only accepted method of duct testing. If initial measurement is greater than 40% of total system airflow, the 40% of total airflow will be the initial leakage rate reported for incentives. A minimum of 25% improvement in CFM(@25 Pa) from the initial test value (either 40% or the measured leakage, whichever is less) is required for duct sealing to be an eligible incentive measure. Ducts sealed with long-lasting materials such as UL 181A or UL 181B-approved foil tape. Fabric-based duct tape is not allowed. </t>
  </si>
  <si>
    <r>
      <t>Commercial kitchen equipment must be electrically heated and ENERGY STAR</t>
    </r>
    <r>
      <rPr>
        <vertAlign val="superscript"/>
        <sz val="10"/>
        <color theme="1"/>
        <rFont val="Arial"/>
        <family val="2"/>
      </rPr>
      <t>®</t>
    </r>
    <r>
      <rPr>
        <sz val="10"/>
        <color theme="1"/>
        <rFont val="Arial"/>
        <family val="2"/>
      </rPr>
      <t xml:space="preserve"> certified: https://www.energystar.gov/products/commercial_food_service_equipment.</t>
    </r>
  </si>
  <si>
    <t>Product of APTIM Environmental &amp; Infrastruction, LLC</t>
  </si>
  <si>
    <t>Energy Smart is a comprehensive energy efficiency program developed by the New Orleans City Council and administered by Entergy New Orleans, LLC. ©2025 Entergy Services, LLC. All Rights Reserved.</t>
  </si>
  <si>
    <t xml:space="preserve">Project application information </t>
  </si>
  <si>
    <t>Entergy New Orleans customer information</t>
  </si>
  <si>
    <t>Project information</t>
  </si>
  <si>
    <t>Business/organization name</t>
  </si>
  <si>
    <t>Brief project description</t>
  </si>
  <si>
    <t>Customer contact name</t>
  </si>
  <si>
    <t>Legal street address 
(as shown on W-9)</t>
  </si>
  <si>
    <t>City</t>
  </si>
  <si>
    <t>State</t>
  </si>
  <si>
    <t>Estimated project start date</t>
  </si>
  <si>
    <t>ZIP code</t>
  </si>
  <si>
    <t>Estimated project completion date</t>
  </si>
  <si>
    <t>Phone number</t>
  </si>
  <si>
    <t>Program type</t>
  </si>
  <si>
    <t>Contact email address</t>
  </si>
  <si>
    <t>Project stage</t>
  </si>
  <si>
    <t>Business/organization classification</t>
  </si>
  <si>
    <t>Project installation type</t>
  </si>
  <si>
    <t>Is this a publicly funded organization?</t>
  </si>
  <si>
    <t>Job site information</t>
  </si>
  <si>
    <t>Is this customer a Disadvantaged Business Enterprise (DBE)?</t>
  </si>
  <si>
    <t>Job site business/organization name</t>
  </si>
  <si>
    <t>Trade ally/contractor information</t>
  </si>
  <si>
    <t>Job site contact name</t>
  </si>
  <si>
    <t>Business name</t>
  </si>
  <si>
    <t>Job site address</t>
  </si>
  <si>
    <t>Trade ally contact name</t>
  </si>
  <si>
    <t>Address</t>
  </si>
  <si>
    <t>Email address</t>
  </si>
  <si>
    <t>Entergy account number</t>
  </si>
  <si>
    <t>New account? (last 8 weeks)</t>
  </si>
  <si>
    <t>Registered trade ally?</t>
  </si>
  <si>
    <t>Year built</t>
  </si>
  <si>
    <t>Additional contact information (optional)</t>
  </si>
  <si>
    <t>Square footage</t>
  </si>
  <si>
    <t>Does the customer own or rent/lease the job site location?</t>
  </si>
  <si>
    <t>Additional contact name</t>
  </si>
  <si>
    <t>Average electric rate ($/kWh)</t>
  </si>
  <si>
    <t>Building type</t>
  </si>
  <si>
    <t>Heating and cooling system</t>
  </si>
  <si>
    <t>Water heating system</t>
  </si>
  <si>
    <t>Incentive payment information</t>
  </si>
  <si>
    <t>Mail incentive check to</t>
  </si>
  <si>
    <t>Attention to (optional)</t>
  </si>
  <si>
    <t>Project role</t>
  </si>
  <si>
    <t>Make check payable to</t>
  </si>
  <si>
    <t>Additional information</t>
  </si>
  <si>
    <t>Federal tax ID number</t>
  </si>
  <si>
    <t>If Energy Smart has a question, we should contact:</t>
  </si>
  <si>
    <t>Tax entity</t>
  </si>
  <si>
    <t xml:space="preserve">How did you hear about the Energy Smart program? </t>
  </si>
  <si>
    <t>Energy Smart program customer agreement</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</si>
  <si>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</si>
  <si>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</si>
  <si>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</si>
  <si>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</si>
  <si>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</si>
  <si>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Prescriptive HVAC measure input</t>
  </si>
  <si>
    <t>Building/space type</t>
  </si>
  <si>
    <t>Proposed</t>
  </si>
  <si>
    <t>Totals</t>
  </si>
  <si>
    <t>Line ref. no.</t>
  </si>
  <si>
    <t>Measure number</t>
  </si>
  <si>
    <t>Location/measure notes</t>
  </si>
  <si>
    <t>HVAC measure</t>
  </si>
  <si>
    <t>Unit of measure</t>
  </si>
  <si>
    <t>Number of Units</t>
  </si>
  <si>
    <t>Tonnage per Unit (if necessary)</t>
  </si>
  <si>
    <t>Unit Make &amp; Model (if necessary)</t>
  </si>
  <si>
    <t>EER</t>
  </si>
  <si>
    <t>IEER/SEER</t>
  </si>
  <si>
    <t>HSPF</t>
  </si>
  <si>
    <t>Full Load kW/Ton</t>
  </si>
  <si>
    <t>Part Load (IPLV) kW/Ton</t>
  </si>
  <si>
    <t>Total equipment cost</t>
  </si>
  <si>
    <t>Total labor cost</t>
  </si>
  <si>
    <t>Per-unit incentive</t>
  </si>
  <si>
    <t>Estimated incentive</t>
  </si>
  <si>
    <t>Energy savings (kWh)</t>
  </si>
  <si>
    <t>Demand reduction (kW)</t>
  </si>
  <si>
    <t>Cost savings</t>
  </si>
  <si>
    <t>Gross measure cost</t>
  </si>
  <si>
    <t>Net measure cost</t>
  </si>
  <si>
    <t>Simple payback (years)</t>
  </si>
  <si>
    <t>Prescriptive refrigeration measure input</t>
  </si>
  <si>
    <t>Refrigeration measure</t>
  </si>
  <si>
    <t>Number of units</t>
  </si>
  <si>
    <t>Prescriptive commercial kitchen measure input</t>
  </si>
  <si>
    <t>Commercial kitchen measure</t>
  </si>
  <si>
    <t>Prescriptive window film measure input</t>
  </si>
  <si>
    <t>Window film measure</t>
  </si>
  <si>
    <t>Window direction</t>
  </si>
  <si>
    <t>Number of units (Sq.Ft.)</t>
  </si>
  <si>
    <t>Measure Lookup Detail</t>
  </si>
  <si>
    <t>Prescriptive window replacement measure input</t>
  </si>
  <si>
    <t>Window replacement measure</t>
  </si>
  <si>
    <t>Prescriptive miscellaneous measure input</t>
  </si>
  <si>
    <t>Miscellaneous measure</t>
  </si>
  <si>
    <t>Estimated Incentive</t>
  </si>
  <si>
    <t>Custom measure input</t>
  </si>
  <si>
    <t>Existing</t>
  </si>
  <si>
    <t>Measure name</t>
  </si>
  <si>
    <t>Measure type</t>
  </si>
  <si>
    <t>Measure classification</t>
  </si>
  <si>
    <t>Location</t>
  </si>
  <si>
    <t>HVAC in location</t>
  </si>
  <si>
    <t>Summary of existing conditions</t>
  </si>
  <si>
    <t>Existing energy consumption (kWh/yr)</t>
  </si>
  <si>
    <t>Existing peak demand (kW)</t>
  </si>
  <si>
    <t>Summary of proposed conditions</t>
  </si>
  <si>
    <t>Proposed energy consumption (kWh/yr)</t>
  </si>
  <si>
    <t>Proposed peak demand (kW)</t>
  </si>
  <si>
    <t>Project summary report</t>
  </si>
  <si>
    <r>
      <t xml:space="preserve">Energy Smart is proud to help New Orleans businesses increase energy efficiency and lower costs. 
Contact us at </t>
    </r>
    <r>
      <rPr>
        <b/>
        <sz val="10"/>
        <color theme="8"/>
        <rFont val="Arial"/>
        <family val="2"/>
      </rPr>
      <t>info@energysmartnola.com</t>
    </r>
    <r>
      <rPr>
        <sz val="10"/>
        <color theme="1"/>
        <rFont val="Arial"/>
        <family val="2"/>
      </rPr>
      <t xml:space="preserve"> for more opportunities to save.</t>
    </r>
  </si>
  <si>
    <t>Project summary</t>
  </si>
  <si>
    <t>Total gross project cost</t>
  </si>
  <si>
    <t>Estimated project incentive</t>
  </si>
  <si>
    <t>Net project cost</t>
  </si>
  <si>
    <t>Project energy savings (kWh)</t>
  </si>
  <si>
    <t xml:space="preserve">Project contacts </t>
  </si>
  <si>
    <t>Customer</t>
  </si>
  <si>
    <t>Trade ally</t>
  </si>
  <si>
    <t>Additional contact</t>
  </si>
  <si>
    <t>Energy savings summary</t>
  </si>
  <si>
    <t>Incentive type</t>
  </si>
  <si>
    <t>kW reduction</t>
  </si>
  <si>
    <t>Total</t>
  </si>
  <si>
    <t>Financial details</t>
  </si>
  <si>
    <t>Gross project cost</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</si>
  <si>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</si>
  <si>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</si>
  <si>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</si>
  <si>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Project Summary</t>
  </si>
  <si>
    <t>Total Gross Project Cost</t>
  </si>
  <si>
    <t>Estimated Project Incentive</t>
  </si>
  <si>
    <t>Net Project Cost</t>
  </si>
  <si>
    <t>Project Energy Savings (kWh)</t>
  </si>
  <si>
    <t>Business/Organization Name</t>
  </si>
  <si>
    <t>Customer Contact Name</t>
  </si>
  <si>
    <t>Business/Organization Classification</t>
  </si>
  <si>
    <t>Trade Ally/Contractor Information</t>
  </si>
  <si>
    <t>Business Name</t>
  </si>
  <si>
    <t>Trade Ally Contact Name</t>
  </si>
  <si>
    <t>Registered Trade Ally?</t>
  </si>
  <si>
    <t>Incentive Payment Information</t>
  </si>
  <si>
    <t>Mail To</t>
  </si>
  <si>
    <t>Attention To</t>
  </si>
  <si>
    <t>Make Check Payable To</t>
  </si>
  <si>
    <t>Federal Tax ID Number</t>
  </si>
  <si>
    <t>Tax Entity</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</si>
  <si>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</si>
  <si>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</si>
  <si>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Electronic Signature (Customer)</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</si>
  <si>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</si>
  <si>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</si>
  <si>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</si>
  <si>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</si>
  <si>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</si>
  <si>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</si>
  <si>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</si>
  <si>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</si>
  <si>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</si>
  <si>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</si>
  <si>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</si>
  <si>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</si>
  <si>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</si>
  <si>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</si>
  <si>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</si>
  <si>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</si>
  <si>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</si>
  <si>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</si>
  <si>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</si>
  <si>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Custom</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</si>
  <si>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</si>
  <si>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</si>
  <si>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</si>
  <si>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</si>
  <si>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</si>
  <si>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</si>
  <si>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</si>
  <si>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</si>
  <si>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</si>
  <si>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Named Values &amp; Inputs</t>
  </si>
  <si>
    <t>Table_Prescript_Meas</t>
  </si>
  <si>
    <t>Table_WinFilm_Savings</t>
  </si>
  <si>
    <t>Table_Programs_Rates</t>
  </si>
  <si>
    <t>Value_Project_CAP</t>
  </si>
  <si>
    <t>Sort Order</t>
  </si>
  <si>
    <t>Type</t>
  </si>
  <si>
    <t>Measure Number</t>
  </si>
  <si>
    <t>Measure Description</t>
  </si>
  <si>
    <t>Incentive - SC</t>
  </si>
  <si>
    <t>Incentive - LC</t>
  </si>
  <si>
    <t>Units</t>
  </si>
  <si>
    <t>Deemed kWh Savings</t>
  </si>
  <si>
    <t>Deemed kW Savings</t>
  </si>
  <si>
    <t>Hybrid Lookup</t>
  </si>
  <si>
    <t>Measure No</t>
  </si>
  <si>
    <t>HVAC System</t>
  </si>
  <si>
    <t>Cardinal Direction</t>
  </si>
  <si>
    <t>Lookup Detail</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</si>
  <si>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</si>
  <si>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</si>
  <si>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</si>
  <si>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</si>
  <si>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</si>
  <si>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</si>
  <si>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</si>
  <si>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</si>
  <si>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</si>
  <si>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</si>
  <si>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</si>
  <si>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</si>
  <si>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</si>
  <si>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</si>
  <si>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</si>
  <si>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</si>
  <si>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List_Refrig_Measure</t>
  </si>
  <si>
    <t>List_ComKitch_Measure</t>
  </si>
  <si>
    <t>List_WinFilm_Measure</t>
  </si>
  <si>
    <t>List_EffWindow_Measure</t>
  </si>
  <si>
    <t>List_Misc_Measure</t>
  </si>
  <si>
    <t>List_WinFilm_Direction</t>
  </si>
  <si>
    <t>List_EffWindow_Direction</t>
  </si>
  <si>
    <t>List_Custom_Type</t>
  </si>
  <si>
    <t>List_Custom_Class</t>
  </si>
  <si>
    <t>List_Custom_HVAC</t>
  </si>
  <si>
    <t>Value_Measure_CAP</t>
  </si>
  <si>
    <t>HVAC</t>
  </si>
  <si>
    <t>High Eff. AC Unit</t>
  </si>
  <si>
    <t>ton</t>
  </si>
  <si>
    <t>Window film East exposure, gas heat w/AC</t>
  </si>
  <si>
    <t>East</t>
  </si>
  <si>
    <t>Small Commercial Solutions (project site demand &lt; 100kW)</t>
  </si>
  <si>
    <t xml:space="preserve">Corporation </t>
  </si>
  <si>
    <t>Individual/Sole Proprietor</t>
  </si>
  <si>
    <t>Yes</t>
  </si>
  <si>
    <t>No</t>
  </si>
  <si>
    <t>Pre-Retrofit</t>
  </si>
  <si>
    <t>Contractor Install</t>
  </si>
  <si>
    <t>Rent/Lease</t>
  </si>
  <si>
    <t>Leisure Dining: Bar Area</t>
  </si>
  <si>
    <t>A/C with gas heat</t>
  </si>
  <si>
    <t>Electric</t>
  </si>
  <si>
    <t>Bill Insert</t>
  </si>
  <si>
    <t>ECM Motor for Freezer or Cooler</t>
  </si>
  <si>
    <t>ENERGY STAR Commercial Electric Fryer</t>
  </si>
  <si>
    <t>Window film, gas heat w/AC</t>
  </si>
  <si>
    <t>Premium Windows</t>
  </si>
  <si>
    <t>Computer Power Management</t>
  </si>
  <si>
    <t>North</t>
  </si>
  <si>
    <t>Retrofit</t>
  </si>
  <si>
    <t>New Air Handling Unit</t>
  </si>
  <si>
    <t>Gas heat w/AC</t>
  </si>
  <si>
    <t>Value_FastTrack_Limit</t>
  </si>
  <si>
    <t>High Eff. Heat Pump Unit</t>
  </si>
  <si>
    <t>Window film West exposure, gas heat w/AC</t>
  </si>
  <si>
    <t>West</t>
  </si>
  <si>
    <t>Large Commercial &amp; Industrial Solutions (project site demand &gt;100 kW)</t>
  </si>
  <si>
    <t>LLC, C,S,P</t>
  </si>
  <si>
    <t>LLC</t>
  </si>
  <si>
    <t>Unknown</t>
  </si>
  <si>
    <t>Post-Retrofit</t>
  </si>
  <si>
    <t>Self Install</t>
  </si>
  <si>
    <t>Own</t>
  </si>
  <si>
    <t>Corridor/Hallway/Stairwell</t>
  </si>
  <si>
    <t>A/C with electric resistance heat</t>
  </si>
  <si>
    <t>Natural Gas</t>
  </si>
  <si>
    <t>Trade Ally/Contractor</t>
  </si>
  <si>
    <t>Calling Campaign</t>
  </si>
  <si>
    <t>Evaporator Fan Controller for Freezer or Cooler</t>
  </si>
  <si>
    <t>ENERGY STAR Commercial Electric Steam Cooker</t>
  </si>
  <si>
    <t>Window film, heat pump heating/cooling</t>
  </si>
  <si>
    <t>Efficient Windows</t>
  </si>
  <si>
    <t>Advanced Power Strips</t>
  </si>
  <si>
    <t>South</t>
  </si>
  <si>
    <t>Replacement</t>
  </si>
  <si>
    <t xml:space="preserve">New Air-Cooled Chiller </t>
  </si>
  <si>
    <t>Heat pump heating/cooling</t>
  </si>
  <si>
    <t>Value_Cus_IncentRate</t>
  </si>
  <si>
    <t>High Eff. Packaged Terminal AC (PTAC) Unit</t>
  </si>
  <si>
    <t>Window film South exposure, gas heat w/AC</t>
  </si>
  <si>
    <t>Individual/Sole Proprietorship</t>
  </si>
  <si>
    <t>Corporation</t>
  </si>
  <si>
    <t>Yes-DOT Disadvantaged Business Enterprise</t>
  </si>
  <si>
    <t>Direct Install</t>
  </si>
  <si>
    <t>Education: College/University</t>
  </si>
  <si>
    <t>A/C with heat pump heat</t>
  </si>
  <si>
    <t>Oil</t>
  </si>
  <si>
    <t>Additional Contact</t>
  </si>
  <si>
    <t>Direct Mail</t>
  </si>
  <si>
    <t>Anti-Sweat Heater Controls for Freezer or Cooler</t>
  </si>
  <si>
    <t>ENERGY STAR Electric Convection Oven</t>
  </si>
  <si>
    <t>Window film, electric resistance heat w/AC</t>
  </si>
  <si>
    <t>Low-Flow Faucet Aerators</t>
  </si>
  <si>
    <t>New Equipment</t>
  </si>
  <si>
    <t xml:space="preserve">New Water-Cooled Chiller </t>
  </si>
  <si>
    <t>Electric resistance heat w/AC</t>
  </si>
  <si>
    <t>Value_Max_ItoC_Ratio</t>
  </si>
  <si>
    <t>High Eff. Packaged Terminal HP (PTHP) Unit</t>
  </si>
  <si>
    <t>Window film East exposure, heat pump heating/cooling</t>
  </si>
  <si>
    <t>Partnership</t>
  </si>
  <si>
    <t>Yes-Disabled Veteran-Owned Business Enterprise (DVET)</t>
  </si>
  <si>
    <t>Other</t>
  </si>
  <si>
    <t>Education: K-12</t>
  </si>
  <si>
    <t>A/C with no heat</t>
  </si>
  <si>
    <t>Propane</t>
  </si>
  <si>
    <t>Job Site</t>
  </si>
  <si>
    <t>Energy Advisor</t>
  </si>
  <si>
    <t>Refrigerated Case Night Covers</t>
  </si>
  <si>
    <t>ENERGY STAR Electric Griddle</t>
  </si>
  <si>
    <t>Low-Flow Shower Heads</t>
  </si>
  <si>
    <t xml:space="preserve">New Packaged/Rooftop Unit </t>
  </si>
  <si>
    <t>Value_Application_Version</t>
  </si>
  <si>
    <t>Version 5.0 - 2025</t>
  </si>
  <si>
    <t>Guestroom Energy Management Controls</t>
  </si>
  <si>
    <t>unit</t>
  </si>
  <si>
    <t>Window film West exposure, heat pump heating/cooling</t>
  </si>
  <si>
    <t>Trust/Estate</t>
  </si>
  <si>
    <t>Trust/estate</t>
  </si>
  <si>
    <t>Yes-Veteran-Owned Business Enterprise (VBE)</t>
  </si>
  <si>
    <t>Exterior/Outdoors/Parking Lot</t>
  </si>
  <si>
    <t>Refrigerated space (33-41°F)</t>
  </si>
  <si>
    <t>Steam</t>
  </si>
  <si>
    <t>Event/Trade Show</t>
  </si>
  <si>
    <t>ENERGY STAR Solid Door Refrigerator</t>
  </si>
  <si>
    <t>Food Service Kitchen Exhaust Controls</t>
  </si>
  <si>
    <t xml:space="preserve">New Fan Motors (Efficient) </t>
  </si>
  <si>
    <t>Value_Bonus_Rate</t>
  </si>
  <si>
    <t>Smart Thermostats for Small Business</t>
  </si>
  <si>
    <t>n/a</t>
  </si>
  <si>
    <t>Window film South exposure, heat pump heating/cooling</t>
  </si>
  <si>
    <t>Non-Profit</t>
  </si>
  <si>
    <t>Exempt</t>
  </si>
  <si>
    <t>Yes-Woman-Owned Business Enterprise (WBE)</t>
  </si>
  <si>
    <t>Food Sales: 24-Hour Supermarket</t>
  </si>
  <si>
    <t>Freezer space (-10-10°F)</t>
  </si>
  <si>
    <t>Search Engine</t>
  </si>
  <si>
    <t>ENERGY STAR Solid Door Freezer</t>
  </si>
  <si>
    <t>ENERGY STAR Commercial Dishwasher</t>
  </si>
  <si>
    <t xml:space="preserve">New Pump Motors (Efficient) </t>
  </si>
  <si>
    <t>Commercial Duct Sealing</t>
  </si>
  <si>
    <t>cfm leakage reduction</t>
  </si>
  <si>
    <t>Window film East exposure, electric resistance heat w/AC</t>
  </si>
  <si>
    <t>Yes-SBA 8(a) program</t>
  </si>
  <si>
    <t>Food Sales: Non 24-Hour Supermarket</t>
  </si>
  <si>
    <t>N/A (Unconditioned)</t>
  </si>
  <si>
    <t>Not Applicable</t>
  </si>
  <si>
    <t>SMS Text</t>
  </si>
  <si>
    <t>Strip Curtains for Walk-In Coolers</t>
  </si>
  <si>
    <t>Pre-Rinse Spray Valves</t>
  </si>
  <si>
    <t>New Fan Coil Unit</t>
  </si>
  <si>
    <t>High Eff. Air-Cooled Chiller</t>
  </si>
  <si>
    <t>Window film West exposure, electric resistance heat w/AC</t>
  </si>
  <si>
    <t>Yes-SMA Small Disadvantaged Business Enterprise (SDB)</t>
  </si>
  <si>
    <t>Food Service: Fast Food</t>
  </si>
  <si>
    <t>Social Media</t>
  </si>
  <si>
    <t>Strip Curtains for Walk-In Freezers</t>
  </si>
  <si>
    <t xml:space="preserve">New Cooling Tower </t>
  </si>
  <si>
    <t>High Eff. Positive Displacement Water-Cooled Chiller</t>
  </si>
  <si>
    <t>Window film South exposure, electric resistance heat w/AC</t>
  </si>
  <si>
    <t>Yes-SBA HubZone Business Enterprise (HubZone)</t>
  </si>
  <si>
    <t>Food Service: Sit-Down Restaurant</t>
  </si>
  <si>
    <t>Utility Website</t>
  </si>
  <si>
    <t>Strip Curtains for Refrigerated Warehouse Doors</t>
  </si>
  <si>
    <t>New Cooling Tower and Chiller</t>
  </si>
  <si>
    <t>High Eff. Centrifugal Water-Cooled Chiller</t>
  </si>
  <si>
    <t>Yes-LGBT-Owned Business Enterprise</t>
  </si>
  <si>
    <t>Health Care: In-Patient</t>
  </si>
  <si>
    <t>Door Gaskets - Coolers (Refrigeration)</t>
  </si>
  <si>
    <t xml:space="preserve">VFD for Existing Air Handling Unit </t>
  </si>
  <si>
    <t>Tune-Up of Air-Cooled Chiller</t>
  </si>
  <si>
    <t>Table_EffWindow_Savings</t>
  </si>
  <si>
    <t>Yes-DBE Type Not Listed</t>
  </si>
  <si>
    <t>Health Care: Nursing Home</t>
  </si>
  <si>
    <t>Door Gaskets - Freezers (Refrigeration)</t>
  </si>
  <si>
    <t xml:space="preserve">VFD for Existing Fan Motors </t>
  </si>
  <si>
    <t>Tune-Up of Water-Cooled Chiller (Reciprocating, Rotary Screw, Scroll)</t>
  </si>
  <si>
    <t>Health Care: Out-Patient</t>
  </si>
  <si>
    <t>Auto Door-Closers - Coolers (Refrigeration)</t>
  </si>
  <si>
    <t xml:space="preserve">VFD for Existing Pump Motors </t>
  </si>
  <si>
    <t>Tune-Up of Water-Cooled Chiller (Centrifugal)</t>
  </si>
  <si>
    <t>Premium Windows, facing North</t>
  </si>
  <si>
    <t>Convenience Store (non-24 hour)</t>
  </si>
  <si>
    <t>Auto Door-Closers - Freezers (Refrigeration)</t>
  </si>
  <si>
    <t xml:space="preserve">New Air Handling Units and VFD </t>
  </si>
  <si>
    <t>Premium Windows, facing South</t>
  </si>
  <si>
    <t>Lodging (Hotel/Motel/Dorm): Common Areas</t>
  </si>
  <si>
    <t>LED Refrigerated Case Lighting (without Controls)</t>
  </si>
  <si>
    <t xml:space="preserve">New Pumps and VFD </t>
  </si>
  <si>
    <t>Refrigeration</t>
  </si>
  <si>
    <t>Premium Windows, facing West</t>
  </si>
  <si>
    <t>Lodging (Hotel/Motel/Dorm): Room</t>
  </si>
  <si>
    <t>LED Refrigerated Case Lighting (with Controls)</t>
  </si>
  <si>
    <t xml:space="preserve">Existing Chiller Control Optimization </t>
  </si>
  <si>
    <t>motor controlled</t>
  </si>
  <si>
    <t>Premium Windows, facing East</t>
  </si>
  <si>
    <t>Manufacturing</t>
  </si>
  <si>
    <t xml:space="preserve">Existing Cooling Tower Control Optimization </t>
  </si>
  <si>
    <t>linear ft of refrigerated case</t>
  </si>
  <si>
    <t>Efficient Windows, facing North</t>
  </si>
  <si>
    <t>Multi-family Housing: Common Areas</t>
  </si>
  <si>
    <t xml:space="preserve">Existing Cooling Tower and Chiller Control Optimization </t>
  </si>
  <si>
    <t>linear ft of case</t>
  </si>
  <si>
    <t>Efficient Windows, facing South</t>
  </si>
  <si>
    <t>Non-Warehouse Storage (Generic)</t>
  </si>
  <si>
    <t>New Chiller and Controls Optimization</t>
  </si>
  <si>
    <t>Efficient Windows, facing West</t>
  </si>
  <si>
    <t>Office</t>
  </si>
  <si>
    <t>New Cooling Tower and Controls Optimization</t>
  </si>
  <si>
    <t>Efficient Windows, facing East</t>
  </si>
  <si>
    <t>Office (attached to other facility)</t>
  </si>
  <si>
    <t xml:space="preserve">Optimizing Process Cooling </t>
  </si>
  <si>
    <t>sqft covered</t>
  </si>
  <si>
    <t>Parking Structure</t>
  </si>
  <si>
    <t>Optimizing Process Heating</t>
  </si>
  <si>
    <t>Public Assembly</t>
  </si>
  <si>
    <t>Process Heat Recovery</t>
  </si>
  <si>
    <t>Public Order and Safety</t>
  </si>
  <si>
    <t xml:space="preserve">Efficient Air Compressor </t>
  </si>
  <si>
    <t>422530</t>
  </si>
  <si>
    <t>per linear ft</t>
  </si>
  <si>
    <t>Religious Gathering</t>
  </si>
  <si>
    <t xml:space="preserve">Compressed Air Optimization </t>
  </si>
  <si>
    <t>422030</t>
  </si>
  <si>
    <t>Restroom (Generic)</t>
  </si>
  <si>
    <t>Upgrading Existing BAS</t>
  </si>
  <si>
    <t>421830</t>
  </si>
  <si>
    <t>per unit</t>
  </si>
  <si>
    <t>Retail: Enclosed Mall</t>
  </si>
  <si>
    <t xml:space="preserve">New BAS </t>
  </si>
  <si>
    <t>421930</t>
  </si>
  <si>
    <t>Retail: Freestanding</t>
  </si>
  <si>
    <t xml:space="preserve">RCx of Existing BAS </t>
  </si>
  <si>
    <t>door</t>
  </si>
  <si>
    <t>Retail: Other</t>
  </si>
  <si>
    <t xml:space="preserve">Scheduling of Existing BAS </t>
  </si>
  <si>
    <t>Retail: Strip Mall</t>
  </si>
  <si>
    <t xml:space="preserve">Temperature Setback of Existing BAS </t>
  </si>
  <si>
    <t>Commercial Kitchen</t>
  </si>
  <si>
    <t>Service: Excluding Food</t>
  </si>
  <si>
    <t xml:space="preserve">Demand Control Ventilation </t>
  </si>
  <si>
    <t>Warehouse: Non-Refrigerated</t>
  </si>
  <si>
    <t xml:space="preserve">Combined Measures </t>
  </si>
  <si>
    <t>Warehouse: Refrigerated</t>
  </si>
  <si>
    <t>Air Handler Coil Cleaning</t>
  </si>
  <si>
    <t>linear ft of width</t>
  </si>
  <si>
    <t>Other/Unknown</t>
  </si>
  <si>
    <t>HVAC Custom Measure - Other</t>
  </si>
  <si>
    <t>exhaust fan HP</t>
  </si>
  <si>
    <t>Chiller Plant Optimization</t>
  </si>
  <si>
    <t>Cool Roof</t>
  </si>
  <si>
    <t>Roof or Wall Insulation</t>
  </si>
  <si>
    <t>Window Film</t>
  </si>
  <si>
    <t>sqft</t>
  </si>
  <si>
    <t>Building Envelope Custom Measure - Other</t>
  </si>
  <si>
    <t>Other - Measure Type Not Listed</t>
  </si>
  <si>
    <t>Misc</t>
  </si>
  <si>
    <t>Table 2‑34 Equivalent Full-Load Hours by building type</t>
  </si>
  <si>
    <t>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</si>
  <si>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</si>
  <si>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</si>
  <si>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</si>
  <si>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Fast Food</t>
  </si>
  <si>
    <t>Grocery</t>
  </si>
  <si>
    <t>Health Clinic</t>
  </si>
  <si>
    <t>Large Office</t>
  </si>
  <si>
    <t>Lodging</t>
  </si>
  <si>
    <t>Full Menu Restaurant</t>
  </si>
  <si>
    <t>Retail</t>
  </si>
  <si>
    <t>School</t>
  </si>
  <si>
    <t>Small Office</t>
  </si>
  <si>
    <t>University</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</si>
  <si>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</si>
  <si>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</si>
  <si>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</si>
  <si>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</si>
  <si>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</si>
  <si>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</si>
  <si>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</si>
  <si>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</si>
  <si>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</si>
  <si>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</si>
  <si>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</si>
  <si>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</si>
  <si>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</si>
  <si>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</si>
  <si>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</si>
  <si>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</si>
  <si>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</si>
  <si>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</si>
  <si>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2‑29 Deemed Savings by Building Type - PTAC</t>
  </si>
  <si>
    <t>kWh</t>
  </si>
  <si>
    <t>kW</t>
  </si>
  <si>
    <t>Table 2‑30 Deemed Savings by Building Type - PTHP</t>
  </si>
  <si>
    <t>Table 2‑37 Deemed Savings – Air-Cooled Chillers</t>
  </si>
  <si>
    <t>&lt;150</t>
  </si>
  <si>
    <t>&gt; 150</t>
  </si>
  <si>
    <t>Capacity (Tons)</t>
  </si>
  <si>
    <t>Path A</t>
  </si>
  <si>
    <t>Path B</t>
  </si>
  <si>
    <t>Energy (kWh/Ton)</t>
  </si>
  <si>
    <t>Demand (kW/Ton)</t>
  </si>
  <si>
    <t>Table 2‑38 Deemed Savings – Water-Cooled Chillers – Positive Displacement</t>
  </si>
  <si>
    <t>&lt; 75</t>
  </si>
  <si>
    <t>&gt; 75 and &lt; 150</t>
  </si>
  <si>
    <t>&gt; 150 and &lt; 300</t>
  </si>
  <si>
    <t>&gt; 300</t>
  </si>
  <si>
    <t>Table 2‑39 Deemed Savings – Water-Cooled Chillers – Centrifugal</t>
  </si>
  <si>
    <t>CAP</t>
  </si>
  <si>
    <t>&lt; 300</t>
  </si>
  <si>
    <t>&gt; 300 and &lt; 600</t>
  </si>
  <si>
    <t>&gt; 600</t>
  </si>
  <si>
    <t>Baseline EER (A/C)</t>
  </si>
  <si>
    <t>Baseline EER (Heat Pump)</t>
  </si>
  <si>
    <t>Baseline IEER/SEER (A/C)</t>
  </si>
  <si>
    <t>Baseline IEER/SEER (Heat Pump)</t>
  </si>
  <si>
    <t>Baseline HSPF (Heat Pump)</t>
  </si>
  <si>
    <t>kWh Savings</t>
  </si>
  <si>
    <t>kW Savings</t>
  </si>
  <si>
    <t>Table_Measure_Caps</t>
  </si>
  <si>
    <t>Table_Bonus_Caps</t>
  </si>
  <si>
    <t>Worksheet</t>
  </si>
  <si>
    <t>Measure Type</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</si>
  <si>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</si>
  <si>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</si>
  <si>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</si>
  <si>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</si>
  <si>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</si>
  <si>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</si>
  <si>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</si>
  <si>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</si>
  <si>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</si>
  <si>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</si>
  <si>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</si>
  <si>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</si>
  <si>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t>
  </si>
  <si>
    <t>Prescriptive Refrigeration</t>
  </si>
  <si>
    <t>Com Kitchen</t>
  </si>
  <si>
    <t>Prescriptive Commercial Kitchen</t>
  </si>
  <si>
    <t>Prescriptive Window Film</t>
  </si>
  <si>
    <t>Prescriptive Miscellaneous</t>
  </si>
  <si>
    <t>Table_Contacts</t>
  </si>
  <si>
    <t>Entity</t>
  </si>
  <si>
    <t>Contact Name</t>
  </si>
  <si>
    <t>Street</t>
  </si>
  <si>
    <t>Zip</t>
  </si>
  <si>
    <t>Phone</t>
  </si>
  <si>
    <t>Email</t>
  </si>
  <si>
    <t>Classification</t>
  </si>
  <si>
    <t>PFI?</t>
  </si>
  <si>
    <t>DBE?</t>
  </si>
  <si>
    <t>Registered TA?</t>
  </si>
  <si>
    <t>Project Role</t>
  </si>
  <si>
    <t>Check Payable To</t>
  </si>
  <si>
    <t>NA</t>
  </si>
  <si>
    <t>Payee</t>
  </si>
  <si>
    <t>Tab</t>
  </si>
  <si>
    <t>Project Number</t>
  </si>
  <si>
    <t>Line Ref No.</t>
  </si>
  <si>
    <t>Unit of Measure</t>
  </si>
  <si>
    <t>Equipment Cost</t>
  </si>
  <si>
    <t>Labor Cost</t>
  </si>
  <si>
    <t>Calculator Version</t>
  </si>
  <si>
    <t>Uncapped Incentive</t>
  </si>
  <si>
    <t>ea.</t>
  </si>
  <si>
    <t>Index</t>
  </si>
  <si>
    <t>File Version</t>
  </si>
  <si>
    <t>Change</t>
  </si>
  <si>
    <t>Person</t>
  </si>
  <si>
    <t>v3.1 - 2024</t>
  </si>
  <si>
    <t>Verifying everything is in line with IECC 2021 LA state energy code; Added window replacement prescriptive measure; Removed HVAC tune-up measures; Adjusted the information in the "Intro" tab</t>
  </si>
  <si>
    <t>Spencer Kurtz</t>
  </si>
  <si>
    <t>v3.2 - 2024</t>
  </si>
  <si>
    <t>Removed external file links</t>
  </si>
  <si>
    <t>v5.0 - 2025</t>
  </si>
  <si>
    <t>Added chiller tune-up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</si>
</sst>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s>
  <fonts count="68">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b/>
      <sz val="12"/>
      <color theme="0"/>
      <name val="Arial"/>
      <family val="2"/>
    </font>
    <font>
      <sz val="12"/>
      <color theme="0"/>
      <name val="Arial"/>
      <family val="2"/>
    </font>
    <font>
      <sz val="10"/>
      <color theme="0"/>
      <name val="Arial"/>
      <family val="2"/>
    </font>
    <font>
      <sz val="12"/>
      <color theme="1"/>
      <name val="Arial"/>
      <family val="2"/>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0.5"/>
      <color theme="1"/>
      <name val="Calibri"/>
      <family val="2"/>
      <scheme val="minor"/>
    </font>
    <font>
      <b/>
      <sz val="11"/>
      <color theme="1"/>
      <name val="Calibri Light"/>
      <family val="2"/>
      <scheme val="major"/>
    </font>
    <font>
      <b/>
      <sz val="9"/>
      <color indexed="81"/>
      <name val="Tahoma"/>
      <family val="2"/>
    </font>
    <font>
      <b/>
      <sz val="8"/>
      <color indexed="81"/>
      <name val="Tahoma"/>
      <family val="2"/>
    </font>
    <font>
      <sz val="8"/>
      <color indexed="81"/>
      <name val="Tahoma"/>
      <family val="2"/>
    </font>
    <font>
      <b/>
      <sz val="20"/>
      <color theme="8"/>
      <name val="Arial"/>
      <family val="2"/>
    </font>
    <font>
      <b/>
      <sz val="10"/>
      <color theme="8"/>
      <name val="Arial"/>
      <family val="2"/>
    </font>
    <font>
      <b/>
      <sz val="10"/>
      <color theme="1"/>
      <name val="Arial"/>
      <family val="2"/>
    </font>
    <font>
      <sz val="10"/>
      <color rgb="FF000000"/>
      <name val="Arial"/>
      <family val="2"/>
    </font>
    <font>
      <b/>
      <sz val="10"/>
      <color theme="0"/>
      <name val="Arial"/>
      <family val="2"/>
    </font>
    <font>
      <sz val="10"/>
      <color rgb="FFB41E83"/>
      <name val="Arial"/>
      <family val="2"/>
    </font>
    <font>
      <b/>
      <sz val="10"/>
      <color rgb="FFB41E83"/>
      <name val="Arial"/>
      <family val="2"/>
    </font>
    <font>
      <vertAlign val="superscript"/>
      <sz val="10"/>
      <color theme="1"/>
      <name val="Arial"/>
      <family val="2"/>
    </font>
    <font>
      <b/>
      <sz val="18"/>
      <color theme="0"/>
      <name val="Arial"/>
      <family val="2"/>
    </font>
    <font>
      <b/>
      <sz val="18"/>
      <color rgb="FFB41E83"/>
      <name val="Arial"/>
      <family val="2"/>
    </font>
    <font>
      <u/>
      <sz val="10"/>
      <color theme="10"/>
      <name val="Arial"/>
      <family val="2"/>
    </font>
    <font>
      <strike/>
      <sz val="10"/>
      <color theme="1"/>
      <name val="Arial"/>
      <family val="2"/>
    </font>
    <font>
      <b/>
      <sz val="14"/>
      <color theme="0"/>
      <name val="Arial"/>
      <family val="2"/>
    </font>
    <font>
      <i/>
      <sz val="10"/>
      <color theme="1"/>
      <name val="Arial"/>
      <family val="2"/>
    </font>
    <font>
      <b/>
      <sz val="10"/>
      <color rgb="FF00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thin">
        <color auto="1"/>
      </left>
      <right style="thin">
        <color auto="1"/>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indexed="64"/>
      </left>
      <right style="medium">
        <color rgb="FF7F7F7F"/>
      </right>
      <top style="medium">
        <color indexed="64"/>
      </top>
      <bottom/>
      <diagonal/>
    </border>
    <border>
      <left style="medium">
        <color rgb="FF7F7F7F"/>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rgb="FF7F7F7F"/>
      </bottom>
      <diagonal/>
    </border>
    <border>
      <left style="medium">
        <color indexed="64"/>
      </left>
      <right style="medium">
        <color rgb="FF7F7F7F"/>
      </right>
      <top/>
      <bottom style="medium">
        <color rgb="FF7F7F7F"/>
      </bottom>
      <diagonal/>
    </border>
    <border>
      <left style="medium">
        <color rgb="FF7F7F7F"/>
      </left>
      <right/>
      <top/>
      <bottom style="medium">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7F7F7F"/>
      </bottom>
      <diagonal/>
    </border>
    <border>
      <left style="medium">
        <color indexed="64"/>
      </left>
      <right style="medium">
        <color rgb="FF7F7F7F"/>
      </right>
      <top style="medium">
        <color rgb="FF7F7F7F"/>
      </top>
      <bottom/>
      <diagonal/>
    </border>
    <border>
      <left/>
      <right/>
      <top/>
      <bottom style="medium">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7F7F7F"/>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7F7F7F"/>
      </right>
      <top/>
      <bottom style="medium">
        <color indexed="64"/>
      </bottom>
      <diagonal/>
    </border>
    <border>
      <left/>
      <right style="medium">
        <color indexed="64"/>
      </right>
      <top/>
      <bottom style="medium">
        <color indexed="64"/>
      </bottom>
      <diagonal/>
    </border>
    <border>
      <left style="medium">
        <color rgb="FF7F7F7F"/>
      </left>
      <right style="medium">
        <color rgb="FF7F7F7F"/>
      </right>
      <top style="medium">
        <color rgb="FF7F7F7F"/>
      </top>
      <bottom/>
      <diagonal/>
    </border>
    <border>
      <left style="medium">
        <color rgb="FF7F7F7F"/>
      </left>
      <right/>
      <top style="medium">
        <color rgb="FF7F7F7F"/>
      </top>
      <bottom/>
      <diagonal/>
    </border>
    <border>
      <left/>
      <right/>
      <top style="medium">
        <color rgb="FF7F7F7F"/>
      </top>
      <bottom style="medium">
        <color rgb="FF7F7F7F"/>
      </bottom>
      <diagonal/>
    </border>
    <border>
      <left style="medium">
        <color rgb="FF7F7F7F"/>
      </left>
      <right style="medium">
        <color rgb="FF7F7F7F"/>
      </right>
      <top/>
      <bottom/>
      <diagonal/>
    </border>
    <border>
      <left style="medium">
        <color rgb="FF7F7F7F"/>
      </left>
      <right/>
      <top style="medium">
        <color rgb="FF7F7F7F"/>
      </top>
      <bottom style="medium">
        <color rgb="FF7F7F7F"/>
      </bottom>
      <diagonal/>
    </border>
  </borders>
  <cellStyleXfs count="40">
    <xf numFmtId="0" fontId="0" fillId="0" borderId="0"/>
    <xf numFmtId="0" fontId="35" fillId="0" borderId="0" applyNumberFormat="0" applyFill="0" applyBorder="0" applyAlignment="0" applyProtection="0"/>
    <xf numFmtId="0" fontId="31" fillId="18" borderId="1" applyNumberFormat="0">
      <alignment horizontal="left" vertical="center" wrapText="1"/>
    </xf>
    <xf numFmtId="0" fontId="33" fillId="24" borderId="1" applyNumberFormat="0">
      <alignment horizontal="left" vertical="center" wrapText="1"/>
      <protection locked="0"/>
    </xf>
    <xf numFmtId="9" fontId="5" fillId="0" borderId="0" applyFon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6" fillId="14" borderId="5" applyNumberFormat="0" applyAlignment="0" applyProtection="0"/>
    <xf numFmtId="0" fontId="5" fillId="15" borderId="19" applyNumberFormat="0" applyFont="0" applyAlignment="0" applyProtection="0"/>
    <xf numFmtId="0" fontId="21" fillId="0" borderId="20" applyNumberFormat="0" applyFill="0" applyAlignment="0" applyProtection="0"/>
    <xf numFmtId="0" fontId="30" fillId="16" borderId="1" applyNumberFormat="0" applyAlignment="0" applyProtection="0">
      <alignment horizontal="left" vertical="center"/>
    </xf>
    <xf numFmtId="0" fontId="34" fillId="18" borderId="1" applyNumberFormat="0">
      <alignment vertical="center" wrapText="1"/>
    </xf>
    <xf numFmtId="0" fontId="12" fillId="21" borderId="1">
      <alignment horizontal="centerContinuous" vertical="center" wrapText="1"/>
    </xf>
    <xf numFmtId="0" fontId="32" fillId="10" borderId="1">
      <alignment horizontal="centerContinuous" vertical="center" wrapText="1"/>
    </xf>
    <xf numFmtId="0" fontId="12" fillId="10" borderId="1">
      <alignment horizontal="centerContinuous" vertical="center" wrapText="1"/>
    </xf>
    <xf numFmtId="0" fontId="44" fillId="21" borderId="0">
      <alignment horizontal="centerContinuous" vertical="center" wrapText="1"/>
    </xf>
    <xf numFmtId="0" fontId="12" fillId="16" borderId="1">
      <alignment horizontal="center" vertical="center" wrapText="1"/>
    </xf>
    <xf numFmtId="0" fontId="34" fillId="0" borderId="1" applyNumberFormat="0">
      <alignment horizontal="left" vertical="center" wrapText="1"/>
    </xf>
    <xf numFmtId="0" fontId="20" fillId="17" borderId="0" applyNumberFormat="0" applyAlignment="0">
      <alignment horizontal="center" vertical="center"/>
    </xf>
    <xf numFmtId="0" fontId="12" fillId="17" borderId="22">
      <alignment horizontal="left" wrapText="1"/>
    </xf>
    <xf numFmtId="0" fontId="13" fillId="0" borderId="23" applyNumberFormat="0"/>
    <xf numFmtId="0" fontId="39" fillId="5" borderId="24" applyNumberFormat="0" applyAlignment="0" applyProtection="0"/>
    <xf numFmtId="0" fontId="40" fillId="19" borderId="2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 fillId="20" borderId="0" applyNumberFormat="0" applyBorder="0" applyAlignment="0" applyProtection="0"/>
    <xf numFmtId="0" fontId="40" fillId="21" borderId="0">
      <alignment horizontal="centerContinuous"/>
    </xf>
    <xf numFmtId="0" fontId="30" fillId="10" borderId="1">
      <alignment horizontal="centerContinuous" vertical="center" wrapText="1"/>
    </xf>
    <xf numFmtId="0" fontId="12" fillId="22" borderId="1">
      <alignment horizontal="center" vertical="center" wrapText="1"/>
    </xf>
    <xf numFmtId="0" fontId="12" fillId="22" borderId="1">
      <alignment horizontal="center" vertical="center" wrapText="1"/>
    </xf>
    <xf numFmtId="44" fontId="13" fillId="0" borderId="0" applyFont="0" applyFill="0" applyBorder="0" applyAlignment="0" applyProtection="0"/>
    <xf numFmtId="9" fontId="3" fillId="0" borderId="0" applyFont="0" applyFill="0" applyBorder="0" applyAlignment="0" applyProtection="0"/>
    <xf numFmtId="0" fontId="2" fillId="0" borderId="0"/>
  </cellStyleXfs>
  <cellXfs count="358">
    <xf numFmtId="0" fontId="0" fillId="0" borderId="0" xfId="0"/>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2" borderId="1" xfId="0" applyFill="1" applyBorder="1"/>
    <xf numFmtId="0" fontId="7" fillId="0" borderId="0" xfId="0" applyFont="1" applyAlignment="1">
      <alignment horizontal="left" wrapText="1"/>
    </xf>
    <xf numFmtId="0" fontId="15" fillId="0" borderId="0" xfId="0" applyFont="1" applyAlignment="1">
      <alignment horizontal="center" vertical="center" wrapText="1"/>
    </xf>
    <xf numFmtId="0" fontId="0" fillId="0" borderId="0" xfId="0" applyAlignment="1">
      <alignment wrapText="1"/>
    </xf>
    <xf numFmtId="165" fontId="7" fillId="0" borderId="0" xfId="0" applyNumberFormat="1" applyFont="1" applyAlignment="1">
      <alignment horizontal="left" wrapText="1"/>
    </xf>
    <xf numFmtId="0" fontId="0" fillId="7" borderId="1" xfId="0" applyFill="1" applyBorder="1"/>
    <xf numFmtId="0" fontId="0" fillId="7" borderId="4" xfId="0" applyFill="1" applyBorder="1"/>
    <xf numFmtId="3" fontId="0" fillId="7" borderId="1" xfId="0" applyNumberFormat="1" applyFill="1" applyBorder="1"/>
    <xf numFmtId="0" fontId="17" fillId="0" borderId="0" xfId="0" applyFont="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19"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9" fillId="2" borderId="1" xfId="4" applyFont="1" applyFill="1" applyBorder="1" applyAlignment="1">
      <alignment horizontal="center" vertical="center"/>
    </xf>
    <xf numFmtId="0" fontId="9"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11" fillId="0" borderId="0" xfId="0" applyFont="1" applyAlignment="1">
      <alignment horizontal="left" vertical="center" wrapText="1" indent="1"/>
    </xf>
    <xf numFmtId="165" fontId="0" fillId="0" borderId="0" xfId="0" applyNumberFormat="1"/>
    <xf numFmtId="0" fontId="7"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14" fontId="33" fillId="24" borderId="1" xfId="3" applyNumberFormat="1">
      <alignment horizontal="left" vertical="center" wrapText="1"/>
      <protection locked="0"/>
    </xf>
    <xf numFmtId="0" fontId="12" fillId="21" borderId="1" xfId="19">
      <alignment horizontal="centerContinuous" vertical="center" wrapText="1"/>
    </xf>
    <xf numFmtId="0" fontId="34" fillId="0" borderId="0" xfId="24" applyBorder="1">
      <alignment horizontal="left" vertical="center" wrapText="1"/>
    </xf>
    <xf numFmtId="0" fontId="30" fillId="16" borderId="1" xfId="17" applyAlignment="1"/>
    <xf numFmtId="0" fontId="12" fillId="17" borderId="22" xfId="26">
      <alignment horizontal="left" wrapText="1"/>
    </xf>
    <xf numFmtId="0" fontId="12" fillId="17" borderId="22" xfId="26" applyAlignment="1">
      <alignment horizontal="left"/>
    </xf>
    <xf numFmtId="0" fontId="13" fillId="0" borderId="23" xfId="27"/>
    <xf numFmtId="0" fontId="44" fillId="21" borderId="0" xfId="22" applyAlignment="1">
      <alignment horizontal="left" vertical="center" wrapText="1"/>
    </xf>
    <xf numFmtId="0" fontId="38" fillId="0" borderId="0" xfId="0" applyFont="1"/>
    <xf numFmtId="165" fontId="13"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3"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18" fillId="3" borderId="15" xfId="0" applyFont="1" applyFill="1" applyBorder="1" applyAlignment="1">
      <alignment wrapText="1"/>
    </xf>
    <xf numFmtId="0" fontId="18" fillId="3" borderId="10" xfId="0" applyFont="1" applyFill="1" applyBorder="1" applyAlignment="1">
      <alignment wrapText="1"/>
    </xf>
    <xf numFmtId="0" fontId="18" fillId="3" borderId="8" xfId="0" applyFont="1" applyFill="1" applyBorder="1" applyAlignment="1">
      <alignment wrapText="1"/>
    </xf>
    <xf numFmtId="2" fontId="18" fillId="3" borderId="10" xfId="0" applyNumberFormat="1" applyFont="1" applyFill="1" applyBorder="1" applyAlignment="1">
      <alignment wrapText="1"/>
    </xf>
    <xf numFmtId="0" fontId="18"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3" fillId="0" borderId="29" xfId="27" applyBorder="1"/>
    <xf numFmtId="9" fontId="0" fillId="0" borderId="1" xfId="0" applyNumberFormat="1" applyBorder="1"/>
    <xf numFmtId="4" fontId="0" fillId="0" borderId="0" xfId="0" applyNumberFormat="1"/>
    <xf numFmtId="0" fontId="14" fillId="0" borderId="0" xfId="0" applyFont="1" applyAlignment="1">
      <alignment horizontal="center" vertical="center" wrapText="1"/>
    </xf>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26" borderId="1" xfId="0" applyFill="1" applyBorder="1"/>
    <xf numFmtId="0" fontId="0" fillId="27" borderId="9" xfId="0" applyFill="1" applyBorder="1"/>
    <xf numFmtId="0" fontId="0" fillId="27" borderId="2" xfId="0" applyFill="1" applyBorder="1"/>
    <xf numFmtId="3" fontId="0" fillId="27" borderId="2" xfId="0" applyNumberFormat="1" applyFill="1" applyBorder="1"/>
    <xf numFmtId="2" fontId="0" fillId="27" borderId="7" xfId="0" applyNumberFormat="1" applyFill="1" applyBorder="1"/>
    <xf numFmtId="2" fontId="0" fillId="27" borderId="2" xfId="0" applyNumberFormat="1" applyFill="1" applyBorder="1"/>
    <xf numFmtId="166" fontId="0" fillId="27" borderId="4" xfId="0" applyNumberFormat="1" applyFill="1" applyBorder="1"/>
    <xf numFmtId="0" fontId="0" fillId="27"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6" borderId="2" xfId="0" applyNumberFormat="1" applyFill="1" applyBorder="1"/>
    <xf numFmtId="169" fontId="0" fillId="27"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0" fillId="0" borderId="0" xfId="0" applyAlignment="1">
      <alignment horizontal="right"/>
    </xf>
    <xf numFmtId="0" fontId="45" fillId="0" borderId="0" xfId="0" applyFont="1" applyAlignment="1">
      <alignment vertical="center"/>
    </xf>
    <xf numFmtId="0" fontId="46" fillId="0" borderId="0" xfId="0" applyFont="1"/>
    <xf numFmtId="0" fontId="21" fillId="0" borderId="31" xfId="0" applyFont="1" applyBorder="1" applyAlignment="1">
      <alignment vertical="center" wrapText="1"/>
    </xf>
    <xf numFmtId="0" fontId="21" fillId="0" borderId="32" xfId="0" applyFont="1" applyBorder="1" applyAlignment="1">
      <alignment vertical="center" wrapText="1"/>
    </xf>
    <xf numFmtId="0" fontId="0" fillId="0" borderId="33" xfId="0" applyBorder="1" applyAlignment="1">
      <alignment vertical="center" wrapText="1"/>
    </xf>
    <xf numFmtId="3" fontId="0" fillId="0" borderId="34" xfId="0" applyNumberFormat="1" applyBorder="1" applyAlignment="1">
      <alignment vertical="center" wrapText="1"/>
    </xf>
    <xf numFmtId="0" fontId="0" fillId="0" borderId="34" xfId="0" applyBorder="1" applyAlignment="1">
      <alignment vertical="center" wrapText="1"/>
    </xf>
    <xf numFmtId="2" fontId="0" fillId="0" borderId="34" xfId="0" applyNumberFormat="1" applyBorder="1" applyAlignment="1">
      <alignment vertical="center" wrapText="1"/>
    </xf>
    <xf numFmtId="0" fontId="18" fillId="28" borderId="10" xfId="0" applyFont="1" applyFill="1" applyBorder="1" applyAlignment="1">
      <alignment horizontal="centerContinuous"/>
    </xf>
    <xf numFmtId="0" fontId="18" fillId="28" borderId="1" xfId="0" applyFont="1" applyFill="1" applyBorder="1" applyAlignment="1">
      <alignment horizontal="centerContinuous"/>
    </xf>
    <xf numFmtId="0" fontId="0" fillId="28" borderId="1" xfId="0" applyFill="1" applyBorder="1" applyAlignment="1">
      <alignment horizontal="centerContinuous"/>
    </xf>
    <xf numFmtId="0" fontId="18" fillId="28" borderId="1" xfId="0" applyFont="1" applyFill="1" applyBorder="1"/>
    <xf numFmtId="0" fontId="18" fillId="28" borderId="12" xfId="0" applyFont="1" applyFill="1" applyBorder="1"/>
    <xf numFmtId="0" fontId="0" fillId="0" borderId="1" xfId="0" applyBorder="1" applyAlignment="1">
      <alignment vertical="center"/>
    </xf>
    <xf numFmtId="166" fontId="0" fillId="25" borderId="1" xfId="0" applyNumberFormat="1" applyFill="1" applyBorder="1" applyAlignment="1">
      <alignment vertical="center"/>
    </xf>
    <xf numFmtId="0" fontId="0" fillId="25" borderId="1" xfId="0" applyFill="1" applyBorder="1" applyAlignment="1">
      <alignment vertical="center"/>
    </xf>
    <xf numFmtId="0" fontId="46" fillId="0" borderId="1" xfId="0" applyFont="1" applyBorder="1"/>
    <xf numFmtId="0" fontId="46" fillId="25" borderId="1" xfId="0" applyFont="1" applyFill="1" applyBorder="1"/>
    <xf numFmtId="166" fontId="46" fillId="25" borderId="1" xfId="0" applyNumberFormat="1" applyFont="1" applyFill="1" applyBorder="1"/>
    <xf numFmtId="166" fontId="0" fillId="0" borderId="1" xfId="0" applyNumberFormat="1" applyBorder="1"/>
    <xf numFmtId="166" fontId="0" fillId="25" borderId="1" xfId="0" applyNumberFormat="1" applyFill="1" applyBorder="1"/>
    <xf numFmtId="0" fontId="48" fillId="0" borderId="31" xfId="0" applyFont="1" applyBorder="1" applyAlignment="1">
      <alignment vertical="center" wrapText="1"/>
    </xf>
    <xf numFmtId="0" fontId="48" fillId="0" borderId="32" xfId="0" applyFont="1" applyBorder="1" applyAlignment="1">
      <alignment horizontal="center" vertical="center" wrapText="1"/>
    </xf>
    <xf numFmtId="0" fontId="45" fillId="0" borderId="33" xfId="0" applyFont="1" applyBorder="1" applyAlignment="1">
      <alignment vertical="center" wrapText="1"/>
    </xf>
    <xf numFmtId="0" fontId="45" fillId="0" borderId="34"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34" xfId="0" applyFont="1" applyBorder="1" applyAlignment="1">
      <alignment horizontal="center" vertical="center" wrapText="1"/>
    </xf>
    <xf numFmtId="0" fontId="21" fillId="0" borderId="47" xfId="0" applyFont="1" applyBorder="1" applyAlignment="1">
      <alignment horizontal="center" vertical="center" wrapText="1"/>
    </xf>
    <xf numFmtId="0" fontId="0" fillId="0" borderId="48" xfId="0" applyBorder="1" applyAlignment="1">
      <alignment vertical="center" wrapText="1"/>
    </xf>
    <xf numFmtId="0" fontId="0" fillId="0" borderId="49" xfId="0"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49" fillId="0" borderId="51" xfId="0" applyFont="1" applyBorder="1"/>
    <xf numFmtId="0" fontId="49" fillId="0" borderId="52" xfId="0" applyFont="1" applyBorder="1"/>
    <xf numFmtId="0" fontId="0" fillId="0" borderId="34"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vertical="center" wrapText="1"/>
    </xf>
    <xf numFmtId="0" fontId="46" fillId="0" borderId="53" xfId="0" applyFont="1" applyBorder="1"/>
    <xf numFmtId="0" fontId="49" fillId="0" borderId="1" xfId="0" applyFont="1" applyBorder="1"/>
    <xf numFmtId="0" fontId="49" fillId="0" borderId="54" xfId="0" applyFont="1" applyBorder="1"/>
    <xf numFmtId="0" fontId="0" fillId="0" borderId="53" xfId="0" applyBorder="1" applyAlignment="1">
      <alignment horizontal="center" vertical="center"/>
    </xf>
    <xf numFmtId="0" fontId="0" fillId="0" borderId="55" xfId="0" applyBorder="1" applyAlignment="1">
      <alignment vertical="center" wrapText="1"/>
    </xf>
    <xf numFmtId="0" fontId="0" fillId="0" borderId="56" xfId="0" applyBorder="1" applyAlignment="1">
      <alignment vertical="center"/>
    </xf>
    <xf numFmtId="0" fontId="46" fillId="0" borderId="57" xfId="0" applyFont="1" applyBorder="1"/>
    <xf numFmtId="0" fontId="46" fillId="0" borderId="58" xfId="0" applyFont="1" applyBorder="1"/>
    <xf numFmtId="0" fontId="46" fillId="0" borderId="59" xfId="0" applyFont="1" applyBorder="1"/>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166" fontId="49" fillId="0" borderId="51" xfId="0" applyNumberFormat="1" applyFont="1" applyBorder="1"/>
    <xf numFmtId="169" fontId="49" fillId="0" borderId="52" xfId="0" applyNumberFormat="1" applyFont="1" applyBorder="1"/>
    <xf numFmtId="0" fontId="0" fillId="0" borderId="65" xfId="0" applyBorder="1" applyAlignment="1">
      <alignment vertical="center"/>
    </xf>
    <xf numFmtId="169" fontId="46" fillId="0" borderId="54" xfId="0" applyNumberFormat="1" applyFont="1" applyBorder="1"/>
    <xf numFmtId="0" fontId="0" fillId="0" borderId="33" xfId="0" applyBorder="1" applyAlignment="1">
      <alignment vertical="center"/>
    </xf>
    <xf numFmtId="166" fontId="49" fillId="0" borderId="1" xfId="0" applyNumberFormat="1" applyFont="1" applyBorder="1"/>
    <xf numFmtId="169" fontId="49" fillId="0" borderId="54" xfId="0" applyNumberFormat="1" applyFont="1" applyBorder="1"/>
    <xf numFmtId="0" fontId="0" fillId="0" borderId="6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169" fontId="46" fillId="0" borderId="59" xfId="0" applyNumberFormat="1" applyFont="1" applyBorder="1"/>
    <xf numFmtId="0" fontId="0" fillId="0" borderId="32" xfId="0" applyBorder="1" applyAlignment="1">
      <alignment vertical="center"/>
    </xf>
    <xf numFmtId="0" fontId="46" fillId="0" borderId="54" xfId="0" applyFont="1" applyBorder="1"/>
    <xf numFmtId="0" fontId="0" fillId="0" borderId="57" xfId="0" applyBorder="1" applyAlignment="1">
      <alignment horizontal="center" vertical="center"/>
    </xf>
    <xf numFmtId="0" fontId="0" fillId="0" borderId="58" xfId="0" applyBorder="1" applyAlignment="1">
      <alignment horizontal="center" vertical="center"/>
    </xf>
    <xf numFmtId="166" fontId="0" fillId="0" borderId="0" xfId="0" applyNumberFormat="1"/>
    <xf numFmtId="169" fontId="0" fillId="0" borderId="0" xfId="0" applyNumberFormat="1"/>
    <xf numFmtId="0" fontId="21" fillId="0" borderId="0" xfId="0" applyFont="1" applyAlignment="1">
      <alignment vertical="center" wrapText="1"/>
    </xf>
    <xf numFmtId="2" fontId="0" fillId="0" borderId="0" xfId="0" applyNumberFormat="1" applyAlignment="1">
      <alignment vertical="center" wrapText="1"/>
    </xf>
    <xf numFmtId="0" fontId="21" fillId="0" borderId="45" xfId="0" applyFont="1" applyBorder="1" applyAlignment="1">
      <alignment horizontal="center" vertical="center" wrapText="1"/>
    </xf>
    <xf numFmtId="0" fontId="49" fillId="0" borderId="0" xfId="0" applyFont="1"/>
    <xf numFmtId="164" fontId="34" fillId="0" borderId="1" xfId="24" applyNumberFormat="1" applyAlignment="1" applyProtection="1">
      <alignment horizontal="center" vertical="center" wrapText="1"/>
      <protection hidden="1"/>
    </xf>
    <xf numFmtId="3" fontId="34" fillId="0" borderId="1" xfId="24" applyNumberFormat="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3" fillId="0" borderId="23" xfId="27" applyNumberFormat="1"/>
    <xf numFmtId="171" fontId="0" fillId="0" borderId="0" xfId="0" applyNumberFormat="1"/>
    <xf numFmtId="0" fontId="2" fillId="2" borderId="1" xfId="39" applyFill="1" applyBorder="1"/>
    <xf numFmtId="0" fontId="2" fillId="0" borderId="0" xfId="39"/>
    <xf numFmtId="0" fontId="2" fillId="0" borderId="1" xfId="39" applyBorder="1"/>
    <xf numFmtId="166" fontId="2" fillId="0" borderId="1" xfId="39" applyNumberFormat="1" applyBorder="1"/>
    <xf numFmtId="0" fontId="2" fillId="0" borderId="1" xfId="39" applyBorder="1" applyAlignment="1">
      <alignment wrapText="1"/>
    </xf>
    <xf numFmtId="14" fontId="2" fillId="0" borderId="1" xfId="39" applyNumberFormat="1" applyBorder="1"/>
    <xf numFmtId="0" fontId="53" fillId="0" borderId="0" xfId="0" applyFont="1" applyAlignment="1">
      <alignment horizontal="left" vertical="center"/>
    </xf>
    <xf numFmtId="0" fontId="7" fillId="0" borderId="0" xfId="0" applyFont="1"/>
    <xf numFmtId="0" fontId="7" fillId="0" borderId="14" xfId="0" applyFont="1" applyBorder="1" applyAlignment="1">
      <alignment horizontal="left" wrapText="1"/>
    </xf>
    <xf numFmtId="0" fontId="56" fillId="24" borderId="1" xfId="3" applyFont="1" applyAlignment="1">
      <alignment horizontal="center" vertical="center" wrapText="1"/>
      <protection locked="0"/>
    </xf>
    <xf numFmtId="0" fontId="7" fillId="18" borderId="1" xfId="18"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xf>
    <xf numFmtId="0" fontId="55" fillId="18" borderId="1" xfId="0" applyFont="1" applyFill="1" applyBorder="1" applyAlignment="1">
      <alignment horizontal="left" vertical="center" wrapText="1"/>
    </xf>
    <xf numFmtId="0" fontId="57" fillId="21" borderId="1" xfId="0" applyFont="1" applyFill="1" applyBorder="1" applyAlignment="1">
      <alignment horizontal="left" vertical="center" wrapText="1"/>
    </xf>
    <xf numFmtId="0" fontId="7" fillId="0" borderId="0" xfId="0" applyFont="1" applyAlignment="1">
      <alignment horizontal="left" vertical="center"/>
    </xf>
    <xf numFmtId="0" fontId="57" fillId="23" borderId="1" xfId="0" applyFont="1" applyFill="1" applyBorder="1" applyAlignment="1">
      <alignment horizontal="left" vertical="center" wrapText="1"/>
    </xf>
    <xf numFmtId="0" fontId="56" fillId="4" borderId="1" xfId="3" applyFont="1" applyFill="1">
      <alignment horizontal="left" vertical="center" wrapText="1"/>
      <protection locked="0"/>
    </xf>
    <xf numFmtId="0" fontId="61" fillId="0" borderId="0" xfId="22" applyFont="1" applyFill="1" applyAlignment="1">
      <alignment vertical="center" wrapText="1"/>
    </xf>
    <xf numFmtId="0" fontId="56" fillId="24" borderId="1" xfId="3" applyFont="1">
      <alignment horizontal="left" vertical="center" wrapText="1"/>
      <protection locked="0"/>
    </xf>
    <xf numFmtId="0" fontId="62" fillId="29" borderId="0" xfId="22" applyFont="1" applyFill="1" applyAlignment="1">
      <alignment horizontal="left" vertical="center" wrapText="1"/>
    </xf>
    <xf numFmtId="0" fontId="61" fillId="0" borderId="0" xfId="22" applyFont="1" applyFill="1" applyAlignment="1">
      <alignment horizontal="left" vertical="center" wrapText="1"/>
    </xf>
    <xf numFmtId="0" fontId="7" fillId="0" borderId="0" xfId="0" applyFont="1" applyAlignment="1">
      <alignment horizontal="left" vertical="center" wrapText="1"/>
    </xf>
    <xf numFmtId="0" fontId="22" fillId="0" borderId="0" xfId="0" applyFont="1" applyAlignment="1">
      <alignment horizontal="left" vertical="center" wrapText="1"/>
    </xf>
    <xf numFmtId="14" fontId="56" fillId="4" borderId="1" xfId="3" applyNumberFormat="1" applyFont="1" applyFill="1">
      <alignment horizontal="left" vertical="center" wrapText="1"/>
      <protection locked="0"/>
    </xf>
    <xf numFmtId="3" fontId="56" fillId="4" borderId="1" xfId="3" applyNumberFormat="1" applyFont="1" applyFill="1">
      <alignment horizontal="left" vertical="center" wrapText="1"/>
      <protection locked="0"/>
    </xf>
    <xf numFmtId="164" fontId="56" fillId="4" borderId="1" xfId="3" applyNumberFormat="1" applyFont="1" applyFill="1">
      <alignment horizontal="left" vertical="center" wrapText="1"/>
      <protection locked="0"/>
    </xf>
    <xf numFmtId="0" fontId="58" fillId="29" borderId="0" xfId="0" applyFont="1" applyFill="1"/>
    <xf numFmtId="0" fontId="55" fillId="0" borderId="0" xfId="0" applyFont="1"/>
    <xf numFmtId="0" fontId="7" fillId="0" borderId="0" xfId="0" applyFont="1" applyAlignment="1">
      <alignment horizontal="left" vertical="top" wrapText="1"/>
    </xf>
    <xf numFmtId="0" fontId="63" fillId="0" borderId="0" xfId="1" applyFont="1" applyBorder="1" applyAlignment="1">
      <alignment horizontal="left" vertical="top" wrapText="1"/>
    </xf>
    <xf numFmtId="49" fontId="56" fillId="4" borderId="1" xfId="3" applyNumberFormat="1" applyFont="1" applyFill="1">
      <alignment horizontal="left" vertical="center" wrapText="1"/>
      <protection locked="0"/>
    </xf>
    <xf numFmtId="0" fontId="64" fillId="0" borderId="0" xfId="0" applyFont="1"/>
    <xf numFmtId="0" fontId="56" fillId="4" borderId="1" xfId="3" applyFont="1" applyFill="1" applyAlignment="1">
      <alignment horizontal="center" vertical="center" wrapText="1"/>
      <protection locked="0"/>
    </xf>
    <xf numFmtId="0" fontId="57" fillId="22" borderId="1" xfId="36" applyFont="1">
      <alignment horizontal="center" vertical="center" wrapText="1"/>
    </xf>
    <xf numFmtId="164" fontId="54" fillId="18" borderId="4" xfId="18" applyNumberFormat="1" applyFont="1" applyBorder="1" applyAlignment="1">
      <alignment horizontal="center" vertical="center" wrapText="1"/>
    </xf>
    <xf numFmtId="167" fontId="54" fillId="18" borderId="1" xfId="18" applyNumberFormat="1" applyFont="1" applyAlignment="1">
      <alignment horizontal="center" vertical="center" wrapText="1"/>
    </xf>
    <xf numFmtId="168" fontId="54" fillId="18" borderId="1" xfId="18" applyNumberFormat="1" applyFont="1" applyAlignment="1">
      <alignment horizontal="center" vertical="center" wrapText="1"/>
    </xf>
    <xf numFmtId="164" fontId="54" fillId="18" borderId="1" xfId="18" applyNumberFormat="1"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18" borderId="4" xfId="18" applyFont="1" applyBorder="1" applyAlignment="1">
      <alignment horizontal="center" vertical="center" wrapText="1"/>
    </xf>
    <xf numFmtId="0" fontId="56" fillId="4" borderId="3" xfId="3" applyFont="1" applyFill="1" applyBorder="1">
      <alignment horizontal="left" vertical="center" wrapText="1"/>
      <protection locked="0"/>
    </xf>
    <xf numFmtId="3" fontId="56" fillId="24" borderId="1" xfId="3" applyNumberFormat="1" applyFont="1" applyAlignment="1">
      <alignment horizontal="center" vertical="center" wrapText="1"/>
      <protection locked="0"/>
    </xf>
    <xf numFmtId="165" fontId="56" fillId="24" borderId="1" xfId="3" applyNumberFormat="1" applyFont="1" applyAlignment="1">
      <alignment horizontal="center" vertical="center" wrapText="1"/>
      <protection locked="0"/>
    </xf>
    <xf numFmtId="164" fontId="7" fillId="18" borderId="1" xfId="18" applyNumberFormat="1" applyFont="1" applyAlignment="1">
      <alignment horizontal="center" vertical="center" wrapText="1"/>
    </xf>
    <xf numFmtId="167" fontId="7" fillId="18" borderId="1" xfId="18" applyNumberFormat="1" applyFont="1" applyAlignment="1">
      <alignment horizontal="center" vertical="center" wrapText="1"/>
    </xf>
    <xf numFmtId="168" fontId="7" fillId="18" borderId="1" xfId="18" applyNumberFormat="1" applyFont="1" applyAlignment="1">
      <alignment horizontal="center" vertical="center" wrapText="1"/>
    </xf>
    <xf numFmtId="0" fontId="57" fillId="16" borderId="15" xfId="23" applyFont="1" applyBorder="1" applyAlignment="1">
      <alignment horizontal="left" vertical="center" wrapText="1"/>
    </xf>
    <xf numFmtId="0" fontId="57" fillId="16" borderId="10" xfId="17" applyFont="1" applyBorder="1" applyAlignment="1" applyProtection="1">
      <alignment horizontal="left" vertical="center" wrapText="1"/>
    </xf>
    <xf numFmtId="0" fontId="57" fillId="16" borderId="8" xfId="23" applyFont="1" applyBorder="1" applyAlignment="1">
      <alignment horizontal="left" vertical="center" wrapText="1"/>
    </xf>
    <xf numFmtId="0" fontId="57" fillId="16" borderId="10" xfId="23" applyFont="1" applyBorder="1" applyAlignment="1">
      <alignment horizontal="left" vertical="center" wrapText="1"/>
    </xf>
    <xf numFmtId="0" fontId="57" fillId="10" borderId="1" xfId="21" applyFont="1" applyAlignment="1">
      <alignment horizontal="left" vertical="center" wrapText="1"/>
    </xf>
    <xf numFmtId="0" fontId="57" fillId="10" borderId="10" xfId="21" applyFont="1" applyBorder="1" applyAlignment="1">
      <alignment horizontal="left" vertical="center" wrapText="1"/>
    </xf>
    <xf numFmtId="164" fontId="54" fillId="18" borderId="4" xfId="18" applyNumberFormat="1" applyFont="1" applyBorder="1" applyAlignment="1">
      <alignment horizontal="left" vertical="center" wrapText="1"/>
    </xf>
    <xf numFmtId="167" fontId="54" fillId="18" borderId="1" xfId="18" applyNumberFormat="1" applyFont="1" applyAlignment="1">
      <alignment horizontal="left" vertical="center" wrapText="1"/>
    </xf>
    <xf numFmtId="168" fontId="54" fillId="18" borderId="1" xfId="18" applyNumberFormat="1" applyFont="1" applyAlignment="1">
      <alignment horizontal="left" vertical="center" wrapText="1"/>
    </xf>
    <xf numFmtId="164" fontId="54" fillId="18" borderId="1" xfId="18" applyNumberFormat="1" applyFont="1" applyAlignment="1">
      <alignment horizontal="left" vertical="center" wrapText="1"/>
    </xf>
    <xf numFmtId="0" fontId="62" fillId="29" borderId="0" xfId="22" applyFont="1" applyFill="1" applyAlignment="1">
      <alignment vertical="center" wrapText="1"/>
    </xf>
    <xf numFmtId="0" fontId="62" fillId="29" borderId="0" xfId="22" applyFont="1" applyFill="1">
      <alignment horizontal="centerContinuous" vertical="center" wrapText="1"/>
    </xf>
    <xf numFmtId="0" fontId="16" fillId="0" borderId="0" xfId="0" applyFont="1" applyAlignment="1">
      <alignment vertical="center" wrapText="1"/>
    </xf>
    <xf numFmtId="0" fontId="57" fillId="16" borderId="15" xfId="23" applyFont="1" applyBorder="1" applyAlignment="1">
      <alignment vertical="center" wrapText="1"/>
    </xf>
    <xf numFmtId="0" fontId="57" fillId="16" borderId="8" xfId="23" applyFont="1" applyBorder="1" applyAlignment="1">
      <alignment vertical="center" wrapText="1"/>
    </xf>
    <xf numFmtId="0" fontId="57" fillId="16" borderId="10" xfId="23" applyFont="1" applyBorder="1" applyAlignment="1">
      <alignment vertical="center" wrapText="1"/>
    </xf>
    <xf numFmtId="0" fontId="57" fillId="10" borderId="10" xfId="21" applyFont="1" applyBorder="1" applyAlignment="1">
      <alignment vertical="center" wrapText="1"/>
    </xf>
    <xf numFmtId="0" fontId="7" fillId="25" borderId="0" xfId="0" applyFont="1" applyFill="1"/>
    <xf numFmtId="167" fontId="54" fillId="18" borderId="4" xfId="18" applyNumberFormat="1" applyFont="1" applyBorder="1" applyAlignment="1">
      <alignment horizontal="left" vertical="center" wrapText="1"/>
    </xf>
    <xf numFmtId="169" fontId="54" fillId="18" borderId="4" xfId="18" applyNumberFormat="1" applyFont="1" applyBorder="1" applyAlignment="1">
      <alignment horizontal="left" vertical="center" wrapText="1"/>
    </xf>
    <xf numFmtId="0" fontId="7" fillId="25" borderId="0" xfId="0" applyFont="1" applyFill="1" applyAlignment="1">
      <alignment vertical="center"/>
    </xf>
    <xf numFmtId="0" fontId="57" fillId="25" borderId="30" xfId="23" applyFont="1" applyFill="1" applyBorder="1" applyAlignment="1">
      <alignment horizontal="left" vertical="center" wrapText="1"/>
    </xf>
    <xf numFmtId="0" fontId="56" fillId="29" borderId="3" xfId="3" applyFont="1" applyFill="1" applyBorder="1">
      <alignment horizontal="left" vertical="center" wrapText="1"/>
      <protection locked="0"/>
    </xf>
    <xf numFmtId="0" fontId="56" fillId="29" borderId="1" xfId="3" applyFont="1" applyFill="1" applyAlignment="1">
      <alignment horizontal="center" vertical="center" wrapText="1"/>
      <protection locked="0"/>
    </xf>
    <xf numFmtId="0" fontId="7" fillId="25" borderId="1" xfId="18" applyFont="1" applyFill="1">
      <alignment vertical="center" wrapText="1"/>
    </xf>
    <xf numFmtId="167" fontId="54" fillId="18" borderId="4" xfId="18" applyNumberFormat="1" applyFont="1" applyBorder="1" applyAlignment="1">
      <alignment horizontal="center" vertical="center" wrapText="1"/>
    </xf>
    <xf numFmtId="169" fontId="54" fillId="18" borderId="4" xfId="18" applyNumberFormat="1" applyFont="1" applyBorder="1" applyAlignment="1">
      <alignment horizontal="center" vertical="center" wrapText="1"/>
    </xf>
    <xf numFmtId="167" fontId="56" fillId="24" borderId="1" xfId="3" applyNumberFormat="1" applyFont="1" applyAlignment="1">
      <alignment horizontal="center" vertical="center" wrapText="1"/>
      <protection locked="0"/>
    </xf>
    <xf numFmtId="169" fontId="56" fillId="24" borderId="1" xfId="3" applyNumberFormat="1" applyFont="1" applyAlignment="1">
      <alignment horizontal="center" vertical="center" wrapText="1"/>
      <protection locked="0"/>
    </xf>
    <xf numFmtId="164" fontId="56" fillId="24" borderId="1" xfId="3" applyNumberFormat="1" applyFont="1" applyAlignment="1">
      <alignment horizontal="center" vertical="center" wrapText="1"/>
      <protection locked="0"/>
    </xf>
    <xf numFmtId="0" fontId="58" fillId="29" borderId="0" xfId="0" applyFont="1" applyFill="1" applyAlignment="1">
      <alignment horizontal="left"/>
    </xf>
    <xf numFmtId="0" fontId="57" fillId="21" borderId="1" xfId="19" applyFont="1" applyAlignment="1">
      <alignment horizontal="left" vertical="center" wrapText="1"/>
    </xf>
    <xf numFmtId="164" fontId="7" fillId="0" borderId="1" xfId="24" applyNumberFormat="1" applyFont="1" applyProtection="1">
      <alignment horizontal="left" vertical="center" wrapText="1"/>
      <protection hidden="1"/>
    </xf>
    <xf numFmtId="167" fontId="7" fillId="0" borderId="1" xfId="24" applyNumberFormat="1" applyFont="1" applyProtection="1">
      <alignment horizontal="left" vertical="center" wrapText="1"/>
      <protection hidden="1"/>
    </xf>
    <xf numFmtId="0" fontId="55" fillId="18" borderId="1" xfId="2" applyFont="1">
      <alignment horizontal="left" vertical="center" wrapText="1"/>
    </xf>
    <xf numFmtId="164" fontId="55" fillId="18" borderId="4" xfId="2" applyNumberFormat="1" applyFont="1" applyBorder="1">
      <alignment horizontal="left" vertical="center" wrapText="1"/>
    </xf>
    <xf numFmtId="168" fontId="7" fillId="0" borderId="3" xfId="24" applyNumberFormat="1" applyFont="1" applyBorder="1" applyProtection="1">
      <alignment horizontal="left" vertical="center" wrapText="1"/>
      <protection hidden="1"/>
    </xf>
    <xf numFmtId="0" fontId="55" fillId="18" borderId="9" xfId="0" applyFont="1" applyFill="1" applyBorder="1" applyAlignment="1">
      <alignment horizontal="left" vertical="center" wrapText="1"/>
    </xf>
    <xf numFmtId="167" fontId="55" fillId="0" borderId="1" xfId="0" applyNumberFormat="1" applyFont="1" applyBorder="1" applyAlignment="1" applyProtection="1">
      <alignment horizontal="left" vertical="center" wrapText="1"/>
      <protection hidden="1"/>
    </xf>
    <xf numFmtId="168" fontId="55" fillId="0" borderId="3" xfId="0" applyNumberFormat="1" applyFont="1" applyBorder="1" applyAlignment="1" applyProtection="1">
      <alignment horizontal="left" vertical="center" wrapText="1"/>
      <protection hidden="1"/>
    </xf>
    <xf numFmtId="164" fontId="7" fillId="0" borderId="1" xfId="37" applyNumberFormat="1" applyFont="1" applyBorder="1" applyAlignment="1" applyProtection="1">
      <alignment horizontal="left" vertical="center" wrapText="1"/>
      <protection hidden="1"/>
    </xf>
    <xf numFmtId="167" fontId="7" fillId="0" borderId="3" xfId="24" applyNumberFormat="1" applyFont="1" applyBorder="1" applyProtection="1">
      <alignment horizontal="left" vertical="center" wrapText="1"/>
      <protection hidden="1"/>
    </xf>
    <xf numFmtId="164" fontId="55" fillId="0" borderId="1" xfId="0" applyNumberFormat="1" applyFont="1" applyBorder="1" applyAlignment="1" applyProtection="1">
      <alignment horizontal="left" vertical="center" wrapText="1"/>
      <protection hidden="1"/>
    </xf>
    <xf numFmtId="167" fontId="55" fillId="0" borderId="3" xfId="0" applyNumberFormat="1" applyFont="1" applyBorder="1" applyAlignment="1" applyProtection="1">
      <alignment horizontal="left" vertical="center" wrapText="1"/>
      <protection hidden="1"/>
    </xf>
    <xf numFmtId="0" fontId="55" fillId="30" borderId="1" xfId="19" applyFont="1" applyFill="1" applyAlignment="1">
      <alignment horizontal="left" vertical="center" wrapText="1"/>
    </xf>
    <xf numFmtId="0" fontId="57" fillId="23" borderId="1" xfId="19" applyFont="1" applyFill="1" applyAlignment="1">
      <alignment horizontal="left" vertical="center" wrapText="1"/>
    </xf>
    <xf numFmtId="164" fontId="55" fillId="23" borderId="4" xfId="2" applyNumberFormat="1" applyFont="1" applyFill="1" applyBorder="1" applyProtection="1">
      <alignment horizontal="left" vertical="center" wrapText="1"/>
      <protection hidden="1"/>
    </xf>
    <xf numFmtId="0" fontId="57" fillId="16" borderId="10" xfId="17" applyFont="1" applyBorder="1" applyAlignment="1" applyProtection="1">
      <alignment vertical="center" wrapText="1"/>
    </xf>
    <xf numFmtId="166" fontId="1" fillId="0" borderId="1" xfId="39" applyNumberFormat="1" applyFont="1" applyBorder="1"/>
    <xf numFmtId="0" fontId="1" fillId="0" borderId="1" xfId="39" applyFont="1" applyBorder="1" applyAlignment="1">
      <alignment wrapText="1"/>
    </xf>
    <xf numFmtId="0" fontId="1" fillId="0" borderId="1" xfId="39" applyFont="1" applyBorder="1"/>
    <xf numFmtId="4" fontId="56" fillId="24" borderId="1" xfId="3" applyNumberFormat="1" applyFont="1" applyAlignment="1">
      <alignment horizontal="center" vertical="center" wrapText="1"/>
      <protection locked="0"/>
    </xf>
    <xf numFmtId="167" fontId="56" fillId="24" borderId="1" xfId="3" applyNumberFormat="1" applyFont="1">
      <alignment horizontal="left" vertical="center" wrapText="1"/>
      <protection locked="0"/>
    </xf>
    <xf numFmtId="0" fontId="55" fillId="31" borderId="1" xfId="2" applyFont="1" applyFill="1">
      <alignment horizontal="left" vertical="center" wrapText="1"/>
    </xf>
    <xf numFmtId="0" fontId="67" fillId="4" borderId="1" xfId="3" applyFont="1" applyFill="1">
      <alignment horizontal="left" vertical="center" wrapText="1"/>
      <protection locked="0"/>
    </xf>
    <xf numFmtId="0" fontId="55" fillId="18" borderId="1" xfId="18" applyFont="1" applyAlignment="1">
      <alignment horizontal="left" vertical="center" wrapText="1"/>
    </xf>
    <xf numFmtId="0" fontId="7" fillId="0" borderId="14" xfId="0" applyFont="1" applyBorder="1" applyAlignment="1">
      <alignment horizontal="left" vertical="top"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wrapText="1"/>
    </xf>
    <xf numFmtId="0" fontId="14" fillId="10" borderId="1" xfId="17" applyFont="1" applyFill="1" applyAlignment="1">
      <alignment horizontal="left" vertical="center" wrapText="1"/>
    </xf>
    <xf numFmtId="0" fontId="14" fillId="10" borderId="7" xfId="17" applyFont="1" applyFill="1" applyBorder="1" applyAlignment="1">
      <alignment horizontal="left"/>
    </xf>
    <xf numFmtId="0" fontId="14" fillId="10" borderId="11" xfId="17" applyFont="1" applyFill="1" applyBorder="1" applyAlignment="1">
      <alignment horizontal="left"/>
    </xf>
    <xf numFmtId="0" fontId="14" fillId="10" borderId="9" xfId="17" applyFont="1" applyFill="1" applyBorder="1" applyAlignment="1">
      <alignment horizontal="left"/>
    </xf>
    <xf numFmtId="0" fontId="62" fillId="29" borderId="0" xfId="22" applyFont="1" applyFill="1" applyAlignment="1">
      <alignment horizontal="left" vertical="center" wrapText="1"/>
    </xf>
    <xf numFmtId="0" fontId="14" fillId="10" borderId="3" xfId="17" applyFont="1" applyFill="1" applyBorder="1" applyAlignment="1">
      <alignment horizontal="left" vertical="center" wrapText="1"/>
    </xf>
    <xf numFmtId="0" fontId="14" fillId="10" borderId="4" xfId="17" applyFont="1" applyFill="1" applyBorder="1" applyAlignment="1">
      <alignment horizontal="left" vertical="center" wrapText="1"/>
    </xf>
    <xf numFmtId="0" fontId="7" fillId="0" borderId="0" xfId="0" applyFont="1" applyAlignment="1">
      <alignment horizontal="left" vertical="top" wrapText="1"/>
    </xf>
    <xf numFmtId="0" fontId="57" fillId="10" borderId="1" xfId="21" applyFont="1" applyAlignment="1">
      <alignment horizontal="center" vertical="center" wrapText="1"/>
    </xf>
    <xf numFmtId="0" fontId="57" fillId="10" borderId="3" xfId="21" applyFont="1" applyBorder="1" applyAlignment="1">
      <alignment horizontal="center" vertical="center" wrapText="1"/>
    </xf>
    <xf numFmtId="0" fontId="57" fillId="10" borderId="13" xfId="21" applyFont="1" applyBorder="1" applyAlignment="1">
      <alignment horizontal="center" vertical="center" wrapText="1"/>
    </xf>
    <xf numFmtId="0" fontId="57" fillId="10" borderId="4" xfId="21" applyFont="1" applyBorder="1" applyAlignment="1">
      <alignment horizontal="center" vertical="center" wrapText="1"/>
    </xf>
    <xf numFmtId="0" fontId="57" fillId="21" borderId="1" xfId="19" applyFont="1" applyAlignment="1">
      <alignment horizontal="center" vertical="center" wrapText="1"/>
    </xf>
    <xf numFmtId="0" fontId="65" fillId="10" borderId="1" xfId="17" applyFont="1" applyFill="1" applyAlignment="1">
      <alignment horizontal="left" vertical="center" wrapText="1"/>
    </xf>
    <xf numFmtId="0" fontId="7" fillId="0" borderId="0" xfId="0" applyFont="1" applyAlignment="1">
      <alignment horizontal="left" wrapText="1"/>
    </xf>
    <xf numFmtId="0" fontId="14" fillId="10" borderId="14" xfId="17" applyFont="1" applyFill="1" applyBorder="1" applyAlignment="1">
      <alignment horizontal="left"/>
    </xf>
    <xf numFmtId="0" fontId="14" fillId="10" borderId="3" xfId="17" applyFont="1" applyFill="1" applyBorder="1" applyAlignment="1">
      <alignment horizontal="left"/>
    </xf>
    <xf numFmtId="0" fontId="14" fillId="10" borderId="13" xfId="17" applyFont="1" applyFill="1" applyBorder="1" applyAlignment="1">
      <alignment horizontal="left"/>
    </xf>
    <xf numFmtId="0" fontId="14" fillId="10" borderId="6" xfId="17" applyFont="1" applyFill="1" applyBorder="1" applyAlignment="1">
      <alignment horizontal="left"/>
    </xf>
    <xf numFmtId="0" fontId="14" fillId="10" borderId="0" xfId="17" applyFont="1" applyFill="1" applyBorder="1" applyAlignment="1">
      <alignment horizontal="left"/>
    </xf>
    <xf numFmtId="0" fontId="31" fillId="18" borderId="1" xfId="2" applyAlignment="1">
      <alignment vertical="center" wrapText="1"/>
    </xf>
    <xf numFmtId="0" fontId="30" fillId="16" borderId="1" xfId="17" applyAlignment="1">
      <alignment horizontal="center" vertical="center" wrapText="1"/>
    </xf>
    <xf numFmtId="0" fontId="0" fillId="0" borderId="0" xfId="0" applyAlignment="1">
      <alignment horizontal="left" vertical="top" wrapText="1"/>
    </xf>
    <xf numFmtId="0" fontId="44" fillId="21" borderId="0" xfId="22" applyAlignment="1">
      <alignment horizontal="left" vertical="center" wrapText="1"/>
    </xf>
    <xf numFmtId="0" fontId="43" fillId="16" borderId="1" xfId="17" applyFont="1" applyAlignment="1">
      <alignment horizontal="center" vertical="center" wrapText="1"/>
    </xf>
    <xf numFmtId="0" fontId="30" fillId="16" borderId="1" xfId="17" applyAlignment="1">
      <alignment horizontal="center"/>
    </xf>
    <xf numFmtId="0" fontId="21" fillId="0" borderId="62" xfId="0" applyFont="1" applyBorder="1" applyAlignment="1">
      <alignment vertical="center"/>
    </xf>
    <xf numFmtId="0" fontId="21" fillId="0" borderId="33" xfId="0" applyFont="1" applyBorder="1" applyAlignment="1">
      <alignment vertical="center"/>
    </xf>
    <xf numFmtId="0" fontId="21" fillId="0" borderId="63" xfId="0" applyFont="1" applyBorder="1" applyAlignment="1">
      <alignment vertical="center"/>
    </xf>
    <xf numFmtId="0" fontId="21" fillId="0" borderId="43" xfId="0" applyFont="1" applyBorder="1" applyAlignment="1">
      <alignmen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64" xfId="0" applyFont="1" applyBorder="1" applyAlignment="1">
      <alignment horizontal="center" vertical="center"/>
    </xf>
    <xf numFmtId="0" fontId="21" fillId="0" borderId="32" xfId="0" applyFont="1" applyBorder="1" applyAlignment="1">
      <alignment horizontal="center" vertical="center"/>
    </xf>
    <xf numFmtId="0" fontId="21" fillId="0" borderId="44" xfId="0" applyFont="1" applyBorder="1" applyAlignment="1">
      <alignment horizontal="center" vertical="center" wrapText="1"/>
    </xf>
    <xf numFmtId="0" fontId="21" fillId="0" borderId="46" xfId="0" applyFont="1" applyBorder="1" applyAlignment="1">
      <alignment horizontal="center" vertical="center" wrapText="1"/>
    </xf>
    <xf numFmtId="0" fontId="12" fillId="17" borderId="26" xfId="26" applyBorder="1" applyAlignment="1">
      <alignment wrapText="1"/>
    </xf>
    <xf numFmtId="0" fontId="12" fillId="17" borderId="27" xfId="26" applyBorder="1" applyAlignment="1">
      <alignment wrapText="1"/>
    </xf>
    <xf numFmtId="0" fontId="12" fillId="17" borderId="28" xfId="26" applyBorder="1" applyAlignment="1">
      <alignment wrapText="1"/>
    </xf>
    <xf numFmtId="0" fontId="0" fillId="0" borderId="35" xfId="0" applyBorder="1" applyAlignment="1">
      <alignment vertical="center"/>
    </xf>
    <xf numFmtId="0" fontId="0" fillId="0" borderId="42" xfId="0" applyBorder="1" applyAlignment="1">
      <alignment vertical="center"/>
    </xf>
    <xf numFmtId="0" fontId="0" fillId="0" borderId="36" xfId="0" applyBorder="1" applyAlignment="1">
      <alignment vertical="center"/>
    </xf>
    <xf numFmtId="0" fontId="0" fillId="0" borderId="43" xfId="0" applyBorder="1" applyAlignment="1">
      <alignment vertical="center"/>
    </xf>
    <xf numFmtId="0" fontId="21" fillId="0" borderId="45" xfId="0" applyFont="1" applyBorder="1" applyAlignment="1">
      <alignment horizontal="center" vertical="center" wrapText="1"/>
    </xf>
    <xf numFmtId="0" fontId="55" fillId="31" borderId="1" xfId="2" applyFont="1" applyFill="1" applyAlignment="1">
      <alignment horizontal="left" vertical="center" wrapText="1"/>
    </xf>
    <xf numFmtId="0" fontId="56" fillId="4" borderId="1" xfId="3" applyFont="1" applyFill="1" applyAlignment="1">
      <alignment horizontal="left" vertical="center" wrapText="1"/>
      <protection locked="0"/>
    </xf>
    <xf numFmtId="0" fontId="7" fillId="0" borderId="1" xfId="24" applyFont="1" applyAlignment="1" applyProtection="1">
      <alignment horizontal="left" vertical="center" wrapText="1"/>
      <protection hidden="1"/>
    </xf>
    <xf numFmtId="0" fontId="34" fillId="0" borderId="0" xfId="24" applyBorder="1" applyAlignment="1">
      <alignment horizontal="left" vertical="center" wrapText="1"/>
    </xf>
    <xf numFmtId="0" fontId="37" fillId="0" borderId="0" xfId="24" applyFont="1" applyBorder="1" applyAlignment="1">
      <alignment horizontal="left" vertical="center" wrapText="1"/>
    </xf>
    <xf numFmtId="0" fontId="34" fillId="0" borderId="1" xfId="24" applyAlignment="1" applyProtection="1">
      <alignment horizontal="left" vertical="center" wrapText="1"/>
      <protection hidden="1"/>
    </xf>
    <xf numFmtId="0" fontId="12" fillId="16" borderId="1" xfId="23" applyAlignment="1">
      <alignment horizontal="center" vertical="center" wrapText="1"/>
    </xf>
    <xf numFmtId="14" fontId="33" fillId="24" borderId="1" xfId="3" applyNumberFormat="1" applyAlignment="1">
      <alignment horizontal="left" vertical="center" wrapText="1"/>
      <protection locked="0"/>
    </xf>
    <xf numFmtId="49" fontId="33" fillId="24" borderId="1" xfId="3" applyNumberFormat="1" applyAlignment="1">
      <alignment horizontal="left" vertical="center" wrapText="1"/>
      <protection locked="0"/>
    </xf>
    <xf numFmtId="0" fontId="12" fillId="17" borderId="22" xfId="26" applyAlignment="1">
      <alignment horizontal="left" wrapText="1"/>
    </xf>
  </cellXfs>
  <cellStyles count="40">
    <cellStyle name="20% - Accent1" xfId="32" builtinId="30" hidden="1"/>
    <cellStyle name="Bad" xfId="12" builtinId="27" hidden="1"/>
    <cellStyle name="Check Cell" xfId="29" builtinId="23" hidden="1"/>
    <cellStyle name="Currency" xfId="37" builtinId="4"/>
    <cellStyle name="Explanatory Text" xfId="31" builtinId="53" hidden="1"/>
    <cellStyle name="Followed Hyperlink" xfId="5" builtinId="9" customBuiltin="1"/>
    <cellStyle name="Good" xfId="11" builtinId="26" hidden="1"/>
    <cellStyle name="Heading 1" xfId="7" builtinId="16" hidden="1"/>
    <cellStyle name="Heading 1" xfId="20"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10" builtinId="19" hidden="1"/>
    <cellStyle name="Heading 4" xfId="35"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rmal 2" xfId="39" xr:uid="{7DFB0DAF-7494-4670-9B0C-7EAB18472ECD}"/>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279">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patternType="mediumGray"/>
      </fill>
    </dxf>
    <dxf>
      <fill>
        <patternFill patternType="mediumGray"/>
      </fill>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4" formatCode="&quot;$&quot;#,##0.00"/>
    </dxf>
    <dxf>
      <numFmt numFmtId="164" formatCode="&quot;$&quot;#,##0.00"/>
    </dxf>
    <dxf>
      <numFmt numFmtId="0" formatCode="General"/>
    </dxf>
    <dxf>
      <fill>
        <patternFill patternType="none">
          <fgColor indexed="64"/>
          <bgColor indexed="65"/>
        </patternFill>
      </fill>
    </dxf>
    <dxf>
      <fill>
        <patternFill>
          <bgColor theme="2"/>
        </patternFill>
      </fill>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strike val="0"/>
        <outline val="0"/>
        <shadow val="0"/>
        <u val="none"/>
        <vertAlign val="baseline"/>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tint="-4.9989318521683403E-2"/>
        </patternFill>
      </fill>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alignment horizontal="left"/>
      <border diagonalUp="0" diagonalDown="0">
        <left style="thin">
          <color auto="1"/>
        </left>
        <right style="thin">
          <color auto="1"/>
        </right>
        <top/>
        <bottom/>
      </border>
    </dxf>
    <dxf>
      <fill>
        <patternFill>
          <bgColor theme="2"/>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0.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border outline="0">
        <bottom style="thin">
          <color auto="1"/>
        </bottom>
      </border>
    </dxf>
    <dxf>
      <border outline="0">
        <left style="thin">
          <color auto="1"/>
        </left>
        <top style="thin">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6795556505021"/>
        </patternFill>
      </fill>
      <alignment horizontal="center" vertical="center" textRotation="0" wrapText="1" indent="0" justifyLastLine="0" shrinkToFit="0" readingOrder="0"/>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outline="0">
        <left style="thin">
          <color auto="1"/>
        </left>
        <right style="thin">
          <color auto="1"/>
        </right>
        <top/>
        <bottom/>
      </border>
    </dxf>
    <dxf>
      <fill>
        <patternFill>
          <bgColor theme="2"/>
        </patternFill>
      </fill>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right style="thin">
          <color indexed="64"/>
        </right>
      </border>
    </dxf>
    <dxf>
      <font>
        <b val="0"/>
        <i val="0"/>
        <strike val="0"/>
        <condense val="0"/>
        <extend val="0"/>
        <outline val="0"/>
        <shadow val="0"/>
        <u val="none"/>
        <vertAlign val="baseline"/>
        <sz val="10"/>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167" formatCode="#,##0.0"/>
      <alignment horizontal="center" vertical="center" textRotation="0" wrapText="1" indent="0" justifyLastLine="0" shrinkToFit="0" readingOrder="0"/>
    </dxf>
    <dxf>
      <font>
        <strike/>
        <outline val="0"/>
        <shadow val="0"/>
        <u val="none"/>
        <vertAlign val="baseline"/>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font>
        <outline val="0"/>
        <shadow val="0"/>
        <u val="none"/>
        <vertAlign val="baseline"/>
        <name val="Arial"/>
        <family val="2"/>
        <scheme val="none"/>
      </font>
      <alignment horizontal="left" vertical="center" textRotation="0" wrapText="1" indent="0" justifyLastLine="0" shrinkToFit="0" readingOrder="0"/>
      <border diagonalUp="0" diagonalDown="0" outline="0">
        <left style="thin">
          <color auto="1"/>
        </left>
        <right style="thin">
          <color auto="1"/>
        </right>
        <top/>
        <bottom/>
      </border>
    </dxf>
    <dxf>
      <fill>
        <patternFill>
          <bgColor rgb="FFC0C0C0"/>
        </patternFill>
      </fill>
    </dxf>
    <dxf>
      <fill>
        <patternFill>
          <bgColor rgb="FFC0C0C0"/>
        </patternFill>
      </fill>
    </dxf>
    <dxf>
      <fill>
        <patternFill>
          <bgColor rgb="FFC0C0C0"/>
        </patternFill>
      </fill>
    </dxf>
    <dxf>
      <fill>
        <patternFill>
          <bgColor theme="2"/>
        </patternFill>
      </fill>
    </dxf>
    <dxf>
      <fill>
        <patternFill>
          <bgColor rgb="FFC0C0C0"/>
        </patternFill>
      </fill>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278"/>
      <tableStyleElement type="firstRowStripe" dxfId="277"/>
      <tableStyleElement type="secondRowStripe" dxfId="276"/>
    </tableStyle>
    <tableStyle name="Input Cells 2" pivot="0" count="3" xr9:uid="{C2C6F8B6-F1BF-4C38-8C6C-F5810E96A7ED}">
      <tableStyleElement type="wholeTable" dxfId="275"/>
      <tableStyleElement type="firstRowStripe" dxfId="274"/>
      <tableStyleElement type="secondRowStripe" dxfId="273"/>
    </tableStyle>
    <tableStyle name="Invisible" pivot="0" table="0" count="0" xr9:uid="{608B31E0-24D9-463C-B6F1-B39AD8790504}"/>
    <tableStyle name="Lookup Table" pivot="0" count="7" xr9:uid="{7A430CEC-830A-4AC1-B89A-72EA92F001D4}">
      <tableStyleElement type="wholeTable" dxfId="272"/>
      <tableStyleElement type="headerRow" dxfId="271"/>
      <tableStyleElement type="totalRow" dxfId="270"/>
      <tableStyleElement type="firstColumn" dxfId="269"/>
      <tableStyleElement type="lastColumn" dxfId="268"/>
      <tableStyleElement type="firstRowStripe" dxfId="267"/>
      <tableStyleElement type="firstColumnStripe" dxfId="266"/>
    </tableStyle>
    <tableStyle name="No Input" pivot="0" count="3" xr9:uid="{6B172CA5-6E53-4EC8-A05C-2C0F8F85993F}">
      <tableStyleElement type="wholeTable" dxfId="265"/>
      <tableStyleElement type="firstRowStripe" dxfId="264"/>
      <tableStyleElement type="secondRowStripe" dxfId="263"/>
    </tableStyle>
  </tableStyles>
  <colors>
    <mruColors>
      <color rgb="FFC0C0C0"/>
      <color rgb="FF8DC63F"/>
      <color rgb="FFB41E83"/>
      <color rgb="FF006E51"/>
      <color rgb="FFC9E4A6"/>
      <color rgb="FFFFF2CC"/>
      <color rgb="FFFFFFCC"/>
      <color rgb="FF000000"/>
      <color rgb="FFDDDDDD"/>
      <color rgb="FF002D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1205865</xdr:colOff>
      <xdr:row>32</xdr:row>
      <xdr:rowOff>47625</xdr:rowOff>
    </xdr:from>
    <xdr:to>
      <xdr:col>4</xdr:col>
      <xdr:colOff>2550795</xdr:colOff>
      <xdr:row>34</xdr:row>
      <xdr:rowOff>83826</xdr:rowOff>
    </xdr:to>
    <xdr:pic>
      <xdr:nvPicPr>
        <xdr:cNvPr id="2" name="Picture 6">
          <a:extLst>
            <a:ext uri="{FF2B5EF4-FFF2-40B4-BE49-F238E27FC236}">
              <a16:creationId xmlns:a16="http://schemas.microsoft.com/office/drawing/2014/main" id="{0F71CE0A-D1D2-450C-9A4E-E1766E0A9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345" y="14899005"/>
          <a:ext cx="1344930" cy="356241"/>
        </a:xfrm>
        <a:prstGeom prst="rect">
          <a:avLst/>
        </a:prstGeom>
      </xdr:spPr>
    </xdr:pic>
    <xdr:clientData/>
  </xdr:twoCellAnchor>
  <xdr:twoCellAnchor editAs="oneCell">
    <xdr:from>
      <xdr:col>1</xdr:col>
      <xdr:colOff>57150</xdr:colOff>
      <xdr:row>0</xdr:row>
      <xdr:rowOff>152400</xdr:rowOff>
    </xdr:from>
    <xdr:to>
      <xdr:col>2</xdr:col>
      <xdr:colOff>758190</xdr:colOff>
      <xdr:row>0</xdr:row>
      <xdr:rowOff>648424</xdr:rowOff>
    </xdr:to>
    <xdr:pic>
      <xdr:nvPicPr>
        <xdr:cNvPr id="3" name="Picture 2">
          <a:extLst>
            <a:ext uri="{FF2B5EF4-FFF2-40B4-BE49-F238E27FC236}">
              <a16:creationId xmlns:a16="http://schemas.microsoft.com/office/drawing/2014/main" id="{7FCF3D72-FA9F-49DB-BD90-EF8CDD502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52400"/>
          <a:ext cx="1638300" cy="4960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45721</xdr:colOff>
      <xdr:row>29</xdr:row>
      <xdr:rowOff>98583</xdr:rowOff>
    </xdr:from>
    <xdr:to>
      <xdr:col>3</xdr:col>
      <xdr:colOff>60960</xdr:colOff>
      <xdr:row>31</xdr:row>
      <xdr:rowOff>23057</xdr:rowOff>
    </xdr:to>
    <xdr:pic>
      <xdr:nvPicPr>
        <xdr:cNvPr id="2" name="Picture 1">
          <a:extLst>
            <a:ext uri="{FF2B5EF4-FFF2-40B4-BE49-F238E27FC236}">
              <a16:creationId xmlns:a16="http://schemas.microsoft.com/office/drawing/2014/main" id="{9A5F5B8A-EC28-41FA-B166-F145A146D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6598443"/>
          <a:ext cx="998219" cy="259754"/>
        </a:xfrm>
        <a:prstGeom prst="rect">
          <a:avLst/>
        </a:prstGeom>
      </xdr:spPr>
    </xdr:pic>
    <xdr:clientData/>
  </xdr:twoCellAnchor>
  <xdr:twoCellAnchor editAs="oneCell">
    <xdr:from>
      <xdr:col>1</xdr:col>
      <xdr:colOff>47625</xdr:colOff>
      <xdr:row>0</xdr:row>
      <xdr:rowOff>257175</xdr:rowOff>
    </xdr:from>
    <xdr:to>
      <xdr:col>3</xdr:col>
      <xdr:colOff>668116</xdr:colOff>
      <xdr:row>0</xdr:row>
      <xdr:rowOff>733425</xdr:rowOff>
    </xdr:to>
    <xdr:pic>
      <xdr:nvPicPr>
        <xdr:cNvPr id="3" name="Picture 2">
          <a:extLst>
            <a:ext uri="{FF2B5EF4-FFF2-40B4-BE49-F238E27FC236}">
              <a16:creationId xmlns:a16="http://schemas.microsoft.com/office/drawing/2014/main" id="{000AA68B-95A9-4EEB-BCEF-0F359566CD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57175"/>
          <a:ext cx="1572991"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28576</xdr:colOff>
      <xdr:row>0</xdr:row>
      <xdr:rowOff>228600</xdr:rowOff>
    </xdr:from>
    <xdr:to>
      <xdr:col>2</xdr:col>
      <xdr:colOff>19051</xdr:colOff>
      <xdr:row>0</xdr:row>
      <xdr:rowOff>816907</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228600"/>
          <a:ext cx="1943100" cy="588307"/>
        </a:xfrm>
        <a:prstGeom prst="rect">
          <a:avLst/>
        </a:prstGeom>
      </xdr:spPr>
    </xdr:pic>
    <xdr:clientData/>
  </xdr:twoCellAnchor>
  <xdr:twoCellAnchor editAs="oneCell">
    <xdr:from>
      <xdr:col>1</xdr:col>
      <xdr:colOff>41910</xdr:colOff>
      <xdr:row>38</xdr:row>
      <xdr:rowOff>52285</xdr:rowOff>
    </xdr:from>
    <xdr:to>
      <xdr:col>1</xdr:col>
      <xdr:colOff>990600</xdr:colOff>
      <xdr:row>39</xdr:row>
      <xdr:rowOff>125636</xdr:rowOff>
    </xdr:to>
    <xdr:pic>
      <xdr:nvPicPr>
        <xdr:cNvPr id="3" name="Picture 2">
          <a:extLst>
            <a:ext uri="{FF2B5EF4-FFF2-40B4-BE49-F238E27FC236}">
              <a16:creationId xmlns:a16="http://schemas.microsoft.com/office/drawing/2014/main" id="{BDA23FD2-2374-4322-BC63-E7E4C0D24E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210" y="8548585"/>
          <a:ext cx="948690" cy="24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43</xdr:row>
      <xdr:rowOff>22507</xdr:rowOff>
    </xdr:from>
    <xdr:to>
      <xdr:col>1</xdr:col>
      <xdr:colOff>1108166</xdr:colOff>
      <xdr:row>44</xdr:row>
      <xdr:rowOff>130547</xdr:rowOff>
    </xdr:to>
    <xdr:pic>
      <xdr:nvPicPr>
        <xdr:cNvPr id="2" name="Picture 1">
          <a:extLst>
            <a:ext uri="{FF2B5EF4-FFF2-40B4-BE49-F238E27FC236}">
              <a16:creationId xmlns:a16="http://schemas.microsoft.com/office/drawing/2014/main" id="{DBF672E3-B3FE-4F4F-87B7-8A083DBF6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 y="9303667"/>
          <a:ext cx="1085306" cy="275680"/>
        </a:xfrm>
        <a:prstGeom prst="rect">
          <a:avLst/>
        </a:prstGeom>
      </xdr:spPr>
    </xdr:pic>
    <xdr:clientData/>
  </xdr:twoCellAnchor>
  <xdr:twoCellAnchor editAs="oneCell">
    <xdr:from>
      <xdr:col>1</xdr:col>
      <xdr:colOff>28575</xdr:colOff>
      <xdr:row>0</xdr:row>
      <xdr:rowOff>66674</xdr:rowOff>
    </xdr:from>
    <xdr:to>
      <xdr:col>1</xdr:col>
      <xdr:colOff>1724025</xdr:colOff>
      <xdr:row>0</xdr:row>
      <xdr:rowOff>580001</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66674"/>
          <a:ext cx="1695450" cy="513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17504</xdr:colOff>
      <xdr:row>20</xdr:row>
      <xdr:rowOff>91440</xdr:rowOff>
    </xdr:from>
    <xdr:to>
      <xdr:col>1</xdr:col>
      <xdr:colOff>990600</xdr:colOff>
      <xdr:row>22</xdr:row>
      <xdr:rowOff>22913</xdr:rowOff>
    </xdr:to>
    <xdr:pic>
      <xdr:nvPicPr>
        <xdr:cNvPr id="3" name="Picture 2">
          <a:extLst>
            <a:ext uri="{FF2B5EF4-FFF2-40B4-BE49-F238E27FC236}">
              <a16:creationId xmlns:a16="http://schemas.microsoft.com/office/drawing/2014/main" id="{FFA987C0-7170-4430-BDC3-DB666B3C09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44" y="4373880"/>
          <a:ext cx="973096" cy="266753"/>
        </a:xfrm>
        <a:prstGeom prst="rect">
          <a:avLst/>
        </a:prstGeom>
      </xdr:spPr>
    </xdr:pic>
    <xdr:clientData/>
  </xdr:twoCellAnchor>
  <xdr:twoCellAnchor editAs="oneCell">
    <xdr:from>
      <xdr:col>1</xdr:col>
      <xdr:colOff>53340</xdr:colOff>
      <xdr:row>0</xdr:row>
      <xdr:rowOff>91440</xdr:rowOff>
    </xdr:from>
    <xdr:to>
      <xdr:col>1</xdr:col>
      <xdr:colOff>1642542</xdr:colOff>
      <xdr:row>0</xdr:row>
      <xdr:rowOff>567690</xdr:rowOff>
    </xdr:to>
    <xdr:pic>
      <xdr:nvPicPr>
        <xdr:cNvPr id="4" name="Picture 3">
          <a:extLst>
            <a:ext uri="{FF2B5EF4-FFF2-40B4-BE49-F238E27FC236}">
              <a16:creationId xmlns:a16="http://schemas.microsoft.com/office/drawing/2014/main" id="{DA8093EF-ECF2-47C7-9772-CBCB0946BB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91440"/>
          <a:ext cx="1594917" cy="464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30481</xdr:colOff>
      <xdr:row>60</xdr:row>
      <xdr:rowOff>68370</xdr:rowOff>
    </xdr:from>
    <xdr:to>
      <xdr:col>2</xdr:col>
      <xdr:colOff>645796</xdr:colOff>
      <xdr:row>61</xdr:row>
      <xdr:rowOff>153084</xdr:rowOff>
    </xdr:to>
    <xdr:pic>
      <xdr:nvPicPr>
        <xdr:cNvPr id="2" name="Picture 1">
          <a:extLst>
            <a:ext uri="{FF2B5EF4-FFF2-40B4-BE49-F238E27FC236}">
              <a16:creationId xmlns:a16="http://schemas.microsoft.com/office/drawing/2014/main" id="{223C6C8A-B192-460A-A2D1-9EAA234B2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1" y="11345970"/>
          <a:ext cx="990600" cy="252354"/>
        </a:xfrm>
        <a:prstGeom prst="rect">
          <a:avLst/>
        </a:prstGeom>
      </xdr:spPr>
    </xdr:pic>
    <xdr:clientData/>
  </xdr:twoCellAnchor>
  <xdr:twoCellAnchor editAs="oneCell">
    <xdr:from>
      <xdr:col>1</xdr:col>
      <xdr:colOff>7620</xdr:colOff>
      <xdr:row>0</xdr:row>
      <xdr:rowOff>99060</xdr:rowOff>
    </xdr:from>
    <xdr:to>
      <xdr:col>3</xdr:col>
      <xdr:colOff>613842</xdr:colOff>
      <xdr:row>0</xdr:row>
      <xdr:rowOff>567690</xdr:rowOff>
    </xdr:to>
    <xdr:pic>
      <xdr:nvPicPr>
        <xdr:cNvPr id="5" name="Picture 4">
          <a:extLst>
            <a:ext uri="{FF2B5EF4-FFF2-40B4-BE49-F238E27FC236}">
              <a16:creationId xmlns:a16="http://schemas.microsoft.com/office/drawing/2014/main" id="{5040D724-E485-454D-A0CF-F45BC4800B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99060"/>
          <a:ext cx="1589202" cy="464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914400</xdr:colOff>
      <xdr:row>56</xdr:row>
      <xdr:rowOff>129062</xdr:rowOff>
    </xdr:from>
    <xdr:to>
      <xdr:col>6</xdr:col>
      <xdr:colOff>607151</xdr:colOff>
      <xdr:row>59</xdr:row>
      <xdr:rowOff>1007</xdr:rowOff>
    </xdr:to>
    <xdr:pic>
      <xdr:nvPicPr>
        <xdr:cNvPr id="2" name="Picture 1">
          <a:extLst>
            <a:ext uri="{FF2B5EF4-FFF2-40B4-BE49-F238E27FC236}">
              <a16:creationId xmlns:a16="http://schemas.microsoft.com/office/drawing/2014/main" id="{C35AD7B1-A754-4214-A47B-540B441632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xdr:col>
      <xdr:colOff>60960</xdr:colOff>
      <xdr:row>0</xdr:row>
      <xdr:rowOff>121920</xdr:rowOff>
    </xdr:from>
    <xdr:to>
      <xdr:col>3</xdr:col>
      <xdr:colOff>612871</xdr:colOff>
      <xdr:row>0</xdr:row>
      <xdr:rowOff>605790</xdr:rowOff>
    </xdr:to>
    <xdr:pic>
      <xdr:nvPicPr>
        <xdr:cNvPr id="3" name="Picture 2">
          <a:extLst>
            <a:ext uri="{FF2B5EF4-FFF2-40B4-BE49-F238E27FC236}">
              <a16:creationId xmlns:a16="http://schemas.microsoft.com/office/drawing/2014/main" id="{64808100-F357-42D0-AD59-AB52DCB68B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21920"/>
          <a:ext cx="1588231"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19051</xdr:colOff>
      <xdr:row>39</xdr:row>
      <xdr:rowOff>41253</xdr:rowOff>
    </xdr:from>
    <xdr:to>
      <xdr:col>3</xdr:col>
      <xdr:colOff>15241</xdr:colOff>
      <xdr:row>40</xdr:row>
      <xdr:rowOff>114770</xdr:rowOff>
    </xdr:to>
    <xdr:pic>
      <xdr:nvPicPr>
        <xdr:cNvPr id="2" name="Picture 1">
          <a:extLst>
            <a:ext uri="{FF2B5EF4-FFF2-40B4-BE49-F238E27FC236}">
              <a16:creationId xmlns:a16="http://schemas.microsoft.com/office/drawing/2014/main" id="{AD8F9690-FA8F-4E1D-8B23-0CE080DF6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1" y="7699353"/>
          <a:ext cx="971550" cy="241157"/>
        </a:xfrm>
        <a:prstGeom prst="rect">
          <a:avLst/>
        </a:prstGeom>
      </xdr:spPr>
    </xdr:pic>
    <xdr:clientData/>
  </xdr:twoCellAnchor>
  <xdr:twoCellAnchor editAs="oneCell">
    <xdr:from>
      <xdr:col>1</xdr:col>
      <xdr:colOff>45720</xdr:colOff>
      <xdr:row>0</xdr:row>
      <xdr:rowOff>140970</xdr:rowOff>
    </xdr:from>
    <xdr:to>
      <xdr:col>3</xdr:col>
      <xdr:colOff>681451</xdr:colOff>
      <xdr:row>0</xdr:row>
      <xdr:rowOff>613410</xdr:rowOff>
    </xdr:to>
    <xdr:pic>
      <xdr:nvPicPr>
        <xdr:cNvPr id="3" name="Picture 2">
          <a:extLst>
            <a:ext uri="{FF2B5EF4-FFF2-40B4-BE49-F238E27FC236}">
              <a16:creationId xmlns:a16="http://schemas.microsoft.com/office/drawing/2014/main" id="{5C8A0697-3361-4B34-A9DF-C9E74225B4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40970"/>
          <a:ext cx="1580611" cy="4724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49530</xdr:colOff>
      <xdr:row>36</xdr:row>
      <xdr:rowOff>10535</xdr:rowOff>
    </xdr:from>
    <xdr:to>
      <xdr:col>19</xdr:col>
      <xdr:colOff>31841</xdr:colOff>
      <xdr:row>38</xdr:row>
      <xdr:rowOff>71492</xdr:rowOff>
    </xdr:to>
    <xdr:pic>
      <xdr:nvPicPr>
        <xdr:cNvPr id="2" name="Picture 1">
          <a:extLst>
            <a:ext uri="{FF2B5EF4-FFF2-40B4-BE49-F238E27FC236}">
              <a16:creationId xmlns:a16="http://schemas.microsoft.com/office/drawing/2014/main" id="{1946031A-4122-42B9-B717-E0A5DC332B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68450" y="6876155"/>
          <a:ext cx="1513931" cy="373377"/>
        </a:xfrm>
        <a:prstGeom prst="rect">
          <a:avLst/>
        </a:prstGeom>
      </xdr:spPr>
    </xdr:pic>
    <xdr:clientData/>
  </xdr:twoCellAnchor>
  <xdr:twoCellAnchor editAs="oneCell">
    <xdr:from>
      <xdr:col>1</xdr:col>
      <xdr:colOff>49530</xdr:colOff>
      <xdr:row>0</xdr:row>
      <xdr:rowOff>160020</xdr:rowOff>
    </xdr:from>
    <xdr:to>
      <xdr:col>3</xdr:col>
      <xdr:colOff>628111</xdr:colOff>
      <xdr:row>0</xdr:row>
      <xdr:rowOff>643890</xdr:rowOff>
    </xdr:to>
    <xdr:pic>
      <xdr:nvPicPr>
        <xdr:cNvPr id="3" name="Picture 2">
          <a:extLst>
            <a:ext uri="{FF2B5EF4-FFF2-40B4-BE49-F238E27FC236}">
              <a16:creationId xmlns:a16="http://schemas.microsoft.com/office/drawing/2014/main" id="{4306246F-CB66-43A4-B3BD-1A3653C6F1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310" y="160020"/>
          <a:ext cx="1572991" cy="472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15239</xdr:colOff>
      <xdr:row>40</xdr:row>
      <xdr:rowOff>79283</xdr:rowOff>
    </xdr:from>
    <xdr:to>
      <xdr:col>3</xdr:col>
      <xdr:colOff>7620</xdr:colOff>
      <xdr:row>42</xdr:row>
      <xdr:rowOff>2023</xdr:rowOff>
    </xdr:to>
    <xdr:pic>
      <xdr:nvPicPr>
        <xdr:cNvPr id="2" name="Picture 1">
          <a:extLst>
            <a:ext uri="{FF2B5EF4-FFF2-40B4-BE49-F238E27FC236}">
              <a16:creationId xmlns:a16="http://schemas.microsoft.com/office/drawing/2014/main" id="{6781F140-D3FD-4376-A3E1-199350AE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19" y="7874543"/>
          <a:ext cx="1013461" cy="252305"/>
        </a:xfrm>
        <a:prstGeom prst="rect">
          <a:avLst/>
        </a:prstGeom>
      </xdr:spPr>
    </xdr:pic>
    <xdr:clientData/>
  </xdr:twoCellAnchor>
  <xdr:twoCellAnchor editAs="oneCell">
    <xdr:from>
      <xdr:col>1</xdr:col>
      <xdr:colOff>26670</xdr:colOff>
      <xdr:row>0</xdr:row>
      <xdr:rowOff>45720</xdr:rowOff>
    </xdr:from>
    <xdr:to>
      <xdr:col>3</xdr:col>
      <xdr:colOff>597631</xdr:colOff>
      <xdr:row>0</xdr:row>
      <xdr:rowOff>529590</xdr:rowOff>
    </xdr:to>
    <xdr:pic>
      <xdr:nvPicPr>
        <xdr:cNvPr id="3" name="Picture 2">
          <a:extLst>
            <a:ext uri="{FF2B5EF4-FFF2-40B4-BE49-F238E27FC236}">
              <a16:creationId xmlns:a16="http://schemas.microsoft.com/office/drawing/2014/main" id="{18826F9D-35DF-45B5-859E-8A2C05FA7E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45720"/>
          <a:ext cx="1563466" cy="4838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41911</xdr:colOff>
      <xdr:row>39</xdr:row>
      <xdr:rowOff>118521</xdr:rowOff>
    </xdr:from>
    <xdr:to>
      <xdr:col>3</xdr:col>
      <xdr:colOff>22861</xdr:colOff>
      <xdr:row>41</xdr:row>
      <xdr:rowOff>40720</xdr:rowOff>
    </xdr:to>
    <xdr:pic>
      <xdr:nvPicPr>
        <xdr:cNvPr id="2" name="Picture 1">
          <a:extLst>
            <a:ext uri="{FF2B5EF4-FFF2-40B4-BE49-F238E27FC236}">
              <a16:creationId xmlns:a16="http://schemas.microsoft.com/office/drawing/2014/main" id="{BA2729B5-D607-49E0-A022-A486EF9E3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691" y="7791861"/>
          <a:ext cx="986790" cy="257479"/>
        </a:xfrm>
        <a:prstGeom prst="rect">
          <a:avLst/>
        </a:prstGeom>
      </xdr:spPr>
    </xdr:pic>
    <xdr:clientData/>
  </xdr:twoCellAnchor>
  <xdr:twoCellAnchor editAs="oneCell">
    <xdr:from>
      <xdr:col>1</xdr:col>
      <xdr:colOff>30480</xdr:colOff>
      <xdr:row>0</xdr:row>
      <xdr:rowOff>68580</xdr:rowOff>
    </xdr:from>
    <xdr:to>
      <xdr:col>3</xdr:col>
      <xdr:colOff>643351</xdr:colOff>
      <xdr:row>0</xdr:row>
      <xdr:rowOff>567690</xdr:rowOff>
    </xdr:to>
    <xdr:pic>
      <xdr:nvPicPr>
        <xdr:cNvPr id="3" name="Picture 2">
          <a:extLst>
            <a:ext uri="{FF2B5EF4-FFF2-40B4-BE49-F238E27FC236}">
              <a16:creationId xmlns:a16="http://schemas.microsoft.com/office/drawing/2014/main" id="{DB9CA431-5EE0-44CD-85EC-B0A1FBF3F5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68580"/>
          <a:ext cx="1578706" cy="48006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5:X55" totalsRowShown="0" headerRowDxfId="257" dataDxfId="256" headerRowBorderDxfId="254" tableBorderDxfId="255" totalsRowBorderDxfId="253" headerRowCellStyle="Table Top 1" dataCellStyle="Locked Cell">
  <tableColumns count="23">
    <tableColumn id="1" xr3:uid="{8F9C875C-9563-4ABB-B625-09C157533782}" name="Line ref. no." dataDxfId="252" dataCellStyle="Locked Cell"/>
    <tableColumn id="2" xr3:uid="{46C6C011-1316-4CC5-A76D-C108F8C6CA48}" name="Measure number" dataDxfId="251" dataCellStyle="Locked Cell">
      <calculatedColumnFormula>IFERROR(INDEX(Table_Prescript_Meas[Measure Number], MATCH(E6, Table_Prescript_Meas[Measure Description], 0)), "")</calculatedColumnFormula>
    </tableColumn>
    <tableColumn id="3" xr3:uid="{B3CC9771-7C6F-449B-85D9-1ECC10D7772F}" name="Location/measure notes" dataDxfId="250" dataCellStyle="Locked Cell"/>
    <tableColumn id="4" xr3:uid="{81D64D76-AD10-4279-8BB9-C983A5F9AFD2}" name="HVAC measure" dataDxfId="249" dataCellStyle="Input General"/>
    <tableColumn id="5" xr3:uid="{4C67F5B5-106B-4EE5-80F4-0928E678A73D}" name="Unit of measure" dataDxfId="248" dataCellStyle="Locked Cell">
      <calculatedColumnFormula>IFERROR(INDEX(Table_Prescript_Meas[Units], MATCH(Table_PrescriptLights_Input[[#This Row],[Measure number]], Table_Prescript_Meas[Measure Number], 0)), "")</calculatedColumnFormula>
    </tableColumn>
    <tableColumn id="9" xr3:uid="{1C657E22-9C15-4CE8-82E7-5398C82E25D2}" name="Number of Units" dataDxfId="247" dataCellStyle="Input General"/>
    <tableColumn id="10" xr3:uid="{C532AE0C-A30F-4097-B954-D6D224E96ABC}" name="Tonnage per Unit (if necessary)" dataDxfId="246" dataCellStyle="Input General"/>
    <tableColumn id="11" xr3:uid="{8B0B5FB3-13B3-45D7-9964-277CF94DDFD5}" name="Unit Make &amp; Model (if necessary)" dataDxfId="245" dataCellStyle="Input General"/>
    <tableColumn id="8" xr3:uid="{1F1CA8C4-3BDE-4AC5-BAA5-4B9E0FEE46DB}" name="EER" dataDxfId="244" dataCellStyle="Input General"/>
    <tableColumn id="7" xr3:uid="{7FB1A9D2-0768-42EE-8DA6-A7C20C689834}" name="IEER/SEER" dataDxfId="243" dataCellStyle="Input General"/>
    <tableColumn id="6" xr3:uid="{AF5137A2-3546-4378-82AE-0C85FBDAF122}" name="HSPF" dataDxfId="242" dataCellStyle="Input General"/>
    <tableColumn id="12" xr3:uid="{C526DDC4-27C0-40D5-A71D-F6A121039160}" name="Full Load kW/Ton" dataDxfId="241" dataCellStyle="Input General"/>
    <tableColumn id="13" xr3:uid="{A1E70657-90FA-48C6-AAB7-4F7DC7D1C6FE}" name="Part Load (IPLV) kW/Ton" dataDxfId="240" dataCellStyle="Input General"/>
    <tableColumn id="14" xr3:uid="{E3C62EC6-E0E5-44D8-8322-4915701CD4C7}" name="Total equipment cost" dataDxfId="239" dataCellStyle="Input General"/>
    <tableColumn id="15" xr3:uid="{73391BD7-BA9B-4655-8D59-8036683B6997}" name="Total labor cost" dataDxfId="238" dataCellStyle="Input General"/>
    <tableColumn id="16" xr3:uid="{75D6130F-A3AD-4B6C-8D4A-A9BF89230E2D}" name="Per-unit incentive" dataDxfId="237" dataCellStyle="Locked Cell">
      <calculatedColumnFormula>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236" dataCellStyle="Locked Cell">
      <calculatedColumnFormula>IFERROR(Table_PrescriptLights_Input[[#This Row],[Per-unit incentive]]*Table_PrescriptLights_Input[[#This Row],[Number of Units]],"")</calculatedColumnFormula>
    </tableColumn>
    <tableColumn id="18" xr3:uid="{242BB73F-FF6A-4795-8760-4BF5E54052DF}" name="Energy savings (kWh)" dataDxfId="235"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calculatedColumnFormula>
    </tableColumn>
    <tableColumn id="20" xr3:uid="{1D47EF14-5FDD-46D6-BD70-A783441979ED}" name="Demand reduction (kW)" dataDxfId="234"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calculatedColumnFormula>
    </tableColumn>
    <tableColumn id="19" xr3:uid="{9353DCEE-B0B9-4D5E-99AD-C689A8C09023}" name="Cost savings" dataDxfId="233" dataCellStyle="Locked Cell">
      <calculatedColumnFormula>IFERROR(Table_PrescriptLights_Input[[#This Row],[Energy savings (kWh)]]*Input_AvgkWhRate, "")</calculatedColumnFormula>
    </tableColumn>
    <tableColumn id="25" xr3:uid="{F3721235-2AC1-4A24-BEAB-C067BFB49151}" name="Gross measure cost" dataDxfId="232" dataCellStyle="Locked Cell">
      <calculatedColumnFormula>IF(Table_PrescriptLights_Input[[#This Row],[HVAC measure]]="", "",Table_PrescriptLights_Input[[#This Row],[Total equipment cost]]+Table_PrescriptLights_Input[[#This Row],[Total labor cost]])</calculatedColumnFormula>
    </tableColumn>
    <tableColumn id="21" xr3:uid="{61B34AB5-3923-452A-A360-BEE9FD62F90C}" name="Net measure cost" dataDxfId="231"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230" dataCellStyle="Locked Cell">
      <calculatedColumnFormula>IFERROR($W6/$U6,"")</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M98" totalsRowShown="0">
  <autoFilter ref="D3:M98" xr:uid="{1E796AFA-733C-434F-BDDC-2899ECA53AB7}"/>
  <sortState xmlns:xlrd2="http://schemas.microsoft.com/office/spreadsheetml/2017/richdata2" ref="D4:K67">
    <sortCondition ref="D3:D67"/>
  </sortState>
  <tableColumns count="10">
    <tableColumn id="13" xr3:uid="{012E9E51-5028-4922-9691-1FBAD313D544}" name="Sort Order"/>
    <tableColumn id="7" xr3:uid="{AB63D968-5021-493B-BE1F-3A64316ACC31}" name="Type" dataDxfId="58"/>
    <tableColumn id="5" xr3:uid="{F18435E4-A28A-404F-9592-218A633520A0}" name="Measure Number" dataDxfId="57"/>
    <tableColumn id="1" xr3:uid="{A3E2A2E2-AD9F-4EDF-8AD1-B97F6A2E727B}" name="Measure Description"/>
    <tableColumn id="2" xr3:uid="{62C320E2-6C47-4072-836B-0FA25E2EA64A}" name="Incentive - SC" dataDxfId="56"/>
    <tableColumn id="3" xr3:uid="{9829818C-AAD4-47CD-862A-5F923ABB1CAC}" name="Incentive - LC" dataDxfId="55"/>
    <tableColumn id="4" xr3:uid="{B3C7B82F-2C2A-4B14-952B-B59A9EAADE36}" name="Units"/>
    <tableColumn id="10" xr3:uid="{C8C6E27F-E414-402B-93BF-418D93F7AE06}" name="Deemed kWh Savings"/>
    <tableColumn id="8" xr3:uid="{3641EB83-A3B7-48F3-85CD-C934D13930A5}" name="Deemed kW Savings"/>
    <tableColumn id="6" xr3:uid="{38E6EACF-9D92-4464-93CB-A4109D911BE6}" name="Hybrid Lookup"/>
  </tableColumns>
  <tableStyleInfo name="Lookup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W3:X5" totalsRowShown="0">
  <autoFilter ref="W3:X5" xr:uid="{13F43150-BB1D-49F2-B060-6A5BF0371595}"/>
  <tableColumns count="2">
    <tableColumn id="1" xr3:uid="{3BF8EA89-AC12-46F5-99CC-41C83E731F21}" name="List_Programs" dataDxfId="54"/>
    <tableColumn id="2" xr3:uid="{488C031A-DF45-4211-A4B9-CE139C7ED760}" name="Custom Incentive Rate" dataDxfId="53"/>
  </tableColumns>
  <tableStyleInfo name="Lookup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BA98990-6055-4435-BE62-36059C88FFDB}" name="Table_WinFilm_Savings" displayName="Table_WinFilm_Savings" ref="P3:U12" totalsRowShown="0" headerRowDxfId="52">
  <autoFilter ref="P3:U12" xr:uid="{CBA98990-6055-4435-BE62-36059C88FFDB}"/>
  <tableColumns count="6">
    <tableColumn id="1" xr3:uid="{5A968875-7C13-4230-B364-067046DEB1B9}" name="Measure No" dataDxfId="51">
      <calculatedColumnFormula>$F$40</calculatedColumnFormula>
    </tableColumn>
    <tableColumn id="2" xr3:uid="{8AEEAEE9-5AF0-4971-B641-8AC45F45BBBD}" name="HVAC System"/>
    <tableColumn id="3" xr3:uid="{E0D1F54F-4C1B-42BD-8056-8B2DC5B55E8D}" name="Cardinal Direction"/>
    <tableColumn id="4" xr3:uid="{D905EADD-608F-4E86-B5DC-CFF4B1957A70}" name="Lookup Detail" dataDxfId="50">
      <calculatedColumnFormula>_xlfn.CONCAT($AQ$4,Table_WinFilm_Savings[[#This Row],[Cardinal Direction]])</calculatedColumnFormula>
    </tableColumn>
    <tableColumn id="5" xr3:uid="{49C38D12-6A98-4B63-8AD3-2CF38ADAFCA1}" name="Deemed kWh Savings">
      <calculatedColumnFormula>K40</calculatedColumnFormula>
    </tableColumn>
    <tableColumn id="6" xr3:uid="{5F575E9B-8880-47C3-8351-7F40B4A82FDF}" name="Deemed kW Savings">
      <calculatedColumnFormula>L40</calculatedColumnFormula>
    </tableColumn>
  </tableColumns>
  <tableStyleInfo name="Lookup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DC6C38-602F-46F6-8B25-C7BF32CC5375}" name="Table_EffWindow_Savings" displayName="Table_EffWindow_Savings" ref="P15:U23" totalsRowShown="0" headerRowDxfId="49">
  <autoFilter ref="P15:U23" xr:uid="{28DC6C38-602F-46F6-8B25-C7BF32CC5375}"/>
  <tableColumns count="6">
    <tableColumn id="1" xr3:uid="{5E3AE982-9399-470B-AA62-E400260F541F}" name="Measure No" dataDxfId="48"/>
    <tableColumn id="2" xr3:uid="{21D644E8-B128-448B-9DD5-14FA088B6DF0}" name="HVAC System"/>
    <tableColumn id="3" xr3:uid="{32C8D3B7-EF56-4A27-BE46-05F2A5F5889F}" name="Cardinal Direction"/>
    <tableColumn id="4" xr3:uid="{E5338DFC-4F5B-42EC-A523-38B2C9F8F435}" name="Lookup Detail" dataDxfId="47"/>
    <tableColumn id="5" xr3:uid="{3743021F-C34C-4B95-89ED-A4974FF9D7CA}" name="Deemed kWh Savings"/>
    <tableColumn id="6" xr3:uid="{F67A21E0-ED32-4E83-8930-67F54AFE7E3C}" name="Deemed kW Savings"/>
  </tableColumns>
  <tableStyleInfo name="Lookup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9" totalsRowCount="1" headerRowDxfId="46">
  <autoFilter ref="A2:J8" xr:uid="{A563531E-FBF8-4AB3-A38F-7060C6F74F42}"/>
  <tableColumns count="10">
    <tableColumn id="1" xr3:uid="{2FC0691E-AA41-4B72-B587-A8266560EB57}" name="Worksheet" totalsRowLabel="Total"/>
    <tableColumn id="10" xr3:uid="{A9369F91-9D6F-4877-91DA-479A193A41D3}" name="Measure Type" dataDxfId="45">
      <calculatedColumnFormula>'Review the Summary'!B27</calculatedColumnFormula>
    </tableColumn>
    <tableColumn id="2" xr3:uid="{D83E28AC-8A76-4C16-B98B-2F373B5D0392}" name="Estimated Raw Incentive Total" totalsRowFunction="sum" dataDxfId="43" totalsRowDxfId="44"/>
    <tableColumn id="3" xr3:uid="{A6A92779-0E26-4488-9339-91277CD00D3C}" name="Energy Savings Total (kWh)" totalsRowFunction="sum" dataDxfId="41" totalsRowDxfId="42"/>
    <tableColumn id="4" xr3:uid="{A75B0FC7-F4C9-4E23-905D-A7F086D7E388}" name="Demand Reduction Total (kW)" totalsRowFunction="sum" dataDxfId="39" totalsRowDxfId="40"/>
    <tableColumn id="5" xr3:uid="{F9FA9204-4436-47C3-AA70-EC693EF4524F}" name="Cost Savings Total" totalsRowFunction="sum" dataDxfId="37" totalsRowDxfId="38"/>
    <tableColumn id="6" xr3:uid="{A131607F-447F-4B40-BE76-6650AAE820EE}" name="Gross Measure Cost Total" totalsRowFunction="sum" dataDxfId="35" totalsRowDxfId="36"/>
    <tableColumn id="7" xr3:uid="{0C6C6173-2706-4EAD-B4A7-49D90713FBE0}" name="Net Measure Cost Total" totalsRowFunction="sum" dataDxfId="33" totalsRowDxfId="34"/>
    <tableColumn id="8" xr3:uid="{3572CC4A-960F-4F3C-B657-B59E0880F64C}" name="Raw ItoC Ratio" totalsRowFunction="custom" dataDxfId="31" totalsRowDxfId="32"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29" totalsRowDxfId="30">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28"/>
    <tableColumn id="2" xr3:uid="{C33A9D64-1008-475E-A872-2D8F666A9B33}" name="Raw Incentive Total" dataDxfId="27"/>
    <tableColumn id="3" xr3:uid="{B530129D-6CA1-490C-A4CC-5B847BFF5C7F}" name="Uncapped Bonus" dataDxfId="26"/>
    <tableColumn id="4" xr3:uid="{84BE2AB8-EAE8-4601-B451-E59BE06594F1}" name="Final Bonus" dataDxfId="25"/>
  </tableColumns>
  <tableStyleInfo name="Lookup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24"/>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23">
      <calculatedColumnFormula>'Fill in the Application'!F30</calculatedColumnFormula>
    </tableColumn>
    <tableColumn id="16" xr3:uid="{7CA4F0D1-7754-471C-8DEB-CAEB6649B745}" name="Check Payable To" dataDxfId="22">
      <calculatedColumnFormula>'Fill in the Application'!F31</calculatedColumnFormula>
    </tableColumn>
    <tableColumn id="17" xr3:uid="{772C63A5-044F-47D7-89C5-9E60AFFC552A}" name="Federal Tax ID Number" dataDxfId="21">
      <calculatedColumnFormula>'Fill in the Application'!F32</calculatedColumnFormula>
    </tableColumn>
    <tableColumn id="18" xr3:uid="{F71E6A60-E971-4C2E-96C9-6C8A1944A1FF}" name="Tax Entity" dataDxfId="20">
      <calculatedColumnFormula>'Fill in the Application'!F33</calculatedColumnFormula>
    </tableColumn>
  </tableColumns>
  <tableStyleInfo name="Lookup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M212" totalsRowShown="0" headerRowDxfId="17" dataDxfId="16" headerRowBorderDxfId="14" tableBorderDxfId="15" totalsRowBorderDxfId="13">
  <autoFilter ref="A1:M212" xr:uid="{AC1521BA-AD84-493D-AF13-55C57F1C1791}"/>
  <tableColumns count="13">
    <tableColumn id="1" xr3:uid="{3DB06459-5EF0-4845-87C6-71093DF4D059}" name="Tab" dataDxfId="12"/>
    <tableColumn id="2" xr3:uid="{9EDF22A4-E4B2-48B6-AD3D-0BE485A40D26}" name="Project Number" dataDxfId="11">
      <calculatedColumnFormula>Input_ProjectNumber</calculatedColumnFormula>
    </tableColumn>
    <tableColumn id="3" xr3:uid="{F859D182-8016-4172-A4B6-3B0EEE37FAE5}" name="Line Ref No." dataDxfId="10"/>
    <tableColumn id="4" xr3:uid="{C54F4813-8C41-4CD8-A0D4-73CBF600E09F}" name="Measure Number" dataDxfId="9"/>
    <tableColumn id="5" xr3:uid="{19E1D120-0A8A-4B1A-94ED-FA426FDD8475}" name="Unit of Measure" dataDxfId="8"/>
    <tableColumn id="6" xr3:uid="{1F77E8C1-7320-44EA-8A57-57259BF07F35}" name="Units" dataDxfId="7"/>
    <tableColumn id="7" xr3:uid="{1F937121-6018-4D01-A8F7-949B9D82B1AC}" name="kWh Savings" dataDxfId="6"/>
    <tableColumn id="8" xr3:uid="{36567BEC-6C41-4BEF-841E-E148D3329C61}" name="kW Savings" dataDxfId="5"/>
    <tableColumn id="9" xr3:uid="{A460E20F-8F1A-440D-B049-49AE2A807C1B}" name="Incentive" dataDxfId="4">
      <calculatedColumnFormula>IFERROR(N2*MIN(Table_Measure_Caps[[#Totals],[Estimated Raw Incentive Total]], Table_Measure_Caps[[#Totals],[Gross Measure Cost Total]], Value_Project_CAP)/Table_Measure_Caps[[#Totals],[Estimated Raw Incentive Total]], "")</calculatedColumnFormula>
    </tableColumn>
    <tableColumn id="10" xr3:uid="{381FB756-DD36-4756-9963-B143861FC6D2}" name="Equipment Cost" dataDxfId="3"/>
    <tableColumn id="11" xr3:uid="{2AEAB220-3903-4800-985E-9696295079E6}" name="Labor Cost" dataDxfId="2"/>
    <tableColumn id="15" xr3:uid="{31A47813-DF33-4ED0-B687-26FDA4A4DFE2}" name="Calculator Version" dataDxfId="1"/>
    <tableColumn id="16" xr3:uid="{00B36A9C-1D39-4559-88E5-6B6F68BA784A}" name="Measure Description" dataDxfId="0"/>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4C4C60-A37E-4AE9-ADD1-4B2CF5A54258}" name="Table_Custom_Input" displayName="Table_Custom_Input" ref="B5:Q55" totalsRowShown="0" headerRowDxfId="228" dataDxfId="227" headerRowBorderDxfId="225" tableBorderDxfId="226" headerRowCellStyle="Locked Cell Bold" dataCellStyle="Locked Cell Bold">
  <autoFilter ref="B5:Q55" xr:uid="{F14C4C60-A37E-4AE9-ADD1-4B2CF5A542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0EFB119-A642-449F-A3A9-CB1887140A3B}" name="Line ref. no." dataDxfId="224" dataCellStyle="Locked Cell"/>
    <tableColumn id="31" xr3:uid="{9ADE8167-8016-4FEB-ACEE-8519A40B1040}" name="Measure number" dataDxfId="223" dataCellStyle="Locked Cell">
      <calculatedColumnFormula>IFERROR(INDEX(Table_Prescript_Meas[Measure Number], MATCH(Table_Custom_Input[[#This Row],[Refrigeration measure]], Table_Prescript_Meas[Measure Description], 0)), "")</calculatedColumnFormula>
    </tableColumn>
    <tableColumn id="2" xr3:uid="{C02CFE29-FCF2-4262-892E-895CB8DDC2B4}" name="Location/measure notes" dataDxfId="222" dataCellStyle="Locked Cell"/>
    <tableColumn id="3" xr3:uid="{E1B28E8C-D5F2-4C23-8DD5-FA90D0E0F659}" name="Refrigeration measure" dataDxfId="221" dataCellStyle="Input General"/>
    <tableColumn id="4" xr3:uid="{4EC6AC3D-A4EB-454F-BC53-CC9E14FE8DD4}" name="Unit of measure" dataDxfId="220" dataCellStyle="Locked Cell">
      <calculatedColumnFormula>IFERROR(INDEX(Table_Prescript_Meas[Units], MATCH(Table_Custom_Input[[#This Row],[Measure number]], Table_Prescript_Meas[Measure Number], 0)), "")</calculatedColumnFormula>
    </tableColumn>
    <tableColumn id="13" xr3:uid="{00C82BC5-CD3C-4285-96D1-CF46E597D300}" name="Number of units" dataDxfId="219"/>
    <tableColumn id="18" xr3:uid="{4601385C-DB97-449C-A7D4-A5EE004A1DB1}" name="Total equipment cost" dataDxfId="218">
      <calculatedColumnFormula>150*G6</calculatedColumnFormula>
    </tableColumn>
    <tableColumn id="19" xr3:uid="{0E97AF02-0588-4EA9-85F6-510763FCC56B}" name="Total labor cost" dataDxfId="217"/>
    <tableColumn id="5" xr3:uid="{EA606538-22C8-420B-A8F6-77F9AA271796}" name="Per-unit incentive" dataDxfId="216" dataCellStyle="Input General">
      <calculatedColumnFormula>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calculatedColumnFormula>
    </tableColumn>
    <tableColumn id="23" xr3:uid="{D3C788C1-6B66-45C5-9FFC-1B70A55A454D}" name="Estimated incentive" dataDxfId="215" dataCellStyle="Locked Cell">
      <calculatedColumnFormula>IFERROR(Table_Custom_Input[[#This Row],[Number of units]]*Table_Custom_Input[[#This Row],[Per-unit incentive]],"")</calculatedColumnFormula>
    </tableColumn>
    <tableColumn id="20" xr3:uid="{5DB70777-8B9B-4F83-99E9-C00D72DF09FF}" name="Energy savings (kWh)" dataDxfId="214" dataCellStyle="Locked Cell">
      <calculatedColumnFormula>IFERROR(Table_Custom_Input[[#This Row],[Number of units]]*INDEX(Table_Prescript_Meas[Deemed kWh Savings], MATCH(Table_Custom_Input[[#This Row],[Measure number]], Table_Prescript_Meas[Measure Number], 0)),"" )</calculatedColumnFormula>
    </tableColumn>
    <tableColumn id="21" xr3:uid="{65A12173-B4B9-4A58-960A-717AC4D32DE4}" name="Demand reduction (kW)" dataDxfId="213" dataCellStyle="Locked Cell">
      <calculatedColumnFormula>IFERROR(Table_Custom_Input[[#This Row],[Number of units]]*INDEX(Table_Prescript_Meas[Deemed kW Savings], MATCH(Table_Custom_Input[[#This Row],[Measure number]], Table_Prescript_Meas[Measure Number], 0)),"" )</calculatedColumnFormula>
    </tableColumn>
    <tableColumn id="22" xr3:uid="{56F2A788-173F-48D4-960A-3C62B4EF2021}" name="Cost savings" dataDxfId="212" dataCellStyle="Locked Cell">
      <calculatedColumnFormula>IFERROR(Table_Custom_Input[[#This Row],[Energy savings (kWh)]]*Input_AvgkWhRate, "")</calculatedColumnFormula>
    </tableColumn>
    <tableColumn id="24" xr3:uid="{EA2316D4-69EB-4F6A-910D-BDE56162E1EB}" name="Gross measure cost" dataDxfId="211" dataCellStyle="Locked Cell">
      <calculatedColumnFormula>IF(Table_Custom_Input[[#This Row],[Measure number]]&lt;&gt;"",Table_Custom_Input[[#This Row],[Total equipment cost]]+Table_Custom_Input[[#This Row],[Total labor cost]],"")</calculatedColumnFormula>
    </tableColumn>
    <tableColumn id="25" xr3:uid="{2AE63801-7AD5-46CB-9215-6AD5381CA143}" name="Net measure cost" dataDxfId="210" dataCellStyle="Locked Cell">
      <calculatedColumnFormula>IF(Table_Custom_Input[[#This Row],[Measure number]]="","",Table_Custom_Input[[#This Row],[Gross measure cost]]-Table_Custom_Input[[#This Row],[Estimated incentive]])</calculatedColumnFormula>
    </tableColumn>
    <tableColumn id="26" xr3:uid="{B856D97F-A222-4CE8-AECF-A9EF0B27ABD1}" name="Simple payback (years)" dataDxfId="209" dataCellStyle="Locked Cell">
      <calculatedColumnFormula>IFERROR('Input Refrigeration Measures'!$P6/'Input Refrigeration Measures'!$N6, "")</calculatedColumnFormula>
    </tableColumn>
  </tableColumns>
  <tableStyleInfo name="Lookup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7D6384-D399-4BE2-8204-2C5C116C0E19}" name="Table_Controls_Input" displayName="Table_Controls_Input" ref="B4:Q34" totalsRowShown="0" headerRowDxfId="207" dataDxfId="206" headerRowBorderDxfId="204" tableBorderDxfId="205" totalsRowBorderDxfId="203"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87CB3CB4-7433-495B-ACCF-EA4D6E787F6A}" name="Line ref. no." dataDxfId="202" dataCellStyle="Locked Cell"/>
    <tableColumn id="2" xr3:uid="{037C8D0B-3718-4880-9E96-D23695FA24C0}" name="Measure number" dataDxfId="201" dataCellStyle="Locked Cell">
      <calculatedColumnFormula>IFERROR(INDEX(Table_Prescript_Meas[Measure Number], MATCH(E5, Table_Prescript_Meas[Measure Description], 0)), "")</calculatedColumnFormula>
    </tableColumn>
    <tableColumn id="5" xr3:uid="{611C12EE-FBD5-490D-8389-4A99F541E3CE}" name="Location/measure notes" dataDxfId="200" dataCellStyle="Locked Cell"/>
    <tableColumn id="4" xr3:uid="{3A6C7D48-9C8E-4469-BE19-1D20709C4EEA}" name="Commercial kitchen measure" dataDxfId="199" dataCellStyle="Input General"/>
    <tableColumn id="3" xr3:uid="{E786399E-A3A2-452D-9AAA-EF5B9807A73B}" name="Unit of measure" dataDxfId="198" dataCellStyle="Input General">
      <calculatedColumnFormula>IFERROR(INDEX(Table_Prescript_Meas[Units], MATCH(Table_Controls_Input[[#This Row],[Measure number]], Table_Prescript_Meas[Measure Number], 0)), "")</calculatedColumnFormula>
    </tableColumn>
    <tableColumn id="8" xr3:uid="{E34A0752-2B5F-462A-928A-7F75B5633DB7}" name="Number of units" dataDxfId="197" dataCellStyle="Input General"/>
    <tableColumn id="14" xr3:uid="{AACC69F4-6890-4204-937D-36EC75225013}" name="Total equipment cost" dataDxfId="196" dataCellStyle="Input General"/>
    <tableColumn id="15" xr3:uid="{8CDB3A5A-01EC-4874-AB74-53CAD120C72C}" name="Total labor cost" dataDxfId="195" dataCellStyle="Input General"/>
    <tableColumn id="16" xr3:uid="{8407FCB0-AD56-49D0-BE27-293D6F6A17F3}" name="Per-unit incentive" dataDxfId="194" dataCellStyle="Locked Cell">
      <calculatedColumnFormula>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calculatedColumnFormula>
    </tableColumn>
    <tableColumn id="17" xr3:uid="{D6A3A901-6F97-4E0D-BB2A-54636D44E9B0}" name="Estimated incentive" dataDxfId="193" dataCellStyle="Locked Cell">
      <calculatedColumnFormula>IFERROR(Table_Controls_Input[[#This Row],[Number of units]]*Table_Controls_Input[[#This Row],[Per-unit incentive]], "")</calculatedColumnFormula>
    </tableColumn>
    <tableColumn id="18" xr3:uid="{A9E6A88B-96AF-4060-99B9-A30B9C7408F0}" name="Energy savings (kWh)" dataDxfId="192" dataCellStyle="Locked Cell">
      <calculatedColumnFormula>IFERROR(Table_Controls_Input[[#This Row],[Number of units]]*INDEX(Table_Prescript_Meas[Deemed kWh Savings], MATCH(Table_Controls_Input[[#This Row],[Measure number]], Table_Prescript_Meas[Measure Number], 0)),"" )</calculatedColumnFormula>
    </tableColumn>
    <tableColumn id="20" xr3:uid="{FF0B6487-3E9B-4EBC-B8A0-DCBEDC804E4D}" name="Demand reduction (kW)" dataDxfId="191" dataCellStyle="Locked Cell">
      <calculatedColumnFormula>IFERROR(Table_Controls_Input[[#This Row],[Number of units]]*INDEX(Table_Prescript_Meas[Deemed kW Savings], MATCH(Table_Controls_Input[[#This Row],[Measure number]], Table_Prescript_Meas[Measure Number], 0)),"" )</calculatedColumnFormula>
    </tableColumn>
    <tableColumn id="19" xr3:uid="{4147DE18-432B-4537-ACD2-082A5821D611}" name="Cost savings" dataDxfId="190" dataCellStyle="Locked Cell">
      <calculatedColumnFormula>IFERROR(L5*Input_AvgkWhRate, "")</calculatedColumnFormula>
    </tableColumn>
    <tableColumn id="24" xr3:uid="{583951C0-4606-42D0-810B-D55385B9D03B}" name="Gross measure cost" dataDxfId="189" dataCellStyle="Locked Cell">
      <calculatedColumnFormula>IF(Table_Controls_Input[[#This Row],[Measure number]]="", "", Table_Controls_Input[[#This Row],[Total equipment cost]]+Table_Controls_Input[[#This Row],[Total labor cost]])</calculatedColumnFormula>
    </tableColumn>
    <tableColumn id="21" xr3:uid="{AD331DEC-E23E-428A-93B1-BA789D8899E1}" name="Net measure cost" dataDxfId="188" dataCellStyle="Locked Cell">
      <calculatedColumnFormula>IFERROR(Table_Controls_Input[[#This Row],[Gross measure cost]]-Table_Controls_Input[[#This Row],[Estimated incentive]], "")</calculatedColumnFormula>
    </tableColumn>
    <tableColumn id="22" xr3:uid="{04B74A6C-BEA7-4EFF-83FB-9212991C52CF}" name="Simple payback (years)" dataDxfId="187" dataCellStyle="Locked Cell">
      <calculatedColumnFormula>IFERROR($P5/$N5,"")</calculatedColumnFormula>
    </tableColumn>
  </tableColumns>
  <tableStyleInfo name="Lookup Tab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6B3FDC9-D8DE-43A3-95BA-B36C7A58D8DB}" name="Table_Controls_Input23" displayName="Table_Controls_Input23" ref="B4:S34" totalsRowShown="0" headerRowDxfId="185" dataDxfId="184" headerRowBorderDxfId="182" tableBorderDxfId="183" totalsRowBorderDxfId="181" headerRowCellStyle="Table Top 1" dataCellStyle="Locked Cell">
  <autoFilter ref="B4:S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4C5AF579-48D8-4565-B38A-BFDEB8EABBB7}" name="Line ref. no." dataDxfId="180" dataCellStyle="Locked Cell"/>
    <tableColumn id="2" xr3:uid="{72349F2E-8146-4649-B889-D373F2105673}" name="Measure number" dataDxfId="179" dataCellStyle="Locked Cell">
      <calculatedColumnFormula>IFERROR(INDEX(Table_WinFilm_Savings[Measure No], MATCH(Table_Controls_Input23[[#This Row],[Measure Lookup Detail]], Table_WinFilm_Savings[Lookup Detail], 0)), "")</calculatedColumnFormula>
    </tableColumn>
    <tableColumn id="5" xr3:uid="{0BF427F7-D71A-4D86-B1DF-436C5FB2D6E6}" name="Location/measure notes" dataDxfId="178" dataCellStyle="Locked Cell"/>
    <tableColumn id="4" xr3:uid="{8D6A0E6C-D3E5-4C6D-8D2D-9421BA0793E8}" name="Window film measure" dataDxfId="177" dataCellStyle="Input General"/>
    <tableColumn id="3" xr3:uid="{ED247080-4A30-4B9F-9F63-26EB62C103B9}" name="Unit of measure" dataDxfId="176" dataCellStyle="Input General">
      <calculatedColumnFormula>IFERROR(INDEX(Table_Prescript_Meas[Units], MATCH(Table_Controls_Input23[[#This Row],[Measure number]], Table_Prescript_Meas[Measure Number], 0)), "")</calculatedColumnFormula>
    </tableColumn>
    <tableColumn id="6" xr3:uid="{DAFFB0BF-462E-4054-9429-2FD880813029}" name="Window direction" dataDxfId="175" dataCellStyle="Input General"/>
    <tableColumn id="8" xr3:uid="{C7908A39-4BE6-419B-8B5A-50A9833802B9}" name="Number of units (Sq.Ft.)" dataDxfId="174" dataCellStyle="Input General"/>
    <tableColumn id="14" xr3:uid="{A32B48F9-7B59-41E7-8DBB-6EE0630680CB}" name="Total equipment cost" dataDxfId="173" dataCellStyle="Input General"/>
    <tableColumn id="15" xr3:uid="{D645AFF8-BF80-4C3C-8477-62F64F2CFCB1}" name="Total labor cost" dataDxfId="172" dataCellStyle="Input General"/>
    <tableColumn id="16" xr3:uid="{53539575-221F-431E-BB41-0017C61BF9E6}" name="Per-unit incentive" dataDxfId="171" dataCellStyle="Locked Cell">
      <calculatedColumnFormula>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calculatedColumnFormula>
    </tableColumn>
    <tableColumn id="17" xr3:uid="{527E33A0-C245-4BCA-A9A7-98C9BE43E670}" name="Estimated incentive" dataDxfId="170" dataCellStyle="Locked Cell">
      <calculatedColumnFormula>IFERROR(Table_Controls_Input23[[#This Row],[Number of units (Sq.Ft.)]]*Table_Controls_Input23[[#This Row],[Per-unit incentive]], "")</calculatedColumnFormula>
    </tableColumn>
    <tableColumn id="18" xr3:uid="{576E8C0E-DDA9-4A36-A58C-19CFBA1D17F0}" name="Energy savings (kWh)" dataDxfId="169" dataCellStyle="Locked Cell">
      <calculatedColumnFormula>IFERROR(Table_Controls_Input23[[#This Row],[Number of units (Sq.Ft.)]]*INDEX(Table_WinFilm_Savings[Deemed kWh Savings], MATCH(Table_Controls_Input23[[#This Row],[Measure Lookup Detail]], Table_WinFilm_Savings[Lookup Detail], 0)),"" )</calculatedColumnFormula>
    </tableColumn>
    <tableColumn id="20" xr3:uid="{BAD3BC5F-7209-4647-9CD2-5A2FA98A5296}" name="Demand reduction (kW)" dataDxfId="168" dataCellStyle="Locked Cell">
      <calculatedColumnFormula>IFERROR(Table_Controls_Input23[[#This Row],[Number of units (Sq.Ft.)]]*INDEX(Table_WinFilm_Savings[Deemed kW Savings], MATCH(Table_Controls_Input23[[#This Row],[Measure Lookup Detail]], Table_WinFilm_Savings[Lookup Detail], 0)),"" )</calculatedColumnFormula>
    </tableColumn>
    <tableColumn id="19" xr3:uid="{84FF3B8E-3D55-4DD9-A995-8D9E817EF7D3}" name="Cost savings" dataDxfId="167" dataCellStyle="Locked Cell">
      <calculatedColumnFormula>IFERROR(M5*Input_AvgkWhRate, "")</calculatedColumnFormula>
    </tableColumn>
    <tableColumn id="24" xr3:uid="{0E03C9C4-4720-4332-B13E-17638AD0A076}" name="Gross measure cost" dataDxfId="166" dataCellStyle="Locked Cell">
      <calculatedColumnFormula>IF(Table_Controls_Input23[[#This Row],[Measure number]]="", "", Table_Controls_Input23[[#This Row],[Total equipment cost]]+Table_Controls_Input23[[#This Row],[Total labor cost]])</calculatedColumnFormula>
    </tableColumn>
    <tableColumn id="21" xr3:uid="{27EFA2F8-D5DE-43E1-9A71-CECA74BAB650}" name="Net measure cost" dataDxfId="165" dataCellStyle="Locked Cell">
      <calculatedColumnFormula>IFERROR(Table_Controls_Input23[[#This Row],[Gross measure cost]]-Table_Controls_Input23[[#This Row],[Estimated incentive]], "")</calculatedColumnFormula>
    </tableColumn>
    <tableColumn id="22" xr3:uid="{75569092-7E6D-4A35-975F-2B0227F37119}" name="Simple payback (years)" dataDxfId="164" dataCellStyle="Locked Cell">
      <calculatedColumnFormula>IFERROR($Q5/$O5,"")</calculatedColumnFormula>
    </tableColumn>
    <tableColumn id="7" xr3:uid="{E78B77FC-650B-467B-9BA5-32A5A960C8C0}" name="Measure Lookup Detail" dataDxfId="163" dataCellStyle="Locked Cell">
      <calculatedColumnFormula>_xlfn.CONCAT(Table_Controls_Input23[[#This Row],[Window film measure]], Table_Controls_Input23[[#This Row],[Window direction]])</calculatedColumnFormula>
    </tableColumn>
  </tableColumns>
  <tableStyleInfo name="Lookup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F6CC99-070E-4C5C-BF86-21D590D1BDBD}" name="Table_Controls_Input235" displayName="Table_Controls_Input235" ref="B5:S35" totalsRowShown="0" headerRowDxfId="161" dataDxfId="160" headerRowBorderDxfId="158" tableBorderDxfId="159" totalsRowBorderDxfId="157" headerRowCellStyle="Table Top 1" dataCellStyle="Locked Cell">
  <autoFilter ref="B5:S35"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B46DE65-39D4-4F8B-8E42-38B31F0A96B7}" name="Line ref. no." dataDxfId="156" dataCellStyle="Locked Cell"/>
    <tableColumn id="2" xr3:uid="{D9D79E7B-D7E4-4850-A8EF-809776D3EB46}" name="Measure number" dataDxfId="155" dataCellStyle="Locked Cell">
      <calculatedColumnFormula>IFERROR(INDEX(Table_EffWindow_Savings[Measure No], MATCH(Table_Controls_Input235[[#This Row],[Measure Lookup Detail]], Table_EffWindow_Savings[Lookup Detail], 0)), "")</calculatedColumnFormula>
    </tableColumn>
    <tableColumn id="5" xr3:uid="{E736602C-9470-4669-8BD7-35B30ED32791}" name="Location/measure notes" dataDxfId="154" dataCellStyle="Locked Cell"/>
    <tableColumn id="4" xr3:uid="{C67B4406-7339-453C-A15F-6B450CC4D0FF}" name="Window replacement measure" dataDxfId="153" dataCellStyle="Input General"/>
    <tableColumn id="3" xr3:uid="{9B4810B0-BAEE-4CB6-AFD8-EFFA3F0FAB27}" name="Unit of measure" dataDxfId="152" dataCellStyle="Input General">
      <calculatedColumnFormula>IFERROR(INDEX(Table_Prescript_Meas[Units], MATCH(Table_Controls_Input235[[#This Row],[Measure number]], Table_Prescript_Meas[Measure Number], 0)), "")</calculatedColumnFormula>
    </tableColumn>
    <tableColumn id="6" xr3:uid="{60EA572C-51E5-465B-953D-4059FA5D9A24}" name="Window direction" dataDxfId="151" dataCellStyle="Input General"/>
    <tableColumn id="8" xr3:uid="{C9108AF7-E5B1-4EB7-9435-830E2435C691}" name="Number of units (Sq.Ft.)" dataDxfId="150" dataCellStyle="Input General"/>
    <tableColumn id="14" xr3:uid="{198E70BD-6E1F-4488-A569-D055CCDD62DE}" name="Total equipment cost" dataDxfId="149" dataCellStyle="Input General"/>
    <tableColumn id="15" xr3:uid="{0D5A344B-85E5-4B4B-8B64-7D7D0E03AC04}" name="Total labor cost" dataDxfId="148" dataCellStyle="Input General"/>
    <tableColumn id="16" xr3:uid="{EF64216C-3BC4-49D9-9FFF-B705B131EA2B}" name="Per-unit incentive" dataDxfId="147" dataCellStyle="Locked Cell">
      <calculatedColumnFormula>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calculatedColumnFormula>
    </tableColumn>
    <tableColumn id="17" xr3:uid="{3F5395F4-43FA-47EC-A6D3-4F338A8D23BF}" name="Estimated incentive" dataDxfId="146" dataCellStyle="Locked Cell">
      <calculatedColumnFormula>IFERROR(Table_Controls_Input235[[#This Row],[Number of units (Sq.Ft.)]]*Table_Controls_Input235[[#This Row],[Per-unit incentive]], "")</calculatedColumnFormula>
    </tableColumn>
    <tableColumn id="18" xr3:uid="{20BC8807-077B-4820-824B-9CC3D4FAED04}" name="Energy savings (kWh)" dataDxfId="145" dataCellStyle="Locked Cell">
      <calculatedColumnFormula>IFERROR(Table_Controls_Input235[[#This Row],[Number of units (Sq.Ft.)]]*INDEX(Table_EffWindow_Savings[Deemed kWh Savings], MATCH(Table_Controls_Input235[[#This Row],[Measure Lookup Detail]], Table_EffWindow_Savings[Lookup Detail], 0)),"" )</calculatedColumnFormula>
    </tableColumn>
    <tableColumn id="20" xr3:uid="{6A968C17-0B9D-45C5-824F-8F8FCBF10153}" name="Demand reduction (kW)" dataDxfId="144" dataCellStyle="Locked Cell">
      <calculatedColumnFormula>IFERROR(Table_Controls_Input235[[#This Row],[Number of units (Sq.Ft.)]]*INDEX(Table_EffWindow_Savings[Deemed kW Savings], MATCH(Table_Controls_Input235[[#This Row],[Measure Lookup Detail]], Table_EffWindow_Savings[Lookup Detail], 0)),"" )</calculatedColumnFormula>
    </tableColumn>
    <tableColumn id="19" xr3:uid="{9BFFA572-CEB2-47C2-BD93-D9623F72C539}" name="Cost savings" dataDxfId="143" dataCellStyle="Locked Cell">
      <calculatedColumnFormula>IFERROR(M6*Input_AvgkWhRate, "")</calculatedColumnFormula>
    </tableColumn>
    <tableColumn id="24" xr3:uid="{7AD84ADE-B547-4451-B180-27A026AB2EB9}" name="Gross measure cost" dataDxfId="142" dataCellStyle="Locked Cell">
      <calculatedColumnFormula>IF(Table_Controls_Input235[[#This Row],[Measure number]]="", "", Table_Controls_Input235[[#This Row],[Total equipment cost]]+Table_Controls_Input235[[#This Row],[Total labor cost]])</calculatedColumnFormula>
    </tableColumn>
    <tableColumn id="21" xr3:uid="{6F54B561-7F16-4C93-BB69-EE6929596BD9}" name="Net measure cost" dataDxfId="141" dataCellStyle="Locked Cell">
      <calculatedColumnFormula>IFERROR(Table_Controls_Input235[[#This Row],[Gross measure cost]]-Table_Controls_Input235[[#This Row],[Estimated incentive]], "")</calculatedColumnFormula>
    </tableColumn>
    <tableColumn id="22" xr3:uid="{A7A76FDD-D7D0-43A3-BC41-ED7509C461CF}" name="Simple payback (years)" dataDxfId="140" dataCellStyle="Locked Cell">
      <calculatedColumnFormula>IFERROR($Q6/$O6,"")</calculatedColumnFormula>
    </tableColumn>
    <tableColumn id="7" xr3:uid="{2EFEB696-4B13-429A-888A-6D904467A0C6}" name="Measure Lookup Detail" dataDxfId="139" dataCellStyle="Locked Cell">
      <calculatedColumnFormula>_xlfn.CONCAT(Table_Controls_Input235[[#This Row],[Window replacement measure]],Table_Controls_Input235[[#This Row],[Window direction]])</calculatedColumnFormula>
    </tableColumn>
  </tableColumns>
  <tableStyleInfo name="Lookup Tab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75DE01E-8AFC-4321-9309-3DF89B818C17}" name="Table_Controls_Input22" displayName="Table_Controls_Input22" ref="B4:Q34" totalsRowShown="0" headerRowDxfId="137" dataDxfId="136" headerRowBorderDxfId="134" tableBorderDxfId="135" totalsRowBorderDxfId="133"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A6D4324-8408-4511-8EFB-010FF4E0C61D}" name="Line ref. no." dataDxfId="132" dataCellStyle="Locked Cell"/>
    <tableColumn id="2" xr3:uid="{0A32FCC8-00B1-45B3-82A8-916F7D1FB95E}" name="Measure number" dataDxfId="131" dataCellStyle="Locked Cell">
      <calculatedColumnFormula>IFERROR(INDEX(Table_Prescript_Meas[Measure Number], MATCH(E5, Table_Prescript_Meas[Measure Description], 0)), "")</calculatedColumnFormula>
    </tableColumn>
    <tableColumn id="5" xr3:uid="{2502B7A7-62D1-472C-BDB6-33EA6433EF46}" name="Location/measure notes" dataDxfId="130" dataCellStyle="Locked Cell"/>
    <tableColumn id="4" xr3:uid="{D73AE1F4-E5D4-4A9D-AB00-360C316941EF}" name="Miscellaneous measure" dataDxfId="129" dataCellStyle="Input General"/>
    <tableColumn id="3" xr3:uid="{C8D9C5D3-6630-46B2-8B4A-7032CB445B65}" name="Unit of measure" dataDxfId="128" dataCellStyle="Input General">
      <calculatedColumnFormula>IFERROR(INDEX(Table_Prescript_Meas[Units], MATCH(Table_Controls_Input22[[#This Row],[Measure number]], Table_Prescript_Meas[Measure Number], 0)), "")</calculatedColumnFormula>
    </tableColumn>
    <tableColumn id="8" xr3:uid="{84CB62B7-4BB4-4C28-9533-493B4C316463}" name="Number of units" dataDxfId="127" dataCellStyle="Input General"/>
    <tableColumn id="14" xr3:uid="{338C641A-351F-47E3-B984-5944EF3D6D2B}" name="Total equipment cost" dataDxfId="126" dataCellStyle="Input General"/>
    <tableColumn id="15" xr3:uid="{41ADC273-E61A-4487-B748-D32D319E7936}" name="Total labor cost" dataDxfId="125" dataCellStyle="Input General"/>
    <tableColumn id="16" xr3:uid="{5075CE9B-C415-45EC-80A6-A015AEA0E4B9}" name="Per-unit incentive" dataDxfId="124" dataCellStyle="Locked Cell">
      <calculatedColumnFormula>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calculatedColumnFormula>
    </tableColumn>
    <tableColumn id="17" xr3:uid="{1365EF71-2C77-4E79-A71D-9448F5E6A38A}" name="Estimated Incentive" dataDxfId="123" dataCellStyle="Locked Cell">
      <calculatedColumnFormula>IFERROR(Table_Controls_Input22[[#This Row],[Number of units]]*Table_Controls_Input22[[#This Row],[Per-unit incentive]], "")</calculatedColumnFormula>
    </tableColumn>
    <tableColumn id="18" xr3:uid="{46BC862A-CE2A-42E8-93AE-6E8BAAC2E2CD}" name="Energy savings (kWh)" dataDxfId="122" dataCellStyle="Locked Cell">
      <calculatedColumnFormula>IFERROR(Table_Controls_Input22[[#This Row],[Number of units]]*INDEX(Table_Prescript_Meas[Deemed kWh Savings], MATCH(Table_Controls_Input22[[#This Row],[Measure number]], Table_Prescript_Meas[Measure Number], 0)),"" )</calculatedColumnFormula>
    </tableColumn>
    <tableColumn id="20" xr3:uid="{BC34BCCB-6FC2-4476-B5DE-F7649823F08D}" name="Demand reduction (kW)" dataDxfId="121" dataCellStyle="Locked Cell">
      <calculatedColumnFormula>IFERROR(Table_Controls_Input22[[#This Row],[Number of units]]*INDEX(Table_Prescript_Meas[Deemed kW Savings], MATCH(Table_Controls_Input22[[#This Row],[Measure number]], Table_Prescript_Meas[Measure Number], 0)),"" )</calculatedColumnFormula>
    </tableColumn>
    <tableColumn id="19" xr3:uid="{729245E1-E41C-4D50-BBAF-ACEAF346B6DF}" name="Cost savings" dataDxfId="120" dataCellStyle="Locked Cell">
      <calculatedColumnFormula>IFERROR(L5*Input_AvgkWhRate, "")</calculatedColumnFormula>
    </tableColumn>
    <tableColumn id="24" xr3:uid="{28AA99DF-584C-49A4-968B-E66BE6EF6D31}" name="Gross measure cost" dataDxfId="119" dataCellStyle="Locked Cell">
      <calculatedColumnFormula>IF(Table_Controls_Input22[[#This Row],[Measure number]]="", "", Table_Controls_Input22[[#This Row],[Total equipment cost]]+Table_Controls_Input22[[#This Row],[Total labor cost]])</calculatedColumnFormula>
    </tableColumn>
    <tableColumn id="21" xr3:uid="{59821C92-B202-4591-A70A-521218BCF8CD}" name="Net measure cost" dataDxfId="118" dataCellStyle="Locked Cell">
      <calculatedColumnFormula>IFERROR(Table_Controls_Input22[[#This Row],[Gross measure cost]]-Table_Controls_Input22[[#This Row],[Estimated Incentive]], "")</calculatedColumnFormula>
    </tableColumn>
    <tableColumn id="22" xr3:uid="{F4069DE9-4210-4E09-8EFC-94AEC40A1843}" name="Simple payback (years)" dataDxfId="117" dataCellStyle="Locked Cell">
      <calculatedColumnFormula>IFERROR($P5/$N5,"")</calculatedColumnFormula>
    </tableColumn>
  </tableColumns>
  <tableStyleInfo name="Lookup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AE6252-95DA-495D-AB84-5D43E81D62CE}" name="Table_Controls_Input2225" displayName="Table_Controls_Input2225" ref="B4:X24" totalsRowShown="0" headerRowDxfId="115" dataDxfId="114" headerRowBorderDxfId="112" tableBorderDxfId="113" totalsRowBorderDxfId="111" headerRowCellStyle="Table Top 1" dataCellStyle="Locked Cell">
  <autoFilter ref="B4:X2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E8B5577F-D1F4-44D2-BEEF-0DEE0436D77F}" name="Line ref. no." dataDxfId="110" dataCellStyle="Locked Cell"/>
    <tableColumn id="27" xr3:uid="{EDCA10BE-897A-4464-847F-37B11E35A1CF}" name="Measure number" dataDxfId="109" dataCellStyle="Locked Cell">
      <calculatedColumnFormula>IFERROR(INDEX(Table_Prescript_Meas[Measure Number], MATCH(Table_Controls_Input2225[[#This Row],[Measure classification]], Table_Prescript_Meas[Measure Description], 0)),"")</calculatedColumnFormula>
    </tableColumn>
    <tableColumn id="3" xr3:uid="{84E42968-E4E1-42BD-8FF2-C3B96E734A4C}" name="Location/measure notes" dataDxfId="108" dataCellStyle="Locked Cell"/>
    <tableColumn id="2" xr3:uid="{929277C3-9A75-4BC9-A37A-31FAE7EC6876}" name="Measure name" dataDxfId="107" dataCellStyle="Input General"/>
    <tableColumn id="4" xr3:uid="{99AA61B4-ADD1-4772-84A3-79644917E445}" name="Measure type" dataDxfId="106" dataCellStyle="Input General"/>
    <tableColumn id="5" xr3:uid="{4B676B0C-4A2B-4D8A-8EDC-70CE53B32A30}" name="Measure classification" dataDxfId="105" dataCellStyle="Input General"/>
    <tableColumn id="6" xr3:uid="{577628E1-A383-450A-B444-250954872D36}" name="Location" dataDxfId="104" dataCellStyle="Input General"/>
    <tableColumn id="7" xr3:uid="{B32B5A50-4D86-4BD6-9729-C36CD56F429F}" name="HVAC in location" dataDxfId="103" dataCellStyle="Input General"/>
    <tableColumn id="9" xr3:uid="{2CE347E4-D6FC-47BB-8650-773B3E336501}" name="Summary of existing conditions" dataDxfId="102" dataCellStyle="Input General"/>
    <tableColumn id="10" xr3:uid="{DD32D2EB-8FBC-484E-9604-339B61210ADA}" name="Existing energy consumption (kWh/yr)" dataDxfId="101" dataCellStyle="Input General"/>
    <tableColumn id="11" xr3:uid="{C09C05C5-24BD-4D65-AB55-02383995853E}" name="Existing peak demand (kW)" dataDxfId="100" dataCellStyle="Input General"/>
    <tableColumn id="12" xr3:uid="{16E2D842-612A-4331-AC4F-1F673F0F97FC}" name="Summary of proposed conditions" dataDxfId="99" dataCellStyle="Input General"/>
    <tableColumn id="13" xr3:uid="{E9B66803-1CAC-4D90-942F-0255F2189377}" name="Proposed energy consumption (kWh/yr)" dataDxfId="98" dataCellStyle="Input General"/>
    <tableColumn id="25" xr3:uid="{E2A37F28-15E1-4348-B9B7-8ABF085EAA13}" name="Proposed peak demand (kW)" dataDxfId="97" dataCellStyle="Input General"/>
    <tableColumn id="14" xr3:uid="{3D3A3108-4732-4F5C-9128-0BAFEBDA2435}" name="Total equipment cost" dataDxfId="96" dataCellStyle="Input General"/>
    <tableColumn id="15" xr3:uid="{ACB4220E-44FE-4F2D-BD65-1B95FF325B1A}" name="Total labor cost" dataDxfId="95" dataCellStyle="Input General"/>
    <tableColumn id="17" xr3:uid="{308D612D-3FBC-4973-BD21-ACEEEB998072}" name="Estimated incentive" dataDxfId="94" dataCellStyle="Locked Cell">
      <calculatedColumnFormula>IF(Table_Controls_Input2225[[#This Row],[Measure name]]="","", Table_Controls_Input2225[[#This Row],[Energy savings (kWh)]]*Value_Cus_IncentRate)</calculatedColumnFormula>
    </tableColumn>
    <tableColumn id="18" xr3:uid="{11500C76-9321-475C-BCD3-790B9AB37ABF}" name="Energy savings (kWh)" dataDxfId="93" dataCellStyle="Locked Cell">
      <calculatedColumnFormula>IF(Table_Controls_Input2225[[#This Row],[Measure name]]="", "", Table_Controls_Input2225[[#This Row],[Existing energy consumption (kWh/yr)]]-Table_Controls_Input2225[[#This Row],[Proposed energy consumption (kWh/yr)]])</calculatedColumnFormula>
    </tableColumn>
    <tableColumn id="20" xr3:uid="{F6E2BF1D-AC5C-4225-ABFC-D208E44B3F7D}" name="Demand reduction (kW)" dataDxfId="92" dataCellStyle="Locked Cell">
      <calculatedColumnFormula>IF(Table_Controls_Input2225[[#This Row],[Measure name]]="", "", Table_Controls_Input2225[[#This Row],[Existing peak demand (kW)]]-Table_Controls_Input2225[[#This Row],[Proposed peak demand (kW)]])</calculatedColumnFormula>
    </tableColumn>
    <tableColumn id="19" xr3:uid="{DB533714-0EC4-4CF3-9DE5-758A8704FF38}" name="Cost savings" dataDxfId="91" dataCellStyle="Locked Cell">
      <calculatedColumnFormula>IFERROR(S5*Input_AvgkWhRate, "")</calculatedColumnFormula>
    </tableColumn>
    <tableColumn id="24" xr3:uid="{6C7E370C-68E0-4CD8-BB90-FCF98F7BDCE5}" name="Gross measure cost" dataDxfId="90" dataCellStyle="Locked Cell">
      <calculatedColumnFormula>IF(Table_Controls_Input2225[[#This Row],[Measure name]]="", "", Table_Controls_Input2225[[#This Row],[Total equipment cost]]+Table_Controls_Input2225[[#This Row],[Total labor cost]])</calculatedColumnFormula>
    </tableColumn>
    <tableColumn id="21" xr3:uid="{1F307E57-E505-4110-B25E-289B6BD083DC}" name="Net measure cost" dataDxfId="89" dataCellStyle="Locked Cell">
      <calculatedColumnFormula>IFERROR(Table_Controls_Input2225[[#This Row],[Gross measure cost]]-Table_Controls_Input2225[[#This Row],[Estimated incentive]], "")</calculatedColumnFormula>
    </tableColumn>
    <tableColumn id="22" xr3:uid="{8C03FB20-E424-4A3E-BD91-7777E2A66213}" name="Simple payback (years)" dataDxfId="88" dataCellStyle="Locked Cell">
      <calculatedColumnFormula>IFERROR($W5/$U5,"")</calculatedColumnFormula>
    </tableColumn>
  </tableColumns>
  <tableStyleInfo name="Lookup Tabl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6:D23" totalsRowCount="1" headerRowDxfId="87" dataDxfId="86" totalsRowDxfId="85" tableBorderDxfId="84" totalsRowBorderDxfId="83" headerRowCellStyle="Table Top 2">
  <autoFilter ref="B16:D22" xr:uid="{B3E3CD38-913D-4F45-A343-C44868F40E80}">
    <filterColumn colId="0" hiddenButton="1"/>
    <filterColumn colId="1" hiddenButton="1"/>
    <filterColumn colId="2" hiddenButton="1"/>
  </autoFilter>
  <tableColumns count="3">
    <tableColumn id="1" xr3:uid="{83B90E73-B8F8-4BE8-A365-A62775107D60}" name="Incentive type" totalsRowLabel="Total" dataDxfId="81" totalsRowDxfId="82" dataCellStyle="Locked Cell Bold">
      <calculatedColumnFormula>Caps!B3</calculatedColumnFormula>
    </tableColumn>
    <tableColumn id="2" xr3:uid="{BB580220-364F-4342-A480-3A7F0A85971E}" name="Energy savings (kWh)" totalsRowFunction="sum" dataDxfId="79" totalsRowDxfId="80" dataCellStyle="Locked Cell White"/>
    <tableColumn id="3" xr3:uid="{08D5337C-CE22-4B9F-9C93-9E240610E3CF}" name="kW reduction" totalsRowFunction="sum" dataDxfId="77" totalsRowDxfId="78" dataCellStyle="Locked Cell White">
      <calculatedColumnFormula>Caps!E3</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6:G34" totalsRowCount="1" headerRowDxfId="76" dataDxfId="75" totalsRowDxfId="74" tableBorderDxfId="73" totalsRowBorderDxfId="72" headerRowCellStyle="Table Top 2" dataCellStyle="Locked Cell White">
  <tableColumns count="6">
    <tableColumn id="1" xr3:uid="{D548A418-04DA-4B50-A62E-C275304AA5D5}" name="Incentive type" totalsRowLabel="Total" dataDxfId="70" totalsRowDxfId="71" dataCellStyle="Locked Cell Bold"/>
    <tableColumn id="2" xr3:uid="{C84C9810-0655-48B1-BBAC-7F4CE667FA2F}" name="Cost savings" totalsRowFunction="sum" dataDxfId="68" totalsRowDxfId="69"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66" totalsRowDxfId="67"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sum" dataDxfId="64" totalsRowDxfId="65" dataCellStyle="Currency">
      <calculatedColumnFormula>INDEX(Table_Measure_Caps[Capped Incentive], MATCH(Table15[[#This Row],[Incentive type]], Table_Measure_Caps[Measure Type], 0))</calculatedColumnFormula>
    </tableColumn>
    <tableColumn id="7" xr3:uid="{313B6AB0-18D4-414B-8255-A4B0D4E313F6}" name="Net project cost" totalsRowFunction="sum" dataDxfId="62" totalsRowDxfId="63" dataCellStyle="Currency"/>
    <tableColumn id="8" xr3:uid="{0947E50A-946D-4F5D-8278-1B82EC35172D}" name="Simple payback (years)" totalsRowFunction="custom" dataDxfId="60" totalsRowDxfId="61"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6" dT="2023-06-29T19:36:56.89" personId="{A3E89FC8-9D46-4C6C-B92E-ADD4BB5C8EEA}" id="{8EF07D4B-37BF-4245-9CA3-94EB6DE9529C}">
    <text>SEER2</text>
  </threadedComment>
  <threadedComment ref="M121" dT="2023-06-29T19:40:23.46" personId="{A3E89FC8-9D46-4C6C-B92E-ADD4BB5C8EEA}" id="{62C74FEC-860C-4FD5-BBC1-61E30FA1D7C5}">
    <text>SEER2</text>
  </threadedComment>
  <threadedComment ref="N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10.xml"/><Relationship Id="rId7"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B3A6-2D4B-4ADE-9471-DE1977CE6780}">
  <sheetPr>
    <tabColor theme="2"/>
  </sheetPr>
  <dimension ref="B1:E43"/>
  <sheetViews>
    <sheetView showGridLines="0" showRowColHeaders="0" tabSelected="1" workbookViewId="0">
      <selection activeCell="B3" sqref="B3:E3"/>
    </sheetView>
  </sheetViews>
  <sheetFormatPr defaultColWidth="9.140625" defaultRowHeight="12.75"/>
  <cols>
    <col min="1" max="1" width="1.7109375" style="194" customWidth="1"/>
    <col min="2" max="2" width="14.140625" style="194" customWidth="1"/>
    <col min="3" max="3" width="39" style="194" customWidth="1"/>
    <col min="4" max="4" width="14.140625" style="194" customWidth="1"/>
    <col min="5" max="5" width="39" style="194" customWidth="1"/>
    <col min="6" max="16384" width="9.140625" style="194"/>
  </cols>
  <sheetData>
    <row r="1" spans="2:5" ht="59.25" customHeight="1"/>
    <row r="2" spans="2:5" ht="42.75" customHeight="1">
      <c r="B2" s="188" t="s">
        <v>0</v>
      </c>
    </row>
    <row r="3" spans="2:5" ht="75.75" customHeight="1">
      <c r="B3" s="286" t="s">
        <v>1</v>
      </c>
      <c r="C3" s="286"/>
      <c r="D3" s="286"/>
      <c r="E3" s="286"/>
    </row>
    <row r="4" spans="2:5" ht="24" customHeight="1">
      <c r="B4" s="303" t="s">
        <v>2</v>
      </c>
      <c r="C4" s="303"/>
      <c r="D4" s="303"/>
      <c r="E4" s="303"/>
    </row>
    <row r="5" spans="2:5" ht="33" customHeight="1">
      <c r="B5" s="287" t="s">
        <v>3</v>
      </c>
      <c r="C5" s="288"/>
      <c r="D5" s="288"/>
      <c r="E5" s="289"/>
    </row>
    <row r="6" spans="2:5" ht="33" customHeight="1">
      <c r="B6" s="290"/>
      <c r="C6" s="291"/>
      <c r="D6" s="291"/>
      <c r="E6" s="292"/>
    </row>
    <row r="7" spans="2:5" ht="33" customHeight="1">
      <c r="B7" s="290"/>
      <c r="C7" s="291"/>
      <c r="D7" s="291"/>
      <c r="E7" s="292"/>
    </row>
    <row r="8" spans="2:5" ht="33" customHeight="1">
      <c r="B8" s="293"/>
      <c r="C8" s="294"/>
      <c r="D8" s="294"/>
      <c r="E8" s="295"/>
    </row>
    <row r="9" spans="2:5" ht="12.75" customHeight="1">
      <c r="B9" s="190"/>
      <c r="C9" s="190"/>
    </row>
    <row r="10" spans="2:5" ht="19.5" customHeight="1">
      <c r="B10" s="303" t="s">
        <v>4</v>
      </c>
      <c r="C10" s="303"/>
      <c r="D10" s="303"/>
      <c r="E10" s="303"/>
    </row>
    <row r="11" spans="2:5" ht="29.25" customHeight="1">
      <c r="B11" s="284" t="s">
        <v>5</v>
      </c>
      <c r="C11" s="296" t="s">
        <v>6</v>
      </c>
      <c r="D11" s="297"/>
      <c r="E11" s="298"/>
    </row>
    <row r="12" spans="2:5" ht="25.5" customHeight="1">
      <c r="B12" s="285" t="s">
        <v>7</v>
      </c>
      <c r="C12" s="299" t="s">
        <v>8</v>
      </c>
      <c r="D12" s="300"/>
      <c r="E12" s="301"/>
    </row>
    <row r="13" spans="2:5" ht="12.75" customHeight="1"/>
    <row r="14" spans="2:5" ht="15.75" customHeight="1">
      <c r="B14" s="304" t="s">
        <v>9</v>
      </c>
      <c r="C14" s="305"/>
      <c r="D14" s="305"/>
      <c r="E14" s="306"/>
    </row>
    <row r="15" spans="2:5" ht="28.5" customHeight="1">
      <c r="B15" s="195" t="s">
        <v>10</v>
      </c>
      <c r="C15" s="302" t="s">
        <v>11</v>
      </c>
      <c r="D15" s="302"/>
      <c r="E15" s="302"/>
    </row>
    <row r="16" spans="2:5" ht="25.5" customHeight="1">
      <c r="B16" s="196" t="s">
        <v>12</v>
      </c>
      <c r="C16" s="302" t="s">
        <v>13</v>
      </c>
      <c r="D16" s="302"/>
      <c r="E16" s="302"/>
    </row>
    <row r="17" spans="2:5" s="197" customFormat="1" ht="25.5" customHeight="1">
      <c r="B17" s="196" t="s">
        <v>14</v>
      </c>
      <c r="C17" s="296" t="s">
        <v>15</v>
      </c>
      <c r="D17" s="297"/>
      <c r="E17" s="298"/>
    </row>
    <row r="18" spans="2:5" ht="25.5" customHeight="1">
      <c r="B18" s="198" t="s">
        <v>16</v>
      </c>
      <c r="C18" s="302" t="s">
        <v>17</v>
      </c>
      <c r="D18" s="302"/>
      <c r="E18" s="302"/>
    </row>
    <row r="19" spans="2:5" ht="25.5" customHeight="1">
      <c r="B19" s="198" t="s">
        <v>18</v>
      </c>
      <c r="C19" s="302" t="s">
        <v>19</v>
      </c>
      <c r="D19" s="302"/>
      <c r="E19" s="302"/>
    </row>
    <row r="20" spans="2:5" s="197" customFormat="1" ht="25.5" customHeight="1">
      <c r="B20" s="198" t="s">
        <v>20</v>
      </c>
      <c r="C20" s="302" t="s">
        <v>21</v>
      </c>
      <c r="D20" s="302"/>
      <c r="E20" s="302"/>
    </row>
    <row r="21" spans="2:5" ht="25.5" customHeight="1">
      <c r="B21" s="198" t="s">
        <v>22</v>
      </c>
      <c r="C21" s="302" t="s">
        <v>23</v>
      </c>
      <c r="D21" s="302"/>
      <c r="E21" s="302"/>
    </row>
    <row r="22" spans="2:5" ht="25.5" customHeight="1">
      <c r="B22" s="198" t="s">
        <v>24</v>
      </c>
      <c r="C22" s="302" t="s">
        <v>25</v>
      </c>
      <c r="D22" s="302"/>
      <c r="E22" s="302"/>
    </row>
    <row r="23" spans="2:5" ht="25.5" customHeight="1">
      <c r="B23" s="198" t="s">
        <v>26</v>
      </c>
      <c r="C23" s="302" t="s">
        <v>27</v>
      </c>
      <c r="D23" s="302"/>
      <c r="E23" s="302"/>
    </row>
    <row r="24" spans="2:5" ht="25.5" customHeight="1">
      <c r="B24" s="198" t="s">
        <v>28</v>
      </c>
      <c r="C24" s="302" t="s">
        <v>29</v>
      </c>
      <c r="D24" s="302"/>
      <c r="E24" s="302"/>
    </row>
    <row r="25" spans="2:5" ht="25.5" customHeight="1">
      <c r="B25" s="195" t="s">
        <v>30</v>
      </c>
      <c r="C25" s="302" t="s">
        <v>31</v>
      </c>
      <c r="D25" s="302"/>
      <c r="E25" s="302"/>
    </row>
    <row r="26" spans="2:5" ht="12.75" customHeight="1"/>
    <row r="27" spans="2:5" ht="15.75" customHeight="1">
      <c r="B27" s="304" t="s">
        <v>32</v>
      </c>
      <c r="C27" s="305"/>
      <c r="D27" s="305"/>
      <c r="E27" s="306"/>
    </row>
    <row r="28" spans="2:5" ht="60" customHeight="1">
      <c r="B28" s="302" t="s">
        <v>33</v>
      </c>
      <c r="C28" s="302"/>
      <c r="D28" s="302"/>
      <c r="E28" s="302"/>
    </row>
    <row r="29" spans="2:5" ht="184.5" customHeight="1">
      <c r="B29" s="296" t="s">
        <v>34</v>
      </c>
      <c r="C29" s="297"/>
      <c r="D29" s="297"/>
      <c r="E29" s="298"/>
    </row>
    <row r="30" spans="2:5" ht="105.75" customHeight="1">
      <c r="B30" s="302" t="s">
        <v>35</v>
      </c>
      <c r="C30" s="302"/>
      <c r="D30" s="302"/>
      <c r="E30" s="302"/>
    </row>
    <row r="31" spans="2:5" ht="42" customHeight="1">
      <c r="B31" s="302" t="s">
        <v>36</v>
      </c>
      <c r="C31" s="302"/>
      <c r="D31" s="302"/>
      <c r="E31" s="302"/>
    </row>
    <row r="33" spans="2:5">
      <c r="B33" s="194" t="s">
        <v>37</v>
      </c>
    </row>
    <row r="34" spans="2:5">
      <c r="B34" s="194" t="str">
        <f>Value_Application_Version</f>
        <v>Version 5.0 - 2025</v>
      </c>
    </row>
    <row r="36" spans="2:5" s="197" customFormat="1" ht="51" customHeight="1">
      <c r="B36" s="291" t="s">
        <v>38</v>
      </c>
      <c r="C36" s="291"/>
      <c r="D36" s="291"/>
      <c r="E36" s="291"/>
    </row>
    <row r="37" spans="2:5" ht="42.75" customHeight="1"/>
    <row r="38" spans="2:5" ht="31.5" customHeight="1"/>
    <row r="39" spans="2:5" ht="42" customHeight="1"/>
    <row r="40" spans="2:5" ht="30" customHeight="1"/>
    <row r="41" spans="2:5" ht="132.75" customHeight="1"/>
    <row r="42" spans="2:5" ht="31.5" customHeight="1"/>
    <row r="43" spans="2:5" ht="42" customHeight="1"/>
  </sheetData>
  <sheetProtection algorithmName="SHA-512" hashValue="szy9lLD9BFGKo19PmrHvY2Rb9AYy3AXvlzfVRcQKwosOVah/RLLOQHmfTLH/2vLgfp2nqb4XfzNutvr0lnt3jQ==" saltValue="zJ3ROTL7B3LcLjie3XdxGQ==" spinCount="100000" sheet="1" objects="1" scenarios="1"/>
  <mergeCells count="24">
    <mergeCell ref="B29:E29"/>
    <mergeCell ref="B28:E28"/>
    <mergeCell ref="B30:E30"/>
    <mergeCell ref="B31:E31"/>
    <mergeCell ref="B36:E36"/>
    <mergeCell ref="C17:E17"/>
    <mergeCell ref="C18:E18"/>
    <mergeCell ref="C19:E19"/>
    <mergeCell ref="C20:E20"/>
    <mergeCell ref="C23:E23"/>
    <mergeCell ref="B27:E27"/>
    <mergeCell ref="C22:E22"/>
    <mergeCell ref="C25:E25"/>
    <mergeCell ref="C24:E24"/>
    <mergeCell ref="C21:E21"/>
    <mergeCell ref="B3:E3"/>
    <mergeCell ref="B5:E8"/>
    <mergeCell ref="C11:E11"/>
    <mergeCell ref="C12:E12"/>
    <mergeCell ref="C16:E16"/>
    <mergeCell ref="C15:E15"/>
    <mergeCell ref="B4:E4"/>
    <mergeCell ref="B10:E10"/>
    <mergeCell ref="B14:E14"/>
  </mergeCells>
  <pageMargins left="0.25" right="0.25"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92F2-98D0-43A9-8F9A-8F39AC63CE9C}">
  <sheetPr>
    <tabColor theme="4"/>
  </sheetPr>
  <dimension ref="A1:AT180"/>
  <sheetViews>
    <sheetView showGridLines="0" showRowColHeaders="0" workbookViewId="0">
      <selection activeCell="D5" sqref="D5"/>
    </sheetView>
  </sheetViews>
  <sheetFormatPr defaultColWidth="9.140625" defaultRowHeight="12.75" customHeight="1"/>
  <cols>
    <col min="1" max="1" width="2.140625" style="189" customWidth="1"/>
    <col min="2" max="2" width="5.28515625" style="189" customWidth="1"/>
    <col min="3" max="3" width="9" style="189" customWidth="1"/>
    <col min="4" max="4" width="17" style="189" customWidth="1"/>
    <col min="5" max="5" width="28.7109375" style="189" customWidth="1"/>
    <col min="6" max="6" width="15.85546875" style="189" customWidth="1"/>
    <col min="7" max="7" width="29.85546875" style="189" customWidth="1"/>
    <col min="8" max="8" width="21.28515625" style="189" customWidth="1"/>
    <col min="9" max="9" width="20" style="189" customWidth="1"/>
    <col min="10" max="10" width="41.42578125" style="189" customWidth="1"/>
    <col min="11" max="12" width="13.42578125" style="189" customWidth="1"/>
    <col min="13" max="13" width="41" style="189" customWidth="1"/>
    <col min="14" max="15" width="13.42578125" style="189" customWidth="1"/>
    <col min="16" max="16" width="12.42578125" style="189" customWidth="1"/>
    <col min="17" max="17" width="9.85546875" style="189" customWidth="1"/>
    <col min="18" max="18" width="11" style="189" customWidth="1"/>
    <col min="19" max="19" width="12" style="189" customWidth="1"/>
    <col min="20" max="20" width="11.85546875" style="189" customWidth="1"/>
    <col min="21" max="21" width="10.28515625" style="189" customWidth="1"/>
    <col min="22" max="22" width="10.85546875" style="189" bestFit="1" customWidth="1"/>
    <col min="23" max="23" width="13.42578125" style="189" customWidth="1"/>
    <col min="24" max="24" width="9.5703125" style="189" customWidth="1"/>
    <col min="25" max="16384" width="9.140625" style="189"/>
  </cols>
  <sheetData>
    <row r="1" spans="1:46" ht="63" customHeight="1"/>
    <row r="2" spans="1:46" s="209" customFormat="1" ht="36.75" customHeight="1">
      <c r="B2" s="307" t="s">
        <v>138</v>
      </c>
      <c r="C2" s="307"/>
      <c r="D2" s="307"/>
      <c r="E2" s="307"/>
      <c r="F2" s="307"/>
      <c r="G2" s="307"/>
      <c r="H2" s="307"/>
      <c r="I2" s="307"/>
      <c r="J2" s="307"/>
      <c r="K2" s="307"/>
      <c r="L2" s="307"/>
      <c r="M2" s="307"/>
      <c r="N2" s="307"/>
      <c r="O2" s="307"/>
      <c r="P2" s="307"/>
      <c r="Q2" s="307"/>
      <c r="R2" s="307"/>
      <c r="S2" s="307"/>
      <c r="T2" s="307"/>
      <c r="U2" s="307"/>
      <c r="V2" s="240"/>
      <c r="W2" s="240"/>
      <c r="X2" s="240"/>
    </row>
    <row r="3" spans="1:46">
      <c r="A3" s="193"/>
      <c r="J3" s="315" t="s">
        <v>139</v>
      </c>
      <c r="K3" s="315"/>
      <c r="L3" s="315"/>
      <c r="M3" s="311" t="s">
        <v>98</v>
      </c>
      <c r="N3" s="311"/>
      <c r="O3" s="311"/>
      <c r="P3" s="311"/>
      <c r="Q3" s="311"/>
      <c r="R3" s="217">
        <f>SUM(Table_Controls_Input2225[Estimated incentive])</f>
        <v>0</v>
      </c>
      <c r="S3" s="218">
        <f>SUM(Table_Controls_Input2225[Energy savings (kWh)])</f>
        <v>0</v>
      </c>
      <c r="T3" s="219">
        <f>SUM(Table_Controls_Input2225[Demand reduction (kW)])</f>
        <v>0</v>
      </c>
      <c r="U3" s="220">
        <f>SUM(Table_Controls_Input2225[Cost savings])</f>
        <v>0</v>
      </c>
      <c r="V3" s="220">
        <f>SUM(Table_Controls_Input2225[Gross measure cost])</f>
        <v>0</v>
      </c>
      <c r="W3" s="220">
        <f>SUM(Table_Controls_Input2225[Net measure cost])</f>
        <v>0</v>
      </c>
      <c r="X3" s="218" t="str">
        <f>IFERROR(W3/U3,"")</f>
        <v/>
      </c>
      <c r="Y3" s="193"/>
      <c r="Z3" s="193"/>
      <c r="AA3" s="193"/>
      <c r="AB3" s="193"/>
      <c r="AC3" s="193"/>
      <c r="AD3" s="193"/>
      <c r="AE3" s="193"/>
      <c r="AF3" s="193"/>
      <c r="AG3" s="193"/>
      <c r="AH3" s="193"/>
      <c r="AI3" s="193"/>
      <c r="AJ3" s="193"/>
      <c r="AK3" s="193"/>
      <c r="AL3" s="193"/>
      <c r="AM3" s="193"/>
      <c r="AN3" s="193"/>
      <c r="AO3" s="193"/>
      <c r="AP3" s="193"/>
      <c r="AQ3" s="193"/>
      <c r="AR3" s="193"/>
      <c r="AS3" s="193"/>
      <c r="AT3" s="193"/>
    </row>
    <row r="4" spans="1:46" s="194" customFormat="1" ht="69" customHeight="1">
      <c r="A4" s="204"/>
      <c r="B4" s="230" t="s">
        <v>100</v>
      </c>
      <c r="C4" s="230" t="s">
        <v>101</v>
      </c>
      <c r="D4" s="232" t="s">
        <v>102</v>
      </c>
      <c r="E4" s="231" t="s">
        <v>140</v>
      </c>
      <c r="F4" s="231" t="s">
        <v>141</v>
      </c>
      <c r="G4" s="231" t="s">
        <v>142</v>
      </c>
      <c r="H4" s="231" t="s">
        <v>143</v>
      </c>
      <c r="I4" s="231" t="s">
        <v>144</v>
      </c>
      <c r="J4" s="261" t="s">
        <v>145</v>
      </c>
      <c r="K4" s="261" t="s">
        <v>146</v>
      </c>
      <c r="L4" s="261" t="s">
        <v>147</v>
      </c>
      <c r="M4" s="234" t="s">
        <v>148</v>
      </c>
      <c r="N4" s="234" t="s">
        <v>149</v>
      </c>
      <c r="O4" s="234" t="s">
        <v>150</v>
      </c>
      <c r="P4" s="235" t="s">
        <v>113</v>
      </c>
      <c r="Q4" s="235" t="s">
        <v>114</v>
      </c>
      <c r="R4" s="233" t="s">
        <v>116</v>
      </c>
      <c r="S4" s="233" t="s">
        <v>117</v>
      </c>
      <c r="T4" s="233" t="s">
        <v>118</v>
      </c>
      <c r="U4" s="233" t="s">
        <v>119</v>
      </c>
      <c r="V4" s="233" t="s">
        <v>120</v>
      </c>
      <c r="W4" s="233" t="s">
        <v>121</v>
      </c>
      <c r="X4" s="233" t="s">
        <v>122</v>
      </c>
      <c r="Y4" s="204"/>
      <c r="Z4" s="204"/>
      <c r="AA4" s="204"/>
      <c r="AB4" s="204"/>
      <c r="AC4" s="204"/>
      <c r="AD4" s="204"/>
      <c r="AE4" s="204"/>
      <c r="AF4" s="204"/>
      <c r="AG4" s="204"/>
      <c r="AH4" s="204"/>
      <c r="AI4" s="204"/>
      <c r="AJ4" s="204"/>
      <c r="AK4" s="204"/>
      <c r="AL4" s="204"/>
      <c r="AM4" s="204"/>
      <c r="AN4" s="204"/>
      <c r="AO4" s="204"/>
      <c r="AP4" s="204"/>
      <c r="AQ4" s="204"/>
      <c r="AR4" s="204"/>
      <c r="AS4" s="204"/>
      <c r="AT4" s="204"/>
    </row>
    <row r="5" spans="1:46">
      <c r="A5" s="222"/>
      <c r="B5" s="223">
        <v>1</v>
      </c>
      <c r="C5" s="223" t="str">
        <f>IFERROR(INDEX(Table_Prescript_Meas[Measure Number], MATCH(Table_Controls_Input2225[[#This Row],[Measure classification]], Table_Prescript_Meas[Measure Description], 0)),"")</f>
        <v/>
      </c>
      <c r="D5" s="224"/>
      <c r="E5" s="199"/>
      <c r="F5" s="191"/>
      <c r="G5" s="191"/>
      <c r="H5" s="191"/>
      <c r="I5" s="191"/>
      <c r="J5" s="191"/>
      <c r="K5" s="257"/>
      <c r="L5" s="258"/>
      <c r="M5" s="191"/>
      <c r="N5" s="257"/>
      <c r="O5" s="258"/>
      <c r="P5" s="259"/>
      <c r="Q5" s="259"/>
      <c r="R5" s="227" t="str">
        <f>IF(Table_Controls_Input2225[[#This Row],[Measure name]]="","", Table_Controls_Input2225[[#This Row],[Energy savings (kWh)]]*Value_Cus_IncentRate)</f>
        <v/>
      </c>
      <c r="S5" s="228" t="str">
        <f>IF(Table_Controls_Input2225[[#This Row],[Measure name]]="", "", Table_Controls_Input2225[[#This Row],[Existing energy consumption (kWh/yr)]]-Table_Controls_Input2225[[#This Row],[Proposed energy consumption (kWh/yr)]])</f>
        <v/>
      </c>
      <c r="T5" s="229" t="str">
        <f>IF(Table_Controls_Input2225[[#This Row],[Measure name]]="", "", Table_Controls_Input2225[[#This Row],[Existing peak demand (kW)]]-Table_Controls_Input2225[[#This Row],[Proposed peak demand (kW)]])</f>
        <v/>
      </c>
      <c r="U5" s="227" t="str">
        <f t="shared" ref="U5:U14" si="0">IFERROR(S5*Input_AvgkWhRate, "")</f>
        <v/>
      </c>
      <c r="V5" s="227" t="str">
        <f>IF(Table_Controls_Input2225[[#This Row],[Measure name]]="", "", Table_Controls_Input2225[[#This Row],[Total equipment cost]]+Table_Controls_Input2225[[#This Row],[Total labor cost]])</f>
        <v/>
      </c>
      <c r="W5" s="227" t="str">
        <f>IFERROR(Table_Controls_Input2225[[#This Row],[Gross measure cost]]-Table_Controls_Input2225[[#This Row],[Estimated incentive]], "")</f>
        <v/>
      </c>
      <c r="X5" s="228" t="str">
        <f t="shared" ref="X5:X24" si="1">IFERROR($W5/$U5,"")</f>
        <v/>
      </c>
      <c r="Y5" s="222"/>
      <c r="Z5" s="222"/>
      <c r="AA5" s="222"/>
      <c r="AB5" s="222"/>
      <c r="AC5" s="222"/>
      <c r="AD5" s="222"/>
      <c r="AE5" s="222"/>
      <c r="AF5" s="222"/>
      <c r="AG5" s="222"/>
      <c r="AH5" s="222"/>
      <c r="AI5" s="222"/>
      <c r="AJ5" s="222"/>
      <c r="AK5" s="222"/>
      <c r="AL5" s="222"/>
      <c r="AM5" s="222"/>
      <c r="AN5" s="222"/>
      <c r="AO5" s="222"/>
      <c r="AP5" s="222"/>
      <c r="AQ5" s="222"/>
      <c r="AR5" s="222"/>
      <c r="AS5" s="222"/>
      <c r="AT5" s="222"/>
    </row>
    <row r="6" spans="1:46">
      <c r="A6" s="222"/>
      <c r="B6" s="223">
        <v>2</v>
      </c>
      <c r="C6" s="223" t="str">
        <f>IFERROR(INDEX(Table_Prescript_Meas[Measure Number], MATCH(Table_Controls_Input2225[[#This Row],[Measure classification]], Table_Prescript_Meas[Measure Description], 0)),"")</f>
        <v/>
      </c>
      <c r="D6" s="224"/>
      <c r="E6" s="199"/>
      <c r="F6" s="191"/>
      <c r="G6" s="191"/>
      <c r="H6" s="191"/>
      <c r="I6" s="191"/>
      <c r="J6" s="191"/>
      <c r="K6" s="257"/>
      <c r="L6" s="258"/>
      <c r="M6" s="191"/>
      <c r="N6" s="257"/>
      <c r="O6" s="258"/>
      <c r="P6" s="259"/>
      <c r="Q6" s="259"/>
      <c r="R6" s="227" t="str">
        <f>IF(Table_Controls_Input2225[[#This Row],[Measure name]]="","", Table_Controls_Input2225[[#This Row],[Energy savings (kWh)]]*Value_Cus_IncentRate)</f>
        <v/>
      </c>
      <c r="S6" s="228" t="str">
        <f>IF(Table_Controls_Input2225[[#This Row],[Measure name]]="", "", Table_Controls_Input2225[[#This Row],[Existing energy consumption (kWh/yr)]]-Table_Controls_Input2225[[#This Row],[Proposed energy consumption (kWh/yr)]])</f>
        <v/>
      </c>
      <c r="T6" s="229" t="str">
        <f>IF(Table_Controls_Input2225[[#This Row],[Measure name]]="", "", Table_Controls_Input2225[[#This Row],[Existing peak demand (kW)]]-Table_Controls_Input2225[[#This Row],[Proposed peak demand (kW)]])</f>
        <v/>
      </c>
      <c r="U6" s="227" t="str">
        <f t="shared" si="0"/>
        <v/>
      </c>
      <c r="V6" s="227" t="str">
        <f>IF(Table_Controls_Input2225[[#This Row],[Measure name]]="", "", Table_Controls_Input2225[[#This Row],[Total equipment cost]]+Table_Controls_Input2225[[#This Row],[Total labor cost]])</f>
        <v/>
      </c>
      <c r="W6" s="227" t="str">
        <f>IFERROR(Table_Controls_Input2225[[#This Row],[Gross measure cost]]-Table_Controls_Input2225[[#This Row],[Estimated incentive]], "")</f>
        <v/>
      </c>
      <c r="X6" s="228" t="str">
        <f t="shared" si="1"/>
        <v/>
      </c>
      <c r="Y6" s="222"/>
      <c r="Z6" s="222"/>
      <c r="AA6" s="222"/>
      <c r="AB6" s="222"/>
      <c r="AC6" s="222"/>
      <c r="AD6" s="222"/>
      <c r="AE6" s="222"/>
      <c r="AF6" s="222"/>
      <c r="AG6" s="222"/>
      <c r="AH6" s="222"/>
      <c r="AI6" s="222"/>
      <c r="AJ6" s="222"/>
      <c r="AK6" s="222"/>
      <c r="AL6" s="222"/>
      <c r="AM6" s="222"/>
      <c r="AN6" s="222"/>
      <c r="AO6" s="222"/>
      <c r="AP6" s="222"/>
      <c r="AQ6" s="222"/>
      <c r="AR6" s="222"/>
      <c r="AS6" s="222"/>
      <c r="AT6" s="222"/>
    </row>
    <row r="7" spans="1:46">
      <c r="A7" s="222"/>
      <c r="B7" s="223">
        <v>3</v>
      </c>
      <c r="C7" s="223" t="str">
        <f>IFERROR(INDEX(Table_Prescript_Meas[Measure Number], MATCH(Table_Controls_Input2225[[#This Row],[Measure classification]], Table_Prescript_Meas[Measure Description], 0)),"")</f>
        <v/>
      </c>
      <c r="D7" s="224"/>
      <c r="E7" s="199"/>
      <c r="F7" s="191"/>
      <c r="G7" s="191"/>
      <c r="H7" s="191"/>
      <c r="I7" s="191"/>
      <c r="J7" s="191"/>
      <c r="K7" s="257"/>
      <c r="L7" s="258"/>
      <c r="M7" s="191"/>
      <c r="N7" s="257"/>
      <c r="O7" s="258"/>
      <c r="P7" s="259"/>
      <c r="Q7" s="259"/>
      <c r="R7" s="227" t="str">
        <f>IF(Table_Controls_Input2225[[#This Row],[Measure name]]="","", Table_Controls_Input2225[[#This Row],[Energy savings (kWh)]]*Value_Cus_IncentRate)</f>
        <v/>
      </c>
      <c r="S7" s="228" t="str">
        <f>IF(Table_Controls_Input2225[[#This Row],[Measure name]]="", "", Table_Controls_Input2225[[#This Row],[Existing energy consumption (kWh/yr)]]-Table_Controls_Input2225[[#This Row],[Proposed energy consumption (kWh/yr)]])</f>
        <v/>
      </c>
      <c r="T7" s="229" t="str">
        <f>IF(Table_Controls_Input2225[[#This Row],[Measure name]]="", "", Table_Controls_Input2225[[#This Row],[Existing peak demand (kW)]]-Table_Controls_Input2225[[#This Row],[Proposed peak demand (kW)]])</f>
        <v/>
      </c>
      <c r="U7" s="227" t="str">
        <f t="shared" si="0"/>
        <v/>
      </c>
      <c r="V7" s="227" t="str">
        <f>IF(Table_Controls_Input2225[[#This Row],[Measure name]]="", "", Table_Controls_Input2225[[#This Row],[Total equipment cost]]+Table_Controls_Input2225[[#This Row],[Total labor cost]])</f>
        <v/>
      </c>
      <c r="W7" s="227" t="str">
        <f>IFERROR(Table_Controls_Input2225[[#This Row],[Gross measure cost]]-Table_Controls_Input2225[[#This Row],[Estimated incentive]], "")</f>
        <v/>
      </c>
      <c r="X7" s="228" t="str">
        <f t="shared" si="1"/>
        <v/>
      </c>
      <c r="Y7" s="222"/>
      <c r="Z7" s="222"/>
      <c r="AA7" s="222"/>
      <c r="AB7" s="222"/>
      <c r="AC7" s="222"/>
      <c r="AD7" s="222"/>
      <c r="AE7" s="222"/>
      <c r="AF7" s="222"/>
      <c r="AG7" s="222"/>
      <c r="AH7" s="222"/>
      <c r="AI7" s="222"/>
      <c r="AJ7" s="222"/>
      <c r="AK7" s="222"/>
      <c r="AL7" s="222"/>
      <c r="AM7" s="222"/>
      <c r="AN7" s="222"/>
      <c r="AO7" s="222"/>
      <c r="AP7" s="222"/>
      <c r="AQ7" s="222"/>
      <c r="AR7" s="222"/>
      <c r="AS7" s="222"/>
      <c r="AT7" s="222"/>
    </row>
    <row r="8" spans="1:46">
      <c r="A8" s="222"/>
      <c r="B8" s="223">
        <v>4</v>
      </c>
      <c r="C8" s="223" t="str">
        <f>IFERROR(INDEX(Table_Prescript_Meas[Measure Number], MATCH(Table_Controls_Input2225[[#This Row],[Measure classification]], Table_Prescript_Meas[Measure Description], 0)),"")</f>
        <v/>
      </c>
      <c r="D8" s="224"/>
      <c r="E8" s="199"/>
      <c r="F8" s="191"/>
      <c r="G8" s="191"/>
      <c r="H8" s="191"/>
      <c r="I8" s="191"/>
      <c r="J8" s="191"/>
      <c r="K8" s="257"/>
      <c r="L8" s="258"/>
      <c r="M8" s="191"/>
      <c r="N8" s="257"/>
      <c r="O8" s="258"/>
      <c r="P8" s="259"/>
      <c r="Q8" s="259"/>
      <c r="R8" s="227" t="str">
        <f>IF(Table_Controls_Input2225[[#This Row],[Measure name]]="","", Table_Controls_Input2225[[#This Row],[Energy savings (kWh)]]*Value_Cus_IncentRate)</f>
        <v/>
      </c>
      <c r="S8" s="228" t="str">
        <f>IF(Table_Controls_Input2225[[#This Row],[Measure name]]="", "", Table_Controls_Input2225[[#This Row],[Existing energy consumption (kWh/yr)]]-Table_Controls_Input2225[[#This Row],[Proposed energy consumption (kWh/yr)]])</f>
        <v/>
      </c>
      <c r="T8" s="229" t="str">
        <f>IF(Table_Controls_Input2225[[#This Row],[Measure name]]="", "", Table_Controls_Input2225[[#This Row],[Existing peak demand (kW)]]-Table_Controls_Input2225[[#This Row],[Proposed peak demand (kW)]])</f>
        <v/>
      </c>
      <c r="U8" s="227" t="str">
        <f t="shared" si="0"/>
        <v/>
      </c>
      <c r="V8" s="227" t="str">
        <f>IF(Table_Controls_Input2225[[#This Row],[Measure name]]="", "", Table_Controls_Input2225[[#This Row],[Total equipment cost]]+Table_Controls_Input2225[[#This Row],[Total labor cost]])</f>
        <v/>
      </c>
      <c r="W8" s="227" t="str">
        <f>IFERROR(Table_Controls_Input2225[[#This Row],[Gross measure cost]]-Table_Controls_Input2225[[#This Row],[Estimated incentive]], "")</f>
        <v/>
      </c>
      <c r="X8" s="228" t="str">
        <f t="shared" si="1"/>
        <v/>
      </c>
      <c r="Y8" s="222"/>
      <c r="Z8" s="222"/>
      <c r="AA8" s="222"/>
      <c r="AB8" s="222"/>
      <c r="AC8" s="222"/>
      <c r="AD8" s="222"/>
      <c r="AE8" s="222"/>
      <c r="AF8" s="222"/>
      <c r="AG8" s="222"/>
      <c r="AH8" s="222"/>
      <c r="AI8" s="222"/>
      <c r="AJ8" s="222"/>
      <c r="AK8" s="222"/>
      <c r="AL8" s="222"/>
      <c r="AM8" s="222"/>
      <c r="AN8" s="222"/>
      <c r="AO8" s="222"/>
      <c r="AP8" s="222"/>
      <c r="AQ8" s="222"/>
      <c r="AR8" s="222"/>
      <c r="AS8" s="222"/>
      <c r="AT8" s="222"/>
    </row>
    <row r="9" spans="1:46">
      <c r="A9" s="222"/>
      <c r="B9" s="223">
        <v>5</v>
      </c>
      <c r="C9" s="223" t="str">
        <f>IFERROR(INDEX(Table_Prescript_Meas[Measure Number], MATCH(Table_Controls_Input2225[[#This Row],[Measure classification]], Table_Prescript_Meas[Measure Description], 0)),"")</f>
        <v/>
      </c>
      <c r="D9" s="224"/>
      <c r="E9" s="199"/>
      <c r="F9" s="191"/>
      <c r="G9" s="191"/>
      <c r="H9" s="191"/>
      <c r="I9" s="191"/>
      <c r="J9" s="191"/>
      <c r="K9" s="257"/>
      <c r="L9" s="258"/>
      <c r="M9" s="191"/>
      <c r="N9" s="257"/>
      <c r="O9" s="258"/>
      <c r="P9" s="259"/>
      <c r="Q9" s="259"/>
      <c r="R9" s="227" t="str">
        <f>IF(Table_Controls_Input2225[[#This Row],[Measure name]]="","", Table_Controls_Input2225[[#This Row],[Energy savings (kWh)]]*Value_Cus_IncentRate)</f>
        <v/>
      </c>
      <c r="S9" s="228" t="str">
        <f>IF(Table_Controls_Input2225[[#This Row],[Measure name]]="", "", Table_Controls_Input2225[[#This Row],[Existing energy consumption (kWh/yr)]]-Table_Controls_Input2225[[#This Row],[Proposed energy consumption (kWh/yr)]])</f>
        <v/>
      </c>
      <c r="T9" s="229" t="str">
        <f>IF(Table_Controls_Input2225[[#This Row],[Measure name]]="", "", Table_Controls_Input2225[[#This Row],[Existing peak demand (kW)]]-Table_Controls_Input2225[[#This Row],[Proposed peak demand (kW)]])</f>
        <v/>
      </c>
      <c r="U9" s="227" t="str">
        <f t="shared" si="0"/>
        <v/>
      </c>
      <c r="V9" s="227" t="str">
        <f>IF(Table_Controls_Input2225[[#This Row],[Measure name]]="", "", Table_Controls_Input2225[[#This Row],[Total equipment cost]]+Table_Controls_Input2225[[#This Row],[Total labor cost]])</f>
        <v/>
      </c>
      <c r="W9" s="227" t="str">
        <f>IFERROR(Table_Controls_Input2225[[#This Row],[Gross measure cost]]-Table_Controls_Input2225[[#This Row],[Estimated incentive]], "")</f>
        <v/>
      </c>
      <c r="X9" s="228" t="str">
        <f t="shared" si="1"/>
        <v/>
      </c>
      <c r="Y9" s="222"/>
      <c r="Z9" s="222"/>
      <c r="AA9" s="222"/>
      <c r="AB9" s="222"/>
      <c r="AC9" s="222"/>
      <c r="AD9" s="222"/>
      <c r="AE9" s="222"/>
      <c r="AF9" s="222"/>
      <c r="AG9" s="222"/>
      <c r="AH9" s="222"/>
      <c r="AI9" s="222"/>
      <c r="AJ9" s="222"/>
      <c r="AK9" s="222"/>
      <c r="AL9" s="222"/>
      <c r="AM9" s="222"/>
      <c r="AN9" s="222"/>
      <c r="AO9" s="222"/>
      <c r="AP9" s="222"/>
      <c r="AQ9" s="222"/>
      <c r="AR9" s="222"/>
      <c r="AS9" s="222"/>
      <c r="AT9" s="222"/>
    </row>
    <row r="10" spans="1:46">
      <c r="A10" s="222"/>
      <c r="B10" s="223">
        <v>6</v>
      </c>
      <c r="C10" s="223" t="str">
        <f>IFERROR(INDEX(Table_Prescript_Meas[Measure Number], MATCH(Table_Controls_Input2225[[#This Row],[Measure classification]], Table_Prescript_Meas[Measure Description], 0)),"")</f>
        <v/>
      </c>
      <c r="D10" s="224"/>
      <c r="E10" s="199"/>
      <c r="F10" s="191"/>
      <c r="G10" s="191"/>
      <c r="H10" s="191"/>
      <c r="I10" s="191"/>
      <c r="J10" s="191"/>
      <c r="K10" s="257"/>
      <c r="L10" s="258"/>
      <c r="M10" s="191"/>
      <c r="N10" s="257"/>
      <c r="O10" s="258"/>
      <c r="P10" s="259"/>
      <c r="Q10" s="259"/>
      <c r="R10" s="227" t="str">
        <f>IF(Table_Controls_Input2225[[#This Row],[Measure name]]="","", Table_Controls_Input2225[[#This Row],[Energy savings (kWh)]]*Value_Cus_IncentRate)</f>
        <v/>
      </c>
      <c r="S10" s="228" t="str">
        <f>IF(Table_Controls_Input2225[[#This Row],[Measure name]]="", "", Table_Controls_Input2225[[#This Row],[Existing energy consumption (kWh/yr)]]-Table_Controls_Input2225[[#This Row],[Proposed energy consumption (kWh/yr)]])</f>
        <v/>
      </c>
      <c r="T10" s="229" t="str">
        <f>IF(Table_Controls_Input2225[[#This Row],[Measure name]]="", "", Table_Controls_Input2225[[#This Row],[Existing peak demand (kW)]]-Table_Controls_Input2225[[#This Row],[Proposed peak demand (kW)]])</f>
        <v/>
      </c>
      <c r="U10" s="227" t="str">
        <f t="shared" si="0"/>
        <v/>
      </c>
      <c r="V10" s="227" t="str">
        <f>IF(Table_Controls_Input2225[[#This Row],[Measure name]]="", "", Table_Controls_Input2225[[#This Row],[Total equipment cost]]+Table_Controls_Input2225[[#This Row],[Total labor cost]])</f>
        <v/>
      </c>
      <c r="W10" s="227" t="str">
        <f>IFERROR(Table_Controls_Input2225[[#This Row],[Gross measure cost]]-Table_Controls_Input2225[[#This Row],[Estimated incentive]], "")</f>
        <v/>
      </c>
      <c r="X10" s="228" t="str">
        <f t="shared" si="1"/>
        <v/>
      </c>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row>
    <row r="11" spans="1:46">
      <c r="A11" s="222"/>
      <c r="B11" s="223">
        <v>7</v>
      </c>
      <c r="C11" s="223" t="str">
        <f>IFERROR(INDEX(Table_Prescript_Meas[Measure Number], MATCH(Table_Controls_Input2225[[#This Row],[Measure classification]], Table_Prescript_Meas[Measure Description], 0)),"")</f>
        <v/>
      </c>
      <c r="D11" s="224"/>
      <c r="E11" s="199"/>
      <c r="F11" s="191"/>
      <c r="G11" s="191"/>
      <c r="H11" s="191"/>
      <c r="I11" s="191"/>
      <c r="J11" s="191"/>
      <c r="K11" s="257"/>
      <c r="L11" s="258"/>
      <c r="M11" s="191"/>
      <c r="N11" s="257"/>
      <c r="O11" s="258"/>
      <c r="P11" s="259"/>
      <c r="Q11" s="259"/>
      <c r="R11" s="227" t="str">
        <f>IF(Table_Controls_Input2225[[#This Row],[Measure name]]="","", Table_Controls_Input2225[[#This Row],[Energy savings (kWh)]]*Value_Cus_IncentRate)</f>
        <v/>
      </c>
      <c r="S11" s="228" t="str">
        <f>IF(Table_Controls_Input2225[[#This Row],[Measure name]]="", "", Table_Controls_Input2225[[#This Row],[Existing energy consumption (kWh/yr)]]-Table_Controls_Input2225[[#This Row],[Proposed energy consumption (kWh/yr)]])</f>
        <v/>
      </c>
      <c r="T11" s="229" t="str">
        <f>IF(Table_Controls_Input2225[[#This Row],[Measure name]]="", "", Table_Controls_Input2225[[#This Row],[Existing peak demand (kW)]]-Table_Controls_Input2225[[#This Row],[Proposed peak demand (kW)]])</f>
        <v/>
      </c>
      <c r="U11" s="227" t="str">
        <f t="shared" si="0"/>
        <v/>
      </c>
      <c r="V11" s="227" t="str">
        <f>IF(Table_Controls_Input2225[[#This Row],[Measure name]]="", "", Table_Controls_Input2225[[#This Row],[Total equipment cost]]+Table_Controls_Input2225[[#This Row],[Total labor cost]])</f>
        <v/>
      </c>
      <c r="W11" s="227" t="str">
        <f>IFERROR(Table_Controls_Input2225[[#This Row],[Gross measure cost]]-Table_Controls_Input2225[[#This Row],[Estimated incentive]], "")</f>
        <v/>
      </c>
      <c r="X11" s="228" t="str">
        <f t="shared" si="1"/>
        <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row>
    <row r="12" spans="1:46">
      <c r="A12" s="222"/>
      <c r="B12" s="223">
        <v>8</v>
      </c>
      <c r="C12" s="223" t="str">
        <f>IFERROR(INDEX(Table_Prescript_Meas[Measure Number], MATCH(Table_Controls_Input2225[[#This Row],[Measure classification]], Table_Prescript_Meas[Measure Description], 0)),"")</f>
        <v/>
      </c>
      <c r="D12" s="224"/>
      <c r="E12" s="199"/>
      <c r="F12" s="191"/>
      <c r="G12" s="191"/>
      <c r="H12" s="191"/>
      <c r="I12" s="191"/>
      <c r="J12" s="191"/>
      <c r="K12" s="257"/>
      <c r="L12" s="258"/>
      <c r="M12" s="191"/>
      <c r="N12" s="257"/>
      <c r="O12" s="258"/>
      <c r="P12" s="259"/>
      <c r="Q12" s="259"/>
      <c r="R12" s="227" t="str">
        <f>IF(Table_Controls_Input2225[[#This Row],[Measure name]]="","", Table_Controls_Input2225[[#This Row],[Energy savings (kWh)]]*Value_Cus_IncentRate)</f>
        <v/>
      </c>
      <c r="S12" s="228" t="str">
        <f>IF(Table_Controls_Input2225[[#This Row],[Measure name]]="", "", Table_Controls_Input2225[[#This Row],[Existing energy consumption (kWh/yr)]]-Table_Controls_Input2225[[#This Row],[Proposed energy consumption (kWh/yr)]])</f>
        <v/>
      </c>
      <c r="T12" s="229" t="str">
        <f>IF(Table_Controls_Input2225[[#This Row],[Measure name]]="", "", Table_Controls_Input2225[[#This Row],[Existing peak demand (kW)]]-Table_Controls_Input2225[[#This Row],[Proposed peak demand (kW)]])</f>
        <v/>
      </c>
      <c r="U12" s="227" t="str">
        <f t="shared" si="0"/>
        <v/>
      </c>
      <c r="V12" s="227" t="str">
        <f>IF(Table_Controls_Input2225[[#This Row],[Measure name]]="", "", Table_Controls_Input2225[[#This Row],[Total equipment cost]]+Table_Controls_Input2225[[#This Row],[Total labor cost]])</f>
        <v/>
      </c>
      <c r="W12" s="227" t="str">
        <f>IFERROR(Table_Controls_Input2225[[#This Row],[Gross measure cost]]-Table_Controls_Input2225[[#This Row],[Estimated incentive]], "")</f>
        <v/>
      </c>
      <c r="X12" s="228" t="str">
        <f t="shared" si="1"/>
        <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row>
    <row r="13" spans="1:46">
      <c r="A13" s="222"/>
      <c r="B13" s="223">
        <v>9</v>
      </c>
      <c r="C13" s="223" t="str">
        <f>IFERROR(INDEX(Table_Prescript_Meas[Measure Number], MATCH(Table_Controls_Input2225[[#This Row],[Measure classification]], Table_Prescript_Meas[Measure Description], 0)),"")</f>
        <v/>
      </c>
      <c r="D13" s="224"/>
      <c r="E13" s="199"/>
      <c r="F13" s="191"/>
      <c r="G13" s="191"/>
      <c r="H13" s="191"/>
      <c r="I13" s="191"/>
      <c r="J13" s="191"/>
      <c r="K13" s="257"/>
      <c r="L13" s="258"/>
      <c r="M13" s="191"/>
      <c r="N13" s="257"/>
      <c r="O13" s="258"/>
      <c r="P13" s="259"/>
      <c r="Q13" s="259"/>
      <c r="R13" s="227" t="str">
        <f>IF(Table_Controls_Input2225[[#This Row],[Measure name]]="","", Table_Controls_Input2225[[#This Row],[Energy savings (kWh)]]*Value_Cus_IncentRate)</f>
        <v/>
      </c>
      <c r="S13" s="228" t="str">
        <f>IF(Table_Controls_Input2225[[#This Row],[Measure name]]="", "", Table_Controls_Input2225[[#This Row],[Existing energy consumption (kWh/yr)]]-Table_Controls_Input2225[[#This Row],[Proposed energy consumption (kWh/yr)]])</f>
        <v/>
      </c>
      <c r="T13" s="229" t="str">
        <f>IF(Table_Controls_Input2225[[#This Row],[Measure name]]="", "", Table_Controls_Input2225[[#This Row],[Existing peak demand (kW)]]-Table_Controls_Input2225[[#This Row],[Proposed peak demand (kW)]])</f>
        <v/>
      </c>
      <c r="U13" s="227" t="str">
        <f t="shared" si="0"/>
        <v/>
      </c>
      <c r="V13" s="227" t="str">
        <f>IF(Table_Controls_Input2225[[#This Row],[Measure name]]="", "", Table_Controls_Input2225[[#This Row],[Total equipment cost]]+Table_Controls_Input2225[[#This Row],[Total labor cost]])</f>
        <v/>
      </c>
      <c r="W13" s="227" t="str">
        <f>IFERROR(Table_Controls_Input2225[[#This Row],[Gross measure cost]]-Table_Controls_Input2225[[#This Row],[Estimated incentive]], "")</f>
        <v/>
      </c>
      <c r="X13" s="228" t="str">
        <f t="shared" si="1"/>
        <v/>
      </c>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row>
    <row r="14" spans="1:46">
      <c r="A14" s="222"/>
      <c r="B14" s="223">
        <v>10</v>
      </c>
      <c r="C14" s="223" t="str">
        <f>IFERROR(INDEX(Table_Prescript_Meas[Measure Number], MATCH(Table_Controls_Input2225[[#This Row],[Measure classification]], Table_Prescript_Meas[Measure Description], 0)),"")</f>
        <v/>
      </c>
      <c r="D14" s="224"/>
      <c r="E14" s="199"/>
      <c r="F14" s="191"/>
      <c r="G14" s="191"/>
      <c r="H14" s="191"/>
      <c r="I14" s="191"/>
      <c r="J14" s="191"/>
      <c r="K14" s="257"/>
      <c r="L14" s="258"/>
      <c r="M14" s="191"/>
      <c r="N14" s="257"/>
      <c r="O14" s="258"/>
      <c r="P14" s="259"/>
      <c r="Q14" s="259"/>
      <c r="R14" s="227" t="str">
        <f>IF(Table_Controls_Input2225[[#This Row],[Measure name]]="","", Table_Controls_Input2225[[#This Row],[Energy savings (kWh)]]*Value_Cus_IncentRate)</f>
        <v/>
      </c>
      <c r="S14" s="228" t="str">
        <f>IF(Table_Controls_Input2225[[#This Row],[Measure name]]="", "", Table_Controls_Input2225[[#This Row],[Existing energy consumption (kWh/yr)]]-Table_Controls_Input2225[[#This Row],[Proposed energy consumption (kWh/yr)]])</f>
        <v/>
      </c>
      <c r="T14" s="229" t="str">
        <f>IF(Table_Controls_Input2225[[#This Row],[Measure name]]="", "", Table_Controls_Input2225[[#This Row],[Existing peak demand (kW)]]-Table_Controls_Input2225[[#This Row],[Proposed peak demand (kW)]])</f>
        <v/>
      </c>
      <c r="U14" s="227" t="str">
        <f t="shared" si="0"/>
        <v/>
      </c>
      <c r="V14" s="227" t="str">
        <f>IF(Table_Controls_Input2225[[#This Row],[Measure name]]="", "", Table_Controls_Input2225[[#This Row],[Total equipment cost]]+Table_Controls_Input2225[[#This Row],[Total labor cost]])</f>
        <v/>
      </c>
      <c r="W14" s="227" t="str">
        <f>IFERROR(Table_Controls_Input2225[[#This Row],[Gross measure cost]]-Table_Controls_Input2225[[#This Row],[Estimated incentive]], "")</f>
        <v/>
      </c>
      <c r="X14" s="228" t="str">
        <f t="shared" si="1"/>
        <v/>
      </c>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row>
    <row r="15" spans="1:46">
      <c r="A15" s="193"/>
      <c r="B15" s="223">
        <v>11</v>
      </c>
      <c r="C15" s="223" t="str">
        <f>IFERROR(INDEX(Table_Prescript_Meas[Measure Number], MATCH(Table_Controls_Input2225[[#This Row],[Measure classification]], Table_Prescript_Meas[Measure Description], 0)),"")</f>
        <v/>
      </c>
      <c r="D15" s="224"/>
      <c r="E15" s="199"/>
      <c r="F15" s="191"/>
      <c r="G15" s="191"/>
      <c r="H15" s="191"/>
      <c r="I15" s="191"/>
      <c r="J15" s="191"/>
      <c r="K15" s="257"/>
      <c r="L15" s="258"/>
      <c r="M15" s="191"/>
      <c r="N15" s="257"/>
      <c r="O15" s="258"/>
      <c r="P15" s="259"/>
      <c r="Q15" s="259"/>
      <c r="R15" s="227" t="str">
        <f>IF(Table_Controls_Input2225[[#This Row],[Measure name]]="","", Table_Controls_Input2225[[#This Row],[Energy savings (kWh)]]*Value_Cus_IncentRate)</f>
        <v/>
      </c>
      <c r="S15" s="228" t="str">
        <f>IF(Table_Controls_Input2225[[#This Row],[Measure name]]="", "", Table_Controls_Input2225[[#This Row],[Existing energy consumption (kWh/yr)]]-Table_Controls_Input2225[[#This Row],[Proposed energy consumption (kWh/yr)]])</f>
        <v/>
      </c>
      <c r="T15" s="229" t="str">
        <f>IF(Table_Controls_Input2225[[#This Row],[Measure name]]="", "", Table_Controls_Input2225[[#This Row],[Existing peak demand (kW)]]-Table_Controls_Input2225[[#This Row],[Proposed peak demand (kW)]])</f>
        <v/>
      </c>
      <c r="U15" s="227" t="str">
        <f t="shared" ref="U15:U24" si="2">IFERROR(S15*Input_AvgkWhRate, "")</f>
        <v/>
      </c>
      <c r="V15" s="227" t="str">
        <f>IF(Table_Controls_Input2225[[#This Row],[Measure name]]="", "", Table_Controls_Input2225[[#This Row],[Total equipment cost]]+Table_Controls_Input2225[[#This Row],[Total labor cost]])</f>
        <v/>
      </c>
      <c r="W15" s="227" t="str">
        <f>IFERROR(Table_Controls_Input2225[[#This Row],[Gross measure cost]]-Table_Controls_Input2225[[#This Row],[Estimated incentive]], "")</f>
        <v/>
      </c>
      <c r="X15" s="228" t="str">
        <f t="shared" si="1"/>
        <v/>
      </c>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row>
    <row r="16" spans="1:46">
      <c r="A16" s="193"/>
      <c r="B16" s="223">
        <v>12</v>
      </c>
      <c r="C16" s="223" t="str">
        <f>IFERROR(INDEX(Table_Prescript_Meas[Measure Number], MATCH(Table_Controls_Input2225[[#This Row],[Measure classification]], Table_Prescript_Meas[Measure Description], 0)),"")</f>
        <v/>
      </c>
      <c r="D16" s="224"/>
      <c r="E16" s="199"/>
      <c r="F16" s="191"/>
      <c r="G16" s="191"/>
      <c r="H16" s="191"/>
      <c r="I16" s="191"/>
      <c r="J16" s="191"/>
      <c r="K16" s="257"/>
      <c r="L16" s="258"/>
      <c r="M16" s="191"/>
      <c r="N16" s="257"/>
      <c r="O16" s="258"/>
      <c r="P16" s="259"/>
      <c r="Q16" s="259"/>
      <c r="R16" s="227" t="str">
        <f>IF(Table_Controls_Input2225[[#This Row],[Measure name]]="","", Table_Controls_Input2225[[#This Row],[Energy savings (kWh)]]*Value_Cus_IncentRate)</f>
        <v/>
      </c>
      <c r="S16" s="228" t="str">
        <f>IF(Table_Controls_Input2225[[#This Row],[Measure name]]="", "", Table_Controls_Input2225[[#This Row],[Existing energy consumption (kWh/yr)]]-Table_Controls_Input2225[[#This Row],[Proposed energy consumption (kWh/yr)]])</f>
        <v/>
      </c>
      <c r="T16" s="229" t="str">
        <f>IF(Table_Controls_Input2225[[#This Row],[Measure name]]="", "", Table_Controls_Input2225[[#This Row],[Existing peak demand (kW)]]-Table_Controls_Input2225[[#This Row],[Proposed peak demand (kW)]])</f>
        <v/>
      </c>
      <c r="U16" s="227" t="str">
        <f t="shared" si="2"/>
        <v/>
      </c>
      <c r="V16" s="227" t="str">
        <f>IF(Table_Controls_Input2225[[#This Row],[Measure name]]="", "", Table_Controls_Input2225[[#This Row],[Total equipment cost]]+Table_Controls_Input2225[[#This Row],[Total labor cost]])</f>
        <v/>
      </c>
      <c r="W16" s="227" t="str">
        <f>IFERROR(Table_Controls_Input2225[[#This Row],[Gross measure cost]]-Table_Controls_Input2225[[#This Row],[Estimated incentive]], "")</f>
        <v/>
      </c>
      <c r="X16" s="228" t="str">
        <f t="shared" si="1"/>
        <v/>
      </c>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row>
    <row r="17" spans="1:46">
      <c r="A17" s="193"/>
      <c r="B17" s="223">
        <v>13</v>
      </c>
      <c r="C17" s="223" t="str">
        <f>IFERROR(INDEX(Table_Prescript_Meas[Measure Number], MATCH(Table_Controls_Input2225[[#This Row],[Measure classification]], Table_Prescript_Meas[Measure Description], 0)),"")</f>
        <v/>
      </c>
      <c r="D17" s="224"/>
      <c r="E17" s="199"/>
      <c r="F17" s="191"/>
      <c r="G17" s="191"/>
      <c r="H17" s="191"/>
      <c r="I17" s="191"/>
      <c r="J17" s="191"/>
      <c r="K17" s="257"/>
      <c r="L17" s="258"/>
      <c r="M17" s="191"/>
      <c r="N17" s="257"/>
      <c r="O17" s="258"/>
      <c r="P17" s="259"/>
      <c r="Q17" s="259"/>
      <c r="R17" s="227" t="str">
        <f>IF(Table_Controls_Input2225[[#This Row],[Measure name]]="","", Table_Controls_Input2225[[#This Row],[Energy savings (kWh)]]*Value_Cus_IncentRate)</f>
        <v/>
      </c>
      <c r="S17" s="228" t="str">
        <f>IF(Table_Controls_Input2225[[#This Row],[Measure name]]="", "", Table_Controls_Input2225[[#This Row],[Existing energy consumption (kWh/yr)]]-Table_Controls_Input2225[[#This Row],[Proposed energy consumption (kWh/yr)]])</f>
        <v/>
      </c>
      <c r="T17" s="229" t="str">
        <f>IF(Table_Controls_Input2225[[#This Row],[Measure name]]="", "", Table_Controls_Input2225[[#This Row],[Existing peak demand (kW)]]-Table_Controls_Input2225[[#This Row],[Proposed peak demand (kW)]])</f>
        <v/>
      </c>
      <c r="U17" s="227" t="str">
        <f t="shared" si="2"/>
        <v/>
      </c>
      <c r="V17" s="227" t="str">
        <f>IF(Table_Controls_Input2225[[#This Row],[Measure name]]="", "", Table_Controls_Input2225[[#This Row],[Total equipment cost]]+Table_Controls_Input2225[[#This Row],[Total labor cost]])</f>
        <v/>
      </c>
      <c r="W17" s="227" t="str">
        <f>IFERROR(Table_Controls_Input2225[[#This Row],[Gross measure cost]]-Table_Controls_Input2225[[#This Row],[Estimated incentive]], "")</f>
        <v/>
      </c>
      <c r="X17" s="228" t="str">
        <f t="shared" si="1"/>
        <v/>
      </c>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row>
    <row r="18" spans="1:46">
      <c r="A18" s="193"/>
      <c r="B18" s="223">
        <v>14</v>
      </c>
      <c r="C18" s="223" t="str">
        <f>IFERROR(INDEX(Table_Prescript_Meas[Measure Number], MATCH(Table_Controls_Input2225[[#This Row],[Measure classification]], Table_Prescript_Meas[Measure Description], 0)),"")</f>
        <v/>
      </c>
      <c r="D18" s="224"/>
      <c r="E18" s="199"/>
      <c r="F18" s="191"/>
      <c r="G18" s="191"/>
      <c r="H18" s="191"/>
      <c r="I18" s="191"/>
      <c r="J18" s="191"/>
      <c r="K18" s="257"/>
      <c r="L18" s="258"/>
      <c r="M18" s="191"/>
      <c r="N18" s="257"/>
      <c r="O18" s="258"/>
      <c r="P18" s="259"/>
      <c r="Q18" s="259"/>
      <c r="R18" s="227" t="str">
        <f>IF(Table_Controls_Input2225[[#This Row],[Measure name]]="","", Table_Controls_Input2225[[#This Row],[Energy savings (kWh)]]*Value_Cus_IncentRate)</f>
        <v/>
      </c>
      <c r="S18" s="228" t="str">
        <f>IF(Table_Controls_Input2225[[#This Row],[Measure name]]="", "", Table_Controls_Input2225[[#This Row],[Existing energy consumption (kWh/yr)]]-Table_Controls_Input2225[[#This Row],[Proposed energy consumption (kWh/yr)]])</f>
        <v/>
      </c>
      <c r="T18" s="229" t="str">
        <f>IF(Table_Controls_Input2225[[#This Row],[Measure name]]="", "", Table_Controls_Input2225[[#This Row],[Existing peak demand (kW)]]-Table_Controls_Input2225[[#This Row],[Proposed peak demand (kW)]])</f>
        <v/>
      </c>
      <c r="U18" s="227" t="str">
        <f t="shared" si="2"/>
        <v/>
      </c>
      <c r="V18" s="227" t="str">
        <f>IF(Table_Controls_Input2225[[#This Row],[Measure name]]="", "", Table_Controls_Input2225[[#This Row],[Total equipment cost]]+Table_Controls_Input2225[[#This Row],[Total labor cost]])</f>
        <v/>
      </c>
      <c r="W18" s="227" t="str">
        <f>IFERROR(Table_Controls_Input2225[[#This Row],[Gross measure cost]]-Table_Controls_Input2225[[#This Row],[Estimated incentive]], "")</f>
        <v/>
      </c>
      <c r="X18" s="228" t="str">
        <f t="shared" si="1"/>
        <v/>
      </c>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row>
    <row r="19" spans="1:46">
      <c r="A19" s="193"/>
      <c r="B19" s="223">
        <v>15</v>
      </c>
      <c r="C19" s="223" t="str">
        <f>IFERROR(INDEX(Table_Prescript_Meas[Measure Number], MATCH(Table_Controls_Input2225[[#This Row],[Measure classification]], Table_Prescript_Meas[Measure Description], 0)),"")</f>
        <v/>
      </c>
      <c r="D19" s="224"/>
      <c r="E19" s="199"/>
      <c r="F19" s="191"/>
      <c r="G19" s="191"/>
      <c r="H19" s="191"/>
      <c r="I19" s="191"/>
      <c r="J19" s="191"/>
      <c r="K19" s="257"/>
      <c r="L19" s="258"/>
      <c r="M19" s="191"/>
      <c r="N19" s="257"/>
      <c r="O19" s="258"/>
      <c r="P19" s="259"/>
      <c r="Q19" s="259"/>
      <c r="R19" s="227" t="str">
        <f>IF(Table_Controls_Input2225[[#This Row],[Measure name]]="","", Table_Controls_Input2225[[#This Row],[Energy savings (kWh)]]*Value_Cus_IncentRate)</f>
        <v/>
      </c>
      <c r="S19" s="228" t="str">
        <f>IF(Table_Controls_Input2225[[#This Row],[Measure name]]="", "", Table_Controls_Input2225[[#This Row],[Existing energy consumption (kWh/yr)]]-Table_Controls_Input2225[[#This Row],[Proposed energy consumption (kWh/yr)]])</f>
        <v/>
      </c>
      <c r="T19" s="229" t="str">
        <f>IF(Table_Controls_Input2225[[#This Row],[Measure name]]="", "", Table_Controls_Input2225[[#This Row],[Existing peak demand (kW)]]-Table_Controls_Input2225[[#This Row],[Proposed peak demand (kW)]])</f>
        <v/>
      </c>
      <c r="U19" s="227" t="str">
        <f t="shared" si="2"/>
        <v/>
      </c>
      <c r="V19" s="227" t="str">
        <f>IF(Table_Controls_Input2225[[#This Row],[Measure name]]="", "", Table_Controls_Input2225[[#This Row],[Total equipment cost]]+Table_Controls_Input2225[[#This Row],[Total labor cost]])</f>
        <v/>
      </c>
      <c r="W19" s="227" t="str">
        <f>IFERROR(Table_Controls_Input2225[[#This Row],[Gross measure cost]]-Table_Controls_Input2225[[#This Row],[Estimated incentive]], "")</f>
        <v/>
      </c>
      <c r="X19" s="228" t="str">
        <f t="shared" si="1"/>
        <v/>
      </c>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row>
    <row r="20" spans="1:46">
      <c r="A20" s="193"/>
      <c r="B20" s="223">
        <v>16</v>
      </c>
      <c r="C20" s="223" t="str">
        <f>IFERROR(INDEX(Table_Prescript_Meas[Measure Number], MATCH(Table_Controls_Input2225[[#This Row],[Measure classification]], Table_Prescript_Meas[Measure Description], 0)),"")</f>
        <v/>
      </c>
      <c r="D20" s="224"/>
      <c r="E20" s="199"/>
      <c r="F20" s="191"/>
      <c r="G20" s="191"/>
      <c r="H20" s="191"/>
      <c r="I20" s="191"/>
      <c r="J20" s="191"/>
      <c r="K20" s="257"/>
      <c r="L20" s="258"/>
      <c r="M20" s="191"/>
      <c r="N20" s="257"/>
      <c r="O20" s="258"/>
      <c r="P20" s="259"/>
      <c r="Q20" s="259"/>
      <c r="R20" s="227" t="str">
        <f>IF(Table_Controls_Input2225[[#This Row],[Measure name]]="","", Table_Controls_Input2225[[#This Row],[Energy savings (kWh)]]*Value_Cus_IncentRate)</f>
        <v/>
      </c>
      <c r="S20" s="228" t="str">
        <f>IF(Table_Controls_Input2225[[#This Row],[Measure name]]="", "", Table_Controls_Input2225[[#This Row],[Existing energy consumption (kWh/yr)]]-Table_Controls_Input2225[[#This Row],[Proposed energy consumption (kWh/yr)]])</f>
        <v/>
      </c>
      <c r="T20" s="229" t="str">
        <f>IF(Table_Controls_Input2225[[#This Row],[Measure name]]="", "", Table_Controls_Input2225[[#This Row],[Existing peak demand (kW)]]-Table_Controls_Input2225[[#This Row],[Proposed peak demand (kW)]])</f>
        <v/>
      </c>
      <c r="U20" s="227" t="str">
        <f t="shared" si="2"/>
        <v/>
      </c>
      <c r="V20" s="227" t="str">
        <f>IF(Table_Controls_Input2225[[#This Row],[Measure name]]="", "", Table_Controls_Input2225[[#This Row],[Total equipment cost]]+Table_Controls_Input2225[[#This Row],[Total labor cost]])</f>
        <v/>
      </c>
      <c r="W20" s="227" t="str">
        <f>IFERROR(Table_Controls_Input2225[[#This Row],[Gross measure cost]]-Table_Controls_Input2225[[#This Row],[Estimated incentive]], "")</f>
        <v/>
      </c>
      <c r="X20" s="228" t="str">
        <f t="shared" si="1"/>
        <v/>
      </c>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row>
    <row r="21" spans="1:46">
      <c r="A21" s="193"/>
      <c r="B21" s="223">
        <v>17</v>
      </c>
      <c r="C21" s="223" t="str">
        <f>IFERROR(INDEX(Table_Prescript_Meas[Measure Number], MATCH(Table_Controls_Input2225[[#This Row],[Measure classification]], Table_Prescript_Meas[Measure Description], 0)),"")</f>
        <v/>
      </c>
      <c r="D21" s="224"/>
      <c r="E21" s="199"/>
      <c r="F21" s="191"/>
      <c r="G21" s="191"/>
      <c r="H21" s="191"/>
      <c r="I21" s="191"/>
      <c r="J21" s="191"/>
      <c r="K21" s="257"/>
      <c r="L21" s="258"/>
      <c r="M21" s="191"/>
      <c r="N21" s="257"/>
      <c r="O21" s="258"/>
      <c r="P21" s="259"/>
      <c r="Q21" s="259"/>
      <c r="R21" s="227" t="str">
        <f>IF(Table_Controls_Input2225[[#This Row],[Measure name]]="","", Table_Controls_Input2225[[#This Row],[Energy savings (kWh)]]*Value_Cus_IncentRate)</f>
        <v/>
      </c>
      <c r="S21" s="228" t="str">
        <f>IF(Table_Controls_Input2225[[#This Row],[Measure name]]="", "", Table_Controls_Input2225[[#This Row],[Existing energy consumption (kWh/yr)]]-Table_Controls_Input2225[[#This Row],[Proposed energy consumption (kWh/yr)]])</f>
        <v/>
      </c>
      <c r="T21" s="229" t="str">
        <f>IF(Table_Controls_Input2225[[#This Row],[Measure name]]="", "", Table_Controls_Input2225[[#This Row],[Existing peak demand (kW)]]-Table_Controls_Input2225[[#This Row],[Proposed peak demand (kW)]])</f>
        <v/>
      </c>
      <c r="U21" s="227" t="str">
        <f t="shared" si="2"/>
        <v/>
      </c>
      <c r="V21" s="227" t="str">
        <f>IF(Table_Controls_Input2225[[#This Row],[Measure name]]="", "", Table_Controls_Input2225[[#This Row],[Total equipment cost]]+Table_Controls_Input2225[[#This Row],[Total labor cost]])</f>
        <v/>
      </c>
      <c r="W21" s="227" t="str">
        <f>IFERROR(Table_Controls_Input2225[[#This Row],[Gross measure cost]]-Table_Controls_Input2225[[#This Row],[Estimated incentive]], "")</f>
        <v/>
      </c>
      <c r="X21" s="228" t="str">
        <f t="shared" si="1"/>
        <v/>
      </c>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row>
    <row r="22" spans="1:46">
      <c r="A22" s="193"/>
      <c r="B22" s="223">
        <v>18</v>
      </c>
      <c r="C22" s="223" t="str">
        <f>IFERROR(INDEX(Table_Prescript_Meas[Measure Number], MATCH(Table_Controls_Input2225[[#This Row],[Measure classification]], Table_Prescript_Meas[Measure Description], 0)),"")</f>
        <v/>
      </c>
      <c r="D22" s="224"/>
      <c r="E22" s="199"/>
      <c r="F22" s="191"/>
      <c r="G22" s="191"/>
      <c r="H22" s="191"/>
      <c r="I22" s="191"/>
      <c r="J22" s="191"/>
      <c r="K22" s="257"/>
      <c r="L22" s="258"/>
      <c r="M22" s="191"/>
      <c r="N22" s="257"/>
      <c r="O22" s="258"/>
      <c r="P22" s="259"/>
      <c r="Q22" s="259"/>
      <c r="R22" s="227" t="str">
        <f>IF(Table_Controls_Input2225[[#This Row],[Measure name]]="","", Table_Controls_Input2225[[#This Row],[Energy savings (kWh)]]*Value_Cus_IncentRate)</f>
        <v/>
      </c>
      <c r="S22" s="228" t="str">
        <f>IF(Table_Controls_Input2225[[#This Row],[Measure name]]="", "", Table_Controls_Input2225[[#This Row],[Existing energy consumption (kWh/yr)]]-Table_Controls_Input2225[[#This Row],[Proposed energy consumption (kWh/yr)]])</f>
        <v/>
      </c>
      <c r="T22" s="229" t="str">
        <f>IF(Table_Controls_Input2225[[#This Row],[Measure name]]="", "", Table_Controls_Input2225[[#This Row],[Existing peak demand (kW)]]-Table_Controls_Input2225[[#This Row],[Proposed peak demand (kW)]])</f>
        <v/>
      </c>
      <c r="U22" s="227" t="str">
        <f t="shared" si="2"/>
        <v/>
      </c>
      <c r="V22" s="227" t="str">
        <f>IF(Table_Controls_Input2225[[#This Row],[Measure name]]="", "", Table_Controls_Input2225[[#This Row],[Total equipment cost]]+Table_Controls_Input2225[[#This Row],[Total labor cost]])</f>
        <v/>
      </c>
      <c r="W22" s="227" t="str">
        <f>IFERROR(Table_Controls_Input2225[[#This Row],[Gross measure cost]]-Table_Controls_Input2225[[#This Row],[Estimated incentive]], "")</f>
        <v/>
      </c>
      <c r="X22" s="228" t="str">
        <f t="shared" si="1"/>
        <v/>
      </c>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row>
    <row r="23" spans="1:46">
      <c r="A23" s="193"/>
      <c r="B23" s="223">
        <v>19</v>
      </c>
      <c r="C23" s="223" t="str">
        <f>IFERROR(INDEX(Table_Prescript_Meas[Measure Number], MATCH(Table_Controls_Input2225[[#This Row],[Measure classification]], Table_Prescript_Meas[Measure Description], 0)),"")</f>
        <v/>
      </c>
      <c r="D23" s="224"/>
      <c r="E23" s="199"/>
      <c r="F23" s="191"/>
      <c r="G23" s="191"/>
      <c r="H23" s="191"/>
      <c r="I23" s="191"/>
      <c r="J23" s="191"/>
      <c r="K23" s="257"/>
      <c r="L23" s="258"/>
      <c r="M23" s="191"/>
      <c r="N23" s="257"/>
      <c r="O23" s="258"/>
      <c r="P23" s="259"/>
      <c r="Q23" s="259"/>
      <c r="R23" s="227" t="str">
        <f>IF(Table_Controls_Input2225[[#This Row],[Measure name]]="","", Table_Controls_Input2225[[#This Row],[Energy savings (kWh)]]*Value_Cus_IncentRate)</f>
        <v/>
      </c>
      <c r="S23" s="228" t="str">
        <f>IF(Table_Controls_Input2225[[#This Row],[Measure name]]="", "", Table_Controls_Input2225[[#This Row],[Existing energy consumption (kWh/yr)]]-Table_Controls_Input2225[[#This Row],[Proposed energy consumption (kWh/yr)]])</f>
        <v/>
      </c>
      <c r="T23" s="229" t="str">
        <f>IF(Table_Controls_Input2225[[#This Row],[Measure name]]="", "", Table_Controls_Input2225[[#This Row],[Existing peak demand (kW)]]-Table_Controls_Input2225[[#This Row],[Proposed peak demand (kW)]])</f>
        <v/>
      </c>
      <c r="U23" s="227" t="str">
        <f t="shared" si="2"/>
        <v/>
      </c>
      <c r="V23" s="227" t="str">
        <f>IF(Table_Controls_Input2225[[#This Row],[Measure name]]="", "", Table_Controls_Input2225[[#This Row],[Total equipment cost]]+Table_Controls_Input2225[[#This Row],[Total labor cost]])</f>
        <v/>
      </c>
      <c r="W23" s="227" t="str">
        <f>IFERROR(Table_Controls_Input2225[[#This Row],[Gross measure cost]]-Table_Controls_Input2225[[#This Row],[Estimated incentive]], "")</f>
        <v/>
      </c>
      <c r="X23" s="228" t="str">
        <f t="shared" si="1"/>
        <v/>
      </c>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row>
    <row r="24" spans="1:46">
      <c r="A24" s="193"/>
      <c r="B24" s="223">
        <v>20</v>
      </c>
      <c r="C24" s="223" t="str">
        <f>IFERROR(INDEX(Table_Prescript_Meas[Measure Number], MATCH(Table_Controls_Input2225[[#This Row],[Measure classification]], Table_Prescript_Meas[Measure Description], 0)),"")</f>
        <v/>
      </c>
      <c r="D24" s="224"/>
      <c r="E24" s="199"/>
      <c r="F24" s="191"/>
      <c r="G24" s="191"/>
      <c r="H24" s="191"/>
      <c r="I24" s="191"/>
      <c r="J24" s="191"/>
      <c r="K24" s="257"/>
      <c r="L24" s="258"/>
      <c r="M24" s="191"/>
      <c r="N24" s="257"/>
      <c r="O24" s="258"/>
      <c r="P24" s="259"/>
      <c r="Q24" s="259"/>
      <c r="R24" s="227" t="str">
        <f>IF(Table_Controls_Input2225[[#This Row],[Measure name]]="","", Table_Controls_Input2225[[#This Row],[Energy savings (kWh)]]*Value_Cus_IncentRate)</f>
        <v/>
      </c>
      <c r="S24" s="228" t="str">
        <f>IF(Table_Controls_Input2225[[#This Row],[Measure name]]="", "", Table_Controls_Input2225[[#This Row],[Existing energy consumption (kWh/yr)]]-Table_Controls_Input2225[[#This Row],[Proposed energy consumption (kWh/yr)]])</f>
        <v/>
      </c>
      <c r="T24" s="229" t="str">
        <f>IF(Table_Controls_Input2225[[#This Row],[Measure name]]="", "", Table_Controls_Input2225[[#This Row],[Existing peak demand (kW)]]-Table_Controls_Input2225[[#This Row],[Proposed peak demand (kW)]])</f>
        <v/>
      </c>
      <c r="U24" s="227" t="str">
        <f t="shared" si="2"/>
        <v/>
      </c>
      <c r="V24" s="227" t="str">
        <f>IF(Table_Controls_Input2225[[#This Row],[Measure name]]="", "", Table_Controls_Input2225[[#This Row],[Total equipment cost]]+Table_Controls_Input2225[[#This Row],[Total labor cost]])</f>
        <v/>
      </c>
      <c r="W24" s="227" t="str">
        <f>IFERROR(Table_Controls_Input2225[[#This Row],[Gross measure cost]]-Table_Controls_Input2225[[#This Row],[Estimated incentive]], "")</f>
        <v/>
      </c>
      <c r="X24" s="228" t="str">
        <f t="shared" si="1"/>
        <v/>
      </c>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row>
    <row r="25" spans="1:46">
      <c r="A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row>
    <row r="26" spans="1:46"/>
    <row r="27" spans="1:46">
      <c r="B27" s="189" t="s">
        <v>37</v>
      </c>
    </row>
    <row r="28" spans="1:46">
      <c r="B28" s="189" t="str">
        <f>Value_Application_Version</f>
        <v>Version 5.0 - 2025</v>
      </c>
    </row>
    <row r="29" spans="1:46"/>
    <row r="30" spans="1:46">
      <c r="A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row>
    <row r="31" spans="1:46">
      <c r="A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row>
    <row r="32" spans="1:46">
      <c r="A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row>
    <row r="33" spans="1:46">
      <c r="A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row>
    <row r="34" spans="1:46">
      <c r="A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row>
    <row r="35" spans="1:46">
      <c r="A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row>
    <row r="36" spans="1:46">
      <c r="A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row>
    <row r="37" spans="1:46">
      <c r="A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row>
    <row r="38" spans="1:46">
      <c r="A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row>
    <row r="39" spans="1:46">
      <c r="A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row>
    <row r="40" spans="1:46">
      <c r="A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row>
    <row r="41" spans="1:46">
      <c r="A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row>
    <row r="42" spans="1:46">
      <c r="A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row>
    <row r="43" spans="1:46">
      <c r="A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row>
    <row r="44" spans="1:46">
      <c r="A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row>
    <row r="45" spans="1:46">
      <c r="A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row>
    <row r="46" spans="1:46">
      <c r="A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row>
    <row r="47" spans="1:46">
      <c r="A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row>
    <row r="48" spans="1:46">
      <c r="A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row>
    <row r="49" spans="1:46">
      <c r="A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row>
    <row r="50" spans="1:46">
      <c r="A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row>
    <row r="51" spans="1:46">
      <c r="A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row>
    <row r="52" spans="1:46">
      <c r="A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row>
    <row r="53" spans="1:46">
      <c r="A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row>
    <row r="54" spans="1:46">
      <c r="A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row>
    <row r="55" spans="1:46">
      <c r="A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row>
    <row r="56" spans="1:46">
      <c r="A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row>
    <row r="57" spans="1:46">
      <c r="A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row>
    <row r="58" spans="1:46">
      <c r="A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row>
    <row r="59" spans="1:46">
      <c r="A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row>
    <row r="60" spans="1:46">
      <c r="A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row>
    <row r="61" spans="1:46">
      <c r="A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row>
    <row r="62" spans="1:46">
      <c r="A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row>
    <row r="63" spans="1:46">
      <c r="A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row>
    <row r="64" spans="1:46">
      <c r="A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row>
    <row r="65" spans="1:46">
      <c r="A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row>
    <row r="66" spans="1:46">
      <c r="A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row>
    <row r="67" spans="1:46">
      <c r="A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row>
    <row r="68" spans="1:46">
      <c r="A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row>
    <row r="69" spans="1:46">
      <c r="A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row>
    <row r="70" spans="1:46">
      <c r="A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row>
    <row r="71" spans="1:46">
      <c r="A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row>
    <row r="72" spans="1:46">
      <c r="A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row>
    <row r="73" spans="1:46">
      <c r="A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row>
    <row r="74" spans="1:46">
      <c r="A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row>
    <row r="75" spans="1:46">
      <c r="A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row>
    <row r="76" spans="1:46">
      <c r="A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row>
    <row r="77" spans="1:46">
      <c r="A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row>
    <row r="78" spans="1:46">
      <c r="A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row>
    <row r="79" spans="1:46">
      <c r="A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row>
    <row r="80" spans="1:46">
      <c r="A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row>
    <row r="81" spans="1:46">
      <c r="A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row>
    <row r="82" spans="1:46">
      <c r="A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row>
    <row r="83" spans="1:46">
      <c r="A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row>
    <row r="84" spans="1:46">
      <c r="A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row>
    <row r="85" spans="1:46">
      <c r="A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row>
    <row r="86" spans="1:46">
      <c r="A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row>
    <row r="87" spans="1:46">
      <c r="A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row>
    <row r="88" spans="1:46">
      <c r="A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row>
    <row r="89" spans="1:46">
      <c r="A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row>
    <row r="90" spans="1:46">
      <c r="A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row>
    <row r="91" spans="1:46">
      <c r="A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row>
    <row r="92" spans="1:46">
      <c r="A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row>
    <row r="93" spans="1:46">
      <c r="A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row>
    <row r="94" spans="1:46">
      <c r="A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row>
    <row r="95" spans="1:46">
      <c r="A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row>
    <row r="96" spans="1:46">
      <c r="A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row>
    <row r="97" spans="1:46">
      <c r="A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row>
    <row r="98" spans="1:46">
      <c r="A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row>
    <row r="99" spans="1:46">
      <c r="A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row>
    <row r="100" spans="1:46">
      <c r="A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row>
    <row r="101" spans="1:46">
      <c r="A101" s="193"/>
      <c r="Y101" s="193"/>
      <c r="Z101" s="193"/>
      <c r="AA101" s="193"/>
      <c r="AB101" s="193"/>
      <c r="AC101" s="193"/>
      <c r="AD101" s="193"/>
      <c r="AE101" s="193"/>
      <c r="AF101" s="193"/>
      <c r="AG101" s="193"/>
      <c r="AH101" s="193"/>
      <c r="AI101" s="193"/>
      <c r="AJ101" s="193"/>
      <c r="AK101" s="193"/>
      <c r="AL101" s="193"/>
      <c r="AM101" s="193"/>
      <c r="AN101" s="193"/>
      <c r="AO101" s="193"/>
      <c r="AP101" s="193"/>
      <c r="AQ101" s="193"/>
      <c r="AR101" s="193"/>
      <c r="AS101" s="193"/>
      <c r="AT101" s="193"/>
    </row>
    <row r="102" spans="1:46">
      <c r="A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row>
    <row r="103" spans="1:46">
      <c r="A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row>
    <row r="104" spans="1:46">
      <c r="A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row>
    <row r="105" spans="1:46">
      <c r="A105" s="193"/>
      <c r="Y105" s="193"/>
      <c r="Z105" s="193"/>
      <c r="AA105" s="193"/>
      <c r="AB105" s="193"/>
      <c r="AC105" s="193"/>
      <c r="AD105" s="193"/>
      <c r="AE105" s="193"/>
      <c r="AF105" s="193"/>
      <c r="AG105" s="193"/>
      <c r="AH105" s="193"/>
      <c r="AI105" s="193"/>
      <c r="AJ105" s="193"/>
      <c r="AK105" s="193"/>
      <c r="AL105" s="193"/>
      <c r="AM105" s="193"/>
      <c r="AN105" s="193"/>
      <c r="AO105" s="193"/>
      <c r="AP105" s="193"/>
      <c r="AQ105" s="193"/>
      <c r="AR105" s="193"/>
      <c r="AS105" s="193"/>
      <c r="AT105" s="193"/>
    </row>
    <row r="106" spans="1:46">
      <c r="A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row>
    <row r="107" spans="1:46">
      <c r="A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c r="AS107" s="193"/>
      <c r="AT107" s="193"/>
    </row>
    <row r="108" spans="1:46">
      <c r="A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row>
    <row r="109" spans="1:46">
      <c r="A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row>
    <row r="110" spans="1:46">
      <c r="A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row>
    <row r="111" spans="1:46">
      <c r="A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row>
    <row r="112" spans="1:46">
      <c r="A112" s="193"/>
      <c r="Y112" s="193"/>
      <c r="Z112" s="193"/>
      <c r="AA112" s="193"/>
      <c r="AB112" s="193"/>
      <c r="AC112" s="193"/>
      <c r="AD112" s="193"/>
      <c r="AE112" s="193"/>
      <c r="AF112" s="193"/>
      <c r="AG112" s="193"/>
      <c r="AH112" s="193"/>
      <c r="AI112" s="193"/>
      <c r="AJ112" s="193"/>
      <c r="AK112" s="193"/>
      <c r="AL112" s="193"/>
      <c r="AM112" s="193"/>
      <c r="AN112" s="193"/>
      <c r="AO112" s="193"/>
      <c r="AP112" s="193"/>
      <c r="AQ112" s="193"/>
      <c r="AR112" s="193"/>
      <c r="AS112" s="193"/>
      <c r="AT112" s="193"/>
    </row>
    <row r="113" spans="1:46">
      <c r="A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row>
    <row r="114" spans="1:46">
      <c r="A114" s="193"/>
      <c r="Y114" s="193"/>
      <c r="Z114" s="193"/>
      <c r="AA114" s="193"/>
      <c r="AB114" s="193"/>
      <c r="AC114" s="193"/>
      <c r="AD114" s="193"/>
      <c r="AE114" s="193"/>
      <c r="AF114" s="193"/>
      <c r="AG114" s="193"/>
      <c r="AH114" s="193"/>
      <c r="AI114" s="193"/>
      <c r="AJ114" s="193"/>
      <c r="AK114" s="193"/>
      <c r="AL114" s="193"/>
      <c r="AM114" s="193"/>
      <c r="AN114" s="193"/>
      <c r="AO114" s="193"/>
      <c r="AP114" s="193"/>
      <c r="AQ114" s="193"/>
      <c r="AR114" s="193"/>
      <c r="AS114" s="193"/>
      <c r="AT114" s="193"/>
    </row>
    <row r="115" spans="1:46">
      <c r="A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row>
    <row r="116" spans="1:46">
      <c r="A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row>
    <row r="117" spans="1:46">
      <c r="A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c r="AS117" s="193"/>
      <c r="AT117" s="193"/>
    </row>
    <row r="118" spans="1:46">
      <c r="A118" s="193"/>
      <c r="Y118" s="193"/>
      <c r="Z118" s="193"/>
      <c r="AA118" s="193"/>
      <c r="AB118" s="193"/>
      <c r="AC118" s="193"/>
      <c r="AD118" s="193"/>
      <c r="AE118" s="193"/>
      <c r="AF118" s="193"/>
      <c r="AG118" s="193"/>
      <c r="AH118" s="193"/>
      <c r="AI118" s="193"/>
      <c r="AJ118" s="193"/>
      <c r="AK118" s="193"/>
      <c r="AL118" s="193"/>
      <c r="AM118" s="193"/>
      <c r="AN118" s="193"/>
      <c r="AO118" s="193"/>
      <c r="AP118" s="193"/>
      <c r="AQ118" s="193"/>
      <c r="AR118" s="193"/>
      <c r="AS118" s="193"/>
      <c r="AT118" s="193"/>
    </row>
    <row r="119" spans="1:46">
      <c r="A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row>
    <row r="120" spans="1:46">
      <c r="A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c r="AS120" s="193"/>
      <c r="AT120" s="193"/>
    </row>
    <row r="121" spans="1:46">
      <c r="A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row>
    <row r="122" spans="1:46">
      <c r="A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row>
    <row r="123" spans="1:46">
      <c r="A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row>
    <row r="124" spans="1:46">
      <c r="A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c r="AS124" s="193"/>
      <c r="AT124" s="193"/>
    </row>
    <row r="125" spans="1:46">
      <c r="A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row>
    <row r="126" spans="1:46">
      <c r="A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row>
    <row r="127" spans="1:46">
      <c r="A127" s="193"/>
      <c r="Y127" s="193"/>
      <c r="Z127" s="193"/>
      <c r="AA127" s="193"/>
      <c r="AB127" s="193"/>
      <c r="AC127" s="193"/>
      <c r="AD127" s="193"/>
      <c r="AE127" s="193"/>
      <c r="AF127" s="193"/>
      <c r="AG127" s="193"/>
      <c r="AH127" s="193"/>
      <c r="AI127" s="193"/>
      <c r="AJ127" s="193"/>
      <c r="AK127" s="193"/>
      <c r="AL127" s="193"/>
      <c r="AM127" s="193"/>
      <c r="AN127" s="193"/>
      <c r="AO127" s="193"/>
      <c r="AP127" s="193"/>
      <c r="AQ127" s="193"/>
      <c r="AR127" s="193"/>
      <c r="AS127" s="193"/>
      <c r="AT127" s="193"/>
    </row>
    <row r="128" spans="1:46">
      <c r="A128" s="193"/>
      <c r="Y128" s="193"/>
      <c r="Z128" s="193"/>
      <c r="AA128" s="193"/>
      <c r="AB128" s="193"/>
      <c r="AC128" s="193"/>
      <c r="AD128" s="193"/>
      <c r="AE128" s="193"/>
      <c r="AF128" s="193"/>
      <c r="AG128" s="193"/>
      <c r="AH128" s="193"/>
      <c r="AI128" s="193"/>
      <c r="AJ128" s="193"/>
      <c r="AK128" s="193"/>
      <c r="AL128" s="193"/>
      <c r="AM128" s="193"/>
      <c r="AN128" s="193"/>
      <c r="AO128" s="193"/>
      <c r="AP128" s="193"/>
      <c r="AQ128" s="193"/>
      <c r="AR128" s="193"/>
      <c r="AS128" s="193"/>
      <c r="AT128" s="193"/>
    </row>
    <row r="129" spans="1:46">
      <c r="A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c r="AS129" s="193"/>
      <c r="AT129" s="193"/>
    </row>
    <row r="130" spans="1:46">
      <c r="A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c r="AT130" s="193"/>
    </row>
    <row r="131" spans="1:46">
      <c r="A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row>
    <row r="132" spans="1:46">
      <c r="A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row>
    <row r="133" spans="1:46">
      <c r="A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row>
    <row r="134" spans="1:46">
      <c r="A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3"/>
      <c r="AT134" s="193"/>
    </row>
    <row r="135" spans="1:46">
      <c r="A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row>
    <row r="136" spans="1:46">
      <c r="A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row>
    <row r="137" spans="1:46">
      <c r="A137" s="193"/>
      <c r="Y137" s="193"/>
      <c r="Z137" s="193"/>
      <c r="AA137" s="193"/>
      <c r="AB137" s="193"/>
      <c r="AC137" s="193"/>
      <c r="AD137" s="193"/>
      <c r="AE137" s="193"/>
      <c r="AF137" s="193"/>
      <c r="AG137" s="193"/>
      <c r="AH137" s="193"/>
      <c r="AI137" s="193"/>
      <c r="AJ137" s="193"/>
      <c r="AK137" s="193"/>
      <c r="AL137" s="193"/>
      <c r="AM137" s="193"/>
      <c r="AN137" s="193"/>
      <c r="AO137" s="193"/>
      <c r="AP137" s="193"/>
      <c r="AQ137" s="193"/>
      <c r="AR137" s="193"/>
      <c r="AS137" s="193"/>
      <c r="AT137" s="193"/>
    </row>
    <row r="138" spans="1:46">
      <c r="A138" s="193"/>
      <c r="Y138" s="193"/>
      <c r="Z138" s="193"/>
      <c r="AA138" s="193"/>
      <c r="AB138" s="193"/>
      <c r="AC138" s="193"/>
      <c r="AD138" s="193"/>
      <c r="AE138" s="193"/>
      <c r="AF138" s="193"/>
      <c r="AG138" s="193"/>
      <c r="AH138" s="193"/>
      <c r="AI138" s="193"/>
      <c r="AJ138" s="193"/>
      <c r="AK138" s="193"/>
      <c r="AL138" s="193"/>
      <c r="AM138" s="193"/>
      <c r="AN138" s="193"/>
      <c r="AO138" s="193"/>
      <c r="AP138" s="193"/>
      <c r="AQ138" s="193"/>
      <c r="AR138" s="193"/>
      <c r="AS138" s="193"/>
      <c r="AT138" s="193"/>
    </row>
    <row r="139" spans="1:46">
      <c r="A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row>
    <row r="140" spans="1:46">
      <c r="A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c r="AS140" s="193"/>
      <c r="AT140" s="193"/>
    </row>
    <row r="141" spans="1:46">
      <c r="A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row>
    <row r="142" spans="1:46">
      <c r="A142" s="193"/>
      <c r="Y142" s="193"/>
      <c r="Z142" s="193"/>
      <c r="AA142" s="193"/>
      <c r="AB142" s="193"/>
      <c r="AC142" s="193"/>
      <c r="AD142" s="193"/>
      <c r="AE142" s="193"/>
      <c r="AF142" s="193"/>
      <c r="AG142" s="193"/>
      <c r="AH142" s="193"/>
      <c r="AI142" s="193"/>
      <c r="AJ142" s="193"/>
      <c r="AK142" s="193"/>
      <c r="AL142" s="193"/>
      <c r="AM142" s="193"/>
      <c r="AN142" s="193"/>
      <c r="AO142" s="193"/>
      <c r="AP142" s="193"/>
      <c r="AQ142" s="193"/>
      <c r="AR142" s="193"/>
      <c r="AS142" s="193"/>
      <c r="AT142" s="193"/>
    </row>
    <row r="143" spans="1:46">
      <c r="A143" s="193"/>
      <c r="Y143" s="193"/>
      <c r="Z143" s="193"/>
      <c r="AA143" s="193"/>
      <c r="AB143" s="193"/>
      <c r="AC143" s="193"/>
      <c r="AD143" s="193"/>
      <c r="AE143" s="193"/>
      <c r="AF143" s="193"/>
      <c r="AG143" s="193"/>
      <c r="AH143" s="193"/>
      <c r="AI143" s="193"/>
      <c r="AJ143" s="193"/>
      <c r="AK143" s="193"/>
      <c r="AL143" s="193"/>
      <c r="AM143" s="193"/>
      <c r="AN143" s="193"/>
      <c r="AO143" s="193"/>
      <c r="AP143" s="193"/>
      <c r="AQ143" s="193"/>
      <c r="AR143" s="193"/>
      <c r="AS143" s="193"/>
      <c r="AT143" s="193"/>
    </row>
    <row r="144" spans="1:46">
      <c r="A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row>
    <row r="145" spans="1:46">
      <c r="A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row>
    <row r="146" spans="1:46">
      <c r="A146" s="193"/>
      <c r="Y146" s="193"/>
      <c r="Z146" s="193"/>
      <c r="AA146" s="193"/>
      <c r="AB146" s="193"/>
      <c r="AC146" s="193"/>
      <c r="AD146" s="193"/>
      <c r="AE146" s="193"/>
      <c r="AF146" s="193"/>
      <c r="AG146" s="193"/>
      <c r="AH146" s="193"/>
      <c r="AI146" s="193"/>
      <c r="AJ146" s="193"/>
      <c r="AK146" s="193"/>
      <c r="AL146" s="193"/>
      <c r="AM146" s="193"/>
      <c r="AN146" s="193"/>
      <c r="AO146" s="193"/>
      <c r="AP146" s="193"/>
      <c r="AQ146" s="193"/>
      <c r="AR146" s="193"/>
      <c r="AS146" s="193"/>
      <c r="AT146" s="193"/>
    </row>
    <row r="147" spans="1:46">
      <c r="A147" s="193"/>
      <c r="Y147" s="193"/>
      <c r="Z147" s="193"/>
      <c r="AA147" s="193"/>
      <c r="AB147" s="193"/>
      <c r="AC147" s="193"/>
      <c r="AD147" s="193"/>
      <c r="AE147" s="193"/>
      <c r="AF147" s="193"/>
      <c r="AG147" s="193"/>
      <c r="AH147" s="193"/>
      <c r="AI147" s="193"/>
      <c r="AJ147" s="193"/>
      <c r="AK147" s="193"/>
      <c r="AL147" s="193"/>
      <c r="AM147" s="193"/>
      <c r="AN147" s="193"/>
      <c r="AO147" s="193"/>
      <c r="AP147" s="193"/>
      <c r="AQ147" s="193"/>
      <c r="AR147" s="193"/>
      <c r="AS147" s="193"/>
      <c r="AT147" s="193"/>
    </row>
    <row r="148" spans="1:46">
      <c r="A148" s="193"/>
      <c r="Y148" s="193"/>
      <c r="Z148" s="193"/>
      <c r="AA148" s="193"/>
      <c r="AB148" s="193"/>
      <c r="AC148" s="193"/>
      <c r="AD148" s="193"/>
      <c r="AE148" s="193"/>
      <c r="AF148" s="193"/>
      <c r="AG148" s="193"/>
      <c r="AH148" s="193"/>
      <c r="AI148" s="193"/>
      <c r="AJ148" s="193"/>
      <c r="AK148" s="193"/>
      <c r="AL148" s="193"/>
      <c r="AM148" s="193"/>
      <c r="AN148" s="193"/>
      <c r="AO148" s="193"/>
      <c r="AP148" s="193"/>
      <c r="AQ148" s="193"/>
      <c r="AR148" s="193"/>
      <c r="AS148" s="193"/>
      <c r="AT148" s="193"/>
    </row>
    <row r="149" spans="1:46">
      <c r="A149" s="193"/>
      <c r="Y149" s="193"/>
      <c r="Z149" s="193"/>
      <c r="AA149" s="193"/>
      <c r="AB149" s="193"/>
      <c r="AC149" s="193"/>
      <c r="AD149" s="193"/>
      <c r="AE149" s="193"/>
      <c r="AF149" s="193"/>
      <c r="AG149" s="193"/>
      <c r="AH149" s="193"/>
      <c r="AI149" s="193"/>
      <c r="AJ149" s="193"/>
      <c r="AK149" s="193"/>
      <c r="AL149" s="193"/>
      <c r="AM149" s="193"/>
      <c r="AN149" s="193"/>
      <c r="AO149" s="193"/>
      <c r="AP149" s="193"/>
      <c r="AQ149" s="193"/>
      <c r="AR149" s="193"/>
      <c r="AS149" s="193"/>
      <c r="AT149" s="193"/>
    </row>
    <row r="150" spans="1:46">
      <c r="A150" s="193"/>
      <c r="Y150" s="193"/>
      <c r="Z150" s="193"/>
      <c r="AA150" s="193"/>
      <c r="AB150" s="193"/>
      <c r="AC150" s="193"/>
      <c r="AD150" s="193"/>
      <c r="AE150" s="193"/>
      <c r="AF150" s="193"/>
      <c r="AG150" s="193"/>
      <c r="AH150" s="193"/>
      <c r="AI150" s="193"/>
      <c r="AJ150" s="193"/>
      <c r="AK150" s="193"/>
      <c r="AL150" s="193"/>
      <c r="AM150" s="193"/>
      <c r="AN150" s="193"/>
      <c r="AO150" s="193"/>
      <c r="AP150" s="193"/>
      <c r="AQ150" s="193"/>
      <c r="AR150" s="193"/>
      <c r="AS150" s="193"/>
      <c r="AT150" s="193"/>
    </row>
    <row r="151" spans="1:46">
      <c r="A151" s="193"/>
      <c r="Y151" s="193"/>
      <c r="Z151" s="193"/>
      <c r="AA151" s="193"/>
      <c r="AB151" s="193"/>
      <c r="AC151" s="193"/>
      <c r="AD151" s="193"/>
      <c r="AE151" s="193"/>
      <c r="AF151" s="193"/>
      <c r="AG151" s="193"/>
      <c r="AH151" s="193"/>
      <c r="AI151" s="193"/>
      <c r="AJ151" s="193"/>
      <c r="AK151" s="193"/>
      <c r="AL151" s="193"/>
      <c r="AM151" s="193"/>
      <c r="AN151" s="193"/>
      <c r="AO151" s="193"/>
      <c r="AP151" s="193"/>
      <c r="AQ151" s="193"/>
      <c r="AR151" s="193"/>
      <c r="AS151" s="193"/>
      <c r="AT151" s="193"/>
    </row>
    <row r="152" spans="1:46">
      <c r="A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c r="AS152" s="193"/>
      <c r="AT152" s="193"/>
    </row>
    <row r="153" spans="1:46">
      <c r="A153" s="193"/>
      <c r="Y153" s="193"/>
      <c r="Z153" s="193"/>
      <c r="AA153" s="193"/>
      <c r="AB153" s="193"/>
      <c r="AC153" s="193"/>
      <c r="AD153" s="193"/>
      <c r="AE153" s="193"/>
      <c r="AF153" s="193"/>
      <c r="AG153" s="193"/>
      <c r="AH153" s="193"/>
      <c r="AI153" s="193"/>
      <c r="AJ153" s="193"/>
      <c r="AK153" s="193"/>
      <c r="AL153" s="193"/>
      <c r="AM153" s="193"/>
      <c r="AN153" s="193"/>
      <c r="AO153" s="193"/>
      <c r="AP153" s="193"/>
      <c r="AQ153" s="193"/>
      <c r="AR153" s="193"/>
      <c r="AS153" s="193"/>
      <c r="AT153" s="193"/>
    </row>
    <row r="154" spans="1:46">
      <c r="A154" s="193"/>
      <c r="Y154" s="193"/>
      <c r="Z154" s="193"/>
      <c r="AA154" s="193"/>
      <c r="AB154" s="193"/>
      <c r="AC154" s="193"/>
      <c r="AD154" s="193"/>
      <c r="AE154" s="193"/>
      <c r="AF154" s="193"/>
      <c r="AG154" s="193"/>
      <c r="AH154" s="193"/>
      <c r="AI154" s="193"/>
      <c r="AJ154" s="193"/>
      <c r="AK154" s="193"/>
      <c r="AL154" s="193"/>
      <c r="AM154" s="193"/>
      <c r="AN154" s="193"/>
      <c r="AO154" s="193"/>
      <c r="AP154" s="193"/>
      <c r="AQ154" s="193"/>
      <c r="AR154" s="193"/>
      <c r="AS154" s="193"/>
      <c r="AT154" s="193"/>
    </row>
    <row r="155" spans="1:46">
      <c r="A155" s="193"/>
      <c r="Y155" s="193"/>
      <c r="Z155" s="193"/>
      <c r="AA155" s="193"/>
      <c r="AB155" s="193"/>
      <c r="AC155" s="193"/>
      <c r="AD155" s="193"/>
      <c r="AE155" s="193"/>
      <c r="AF155" s="193"/>
      <c r="AG155" s="193"/>
      <c r="AH155" s="193"/>
      <c r="AI155" s="193"/>
      <c r="AJ155" s="193"/>
      <c r="AK155" s="193"/>
      <c r="AL155" s="193"/>
      <c r="AM155" s="193"/>
      <c r="AN155" s="193"/>
      <c r="AO155" s="193"/>
      <c r="AP155" s="193"/>
      <c r="AQ155" s="193"/>
      <c r="AR155" s="193"/>
      <c r="AS155" s="193"/>
      <c r="AT155" s="193"/>
    </row>
    <row r="156" spans="1:46">
      <c r="A156" s="193"/>
      <c r="Y156" s="193"/>
      <c r="Z156" s="193"/>
      <c r="AA156" s="193"/>
      <c r="AB156" s="193"/>
      <c r="AC156" s="193"/>
      <c r="AD156" s="193"/>
      <c r="AE156" s="193"/>
      <c r="AF156" s="193"/>
      <c r="AG156" s="193"/>
      <c r="AH156" s="193"/>
      <c r="AI156" s="193"/>
      <c r="AJ156" s="193"/>
      <c r="AK156" s="193"/>
      <c r="AL156" s="193"/>
      <c r="AM156" s="193"/>
      <c r="AN156" s="193"/>
      <c r="AO156" s="193"/>
      <c r="AP156" s="193"/>
      <c r="AQ156" s="193"/>
      <c r="AR156" s="193"/>
      <c r="AS156" s="193"/>
      <c r="AT156" s="193"/>
    </row>
    <row r="157" spans="1:46">
      <c r="A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row>
    <row r="158" spans="1:46">
      <c r="A158" s="193"/>
      <c r="Y158" s="193"/>
      <c r="Z158" s="193"/>
      <c r="AA158" s="193"/>
      <c r="AB158" s="193"/>
      <c r="AC158" s="193"/>
      <c r="AD158" s="193"/>
      <c r="AE158" s="193"/>
      <c r="AF158" s="193"/>
      <c r="AG158" s="193"/>
      <c r="AH158" s="193"/>
      <c r="AI158" s="193"/>
      <c r="AJ158" s="193"/>
      <c r="AK158" s="193"/>
      <c r="AL158" s="193"/>
      <c r="AM158" s="193"/>
      <c r="AN158" s="193"/>
      <c r="AO158" s="193"/>
      <c r="AP158" s="193"/>
      <c r="AQ158" s="193"/>
      <c r="AR158" s="193"/>
      <c r="AS158" s="193"/>
      <c r="AT158" s="193"/>
    </row>
    <row r="159" spans="1:46">
      <c r="A159" s="193"/>
      <c r="Y159" s="193"/>
      <c r="Z159" s="193"/>
      <c r="AA159" s="193"/>
      <c r="AB159" s="193"/>
      <c r="AC159" s="193"/>
      <c r="AD159" s="193"/>
      <c r="AE159" s="193"/>
      <c r="AF159" s="193"/>
      <c r="AG159" s="193"/>
      <c r="AH159" s="193"/>
      <c r="AI159" s="193"/>
      <c r="AJ159" s="193"/>
      <c r="AK159" s="193"/>
      <c r="AL159" s="193"/>
      <c r="AM159" s="193"/>
      <c r="AN159" s="193"/>
      <c r="AO159" s="193"/>
      <c r="AP159" s="193"/>
      <c r="AQ159" s="193"/>
      <c r="AR159" s="193"/>
      <c r="AS159" s="193"/>
      <c r="AT159" s="193"/>
    </row>
    <row r="160" spans="1:46">
      <c r="A160" s="193"/>
      <c r="Y160" s="193"/>
      <c r="Z160" s="193"/>
      <c r="AA160" s="193"/>
      <c r="AB160" s="193"/>
      <c r="AC160" s="193"/>
      <c r="AD160" s="193"/>
      <c r="AE160" s="193"/>
      <c r="AF160" s="193"/>
      <c r="AG160" s="193"/>
      <c r="AH160" s="193"/>
      <c r="AI160" s="193"/>
      <c r="AJ160" s="193"/>
      <c r="AK160" s="193"/>
      <c r="AL160" s="193"/>
      <c r="AM160" s="193"/>
      <c r="AN160" s="193"/>
      <c r="AO160" s="193"/>
      <c r="AP160" s="193"/>
      <c r="AQ160" s="193"/>
      <c r="AR160" s="193"/>
      <c r="AS160" s="193"/>
      <c r="AT160" s="193"/>
    </row>
    <row r="161" spans="1:46">
      <c r="A161" s="193"/>
      <c r="Y161" s="193"/>
      <c r="Z161" s="193"/>
      <c r="AA161" s="193"/>
      <c r="AB161" s="193"/>
      <c r="AC161" s="193"/>
      <c r="AD161" s="193"/>
      <c r="AE161" s="193"/>
      <c r="AF161" s="193"/>
      <c r="AG161" s="193"/>
      <c r="AH161" s="193"/>
      <c r="AI161" s="193"/>
      <c r="AJ161" s="193"/>
      <c r="AK161" s="193"/>
      <c r="AL161" s="193"/>
      <c r="AM161" s="193"/>
      <c r="AN161" s="193"/>
      <c r="AO161" s="193"/>
      <c r="AP161" s="193"/>
      <c r="AQ161" s="193"/>
      <c r="AR161" s="193"/>
      <c r="AS161" s="193"/>
      <c r="AT161" s="193"/>
    </row>
    <row r="162" spans="1:46">
      <c r="A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3"/>
    </row>
    <row r="163" spans="1:46">
      <c r="A163" s="193"/>
      <c r="Y163" s="193"/>
      <c r="Z163" s="193"/>
      <c r="AA163" s="193"/>
      <c r="AB163" s="193"/>
      <c r="AC163" s="193"/>
      <c r="AD163" s="193"/>
      <c r="AE163" s="193"/>
      <c r="AF163" s="193"/>
      <c r="AG163" s="193"/>
      <c r="AH163" s="193"/>
      <c r="AI163" s="193"/>
      <c r="AJ163" s="193"/>
      <c r="AK163" s="193"/>
      <c r="AL163" s="193"/>
      <c r="AM163" s="193"/>
      <c r="AN163" s="193"/>
      <c r="AO163" s="193"/>
      <c r="AP163" s="193"/>
      <c r="AQ163" s="193"/>
      <c r="AR163" s="193"/>
      <c r="AS163" s="193"/>
      <c r="AT163" s="193"/>
    </row>
    <row r="164" spans="1:46">
      <c r="A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c r="AS164" s="193"/>
      <c r="AT164" s="193"/>
    </row>
    <row r="165" spans="1:46">
      <c r="A165" s="193"/>
      <c r="Y165" s="193"/>
      <c r="Z165" s="193"/>
      <c r="AA165" s="193"/>
      <c r="AB165" s="193"/>
      <c r="AC165" s="193"/>
      <c r="AD165" s="193"/>
      <c r="AE165" s="193"/>
      <c r="AF165" s="193"/>
      <c r="AG165" s="193"/>
      <c r="AH165" s="193"/>
      <c r="AI165" s="193"/>
      <c r="AJ165" s="193"/>
      <c r="AK165" s="193"/>
      <c r="AL165" s="193"/>
      <c r="AM165" s="193"/>
      <c r="AN165" s="193"/>
      <c r="AO165" s="193"/>
      <c r="AP165" s="193"/>
      <c r="AQ165" s="193"/>
      <c r="AR165" s="193"/>
      <c r="AS165" s="193"/>
      <c r="AT165" s="193"/>
    </row>
    <row r="166" spans="1:46">
      <c r="A166" s="193"/>
      <c r="Y166" s="193"/>
      <c r="Z166" s="193"/>
      <c r="AA166" s="193"/>
      <c r="AB166" s="193"/>
      <c r="AC166" s="193"/>
      <c r="AD166" s="193"/>
      <c r="AE166" s="193"/>
      <c r="AF166" s="193"/>
      <c r="AG166" s="193"/>
      <c r="AH166" s="193"/>
      <c r="AI166" s="193"/>
      <c r="AJ166" s="193"/>
      <c r="AK166" s="193"/>
      <c r="AL166" s="193"/>
      <c r="AM166" s="193"/>
      <c r="AN166" s="193"/>
      <c r="AO166" s="193"/>
      <c r="AP166" s="193"/>
      <c r="AQ166" s="193"/>
      <c r="AR166" s="193"/>
      <c r="AS166" s="193"/>
      <c r="AT166" s="193"/>
    </row>
    <row r="167" spans="1:46">
      <c r="A167" s="193"/>
      <c r="Y167" s="193"/>
      <c r="Z167" s="193"/>
      <c r="AA167" s="193"/>
      <c r="AB167" s="193"/>
      <c r="AC167" s="193"/>
      <c r="AD167" s="193"/>
      <c r="AE167" s="193"/>
      <c r="AF167" s="193"/>
      <c r="AG167" s="193"/>
      <c r="AH167" s="193"/>
      <c r="AI167" s="193"/>
      <c r="AJ167" s="193"/>
      <c r="AK167" s="193"/>
      <c r="AL167" s="193"/>
      <c r="AM167" s="193"/>
      <c r="AN167" s="193"/>
      <c r="AO167" s="193"/>
      <c r="AP167" s="193"/>
      <c r="AQ167" s="193"/>
      <c r="AR167" s="193"/>
      <c r="AS167" s="193"/>
      <c r="AT167" s="193"/>
    </row>
    <row r="168" spans="1:46">
      <c r="A168" s="193"/>
      <c r="Y168" s="193"/>
      <c r="Z168" s="193"/>
      <c r="AA168" s="193"/>
      <c r="AB168" s="193"/>
      <c r="AC168" s="193"/>
      <c r="AD168" s="193"/>
      <c r="AE168" s="193"/>
      <c r="AF168" s="193"/>
      <c r="AG168" s="193"/>
      <c r="AH168" s="193"/>
      <c r="AI168" s="193"/>
      <c r="AJ168" s="193"/>
      <c r="AK168" s="193"/>
      <c r="AL168" s="193"/>
      <c r="AM168" s="193"/>
      <c r="AN168" s="193"/>
      <c r="AO168" s="193"/>
      <c r="AP168" s="193"/>
      <c r="AQ168" s="193"/>
      <c r="AR168" s="193"/>
      <c r="AS168" s="193"/>
      <c r="AT168" s="193"/>
    </row>
    <row r="169" spans="1:46">
      <c r="A169" s="193"/>
      <c r="Y169" s="193"/>
      <c r="Z169" s="193"/>
      <c r="AA169" s="193"/>
      <c r="AB169" s="193"/>
      <c r="AC169" s="193"/>
      <c r="AD169" s="193"/>
      <c r="AE169" s="193"/>
      <c r="AF169" s="193"/>
      <c r="AG169" s="193"/>
      <c r="AH169" s="193"/>
      <c r="AI169" s="193"/>
      <c r="AJ169" s="193"/>
      <c r="AK169" s="193"/>
      <c r="AL169" s="193"/>
      <c r="AM169" s="193"/>
      <c r="AN169" s="193"/>
      <c r="AO169" s="193"/>
      <c r="AP169" s="193"/>
      <c r="AQ169" s="193"/>
      <c r="AR169" s="193"/>
      <c r="AS169" s="193"/>
      <c r="AT169" s="193"/>
    </row>
    <row r="170" spans="1:46">
      <c r="A170" s="193"/>
      <c r="Y170" s="193"/>
      <c r="Z170" s="193"/>
      <c r="AA170" s="193"/>
      <c r="AB170" s="193"/>
      <c r="AC170" s="193"/>
      <c r="AD170" s="193"/>
      <c r="AE170" s="193"/>
      <c r="AF170" s="193"/>
      <c r="AG170" s="193"/>
      <c r="AH170" s="193"/>
      <c r="AI170" s="193"/>
      <c r="AJ170" s="193"/>
      <c r="AK170" s="193"/>
      <c r="AL170" s="193"/>
      <c r="AM170" s="193"/>
      <c r="AN170" s="193"/>
      <c r="AO170" s="193"/>
      <c r="AP170" s="193"/>
      <c r="AQ170" s="193"/>
      <c r="AR170" s="193"/>
      <c r="AS170" s="193"/>
      <c r="AT170" s="193"/>
    </row>
    <row r="171" spans="1:46">
      <c r="A171" s="193"/>
      <c r="Y171" s="193"/>
      <c r="Z171" s="193"/>
      <c r="AA171" s="193"/>
      <c r="AB171" s="193"/>
      <c r="AC171" s="193"/>
      <c r="AD171" s="193"/>
      <c r="AE171" s="193"/>
      <c r="AF171" s="193"/>
      <c r="AG171" s="193"/>
      <c r="AH171" s="193"/>
      <c r="AI171" s="193"/>
      <c r="AJ171" s="193"/>
      <c r="AK171" s="193"/>
      <c r="AL171" s="193"/>
      <c r="AM171" s="193"/>
      <c r="AN171" s="193"/>
      <c r="AO171" s="193"/>
      <c r="AP171" s="193"/>
      <c r="AQ171" s="193"/>
      <c r="AR171" s="193"/>
      <c r="AS171" s="193"/>
      <c r="AT171" s="193"/>
    </row>
    <row r="172" spans="1:46">
      <c r="A172" s="193"/>
      <c r="Y172" s="193"/>
      <c r="Z172" s="193"/>
      <c r="AA172" s="193"/>
      <c r="AB172" s="193"/>
      <c r="AC172" s="193"/>
      <c r="AD172" s="193"/>
      <c r="AE172" s="193"/>
      <c r="AF172" s="193"/>
      <c r="AG172" s="193"/>
      <c r="AH172" s="193"/>
      <c r="AI172" s="193"/>
      <c r="AJ172" s="193"/>
      <c r="AK172" s="193"/>
      <c r="AL172" s="193"/>
      <c r="AM172" s="193"/>
      <c r="AN172" s="193"/>
      <c r="AO172" s="193"/>
      <c r="AP172" s="193"/>
      <c r="AQ172" s="193"/>
      <c r="AR172" s="193"/>
      <c r="AS172" s="193"/>
      <c r="AT172" s="193"/>
    </row>
    <row r="173" spans="1:46">
      <c r="A173" s="193"/>
      <c r="Y173" s="193"/>
      <c r="Z173" s="193"/>
      <c r="AA173" s="193"/>
      <c r="AB173" s="193"/>
      <c r="AC173" s="193"/>
      <c r="AD173" s="193"/>
      <c r="AE173" s="193"/>
      <c r="AF173" s="193"/>
      <c r="AG173" s="193"/>
      <c r="AH173" s="193"/>
      <c r="AI173" s="193"/>
      <c r="AJ173" s="193"/>
      <c r="AK173" s="193"/>
      <c r="AL173" s="193"/>
      <c r="AM173" s="193"/>
      <c r="AN173" s="193"/>
      <c r="AO173" s="193"/>
      <c r="AP173" s="193"/>
      <c r="AQ173" s="193"/>
      <c r="AR173" s="193"/>
      <c r="AS173" s="193"/>
      <c r="AT173" s="193"/>
    </row>
    <row r="174" spans="1:46">
      <c r="A174" s="193"/>
      <c r="Y174" s="193"/>
      <c r="Z174" s="193"/>
      <c r="AA174" s="193"/>
      <c r="AB174" s="193"/>
      <c r="AC174" s="193"/>
      <c r="AD174" s="193"/>
      <c r="AE174" s="193"/>
      <c r="AF174" s="193"/>
      <c r="AG174" s="193"/>
      <c r="AH174" s="193"/>
      <c r="AI174" s="193"/>
      <c r="AJ174" s="193"/>
      <c r="AK174" s="193"/>
      <c r="AL174" s="193"/>
      <c r="AM174" s="193"/>
      <c r="AN174" s="193"/>
      <c r="AO174" s="193"/>
      <c r="AP174" s="193"/>
      <c r="AQ174" s="193"/>
      <c r="AR174" s="193"/>
      <c r="AS174" s="193"/>
      <c r="AT174" s="193"/>
    </row>
    <row r="175" spans="1:46">
      <c r="A175" s="193"/>
      <c r="Y175" s="193"/>
      <c r="Z175" s="193"/>
      <c r="AA175" s="193"/>
      <c r="AB175" s="193"/>
      <c r="AC175" s="193"/>
      <c r="AD175" s="193"/>
      <c r="AE175" s="193"/>
      <c r="AF175" s="193"/>
      <c r="AG175" s="193"/>
      <c r="AH175" s="193"/>
      <c r="AI175" s="193"/>
      <c r="AJ175" s="193"/>
      <c r="AK175" s="193"/>
      <c r="AL175" s="193"/>
      <c r="AM175" s="193"/>
      <c r="AN175" s="193"/>
      <c r="AO175" s="193"/>
      <c r="AP175" s="193"/>
      <c r="AQ175" s="193"/>
      <c r="AR175" s="193"/>
      <c r="AS175" s="193"/>
      <c r="AT175" s="193"/>
    </row>
    <row r="176" spans="1:46">
      <c r="A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row>
    <row r="177" spans="1:46">
      <c r="A177" s="193"/>
      <c r="Y177" s="193"/>
      <c r="Z177" s="193"/>
      <c r="AA177" s="193"/>
      <c r="AB177" s="193"/>
      <c r="AC177" s="193"/>
      <c r="AD177" s="193"/>
      <c r="AE177" s="193"/>
      <c r="AF177" s="193"/>
      <c r="AG177" s="193"/>
      <c r="AH177" s="193"/>
      <c r="AI177" s="193"/>
      <c r="AJ177" s="193"/>
      <c r="AK177" s="193"/>
      <c r="AL177" s="193"/>
      <c r="AM177" s="193"/>
      <c r="AN177" s="193"/>
      <c r="AO177" s="193"/>
      <c r="AP177" s="193"/>
      <c r="AQ177" s="193"/>
      <c r="AR177" s="193"/>
      <c r="AS177" s="193"/>
      <c r="AT177" s="193"/>
    </row>
    <row r="178" spans="1:46">
      <c r="A178" s="193"/>
      <c r="Y178" s="193"/>
      <c r="Z178" s="193"/>
      <c r="AA178" s="193"/>
      <c r="AB178" s="193"/>
      <c r="AC178" s="193"/>
      <c r="AD178" s="193"/>
      <c r="AE178" s="193"/>
      <c r="AF178" s="193"/>
      <c r="AG178" s="193"/>
      <c r="AH178" s="193"/>
      <c r="AI178" s="193"/>
      <c r="AJ178" s="193"/>
      <c r="AK178" s="193"/>
      <c r="AL178" s="193"/>
      <c r="AM178" s="193"/>
      <c r="AN178" s="193"/>
      <c r="AO178" s="193"/>
      <c r="AP178" s="193"/>
      <c r="AQ178" s="193"/>
      <c r="AR178" s="193"/>
      <c r="AS178" s="193"/>
      <c r="AT178" s="193"/>
    </row>
    <row r="179" spans="1:46">
      <c r="A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row>
    <row r="180" spans="1:46">
      <c r="A180" s="193"/>
      <c r="Y180" s="193"/>
      <c r="Z180" s="193"/>
      <c r="AA180" s="193"/>
      <c r="AB180" s="193"/>
      <c r="AC180" s="193"/>
      <c r="AD180" s="193"/>
      <c r="AE180" s="193"/>
      <c r="AF180" s="193"/>
      <c r="AG180" s="193"/>
      <c r="AH180" s="193"/>
      <c r="AI180" s="193"/>
      <c r="AJ180" s="193"/>
      <c r="AK180" s="193"/>
      <c r="AL180" s="193"/>
      <c r="AM180" s="193"/>
      <c r="AN180" s="193"/>
      <c r="AO180" s="193"/>
      <c r="AP180" s="193"/>
      <c r="AQ180" s="193"/>
      <c r="AR180" s="193"/>
      <c r="AS180" s="193"/>
      <c r="AT180" s="193"/>
    </row>
  </sheetData>
  <sheetProtection algorithmName="SHA-512" hashValue="EgdiDwKzkzdiFP9m3jIQpgePOwXR+o9DP792SmRH0XZISOcGhLYuRdN7kxPCnMOJD2bydYPXw4z78P5FycEYOA==" saltValue="mOx1Qz2gxxCtaPDEE49oEw==" spinCount="100000" sheet="1" selectLockedCells="1"/>
  <mergeCells count="3">
    <mergeCell ref="M3:Q3"/>
    <mergeCell ref="J3:L3"/>
    <mergeCell ref="B2:U2"/>
  </mergeCells>
  <phoneticPr fontId="10" type="noConversion"/>
  <conditionalFormatting sqref="F5:Q24">
    <cfRule type="expression" dxfId="116" priority="1">
      <formula>$E5=""</formula>
    </cfRule>
  </conditionalFormatting>
  <dataValidations count="3">
    <dataValidation type="list" allowBlank="1" showInputMessage="1" showErrorMessage="1" sqref="F5:F24" xr:uid="{EF88264F-637E-4F81-AD57-AC11AB2797D9}">
      <formula1>List_Custom_Type</formula1>
    </dataValidation>
    <dataValidation type="list" allowBlank="1" showInputMessage="1" showErrorMessage="1" sqref="G5:G24" xr:uid="{C16ECBD4-BA48-4E83-8B6C-47D2AF7AC03D}">
      <formula1>List_Custom_Class</formula1>
    </dataValidation>
    <dataValidation type="list" allowBlank="1" showInputMessage="1" showErrorMessage="1" sqref="I5:I24" xr:uid="{B51D72EA-574A-452F-9CC7-E65AB35BADF4}">
      <formula1>List_Custom_HVAC</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37"/>
  <sheetViews>
    <sheetView showGridLines="0" showRowColHeaders="0" workbookViewId="0">
      <selection activeCell="B4" sqref="B4:G5"/>
    </sheetView>
  </sheetViews>
  <sheetFormatPr defaultColWidth="9.140625" defaultRowHeight="12.75"/>
  <cols>
    <col min="1" max="1" width="1.7109375" style="194" customWidth="1"/>
    <col min="2" max="2" width="29.28515625" style="194" customWidth="1"/>
    <col min="3" max="7" width="17.85546875" style="194" customWidth="1"/>
    <col min="8" max="8" width="14.7109375" style="194" customWidth="1"/>
    <col min="9" max="16384" width="9.140625" style="194"/>
  </cols>
  <sheetData>
    <row r="1" spans="2:7" ht="74.25" customHeight="1"/>
    <row r="2" spans="2:7" s="260" customFormat="1" ht="21" customHeight="1">
      <c r="B2" s="307" t="s">
        <v>151</v>
      </c>
      <c r="C2" s="307"/>
      <c r="D2" s="307"/>
      <c r="E2" s="307"/>
      <c r="F2" s="202"/>
      <c r="G2" s="202"/>
    </row>
    <row r="3" spans="2:7" ht="12.75" customHeight="1"/>
    <row r="4" spans="2:7" ht="12.75" customHeight="1">
      <c r="B4" s="317" t="s">
        <v>152</v>
      </c>
      <c r="C4" s="317"/>
      <c r="D4" s="317"/>
      <c r="E4" s="317"/>
      <c r="F4" s="317"/>
      <c r="G4" s="317"/>
    </row>
    <row r="5" spans="2:7">
      <c r="B5" s="317"/>
      <c r="C5" s="317"/>
      <c r="D5" s="317"/>
      <c r="E5" s="317"/>
      <c r="F5" s="317"/>
      <c r="G5" s="317"/>
    </row>
    <row r="7" spans="2:7" ht="28.5" customHeight="1">
      <c r="B7" s="316" t="s">
        <v>153</v>
      </c>
      <c r="C7" s="274" t="s">
        <v>154</v>
      </c>
      <c r="D7" s="274" t="s">
        <v>155</v>
      </c>
      <c r="E7" s="274" t="s">
        <v>156</v>
      </c>
      <c r="F7" s="274" t="s">
        <v>157</v>
      </c>
    </row>
    <row r="8" spans="2:7" ht="28.5" customHeight="1">
      <c r="B8" s="316"/>
      <c r="C8" s="262">
        <f>Table15[[#Totals],[Gross project cost]]</f>
        <v>0</v>
      </c>
      <c r="D8" s="262" t="e">
        <f>Table15[[#Totals],[Estimated incentive]]</f>
        <v>#DIV/0!</v>
      </c>
      <c r="E8" s="262" t="e">
        <f>Table15[[#Totals],[Net project cost]]</f>
        <v>#DIV/0!</v>
      </c>
      <c r="F8" s="263">
        <f>Table16[[#Totals],[Energy savings (kWh)]]</f>
        <v>0</v>
      </c>
    </row>
    <row r="10" spans="2:7" ht="15.75">
      <c r="B10" s="321" t="s">
        <v>158</v>
      </c>
      <c r="C10" s="322"/>
      <c r="D10" s="322"/>
      <c r="E10" s="322"/>
      <c r="F10" s="322"/>
    </row>
    <row r="11" spans="2:7" ht="12.75" customHeight="1">
      <c r="B11" s="264" t="s">
        <v>159</v>
      </c>
      <c r="C11" s="350" t="str">
        <f>_xlfn.CONCAT('Fill in the Application'!C$6, ", ",'Fill in the Application'!$C$5, ", ",'Fill in the Application'!$C$11, ", ",'Fill in the Application'!$C$12)</f>
        <v xml:space="preserve">, , , </v>
      </c>
      <c r="D11" s="350"/>
      <c r="E11" s="350"/>
      <c r="F11" s="350"/>
    </row>
    <row r="12" spans="2:7" ht="25.5" customHeight="1">
      <c r="B12" s="264" t="s">
        <v>160</v>
      </c>
      <c r="C12" s="350" t="str">
        <f>_xlfn.CONCAT('Fill in the Application'!$C$18, ", ",'Fill in the Application'!$C$17, ", ",'Fill in the Application'!$C$23, ", ",'Fill in the Application'!$C$24)</f>
        <v xml:space="preserve">, , , </v>
      </c>
      <c r="D12" s="350"/>
      <c r="E12" s="350"/>
      <c r="F12" s="350"/>
    </row>
    <row r="13" spans="2:7" ht="12.75" customHeight="1">
      <c r="B13" s="264" t="s">
        <v>161</v>
      </c>
      <c r="C13" s="350" t="str">
        <f>_xlfn.CONCAT('Fill in the Application'!$C$28, ", ",'Fill in the Application'!$C$27, ", ",'Fill in the Application'!$C$33, ", ",'Fill in the Application'!$C$34)</f>
        <v xml:space="preserve">, , , </v>
      </c>
      <c r="D13" s="350"/>
      <c r="E13" s="350"/>
      <c r="F13" s="350"/>
    </row>
    <row r="15" spans="2:7" ht="15.75">
      <c r="B15" s="319" t="s">
        <v>162</v>
      </c>
      <c r="C15" s="320"/>
      <c r="D15" s="320"/>
    </row>
    <row r="16" spans="2:7" ht="25.5">
      <c r="B16" s="275" t="s">
        <v>163</v>
      </c>
      <c r="C16" s="275" t="s">
        <v>117</v>
      </c>
      <c r="D16" s="275" t="s">
        <v>164</v>
      </c>
    </row>
    <row r="17" spans="2:7">
      <c r="B17" s="265" t="str">
        <f>Caps!B3</f>
        <v>Prescriptive HVAC</v>
      </c>
      <c r="C17" s="263">
        <f>Caps!D3</f>
        <v>0</v>
      </c>
      <c r="D17" s="266">
        <f>Caps!E3</f>
        <v>0</v>
      </c>
    </row>
    <row r="18" spans="2:7">
      <c r="B18" s="265" t="str">
        <f>Caps!B4</f>
        <v>Prescriptive Refrigeration</v>
      </c>
      <c r="C18" s="263">
        <f>Caps!D4</f>
        <v>0</v>
      </c>
      <c r="D18" s="266">
        <f>Caps!E4</f>
        <v>0</v>
      </c>
    </row>
    <row r="19" spans="2:7" ht="25.5">
      <c r="B19" s="265" t="str">
        <f>Caps!B5</f>
        <v>Prescriptive Commercial Kitchen</v>
      </c>
      <c r="C19" s="263">
        <f>Caps!D5</f>
        <v>0</v>
      </c>
      <c r="D19" s="266">
        <f>Caps!E5</f>
        <v>0</v>
      </c>
    </row>
    <row r="20" spans="2:7">
      <c r="B20" s="265" t="str">
        <f>Caps!B6</f>
        <v>Prescriptive Window Film</v>
      </c>
      <c r="C20" s="263">
        <f>Caps!D6</f>
        <v>0</v>
      </c>
      <c r="D20" s="266">
        <f>Caps!E6</f>
        <v>0</v>
      </c>
    </row>
    <row r="21" spans="2:7">
      <c r="B21" s="265" t="str">
        <f>Caps!B7</f>
        <v>Prescriptive Miscellaneous</v>
      </c>
      <c r="C21" s="263">
        <f>Caps!D7</f>
        <v>0</v>
      </c>
      <c r="D21" s="266">
        <f>Caps!E7</f>
        <v>0</v>
      </c>
    </row>
    <row r="22" spans="2:7">
      <c r="B22" s="265" t="str">
        <f>Caps!B8</f>
        <v>Custom</v>
      </c>
      <c r="C22" s="263">
        <f>Caps!D8</f>
        <v>0</v>
      </c>
      <c r="D22" s="266">
        <f>Caps!E8</f>
        <v>0</v>
      </c>
    </row>
    <row r="23" spans="2:7">
      <c r="B23" s="267" t="s">
        <v>165</v>
      </c>
      <c r="C23" s="268">
        <f>SUBTOTAL(109,Table16[Energy savings (kWh)])</f>
        <v>0</v>
      </c>
      <c r="D23" s="269">
        <f>SUBTOTAL(109,Table16[kW reduction])</f>
        <v>0</v>
      </c>
    </row>
    <row r="25" spans="2:7" ht="15.75">
      <c r="B25" s="318" t="s">
        <v>166</v>
      </c>
      <c r="C25" s="318"/>
      <c r="D25" s="318"/>
      <c r="E25" s="318"/>
      <c r="F25" s="318"/>
      <c r="G25" s="318"/>
    </row>
    <row r="26" spans="2:7" ht="25.5">
      <c r="B26" s="275" t="s">
        <v>163</v>
      </c>
      <c r="C26" s="275" t="s">
        <v>119</v>
      </c>
      <c r="D26" s="275" t="s">
        <v>167</v>
      </c>
      <c r="E26" s="275" t="s">
        <v>116</v>
      </c>
      <c r="F26" s="275" t="s">
        <v>156</v>
      </c>
      <c r="G26" s="275" t="s">
        <v>122</v>
      </c>
    </row>
    <row r="27" spans="2:7">
      <c r="B27" s="265" t="str">
        <f>Caps!B3</f>
        <v>Prescriptive HVAC</v>
      </c>
      <c r="C27" s="270">
        <f>INDEX(Table_Measure_Caps[Cost Savings Total], MATCH(Table15[[#This Row],[Incentive type]],Table_Measure_Caps[Measure Type], 0))</f>
        <v>0</v>
      </c>
      <c r="D27" s="270">
        <f>INDEX(Table_Measure_Caps[Gross Measure Cost Total], MATCH(Table15[[#This Row],[Incentive type]],Table_Measure_Caps[Measure Type], 0))</f>
        <v>0</v>
      </c>
      <c r="E27" s="270" t="e">
        <f>Caps!J3</f>
        <v>#DIV/0!</v>
      </c>
      <c r="F27" s="270" t="e">
        <f>Table15[[#This Row],[Gross project cost]]-Table15[[#This Row],[Estimated incentive]]</f>
        <v>#DIV/0!</v>
      </c>
      <c r="G27" s="271" t="str">
        <f>IFERROR(Table15[[#This Row],[Net project cost]]/Table15[[#This Row],[Cost savings]],"")</f>
        <v/>
      </c>
    </row>
    <row r="28" spans="2:7">
      <c r="B28" s="265" t="str">
        <f>Caps!B4</f>
        <v>Prescriptive Refrigeration</v>
      </c>
      <c r="C28" s="270">
        <f>INDEX(Table_Measure_Caps[Cost Savings Total], MATCH(Table15[[#This Row],[Incentive type]],Table_Measure_Caps[Measure Type], 0))</f>
        <v>0</v>
      </c>
      <c r="D28" s="270">
        <f>INDEX(Table_Measure_Caps[Gross Measure Cost Total], MATCH(Table15[[#This Row],[Incentive type]],Table_Measure_Caps[Measure Type], 0))</f>
        <v>0</v>
      </c>
      <c r="E28" s="270" t="e">
        <f>Caps!J4</f>
        <v>#DIV/0!</v>
      </c>
      <c r="F28" s="270" t="e">
        <f>Table15[[#This Row],[Gross project cost]]-Table15[[#This Row],[Estimated incentive]]</f>
        <v>#DIV/0!</v>
      </c>
      <c r="G28" s="271" t="str">
        <f>IFERROR(Table15[[#This Row],[Net project cost]]/Table15[[#This Row],[Cost savings]],"")</f>
        <v/>
      </c>
    </row>
    <row r="29" spans="2:7" ht="25.5">
      <c r="B29" s="265" t="str">
        <f>Caps!B5</f>
        <v>Prescriptive Commercial Kitchen</v>
      </c>
      <c r="C29" s="270">
        <f>INDEX(Table_Measure_Caps[Cost Savings Total], MATCH(Table15[[#This Row],[Incentive type]],Table_Measure_Caps[Measure Type], 0))</f>
        <v>0</v>
      </c>
      <c r="D29" s="270">
        <f>INDEX(Table_Measure_Caps[Gross Measure Cost Total], MATCH(Table15[[#This Row],[Incentive type]],Table_Measure_Caps[Measure Type], 0))</f>
        <v>0</v>
      </c>
      <c r="E29" s="270" t="e">
        <f>Caps!J5</f>
        <v>#DIV/0!</v>
      </c>
      <c r="F29" s="270" t="e">
        <f>Table15[[#This Row],[Gross project cost]]-Table15[[#This Row],[Estimated incentive]]</f>
        <v>#DIV/0!</v>
      </c>
      <c r="G29" s="271" t="str">
        <f>IFERROR(Table15[[#This Row],[Net project cost]]/Table15[[#This Row],[Cost savings]],"")</f>
        <v/>
      </c>
    </row>
    <row r="30" spans="2:7">
      <c r="B30" s="265" t="str">
        <f>Caps!B6</f>
        <v>Prescriptive Window Film</v>
      </c>
      <c r="C30" s="270">
        <f>INDEX(Table_Measure_Caps[Cost Savings Total], MATCH(Table15[[#This Row],[Incentive type]],Table_Measure_Caps[Measure Type], 0))</f>
        <v>0</v>
      </c>
      <c r="D30" s="270">
        <f>INDEX(Table_Measure_Caps[Gross Measure Cost Total], MATCH(Table15[[#This Row],[Incentive type]],Table_Measure_Caps[Measure Type], 0))</f>
        <v>0</v>
      </c>
      <c r="E30" s="270" t="e">
        <f>Caps!J6</f>
        <v>#DIV/0!</v>
      </c>
      <c r="F30" s="270" t="e">
        <f>Table15[[#This Row],[Gross project cost]]-Table15[[#This Row],[Estimated incentive]]</f>
        <v>#DIV/0!</v>
      </c>
      <c r="G30" s="271" t="str">
        <f>IFERROR(Table15[[#This Row],[Net project cost]]/Table15[[#This Row],[Cost savings]],"")</f>
        <v/>
      </c>
    </row>
    <row r="31" spans="2:7">
      <c r="B31" s="265" t="str">
        <f>Caps!B7</f>
        <v>Prescriptive Miscellaneous</v>
      </c>
      <c r="C31" s="270">
        <f>INDEX(Table_Measure_Caps[Cost Savings Total], MATCH(Table15[[#This Row],[Incentive type]],Table_Measure_Caps[Measure Type], 0))</f>
        <v>0</v>
      </c>
      <c r="D31" s="270">
        <f>INDEX(Table_Measure_Caps[Gross Measure Cost Total], MATCH(Table15[[#This Row],[Incentive type]],Table_Measure_Caps[Measure Type], 0))</f>
        <v>0</v>
      </c>
      <c r="E31" s="270" t="e">
        <f>Caps!J7</f>
        <v>#DIV/0!</v>
      </c>
      <c r="F31" s="270" t="e">
        <f>Table15[[#This Row],[Gross project cost]]-Table15[[#This Row],[Estimated incentive]]</f>
        <v>#DIV/0!</v>
      </c>
      <c r="G31" s="271" t="str">
        <f>IFERROR(Table15[[#This Row],[Net project cost]]/Table15[[#This Row],[Cost savings]],"")</f>
        <v/>
      </c>
    </row>
    <row r="32" spans="2:7">
      <c r="B32" s="265" t="str">
        <f>Caps!B8</f>
        <v>Custom</v>
      </c>
      <c r="C32" s="270">
        <f>INDEX(Table_Measure_Caps[Cost Savings Total], MATCH(Table15[[#This Row],[Incentive type]],Table_Measure_Caps[Measure Type], 0))</f>
        <v>0</v>
      </c>
      <c r="D32" s="270">
        <f>INDEX(Table_Measure_Caps[Gross Measure Cost Total], MATCH(Table15[[#This Row],[Incentive type]],Table_Measure_Caps[Measure Type], 0))</f>
        <v>0</v>
      </c>
      <c r="E32" s="270" t="e">
        <f>Caps!J8</f>
        <v>#DIV/0!</v>
      </c>
      <c r="F32" s="270" t="e">
        <f>Table15[[#This Row],[Gross project cost]]-Table15[[#This Row],[Estimated incentive]]</f>
        <v>#DIV/0!</v>
      </c>
      <c r="G32" s="271" t="str">
        <f>IFERROR(Table15[[#This Row],[Net project cost]]/Table15[[#This Row],[Cost savings]],"")</f>
        <v/>
      </c>
    </row>
    <row r="33" spans="2:7" ht="12.75" customHeight="1">
      <c r="B33" s="276"/>
      <c r="C33" s="276"/>
      <c r="D33" s="276"/>
      <c r="E33" s="276"/>
      <c r="F33" s="276"/>
      <c r="G33" s="276"/>
    </row>
    <row r="34" spans="2:7">
      <c r="B34" s="267" t="s">
        <v>165</v>
      </c>
      <c r="C34" s="272">
        <f>SUBTOTAL(109,Table15[Cost savings])</f>
        <v>0</v>
      </c>
      <c r="D34" s="272">
        <f>SUBTOTAL(109,Table15[Gross project cost])</f>
        <v>0</v>
      </c>
      <c r="E34" s="272" t="e">
        <f>SUBTOTAL(109,Table15[Estimated incentive])</f>
        <v>#DIV/0!</v>
      </c>
      <c r="F34" s="272" t="e">
        <f>SUBTOTAL(109,Table15[Net project cost])</f>
        <v>#DIV/0!</v>
      </c>
      <c r="G34" s="273" t="e">
        <f>Table15[[#Totals],[Net project cost]]/Table15[[#Totals],[Cost savings]]</f>
        <v>#DIV/0!</v>
      </c>
    </row>
    <row r="36" spans="2:7">
      <c r="B36" s="194" t="s">
        <v>37</v>
      </c>
    </row>
    <row r="37" spans="2:7">
      <c r="B37" s="194" t="str">
        <f>Value_Application_Version</f>
        <v>Version 5.0 - 2025</v>
      </c>
    </row>
  </sheetData>
  <sheetProtection algorithmName="SHA-512" hashValue="CgnOFAYmP791fi7O+KO9Cuon8KlWibegWFzBZaaTCb4FV4xxSlYtXSIuQmfFE/E9AYHJeLL7ESqgmAnhPJ5d3w==" saltValue="uyP/hwu76k7p5gHPAYIkrg==" spinCount="100000" sheet="1" objects="1" scenarios="1"/>
  <mergeCells count="9">
    <mergeCell ref="B7:B8"/>
    <mergeCell ref="B4:G5"/>
    <mergeCell ref="B25:G25"/>
    <mergeCell ref="B2:E2"/>
    <mergeCell ref="B15:D15"/>
    <mergeCell ref="B10:F10"/>
    <mergeCell ref="C11:F11"/>
    <mergeCell ref="C12:F12"/>
    <mergeCell ref="C13:F13"/>
  </mergeCells>
  <pageMargins left="0.25" right="0.25" top="0.75" bottom="0.75" header="0.3" footer="0.3"/>
  <pageSetup orientation="portrait" r:id="rId1"/>
  <ignoredErrors>
    <ignoredError sqref="C28:E32" calculatedColumn="1"/>
  </ignoredErrors>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D35" sqref="D35:D36"/>
    </sheetView>
  </sheetViews>
  <sheetFormatPr defaultRowHeight="12.75"/>
  <cols>
    <col min="1" max="1" width="1.7109375" customWidth="1"/>
    <col min="2" max="2" width="18.85546875" customWidth="1"/>
    <col min="3" max="7" width="17.85546875" customWidth="1"/>
    <col min="8" max="8" width="14.7109375" customWidth="1"/>
  </cols>
  <sheetData>
    <row r="1" spans="2:7" ht="21" customHeight="1">
      <c r="B1" s="326" t="s">
        <v>168</v>
      </c>
      <c r="C1" s="326"/>
      <c r="D1" s="326"/>
      <c r="E1" s="326"/>
      <c r="F1" s="51"/>
      <c r="G1" s="51"/>
    </row>
    <row r="2" spans="2:7" ht="12.75" customHeight="1"/>
    <row r="3" spans="2:7" ht="12.75" customHeight="1"/>
    <row r="4" spans="2:7" ht="12.75" customHeight="1"/>
    <row r="5" spans="2:7" ht="12.75" customHeight="1"/>
    <row r="6" spans="2:7" ht="12.75" customHeight="1"/>
    <row r="7" spans="2:7">
      <c r="B7" s="351" t="s">
        <v>169</v>
      </c>
      <c r="C7" s="351"/>
      <c r="D7" s="351"/>
      <c r="E7" s="351"/>
      <c r="F7" s="351"/>
      <c r="G7" s="351"/>
    </row>
    <row r="8" spans="2:7">
      <c r="B8" s="351"/>
      <c r="C8" s="351"/>
      <c r="D8" s="351"/>
      <c r="E8" s="351"/>
      <c r="F8" s="351"/>
      <c r="G8" s="351"/>
    </row>
    <row r="9" spans="2:7">
      <c r="B9" s="46"/>
      <c r="C9" s="46"/>
      <c r="D9" s="46"/>
      <c r="E9" s="46"/>
      <c r="F9" s="46"/>
      <c r="G9" s="46"/>
    </row>
    <row r="10" spans="2:7" ht="26.25" customHeight="1">
      <c r="B10" s="352" t="s">
        <v>170</v>
      </c>
      <c r="C10" s="352"/>
      <c r="D10" s="352"/>
      <c r="E10" s="352"/>
      <c r="F10" s="352"/>
      <c r="G10" s="352"/>
    </row>
    <row r="12" spans="2:7" ht="28.5" customHeight="1">
      <c r="B12" s="327" t="s">
        <v>171</v>
      </c>
      <c r="C12" s="45" t="s">
        <v>172</v>
      </c>
      <c r="D12" s="45" t="s">
        <v>173</v>
      </c>
      <c r="E12" s="45" t="s">
        <v>174</v>
      </c>
      <c r="F12" s="45" t="s">
        <v>175</v>
      </c>
    </row>
    <row r="13" spans="2:7" ht="19.5" customHeight="1">
      <c r="B13" s="327"/>
      <c r="C13" s="177">
        <f>Gross_Proj_Cost</f>
        <v>0</v>
      </c>
      <c r="D13" s="177" t="e">
        <f>Total_Incentive</f>
        <v>#DIV/0!</v>
      </c>
      <c r="E13" s="177" t="e">
        <f>Net_Project_Cost</f>
        <v>#DIV/0!</v>
      </c>
      <c r="F13" s="178">
        <f>Project_Energy_Savings</f>
        <v>0</v>
      </c>
    </row>
    <row r="15" spans="2:7" ht="15.75">
      <c r="B15" s="328" t="str">
        <f>'Fill in the Application'!B4</f>
        <v>Entergy New Orleans customer information</v>
      </c>
      <c r="C15" s="328"/>
      <c r="D15" s="328"/>
      <c r="E15" s="328"/>
      <c r="F15" s="328"/>
    </row>
    <row r="16" spans="2:7">
      <c r="B16" s="323" t="s">
        <v>176</v>
      </c>
      <c r="C16" s="323"/>
      <c r="D16" s="353">
        <f>'Fill in the Application'!C5</f>
        <v>0</v>
      </c>
      <c r="E16" s="353"/>
      <c r="F16" s="353"/>
    </row>
    <row r="17" spans="2:6">
      <c r="B17" s="323" t="s">
        <v>177</v>
      </c>
      <c r="C17" s="323"/>
      <c r="D17" s="353">
        <f>'Fill in the Application'!C6</f>
        <v>0</v>
      </c>
      <c r="E17" s="353"/>
      <c r="F17" s="353"/>
    </row>
    <row r="18" spans="2:6" ht="12.75" customHeight="1">
      <c r="B18" s="323" t="s">
        <v>66</v>
      </c>
      <c r="C18" s="323"/>
      <c r="D18" s="353" t="str">
        <f>_xlfn.CONCAT('Fill in the Application'!C7,", ",'Fill in the Application'!C8,", ",'Fill in the Application'!C9,", ",'Fill in the Application'!C10)</f>
        <v xml:space="preserve">, , , </v>
      </c>
      <c r="E18" s="353"/>
      <c r="F18" s="353"/>
    </row>
    <row r="19" spans="2:6">
      <c r="B19" s="323" t="s">
        <v>178</v>
      </c>
      <c r="C19" s="323"/>
      <c r="D19" s="353">
        <f>'Fill in the Application'!C13</f>
        <v>0</v>
      </c>
      <c r="E19" s="353"/>
      <c r="F19" s="353"/>
    </row>
    <row r="21" spans="2:6" ht="15.75" customHeight="1">
      <c r="B21" s="324" t="s">
        <v>179</v>
      </c>
      <c r="C21" s="324"/>
      <c r="D21" s="324"/>
      <c r="E21" s="324"/>
      <c r="F21" s="324"/>
    </row>
    <row r="22" spans="2:6">
      <c r="B22" s="323" t="s">
        <v>180</v>
      </c>
      <c r="C22" s="323"/>
      <c r="D22" s="353">
        <f>'Fill in the Application'!C17</f>
        <v>0</v>
      </c>
      <c r="E22" s="353"/>
      <c r="F22" s="353"/>
    </row>
    <row r="23" spans="2:6">
      <c r="B23" s="323" t="s">
        <v>181</v>
      </c>
      <c r="C23" s="323"/>
      <c r="D23" s="353">
        <f>'Fill in the Application'!C18</f>
        <v>0</v>
      </c>
      <c r="E23" s="353"/>
      <c r="F23" s="353"/>
    </row>
    <row r="24" spans="2:6" ht="12.75" customHeight="1">
      <c r="B24" s="323" t="s">
        <v>66</v>
      </c>
      <c r="C24" s="323"/>
      <c r="D24" s="353" t="str">
        <f>_xlfn.CONCAT('Fill in the Application'!C19,", ",'Fill in the Application'!C20,", ",'Fill in the Application'!C21,", ",'Fill in the Application'!C22)</f>
        <v xml:space="preserve">, , , </v>
      </c>
      <c r="E24" s="353"/>
      <c r="F24" s="353"/>
    </row>
    <row r="25" spans="2:6">
      <c r="B25" s="323" t="s">
        <v>182</v>
      </c>
      <c r="C25" s="323"/>
      <c r="D25" s="353">
        <f>'Fill in the Application'!C25</f>
        <v>0</v>
      </c>
      <c r="E25" s="353"/>
      <c r="F25" s="353"/>
    </row>
    <row r="27" spans="2:6" ht="15.75" customHeight="1">
      <c r="B27" s="324" t="s">
        <v>183</v>
      </c>
      <c r="C27" s="324"/>
      <c r="D27" s="324"/>
      <c r="E27" s="324"/>
      <c r="F27" s="324"/>
    </row>
    <row r="28" spans="2:6">
      <c r="B28" s="323" t="s">
        <v>184</v>
      </c>
      <c r="C28" s="323"/>
      <c r="D28" s="353">
        <f>'Fill in the Application'!F33</f>
        <v>0</v>
      </c>
      <c r="E28" s="353"/>
      <c r="F28" s="353"/>
    </row>
    <row r="29" spans="2:6">
      <c r="B29" s="323" t="s">
        <v>185</v>
      </c>
      <c r="C29" s="323"/>
      <c r="D29" s="353">
        <f>'Fill in the Application'!F34</f>
        <v>0</v>
      </c>
      <c r="E29" s="353"/>
      <c r="F29" s="353"/>
    </row>
    <row r="30" spans="2:6">
      <c r="B30" s="323" t="s">
        <v>66</v>
      </c>
      <c r="C30" s="323"/>
      <c r="D30" s="353" t="str">
        <f>IF(D28="Customer",D18,IF(D28="Trade Ally/Contractor",D24,IF(D28="Additional Contact",_xlfn.CONCAT('Fill in the Application'!C29,", ",'Fill in the Application'!C30,", ",'Fill in the Application'!C31,", ",'Fill in the Application'!C32),IF(D28="Job Site",_xlfn.CONCAT('Fill in the Application'!F17,", ",'Fill in the Application'!F18,", ",'Fill in the Application'!F19,", ",'Fill in the Application'!F20),""))))</f>
        <v/>
      </c>
      <c r="E30" s="353"/>
      <c r="F30" s="353"/>
    </row>
    <row r="31" spans="2:6">
      <c r="B31" s="323" t="s">
        <v>186</v>
      </c>
      <c r="C31" s="323"/>
      <c r="D31" s="353">
        <f>'Fill in the Application'!F35</f>
        <v>0</v>
      </c>
      <c r="E31" s="353"/>
      <c r="F31" s="353"/>
    </row>
    <row r="32" spans="2:6">
      <c r="B32" s="323" t="s">
        <v>187</v>
      </c>
      <c r="C32" s="323"/>
      <c r="D32" s="353">
        <f>'Fill in the Application'!F36</f>
        <v>0</v>
      </c>
      <c r="E32" s="353"/>
      <c r="F32" s="353"/>
    </row>
    <row r="33" spans="2:7">
      <c r="B33" s="323" t="s">
        <v>188</v>
      </c>
      <c r="C33" s="323"/>
      <c r="D33" s="353">
        <f>'Fill in the Application'!F37</f>
        <v>0</v>
      </c>
      <c r="E33" s="353"/>
      <c r="F33" s="353"/>
    </row>
    <row r="35" spans="2:7" ht="12.75" customHeight="1">
      <c r="B35" s="354" t="s">
        <v>189</v>
      </c>
      <c r="C35" s="354"/>
      <c r="D35" s="355"/>
    </row>
    <row r="36" spans="2:7">
      <c r="B36" s="354"/>
      <c r="C36" s="354"/>
      <c r="D36" s="355"/>
    </row>
    <row r="38" spans="2:7" ht="11.25" customHeight="1">
      <c r="B38" s="325" t="s">
        <v>190</v>
      </c>
      <c r="C38" s="325"/>
      <c r="D38" s="325"/>
      <c r="E38" s="325"/>
      <c r="F38" s="325"/>
      <c r="G38" s="325"/>
    </row>
    <row r="39" spans="2:7">
      <c r="B39" s="325"/>
      <c r="C39" s="325"/>
      <c r="D39" s="325"/>
      <c r="E39" s="325"/>
      <c r="F39" s="325"/>
      <c r="G39" s="325"/>
    </row>
    <row r="40" spans="2:7">
      <c r="B40" s="325"/>
      <c r="C40" s="325"/>
      <c r="D40" s="325"/>
      <c r="E40" s="325"/>
      <c r="F40" s="325"/>
      <c r="G40" s="325"/>
    </row>
    <row r="41" spans="2:7">
      <c r="B41" s="325"/>
      <c r="C41" s="325"/>
      <c r="D41" s="325"/>
      <c r="E41" s="325"/>
      <c r="F41" s="325"/>
      <c r="G41" s="325"/>
    </row>
    <row r="42" spans="2:7">
      <c r="B42" s="325"/>
      <c r="C42" s="325"/>
      <c r="D42" s="325"/>
      <c r="E42" s="325"/>
      <c r="F42" s="325"/>
      <c r="G42" s="325"/>
    </row>
    <row r="43" spans="2:7">
      <c r="B43" s="52" t="s">
        <v>191</v>
      </c>
      <c r="C43" s="52"/>
      <c r="F43" s="52" t="s">
        <v>95</v>
      </c>
      <c r="G43" s="58"/>
    </row>
    <row r="44" spans="2:7">
      <c r="B44" s="356"/>
      <c r="C44" s="356"/>
      <c r="D44" s="356"/>
      <c r="F44" s="44"/>
      <c r="G44" s="58"/>
    </row>
    <row r="45" spans="2:7">
      <c r="B45" s="58"/>
      <c r="C45" s="58"/>
      <c r="D45" s="58"/>
      <c r="E45" s="58"/>
      <c r="F45" s="58"/>
      <c r="G45" s="58"/>
    </row>
    <row r="46" spans="2:7">
      <c r="B46" t="s">
        <v>37</v>
      </c>
    </row>
    <row r="47" spans="2:7">
      <c r="B47" t="str">
        <f>Value_Application_Version</f>
        <v>Version 5.0 - 2025</v>
      </c>
    </row>
    <row r="49" spans="3:5">
      <c r="C49" s="34"/>
    </row>
    <row r="51" spans="3:5">
      <c r="C51" s="32"/>
    </row>
    <row r="54" spans="3:5">
      <c r="D54" s="34"/>
      <c r="E54" s="34"/>
    </row>
    <row r="57" spans="3:5">
      <c r="D57" s="34"/>
    </row>
    <row r="58" spans="3:5">
      <c r="D58" s="34"/>
    </row>
  </sheetData>
  <mergeCells count="39">
    <mergeCell ref="B1:E1"/>
    <mergeCell ref="B7:G8"/>
    <mergeCell ref="B12:B13"/>
    <mergeCell ref="B15:F15"/>
    <mergeCell ref="B10:G10"/>
    <mergeCell ref="B21:F21"/>
    <mergeCell ref="B19:C19"/>
    <mergeCell ref="B16:C16"/>
    <mergeCell ref="B17:C17"/>
    <mergeCell ref="B18:C18"/>
    <mergeCell ref="B22:C22"/>
    <mergeCell ref="B23:C23"/>
    <mergeCell ref="B24:C24"/>
    <mergeCell ref="D24:F24"/>
    <mergeCell ref="D25:F25"/>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35:C36"/>
    <mergeCell ref="D35:D36"/>
    <mergeCell ref="D28:F28"/>
    <mergeCell ref="D30:F30"/>
    <mergeCell ref="D31:F31"/>
    <mergeCell ref="D32:F32"/>
    <mergeCell ref="D33:F33"/>
    <mergeCell ref="B29:C29"/>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Application'!$F$12="Pre-Retrofit"</xm:f>
            <x14:dxf>
              <fill>
                <patternFill>
                  <bgColor theme="2"/>
                </patternFill>
              </fill>
            </x14:dxf>
          </x14:cfRule>
          <xm:sqref>D35:D36 B44:D44 F44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1" sqref="B1"/>
    </sheetView>
  </sheetViews>
  <sheetFormatPr defaultRowHeight="12.75"/>
  <cols>
    <col min="1" max="1" width="54.140625" customWidth="1"/>
    <col min="2" max="2" width="34.42578125" style="2" customWidth="1"/>
    <col min="3" max="3" width="29.140625" style="2" customWidth="1"/>
    <col min="4" max="4" width="11.28515625" customWidth="1"/>
    <col min="6" max="6" width="22.28515625" bestFit="1" customWidth="1"/>
    <col min="7" max="7" width="7" bestFit="1" customWidth="1"/>
  </cols>
  <sheetData>
    <row r="1" spans="1:5" ht="15">
      <c r="A1" s="5" t="s">
        <v>192</v>
      </c>
      <c r="B1" s="17"/>
      <c r="E1" s="16" t="s">
        <v>193</v>
      </c>
    </row>
    <row r="2" spans="1:5" ht="15">
      <c r="A2" s="5" t="s">
        <v>194</v>
      </c>
      <c r="B2" s="18"/>
      <c r="E2" s="16"/>
    </row>
    <row r="3" spans="1:5" ht="15">
      <c r="A3" s="5" t="s">
        <v>195</v>
      </c>
      <c r="B3" s="179" t="str">
        <f>IFERROR(Table16[[#Totals],[Energy savings (kWh)]]/Input_Usage,"")</f>
        <v/>
      </c>
      <c r="E3" s="16"/>
    </row>
    <row r="5" spans="1:5">
      <c r="A5" t="s">
        <v>196</v>
      </c>
      <c r="B5" s="1" t="s">
        <v>197</v>
      </c>
      <c r="C5" s="1" t="s">
        <v>198</v>
      </c>
    </row>
    <row r="6" spans="1:5">
      <c r="A6" s="20" t="s">
        <v>199</v>
      </c>
      <c r="B6" s="15"/>
      <c r="C6" s="15"/>
    </row>
    <row r="7" spans="1:5">
      <c r="A7" s="20" t="s">
        <v>200</v>
      </c>
      <c r="B7" s="15"/>
      <c r="C7" s="15"/>
    </row>
    <row r="8" spans="1:5">
      <c r="A8" s="20" t="s">
        <v>201</v>
      </c>
      <c r="B8" s="15"/>
      <c r="C8" s="15"/>
    </row>
    <row r="9" spans="1:5">
      <c r="A9" s="20" t="s">
        <v>202</v>
      </c>
      <c r="B9" s="19"/>
      <c r="C9" s="19"/>
    </row>
    <row r="10" spans="1:5">
      <c r="A10" s="20" t="s">
        <v>203</v>
      </c>
      <c r="B10" s="19"/>
      <c r="C10" s="19"/>
    </row>
    <row r="11" spans="1:5">
      <c r="A11" s="20" t="s">
        <v>204</v>
      </c>
      <c r="B11" s="19"/>
      <c r="C11" s="19"/>
    </row>
    <row r="12" spans="1:5">
      <c r="A12" s="20" t="s">
        <v>205</v>
      </c>
      <c r="B12" s="19"/>
      <c r="C12" s="19"/>
    </row>
    <row r="13" spans="1:5">
      <c r="A13" s="20" t="s">
        <v>206</v>
      </c>
      <c r="B13" s="19"/>
      <c r="C13" s="19"/>
    </row>
    <row r="14" spans="1:5">
      <c r="A14" s="20" t="s">
        <v>207</v>
      </c>
      <c r="B14" s="19"/>
      <c r="C14" s="19"/>
    </row>
    <row r="15" spans="1:5">
      <c r="A15" s="20" t="s">
        <v>208</v>
      </c>
      <c r="B15" s="19"/>
      <c r="C15" s="19"/>
    </row>
    <row r="16" spans="1:5">
      <c r="A16" s="2"/>
      <c r="B16" s="23"/>
      <c r="C16" s="23"/>
    </row>
    <row r="17" spans="1:4" ht="15">
      <c r="A17" s="24" t="s">
        <v>209</v>
      </c>
      <c r="B17" s="24" t="s">
        <v>210</v>
      </c>
      <c r="C17" s="25" t="s">
        <v>211</v>
      </c>
      <c r="D17" s="25" t="s">
        <v>165</v>
      </c>
    </row>
    <row r="18" spans="1:4">
      <c r="A18" s="22" t="s">
        <v>212</v>
      </c>
      <c r="B18" s="26" t="e">
        <f>SUM('Review the Summary'!E27,'Review the Summary'!E28,'Review the Summary'!E29,'Review the Summary'!E30,'Review the Summary'!E31)</f>
        <v>#DIV/0!</v>
      </c>
      <c r="C18" s="26" t="e">
        <f>'Review the Summary'!E32</f>
        <v>#DIV/0!</v>
      </c>
      <c r="D18" s="26" t="e">
        <f>SUM(B18:C18)</f>
        <v>#DIV/0!</v>
      </c>
    </row>
    <row r="19" spans="1:4">
      <c r="A19" s="22" t="s">
        <v>213</v>
      </c>
      <c r="B19" s="26">
        <f>SUM('Review the Summary'!D27,'Review the Summary'!D28,'Review the Summary'!D29,'Review the Summary'!D30,'Review the Summary'!D31)</f>
        <v>0</v>
      </c>
      <c r="C19" s="26">
        <f>'Review the Summary'!D32</f>
        <v>0</v>
      </c>
      <c r="D19" s="26">
        <f>SUM(B19:C19)</f>
        <v>0</v>
      </c>
    </row>
    <row r="20" spans="1:4">
      <c r="A20" s="4" t="s">
        <v>214</v>
      </c>
      <c r="B20" s="21" t="e">
        <f>B$18/Value_Project_CAP</f>
        <v>#DIV/0!</v>
      </c>
      <c r="C20" s="21" t="e">
        <f>C$18/Value_Project_CAP</f>
        <v>#DIV/0!</v>
      </c>
      <c r="D20" s="21" t="e">
        <f>D$18/Value_Project_CAP</f>
        <v>#DIV/0!</v>
      </c>
    </row>
    <row r="21" spans="1:4">
      <c r="A21" s="22" t="s">
        <v>215</v>
      </c>
      <c r="B21" s="21" t="e">
        <f>B$18/B$19</f>
        <v>#DIV/0!</v>
      </c>
      <c r="C21" s="21" t="e">
        <f>C$18/C$19</f>
        <v>#DIV/0!</v>
      </c>
      <c r="D21" s="21" t="e">
        <f>D$18/D$19</f>
        <v>#DIV/0!</v>
      </c>
    </row>
    <row r="23" spans="1:4" ht="15">
      <c r="A23" s="24" t="s">
        <v>216</v>
      </c>
      <c r="B23" s="24" t="s">
        <v>210</v>
      </c>
    </row>
    <row r="24" spans="1:4">
      <c r="A24" s="22" t="s">
        <v>217</v>
      </c>
      <c r="B24" s="26" t="b">
        <f>Table16[[#Totals],[Energy savings (kWh)]]=SUM('APTracks Export Data'!G:G)</f>
        <v>1</v>
      </c>
    </row>
    <row r="25" spans="1:4">
      <c r="A25" s="22" t="s">
        <v>218</v>
      </c>
      <c r="B25" s="26" t="e">
        <f>Table15[[#Totals],[Estimated incentive]]=SUM('APTracks Export Data'!I:I)</f>
        <v>#DIV/0!</v>
      </c>
    </row>
    <row r="26" spans="1:4">
      <c r="A26" s="4" t="s">
        <v>219</v>
      </c>
      <c r="B26" s="21" t="b">
        <f>Table15[[#Totals],[Gross project cost]]=SUM('APTracks Export Data'!J:K)</f>
        <v>1</v>
      </c>
    </row>
    <row r="27" spans="1:4">
      <c r="A27" s="4" t="s">
        <v>220</v>
      </c>
      <c r="B27" s="21"/>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X251"/>
  <sheetViews>
    <sheetView zoomScale="90" zoomScaleNormal="90" workbookViewId="0">
      <selection activeCell="B9" sqref="B9"/>
    </sheetView>
  </sheetViews>
  <sheetFormatPr defaultRowHeight="12.75"/>
  <cols>
    <col min="1" max="1" width="26.28515625" bestFit="1" customWidth="1"/>
    <col min="2" max="2" width="16.140625" bestFit="1" customWidth="1"/>
    <col min="3" max="3" width="2.85546875" customWidth="1"/>
    <col min="5" max="5" width="16.85546875" bestFit="1" customWidth="1"/>
    <col min="6" max="6" width="10.7109375" customWidth="1"/>
    <col min="7" max="7" width="64" customWidth="1"/>
    <col min="8" max="9" width="11" customWidth="1"/>
    <col min="10" max="10" width="23.42578125" bestFit="1" customWidth="1"/>
    <col min="11" max="11" width="69.28515625" customWidth="1"/>
    <col min="12" max="12" width="20.28515625" bestFit="1" customWidth="1"/>
    <col min="13" max="13" width="14.85546875" bestFit="1" customWidth="1"/>
    <col min="14" max="14" width="17.85546875" bestFit="1" customWidth="1"/>
    <col min="15" max="15" width="17.85546875" customWidth="1"/>
    <col min="16" max="16" width="12.7109375" customWidth="1"/>
    <col min="17" max="17" width="53.85546875" bestFit="1" customWidth="1"/>
    <col min="18" max="18" width="17" customWidth="1"/>
    <col min="19" max="19" width="44.5703125" bestFit="1" customWidth="1"/>
    <col min="20" max="20" width="19.85546875" customWidth="1"/>
    <col min="21" max="21" width="18.85546875" customWidth="1"/>
    <col min="22" max="22" width="2" customWidth="1"/>
    <col min="23" max="23" width="64.5703125" bestFit="1" customWidth="1"/>
    <col min="24" max="24" width="21.5703125" bestFit="1" customWidth="1"/>
    <col min="26" max="26" width="25.7109375" bestFit="1" customWidth="1"/>
    <col min="27" max="27" width="25.7109375" customWidth="1"/>
    <col min="28" max="28" width="9.7109375" bestFit="1" customWidth="1"/>
    <col min="29" max="29" width="7.7109375" bestFit="1" customWidth="1"/>
    <col min="30" max="30" width="46.28515625" bestFit="1" customWidth="1"/>
    <col min="31" max="31" width="15.42578125" bestFit="1" customWidth="1"/>
    <col min="32" max="32" width="15.140625" bestFit="1" customWidth="1"/>
    <col min="33" max="33" width="13.28515625" bestFit="1" customWidth="1"/>
    <col min="34" max="34" width="36.42578125" bestFit="1" customWidth="1"/>
    <col min="35" max="35" width="26.85546875" bestFit="1" customWidth="1"/>
    <col min="36" max="36" width="16.5703125" bestFit="1" customWidth="1"/>
    <col min="37" max="37" width="30.140625" bestFit="1" customWidth="1"/>
    <col min="38" max="38" width="16.85546875" bestFit="1" customWidth="1"/>
    <col min="40" max="40" width="48.140625" bestFit="1" customWidth="1"/>
    <col min="41" max="41" width="44.7109375" bestFit="1" customWidth="1"/>
    <col min="42" max="42" width="43" bestFit="1" customWidth="1"/>
    <col min="43" max="43" width="39.28515625" bestFit="1" customWidth="1"/>
    <col min="44" max="44" width="39.28515625" customWidth="1"/>
    <col min="45" max="45" width="38.85546875" bestFit="1" customWidth="1"/>
    <col min="46" max="46" width="19.85546875" bestFit="1" customWidth="1"/>
    <col min="47" max="47" width="22" bestFit="1" customWidth="1"/>
    <col min="48" max="48" width="15.5703125" bestFit="1" customWidth="1"/>
    <col min="49" max="49" width="51" bestFit="1" customWidth="1"/>
    <col min="50" max="50" width="26.7109375" bestFit="1" customWidth="1"/>
  </cols>
  <sheetData>
    <row r="1" spans="1:50" ht="13.5" thickBot="1"/>
    <row r="2" spans="1:50" ht="40.5" customHeight="1" thickTop="1" thickBot="1">
      <c r="A2" s="47" t="s">
        <v>221</v>
      </c>
      <c r="D2" s="340" t="s">
        <v>222</v>
      </c>
      <c r="E2" s="341"/>
      <c r="F2" s="341"/>
      <c r="G2" s="342"/>
      <c r="P2" s="48" t="s">
        <v>223</v>
      </c>
      <c r="W2" s="48" t="s">
        <v>224</v>
      </c>
    </row>
    <row r="3" spans="1:50" s="8" customFormat="1" ht="14.25" thickTop="1" thickBot="1">
      <c r="A3" s="48" t="s">
        <v>225</v>
      </c>
      <c r="B3" s="53">
        <v>200000</v>
      </c>
      <c r="D3" s="8" t="s">
        <v>226</v>
      </c>
      <c r="E3" s="8" t="s">
        <v>227</v>
      </c>
      <c r="F3" t="s">
        <v>228</v>
      </c>
      <c r="G3" t="s">
        <v>229</v>
      </c>
      <c r="H3" t="s">
        <v>230</v>
      </c>
      <c r="I3" t="s">
        <v>231</v>
      </c>
      <c r="J3" t="s">
        <v>232</v>
      </c>
      <c r="K3" t="s">
        <v>233</v>
      </c>
      <c r="L3" t="s">
        <v>234</v>
      </c>
      <c r="M3" t="s">
        <v>235</v>
      </c>
      <c r="P3" s="8" t="s">
        <v>236</v>
      </c>
      <c r="Q3" s="8" t="s">
        <v>237</v>
      </c>
      <c r="R3" s="8" t="s">
        <v>238</v>
      </c>
      <c r="S3" s="8" t="s">
        <v>239</v>
      </c>
      <c r="T3" s="8" t="s">
        <v>233</v>
      </c>
      <c r="U3" s="8" t="s">
        <v>234</v>
      </c>
      <c r="W3" s="48" t="s">
        <v>240</v>
      </c>
      <c r="X3" t="s">
        <v>241</v>
      </c>
      <c r="Y3"/>
      <c r="Z3" s="49" t="s">
        <v>242</v>
      </c>
      <c r="AA3" s="49" t="s">
        <v>243</v>
      </c>
      <c r="AB3" s="49" t="s">
        <v>244</v>
      </c>
      <c r="AC3" s="49" t="s">
        <v>245</v>
      </c>
      <c r="AD3" s="49" t="s">
        <v>246</v>
      </c>
      <c r="AE3" s="49" t="s">
        <v>247</v>
      </c>
      <c r="AF3" s="49" t="s">
        <v>248</v>
      </c>
      <c r="AG3" s="49" t="s">
        <v>249</v>
      </c>
      <c r="AH3" s="49" t="s">
        <v>250</v>
      </c>
      <c r="AI3" s="49" t="s">
        <v>251</v>
      </c>
      <c r="AJ3" s="49" t="s">
        <v>252</v>
      </c>
      <c r="AK3" s="49" t="s">
        <v>253</v>
      </c>
      <c r="AL3" s="49" t="s">
        <v>254</v>
      </c>
      <c r="AM3"/>
      <c r="AN3" s="49" t="s">
        <v>255</v>
      </c>
      <c r="AO3" s="49" t="s">
        <v>256</v>
      </c>
      <c r="AP3" s="49" t="s">
        <v>257</v>
      </c>
      <c r="AQ3" s="49" t="s">
        <v>258</v>
      </c>
      <c r="AR3" s="49" t="s">
        <v>259</v>
      </c>
      <c r="AS3" s="49" t="s">
        <v>260</v>
      </c>
      <c r="AT3" s="49" t="s">
        <v>261</v>
      </c>
      <c r="AU3" s="49" t="s">
        <v>262</v>
      </c>
      <c r="AV3" s="49" t="s">
        <v>263</v>
      </c>
      <c r="AW3" s="49" t="s">
        <v>264</v>
      </c>
      <c r="AX3" s="49" t="s">
        <v>265</v>
      </c>
    </row>
    <row r="4" spans="1:50" ht="14.25" thickTop="1" thickBot="1">
      <c r="A4" s="48" t="s">
        <v>266</v>
      </c>
      <c r="B4" s="53">
        <v>200000</v>
      </c>
      <c r="D4">
        <v>1</v>
      </c>
      <c r="E4" t="s">
        <v>267</v>
      </c>
      <c r="F4">
        <v>223730</v>
      </c>
      <c r="G4" t="s">
        <v>268</v>
      </c>
      <c r="H4" s="34">
        <v>80</v>
      </c>
      <c r="I4" s="34">
        <v>80</v>
      </c>
      <c r="J4" t="s">
        <v>269</v>
      </c>
      <c r="K4" t="e">
        <f>VLOOKUP('Input HVAC Measures'!$E$4,References!$K$102:$N$112,2,FALSE)</f>
        <v>#N/A</v>
      </c>
      <c r="L4" t="e">
        <f>VLOOKUP('Input HVAC Measures'!$E$4,References!$K$102:$N$112,4,FALSE)</f>
        <v>#N/A</v>
      </c>
      <c r="M4">
        <v>80</v>
      </c>
      <c r="P4">
        <v>991298</v>
      </c>
      <c r="Q4" t="s">
        <v>270</v>
      </c>
      <c r="R4" t="s">
        <v>271</v>
      </c>
      <c r="S4" t="str">
        <f>_xlfn.CONCAT($AQ$4,Table_WinFilm_Savings[[#This Row],[Cardinal Direction]])</f>
        <v>Window film, gas heat w/ACEast</v>
      </c>
      <c r="T4">
        <f>K40</f>
        <v>10.24</v>
      </c>
      <c r="U4">
        <f>L40</f>
        <v>1.0240000000000001E-2</v>
      </c>
      <c r="W4" t="s">
        <v>272</v>
      </c>
      <c r="X4" s="181">
        <f>0.12*1.25</f>
        <v>0.15</v>
      </c>
      <c r="Z4" t="s">
        <v>273</v>
      </c>
      <c r="AA4" t="s">
        <v>274</v>
      </c>
      <c r="AB4" t="s">
        <v>275</v>
      </c>
      <c r="AC4" t="s">
        <v>275</v>
      </c>
      <c r="AD4" t="s">
        <v>276</v>
      </c>
      <c r="AE4" t="s">
        <v>277</v>
      </c>
      <c r="AF4" t="s">
        <v>278</v>
      </c>
      <c r="AG4" t="s">
        <v>279</v>
      </c>
      <c r="AH4" t="s">
        <v>280</v>
      </c>
      <c r="AI4" t="s">
        <v>281</v>
      </c>
      <c r="AJ4" t="s">
        <v>282</v>
      </c>
      <c r="AK4" t="s">
        <v>159</v>
      </c>
      <c r="AL4" t="s">
        <v>283</v>
      </c>
      <c r="AN4" s="50" t="str">
        <f>Table_Prescript_Meas[[#This Row],[Measure Description]]</f>
        <v>High Eff. AC Unit</v>
      </c>
      <c r="AO4" s="50" t="s">
        <v>284</v>
      </c>
      <c r="AP4" s="50" t="s">
        <v>285</v>
      </c>
      <c r="AQ4" s="50" t="s">
        <v>286</v>
      </c>
      <c r="AR4" s="50" t="s">
        <v>287</v>
      </c>
      <c r="AS4" s="50" t="s">
        <v>288</v>
      </c>
      <c r="AT4" s="50" t="s">
        <v>271</v>
      </c>
      <c r="AU4" s="50" t="s">
        <v>289</v>
      </c>
      <c r="AV4" s="50" t="s">
        <v>290</v>
      </c>
      <c r="AW4" s="50" t="s">
        <v>291</v>
      </c>
      <c r="AX4" s="50" t="s">
        <v>292</v>
      </c>
    </row>
    <row r="5" spans="1:50" ht="14.25" thickTop="1" thickBot="1">
      <c r="A5" s="48" t="s">
        <v>293</v>
      </c>
      <c r="B5" s="53">
        <v>5000</v>
      </c>
      <c r="D5">
        <v>2</v>
      </c>
      <c r="E5" t="s">
        <v>267</v>
      </c>
      <c r="F5">
        <v>223830</v>
      </c>
      <c r="G5" t="s">
        <v>294</v>
      </c>
      <c r="H5" s="34">
        <v>80</v>
      </c>
      <c r="I5" s="34">
        <v>80</v>
      </c>
      <c r="J5" t="s">
        <v>269</v>
      </c>
      <c r="K5" t="e">
        <f>VLOOKUP('Input HVAC Measures'!$E$4,References!$K$102:$N$112,2,FALSE)</f>
        <v>#N/A</v>
      </c>
      <c r="L5" t="e">
        <f>VLOOKUP('Input HVAC Measures'!$E$4,References!$K$102:$N$112,4,FALSE)</f>
        <v>#N/A</v>
      </c>
      <c r="M5">
        <v>80</v>
      </c>
      <c r="N5" s="4" t="e">
        <f>VLOOKUP('Input HVAC Measures'!$E$4,References!$K$102:$N$112,3,FALSE)</f>
        <v>#N/A</v>
      </c>
      <c r="P5">
        <v>991299</v>
      </c>
      <c r="Q5" t="s">
        <v>295</v>
      </c>
      <c r="R5" t="s">
        <v>296</v>
      </c>
      <c r="S5" t="str">
        <f>_xlfn.CONCAT($AQ$4,Table_WinFilm_Savings[[#This Row],[Cardinal Direction]])</f>
        <v>Window film, gas heat w/ACWest</v>
      </c>
      <c r="T5">
        <f t="shared" ref="T5:T12" si="0">K41</f>
        <v>12.32</v>
      </c>
      <c r="U5">
        <f t="shared" ref="U5:U12" si="1">L41</f>
        <v>1.2320000000000001E-2</v>
      </c>
      <c r="W5" t="s">
        <v>297</v>
      </c>
      <c r="X5" s="181">
        <f>0.12*1.25</f>
        <v>0.15</v>
      </c>
      <c r="Z5" t="s">
        <v>298</v>
      </c>
      <c r="AA5" t="s">
        <v>299</v>
      </c>
      <c r="AB5" t="s">
        <v>276</v>
      </c>
      <c r="AC5" t="s">
        <v>276</v>
      </c>
      <c r="AD5" t="s">
        <v>300</v>
      </c>
      <c r="AE5" t="s">
        <v>301</v>
      </c>
      <c r="AF5" t="s">
        <v>302</v>
      </c>
      <c r="AG5" t="s">
        <v>303</v>
      </c>
      <c r="AH5" t="s">
        <v>304</v>
      </c>
      <c r="AI5" t="s">
        <v>305</v>
      </c>
      <c r="AJ5" t="s">
        <v>306</v>
      </c>
      <c r="AK5" t="s">
        <v>307</v>
      </c>
      <c r="AL5" t="s">
        <v>308</v>
      </c>
      <c r="AN5" s="50" t="str">
        <f>Table_Prescript_Meas[[#This Row],[Measure Description]]</f>
        <v>High Eff. Heat Pump Unit</v>
      </c>
      <c r="AO5" s="50" t="s">
        <v>309</v>
      </c>
      <c r="AP5" s="50" t="s">
        <v>310</v>
      </c>
      <c r="AQ5" s="50" t="s">
        <v>311</v>
      </c>
      <c r="AR5" s="50" t="s">
        <v>312</v>
      </c>
      <c r="AS5" s="50" t="s">
        <v>313</v>
      </c>
      <c r="AT5" s="50" t="s">
        <v>314</v>
      </c>
      <c r="AU5" s="50" t="s">
        <v>314</v>
      </c>
      <c r="AV5" s="50" t="s">
        <v>315</v>
      </c>
      <c r="AW5" s="50" t="s">
        <v>316</v>
      </c>
      <c r="AX5" s="50" t="s">
        <v>317</v>
      </c>
    </row>
    <row r="6" spans="1:50" ht="14.25" thickTop="1" thickBot="1">
      <c r="A6" s="48" t="s">
        <v>318</v>
      </c>
      <c r="B6" s="180" t="e">
        <f>INDEX(Table_Programs_Rates[Custom Incentive Rate], MATCH(Input_ProgramType, Table_Programs_Rates[List_Programs], 0))</f>
        <v>#N/A</v>
      </c>
      <c r="D6">
        <v>3</v>
      </c>
      <c r="E6" t="s">
        <v>267</v>
      </c>
      <c r="F6">
        <v>229230</v>
      </c>
      <c r="G6" t="s">
        <v>319</v>
      </c>
      <c r="H6" s="34">
        <v>35</v>
      </c>
      <c r="I6" s="34">
        <v>35</v>
      </c>
      <c r="J6" t="s">
        <v>269</v>
      </c>
      <c r="K6" s="171" t="e">
        <f>VLOOKUP('Input HVAC Measures'!$E$4,References!$K$127:$M$138,2,FALSE)*(12/11)</f>
        <v>#N/A</v>
      </c>
      <c r="L6" s="172" t="e">
        <f>VLOOKUP('Input HVAC Measures'!$E$4,References!$K$127:$M$138,3,FALSE)*(12/11)</f>
        <v>#N/A</v>
      </c>
      <c r="M6">
        <v>35</v>
      </c>
      <c r="P6">
        <v>991300</v>
      </c>
      <c r="Q6" t="s">
        <v>320</v>
      </c>
      <c r="R6" t="s">
        <v>314</v>
      </c>
      <c r="S6" t="str">
        <f>_xlfn.CONCAT($AQ$4,Table_WinFilm_Savings[[#This Row],[Cardinal Direction]])</f>
        <v>Window film, gas heat w/ACSouth</v>
      </c>
      <c r="T6">
        <f t="shared" si="0"/>
        <v>17.079999999999998</v>
      </c>
      <c r="U6">
        <f t="shared" si="1"/>
        <v>1.7079999999999998E-2</v>
      </c>
      <c r="Z6" t="s">
        <v>321</v>
      </c>
      <c r="AA6" t="s">
        <v>322</v>
      </c>
      <c r="AB6" t="s">
        <v>300</v>
      </c>
      <c r="AD6" t="s">
        <v>323</v>
      </c>
      <c r="AF6" t="s">
        <v>324</v>
      </c>
      <c r="AH6" t="s">
        <v>325</v>
      </c>
      <c r="AI6" t="s">
        <v>326</v>
      </c>
      <c r="AJ6" t="s">
        <v>327</v>
      </c>
      <c r="AK6" t="s">
        <v>328</v>
      </c>
      <c r="AL6" t="s">
        <v>329</v>
      </c>
      <c r="AN6" s="50" t="str">
        <f>Table_Prescript_Meas[[#This Row],[Measure Description]]</f>
        <v>High Eff. Packaged Terminal AC (PTAC) Unit</v>
      </c>
      <c r="AO6" s="50" t="s">
        <v>330</v>
      </c>
      <c r="AP6" s="50" t="s">
        <v>331</v>
      </c>
      <c r="AQ6" s="50" t="s">
        <v>332</v>
      </c>
      <c r="AR6" s="50"/>
      <c r="AS6" s="50" t="s">
        <v>333</v>
      </c>
      <c r="AT6" s="50" t="s">
        <v>296</v>
      </c>
      <c r="AU6" s="50" t="s">
        <v>296</v>
      </c>
      <c r="AV6" s="50" t="s">
        <v>334</v>
      </c>
      <c r="AW6" s="50" t="s">
        <v>335</v>
      </c>
      <c r="AX6" s="50" t="s">
        <v>336</v>
      </c>
    </row>
    <row r="7" spans="1:50" ht="14.25" thickTop="1" thickBot="1">
      <c r="A7" s="48" t="s">
        <v>337</v>
      </c>
      <c r="B7" s="57">
        <v>1</v>
      </c>
      <c r="D7">
        <v>4</v>
      </c>
      <c r="E7" t="s">
        <v>267</v>
      </c>
      <c r="F7">
        <v>229330</v>
      </c>
      <c r="G7" t="s">
        <v>338</v>
      </c>
      <c r="H7" s="34">
        <v>35</v>
      </c>
      <c r="I7" s="34">
        <v>35</v>
      </c>
      <c r="J7" t="s">
        <v>269</v>
      </c>
      <c r="K7" s="171" t="e">
        <f>VLOOKUP('Input HVAC Measures'!$E$4,References!$K$140:$M$151,2,FALSE)*(12/11)</f>
        <v>#N/A</v>
      </c>
      <c r="L7" s="172" t="e">
        <f>VLOOKUP('Input HVAC Measures'!$E$4,References!$K$140:$M$151,3,FALSE)*(12/11)</f>
        <v>#N/A</v>
      </c>
      <c r="M7">
        <v>35</v>
      </c>
      <c r="P7">
        <v>991292</v>
      </c>
      <c r="Q7" t="s">
        <v>339</v>
      </c>
      <c r="R7" t="s">
        <v>271</v>
      </c>
      <c r="S7" t="str">
        <f>_xlfn.CONCAT($AQ$5,Table_WinFilm_Savings[[#This Row],[Cardinal Direction]])</f>
        <v>Window film, heat pump heating/coolingEast</v>
      </c>
      <c r="T7">
        <f t="shared" si="0"/>
        <v>3.08</v>
      </c>
      <c r="U7">
        <f t="shared" si="1"/>
        <v>3.0800000000000003E-3</v>
      </c>
      <c r="Z7" t="s">
        <v>340</v>
      </c>
      <c r="AA7" t="s">
        <v>340</v>
      </c>
      <c r="AD7" t="s">
        <v>341</v>
      </c>
      <c r="AF7" t="s">
        <v>342</v>
      </c>
      <c r="AH7" t="s">
        <v>343</v>
      </c>
      <c r="AI7" t="s">
        <v>344</v>
      </c>
      <c r="AJ7" t="s">
        <v>345</v>
      </c>
      <c r="AK7" t="s">
        <v>346</v>
      </c>
      <c r="AL7" t="s">
        <v>347</v>
      </c>
      <c r="AN7" s="50" t="str">
        <f>Table_Prescript_Meas[[#This Row],[Measure Description]]</f>
        <v>High Eff. Packaged Terminal HP (PTHP) Unit</v>
      </c>
      <c r="AO7" s="50" t="s">
        <v>348</v>
      </c>
      <c r="AP7" s="50" t="s">
        <v>349</v>
      </c>
      <c r="AR7" s="50"/>
      <c r="AS7" s="50" t="s">
        <v>350</v>
      </c>
      <c r="AU7" s="50" t="s">
        <v>271</v>
      </c>
      <c r="AW7" s="50" t="s">
        <v>351</v>
      </c>
    </row>
    <row r="8" spans="1:50" ht="14.25" thickTop="1" thickBot="1">
      <c r="A8" s="48" t="s">
        <v>352</v>
      </c>
      <c r="B8" s="69" t="s">
        <v>353</v>
      </c>
      <c r="D8">
        <v>5</v>
      </c>
      <c r="E8" t="s">
        <v>267</v>
      </c>
      <c r="F8">
        <v>222130</v>
      </c>
      <c r="G8" t="s">
        <v>354</v>
      </c>
      <c r="H8" s="34">
        <v>45</v>
      </c>
      <c r="I8" s="34">
        <v>45</v>
      </c>
      <c r="J8" t="s">
        <v>355</v>
      </c>
      <c r="K8">
        <v>355</v>
      </c>
      <c r="L8">
        <v>0</v>
      </c>
      <c r="M8">
        <v>45</v>
      </c>
      <c r="P8">
        <v>991293</v>
      </c>
      <c r="Q8" t="s">
        <v>356</v>
      </c>
      <c r="R8" t="s">
        <v>296</v>
      </c>
      <c r="S8" t="str">
        <f>_xlfn.CONCAT($AQ$5,Table_WinFilm_Savings[[#This Row],[Cardinal Direction]])</f>
        <v>Window film, heat pump heating/coolingWest</v>
      </c>
      <c r="T8">
        <f t="shared" si="0"/>
        <v>6.13</v>
      </c>
      <c r="U8">
        <f t="shared" si="1"/>
        <v>6.13E-3</v>
      </c>
      <c r="Z8" t="s">
        <v>357</v>
      </c>
      <c r="AA8" t="s">
        <v>358</v>
      </c>
      <c r="AD8" t="s">
        <v>359</v>
      </c>
      <c r="AH8" t="s">
        <v>360</v>
      </c>
      <c r="AI8" t="s">
        <v>361</v>
      </c>
      <c r="AJ8" t="s">
        <v>362</v>
      </c>
      <c r="AL8" t="s">
        <v>363</v>
      </c>
      <c r="AN8" s="50" t="str">
        <f>Table_Prescript_Meas[[#This Row],[Measure Description]]</f>
        <v>Guestroom Energy Management Controls</v>
      </c>
      <c r="AO8" s="50" t="s">
        <v>364</v>
      </c>
      <c r="AP8" s="50" t="s">
        <v>365</v>
      </c>
      <c r="AR8" s="50"/>
      <c r="AS8" s="50"/>
      <c r="AW8" s="50" t="s">
        <v>366</v>
      </c>
    </row>
    <row r="9" spans="1:50" ht="14.25" thickTop="1" thickBot="1">
      <c r="A9" s="48" t="s">
        <v>367</v>
      </c>
      <c r="B9" s="70"/>
      <c r="D9">
        <v>6</v>
      </c>
      <c r="E9" t="s">
        <v>267</v>
      </c>
      <c r="F9">
        <v>223630</v>
      </c>
      <c r="G9" t="s">
        <v>368</v>
      </c>
      <c r="H9" s="34">
        <v>150</v>
      </c>
      <c r="I9" s="34" t="s">
        <v>369</v>
      </c>
      <c r="J9" t="s">
        <v>355</v>
      </c>
      <c r="K9">
        <v>472.1</v>
      </c>
      <c r="L9">
        <v>0</v>
      </c>
      <c r="P9">
        <v>991294</v>
      </c>
      <c r="Q9" t="s">
        <v>370</v>
      </c>
      <c r="R9" t="s">
        <v>314</v>
      </c>
      <c r="S9" t="str">
        <f>_xlfn.CONCAT($AQ$5,Table_WinFilm_Savings[[#This Row],[Cardinal Direction]])</f>
        <v>Window film, heat pump heating/coolingSouth</v>
      </c>
      <c r="T9">
        <f t="shared" si="0"/>
        <v>1.68</v>
      </c>
      <c r="U9">
        <f t="shared" si="1"/>
        <v>1.6799999999999999E-3</v>
      </c>
      <c r="Z9" t="s">
        <v>371</v>
      </c>
      <c r="AA9" t="s">
        <v>372</v>
      </c>
      <c r="AD9" t="s">
        <v>373</v>
      </c>
      <c r="AH9" t="s">
        <v>374</v>
      </c>
      <c r="AI9" t="s">
        <v>375</v>
      </c>
      <c r="AJ9" t="s">
        <v>342</v>
      </c>
      <c r="AL9" t="s">
        <v>376</v>
      </c>
      <c r="AN9" s="50" t="str">
        <f>Table_Prescript_Meas[[#This Row],[Measure Description]]</f>
        <v>Smart Thermostats for Small Business</v>
      </c>
      <c r="AO9" s="50" t="s">
        <v>377</v>
      </c>
      <c r="AP9" s="50" t="s">
        <v>378</v>
      </c>
      <c r="AR9" s="50"/>
      <c r="AS9" s="50"/>
      <c r="AW9" s="50" t="s">
        <v>379</v>
      </c>
    </row>
    <row r="10" spans="1:50" ht="13.5" thickTop="1">
      <c r="D10">
        <v>7</v>
      </c>
      <c r="E10" t="s">
        <v>267</v>
      </c>
      <c r="F10">
        <v>229430</v>
      </c>
      <c r="G10" t="s">
        <v>380</v>
      </c>
      <c r="H10" s="34">
        <v>0.7</v>
      </c>
      <c r="I10" s="34">
        <v>0.7</v>
      </c>
      <c r="J10" t="s">
        <v>381</v>
      </c>
      <c r="K10">
        <v>4.9000000000000004</v>
      </c>
      <c r="L10">
        <v>4.0000000000000001E-3</v>
      </c>
      <c r="M10">
        <v>0.7</v>
      </c>
      <c r="P10">
        <v>991295</v>
      </c>
      <c r="Q10" t="s">
        <v>382</v>
      </c>
      <c r="R10" t="s">
        <v>271</v>
      </c>
      <c r="S10" t="str">
        <f>_xlfn.CONCAT($AQ$6,Table_WinFilm_Savings[[#This Row],[Cardinal Direction]])</f>
        <v>Window film, electric resistance heat w/ACEast</v>
      </c>
      <c r="T10">
        <f t="shared" si="0"/>
        <v>5.04</v>
      </c>
      <c r="U10">
        <f t="shared" si="1"/>
        <v>5.0400000000000002E-3</v>
      </c>
      <c r="Z10" t="s">
        <v>342</v>
      </c>
      <c r="AD10" t="s">
        <v>383</v>
      </c>
      <c r="AH10" t="s">
        <v>384</v>
      </c>
      <c r="AI10" t="s">
        <v>385</v>
      </c>
      <c r="AJ10" t="s">
        <v>386</v>
      </c>
      <c r="AL10" t="s">
        <v>387</v>
      </c>
      <c r="AN10" s="50" t="str">
        <f>Table_Prescript_Meas[[#This Row],[Measure Description]]</f>
        <v>Commercial Duct Sealing</v>
      </c>
      <c r="AO10" s="50" t="s">
        <v>388</v>
      </c>
      <c r="AP10" s="50" t="s">
        <v>389</v>
      </c>
      <c r="AR10" s="50"/>
      <c r="AW10" s="50" t="s">
        <v>390</v>
      </c>
    </row>
    <row r="11" spans="1:50">
      <c r="D11">
        <v>8</v>
      </c>
      <c r="E11" t="s">
        <v>267</v>
      </c>
      <c r="F11">
        <v>229530</v>
      </c>
      <c r="G11" t="s">
        <v>391</v>
      </c>
      <c r="H11" s="34">
        <v>50</v>
      </c>
      <c r="I11" s="34">
        <v>50</v>
      </c>
      <c r="J11" t="s">
        <v>269</v>
      </c>
      <c r="K11" s="171" t="e">
        <f>VLOOKUP('Input HVAC Measures'!$E$4,References!$K$154:$S$175,6,FALSE)</f>
        <v>#N/A</v>
      </c>
      <c r="L11" t="e">
        <f>VLOOKUP('Input HVAC Measures'!$E$4,References!$K$154:$S$175,9,FALSE)</f>
        <v>#N/A</v>
      </c>
      <c r="M11">
        <v>50</v>
      </c>
      <c r="P11">
        <v>991296</v>
      </c>
      <c r="Q11" t="s">
        <v>392</v>
      </c>
      <c r="R11" t="s">
        <v>296</v>
      </c>
      <c r="S11" t="str">
        <f>_xlfn.CONCAT($AQ$6,Table_WinFilm_Savings[[#This Row],[Cardinal Direction]])</f>
        <v>Window film, electric resistance heat w/ACWest</v>
      </c>
      <c r="T11">
        <f t="shared" si="0"/>
        <v>7.76</v>
      </c>
      <c r="U11">
        <f t="shared" si="1"/>
        <v>7.7599999999999995E-3</v>
      </c>
      <c r="AD11" t="s">
        <v>393</v>
      </c>
      <c r="AH11" t="s">
        <v>394</v>
      </c>
      <c r="AL11" t="s">
        <v>395</v>
      </c>
      <c r="AN11" s="50" t="str">
        <f>Table_Prescript_Meas[[#This Row],[Measure Description]]</f>
        <v>High Eff. Air-Cooled Chiller</v>
      </c>
      <c r="AO11" s="50" t="s">
        <v>396</v>
      </c>
      <c r="AR11" s="50"/>
      <c r="AW11" s="50" t="s">
        <v>397</v>
      </c>
    </row>
    <row r="12" spans="1:50">
      <c r="D12">
        <v>9</v>
      </c>
      <c r="E12" t="s">
        <v>267</v>
      </c>
      <c r="F12">
        <v>229630</v>
      </c>
      <c r="G12" t="s">
        <v>398</v>
      </c>
      <c r="H12" s="34">
        <v>17</v>
      </c>
      <c r="I12" s="34">
        <v>17</v>
      </c>
      <c r="J12" t="s">
        <v>269</v>
      </c>
      <c r="K12" s="171" t="e">
        <f>VLOOKUP('Input HVAC Measures'!$E$4,References!$K$177:$Q$218,4,FALSE)</f>
        <v>#N/A</v>
      </c>
      <c r="L12" s="172" t="e">
        <f>VLOOKUP('Input HVAC Measures'!$E$4,References!$K$177:$Q$218,7,FALSE)</f>
        <v>#N/A</v>
      </c>
      <c r="M12">
        <v>17</v>
      </c>
      <c r="P12">
        <v>991297</v>
      </c>
      <c r="Q12" t="s">
        <v>399</v>
      </c>
      <c r="R12" t="s">
        <v>314</v>
      </c>
      <c r="S12" t="str">
        <f>_xlfn.CONCAT($AQ$6,Table_WinFilm_Savings[[#This Row],[Cardinal Direction]])</f>
        <v>Window film, electric resistance heat w/ACSouth</v>
      </c>
      <c r="T12">
        <f t="shared" si="0"/>
        <v>5.81</v>
      </c>
      <c r="U12">
        <f t="shared" si="1"/>
        <v>5.8099999999999992E-3</v>
      </c>
      <c r="AD12" t="s">
        <v>400</v>
      </c>
      <c r="AH12" t="s">
        <v>401</v>
      </c>
      <c r="AL12" t="s">
        <v>402</v>
      </c>
      <c r="AN12" s="50" t="str">
        <f>Table_Prescript_Meas[[#This Row],[Measure Description]]</f>
        <v>High Eff. Positive Displacement Water-Cooled Chiller</v>
      </c>
      <c r="AO12" s="50" t="s">
        <v>403</v>
      </c>
      <c r="AW12" s="50" t="s">
        <v>404</v>
      </c>
    </row>
    <row r="13" spans="1:50" ht="13.5" thickBot="1">
      <c r="D13">
        <v>10</v>
      </c>
      <c r="E13" t="s">
        <v>267</v>
      </c>
      <c r="F13">
        <v>229730</v>
      </c>
      <c r="G13" t="s">
        <v>405</v>
      </c>
      <c r="H13" s="34">
        <v>30</v>
      </c>
      <c r="I13" s="34">
        <v>30</v>
      </c>
      <c r="J13" t="s">
        <v>269</v>
      </c>
      <c r="K13" s="171" t="e">
        <f>VLOOKUP('Input HVAC Measures'!$E$4,References!$K$220:$Q$251,4,FALSE)</f>
        <v>#N/A</v>
      </c>
      <c r="L13" s="172" t="e">
        <f>VLOOKUP('Input HVAC Measures'!$E$4,References!$K$220:$Q$251,7,FALSE)</f>
        <v>#N/A</v>
      </c>
      <c r="M13">
        <v>30</v>
      </c>
      <c r="AD13" t="s">
        <v>406</v>
      </c>
      <c r="AH13" t="s">
        <v>407</v>
      </c>
      <c r="AL13" t="s">
        <v>342</v>
      </c>
      <c r="AN13" s="50" t="str">
        <f>Table_Prescript_Meas[[#This Row],[Measure Description]]</f>
        <v>High Eff. Centrifugal Water-Cooled Chiller</v>
      </c>
      <c r="AO13" s="50" t="s">
        <v>408</v>
      </c>
      <c r="AW13" s="50" t="s">
        <v>409</v>
      </c>
    </row>
    <row r="14" spans="1:50" ht="27" thickTop="1" thickBot="1">
      <c r="D14">
        <v>11</v>
      </c>
      <c r="E14" t="s">
        <v>267</v>
      </c>
      <c r="F14">
        <v>222530</v>
      </c>
      <c r="G14" t="s">
        <v>410</v>
      </c>
      <c r="H14" s="34">
        <v>15</v>
      </c>
      <c r="I14" s="34">
        <v>15</v>
      </c>
      <c r="J14" t="s">
        <v>269</v>
      </c>
      <c r="K14" t="e">
        <f>VLOOKUP('Input HVAC Measures'!$E$4,References!$K$103:$N$112,2,FALSE)*0.05</f>
        <v>#N/A</v>
      </c>
      <c r="L14" t="e">
        <f>VLOOKUP('Input HVAC Measures'!$E$4,References!$K$103:$N$112,4,FALSE)*0.05</f>
        <v>#N/A</v>
      </c>
      <c r="P14" s="48" t="s">
        <v>411</v>
      </c>
      <c r="AD14" t="s">
        <v>412</v>
      </c>
      <c r="AH14" t="s">
        <v>413</v>
      </c>
      <c r="AN14" s="50" t="s">
        <v>410</v>
      </c>
      <c r="AO14" s="50" t="s">
        <v>414</v>
      </c>
      <c r="AW14" s="50" t="s">
        <v>415</v>
      </c>
    </row>
    <row r="15" spans="1:50" ht="13.5" thickTop="1">
      <c r="D15">
        <v>12</v>
      </c>
      <c r="E15" t="s">
        <v>267</v>
      </c>
      <c r="F15">
        <v>222230</v>
      </c>
      <c r="G15" t="s">
        <v>416</v>
      </c>
      <c r="H15" s="34">
        <v>9</v>
      </c>
      <c r="I15" s="34">
        <v>9</v>
      </c>
      <c r="J15" t="s">
        <v>269</v>
      </c>
      <c r="K15" t="e">
        <f>VLOOKUP('Input HVAC Measures'!$E$4,References!$K$103:$N$112,2,FALSE)*0.05</f>
        <v>#N/A</v>
      </c>
      <c r="L15" t="e">
        <f>VLOOKUP('Input HVAC Measures'!$E$4,References!$K$103:$N$112,4,FALSE)*0.05</f>
        <v>#N/A</v>
      </c>
      <c r="P15" s="8" t="s">
        <v>236</v>
      </c>
      <c r="Q15" s="8" t="s">
        <v>237</v>
      </c>
      <c r="R15" s="8" t="s">
        <v>238</v>
      </c>
      <c r="S15" s="8" t="s">
        <v>239</v>
      </c>
      <c r="T15" s="8" t="s">
        <v>233</v>
      </c>
      <c r="U15" s="8" t="s">
        <v>234</v>
      </c>
      <c r="AH15" t="s">
        <v>417</v>
      </c>
      <c r="AN15" s="50" t="s">
        <v>416</v>
      </c>
      <c r="AO15" s="50" t="s">
        <v>418</v>
      </c>
      <c r="AW15" s="50" t="s">
        <v>419</v>
      </c>
    </row>
    <row r="16" spans="1:50">
      <c r="D16">
        <v>13</v>
      </c>
      <c r="E16" t="s">
        <v>267</v>
      </c>
      <c r="F16">
        <v>222330</v>
      </c>
      <c r="G16" t="s">
        <v>420</v>
      </c>
      <c r="H16" s="34">
        <v>9</v>
      </c>
      <c r="I16" s="34">
        <v>9</v>
      </c>
      <c r="J16" t="s">
        <v>269</v>
      </c>
      <c r="K16" t="e">
        <f>VLOOKUP('Input HVAC Measures'!$E$4,References!$K$103:$N$112,2,FALSE)*0.05</f>
        <v>#N/A</v>
      </c>
      <c r="L16" t="e">
        <f>VLOOKUP('Input HVAC Measures'!$E$4,References!$K$103:$N$112,4,FALSE)*0.05</f>
        <v>#N/A</v>
      </c>
      <c r="P16">
        <v>991301</v>
      </c>
      <c r="Q16" t="s">
        <v>421</v>
      </c>
      <c r="R16" t="s">
        <v>289</v>
      </c>
      <c r="S16" t="str">
        <f>_xlfn.CONCAT($AR$4,Table_EffWindow_Savings[[#This Row],[Cardinal Direction]])</f>
        <v>Premium WindowsNorth</v>
      </c>
      <c r="T16" s="40">
        <v>3.4</v>
      </c>
      <c r="U16">
        <v>2.0000000000000001E-4</v>
      </c>
      <c r="AH16" t="s">
        <v>422</v>
      </c>
      <c r="AN16" s="50" t="s">
        <v>420</v>
      </c>
      <c r="AO16" s="50" t="s">
        <v>423</v>
      </c>
      <c r="AW16" s="50" t="s">
        <v>424</v>
      </c>
    </row>
    <row r="17" spans="4:49">
      <c r="H17" s="34"/>
      <c r="I17" s="34"/>
      <c r="K17" s="171"/>
      <c r="L17" s="172"/>
      <c r="P17">
        <v>991302</v>
      </c>
      <c r="Q17" t="s">
        <v>425</v>
      </c>
      <c r="R17" t="s">
        <v>314</v>
      </c>
      <c r="S17" t="str">
        <f>_xlfn.CONCAT($AR$4,Table_EffWindow_Savings[[#This Row],[Cardinal Direction]])</f>
        <v>Premium WindowsSouth</v>
      </c>
      <c r="T17">
        <v>4.16</v>
      </c>
      <c r="U17">
        <v>4.0000000000000002E-4</v>
      </c>
      <c r="AH17" t="s">
        <v>426</v>
      </c>
      <c r="AN17" s="50"/>
      <c r="AO17" s="50" t="s">
        <v>427</v>
      </c>
      <c r="AW17" s="50" t="s">
        <v>428</v>
      </c>
    </row>
    <row r="18" spans="4:49">
      <c r="D18">
        <v>11</v>
      </c>
      <c r="E18" t="s">
        <v>429</v>
      </c>
      <c r="F18">
        <v>422230</v>
      </c>
      <c r="G18" t="s">
        <v>284</v>
      </c>
      <c r="H18" s="34">
        <v>100</v>
      </c>
      <c r="I18" s="34">
        <v>100</v>
      </c>
      <c r="J18" t="s">
        <v>355</v>
      </c>
      <c r="K18">
        <v>804</v>
      </c>
      <c r="L18">
        <v>9.1999999999999998E-2</v>
      </c>
      <c r="M18">
        <v>100</v>
      </c>
      <c r="P18">
        <v>991303</v>
      </c>
      <c r="Q18" t="s">
        <v>430</v>
      </c>
      <c r="R18" t="s">
        <v>296</v>
      </c>
      <c r="S18" t="str">
        <f>_xlfn.CONCAT($AR$4,Table_EffWindow_Savings[[#This Row],[Cardinal Direction]])</f>
        <v>Premium WindowsWest</v>
      </c>
      <c r="T18">
        <v>4.67</v>
      </c>
      <c r="U18">
        <v>5.0000000000000001E-4</v>
      </c>
      <c r="AH18" t="s">
        <v>431</v>
      </c>
      <c r="AO18" s="50" t="s">
        <v>432</v>
      </c>
      <c r="AW18" s="50" t="s">
        <v>433</v>
      </c>
    </row>
    <row r="19" spans="4:49">
      <c r="D19">
        <v>12</v>
      </c>
      <c r="E19" t="s">
        <v>429</v>
      </c>
      <c r="F19">
        <v>422315</v>
      </c>
      <c r="G19" t="s">
        <v>309</v>
      </c>
      <c r="H19" s="34">
        <v>65</v>
      </c>
      <c r="I19" s="34">
        <v>65</v>
      </c>
      <c r="J19" t="s">
        <v>434</v>
      </c>
      <c r="K19">
        <v>502.3</v>
      </c>
      <c r="L19">
        <v>5.7000000000000002E-2</v>
      </c>
      <c r="M19">
        <v>65</v>
      </c>
      <c r="P19">
        <v>991304</v>
      </c>
      <c r="Q19" t="s">
        <v>435</v>
      </c>
      <c r="R19" t="s">
        <v>271</v>
      </c>
      <c r="S19" t="str">
        <f>_xlfn.CONCAT($AR$4,Table_EffWindow_Savings[[#This Row],[Cardinal Direction]])</f>
        <v>Premium WindowsEast</v>
      </c>
      <c r="T19">
        <v>3.98</v>
      </c>
      <c r="U19">
        <v>2.9999999999999997E-4</v>
      </c>
      <c r="AH19" t="s">
        <v>436</v>
      </c>
      <c r="AW19" s="50" t="s">
        <v>437</v>
      </c>
    </row>
    <row r="20" spans="4:49">
      <c r="D20">
        <v>13</v>
      </c>
      <c r="E20" t="s">
        <v>429</v>
      </c>
      <c r="F20">
        <v>422415</v>
      </c>
      <c r="G20" t="s">
        <v>330</v>
      </c>
      <c r="H20" s="34">
        <v>35</v>
      </c>
      <c r="I20" s="34">
        <v>35</v>
      </c>
      <c r="J20" t="s">
        <v>438</v>
      </c>
      <c r="K20">
        <v>633.79999999999995</v>
      </c>
      <c r="L20">
        <v>1.2999999999999999E-2</v>
      </c>
      <c r="M20">
        <v>35</v>
      </c>
      <c r="P20">
        <v>991305</v>
      </c>
      <c r="Q20" t="s">
        <v>439</v>
      </c>
      <c r="R20" t="s">
        <v>289</v>
      </c>
      <c r="S20" t="str">
        <f>_xlfn.CONCAT($AR$5,Table_EffWindow_Savings[[#This Row],[Cardinal Direction]])</f>
        <v>Efficient WindowsNorth</v>
      </c>
      <c r="T20">
        <v>3.11</v>
      </c>
      <c r="U20">
        <v>2.0000000000000001E-4</v>
      </c>
      <c r="AH20" t="s">
        <v>440</v>
      </c>
      <c r="AW20" s="50" t="s">
        <v>441</v>
      </c>
    </row>
    <row r="21" spans="4:49">
      <c r="D21">
        <v>14</v>
      </c>
      <c r="E21" t="s">
        <v>429</v>
      </c>
      <c r="F21">
        <v>420125</v>
      </c>
      <c r="G21" t="s">
        <v>348</v>
      </c>
      <c r="H21" s="34">
        <v>20</v>
      </c>
      <c r="I21" s="34">
        <v>20</v>
      </c>
      <c r="J21" t="s">
        <v>442</v>
      </c>
      <c r="K21">
        <v>144.9</v>
      </c>
      <c r="L21">
        <v>0</v>
      </c>
      <c r="M21">
        <v>20</v>
      </c>
      <c r="P21">
        <v>991306</v>
      </c>
      <c r="Q21" t="s">
        <v>443</v>
      </c>
      <c r="R21" t="s">
        <v>314</v>
      </c>
      <c r="S21" t="str">
        <f>_xlfn.CONCAT($AR$5,Table_EffWindow_Savings[[#This Row],[Cardinal Direction]])</f>
        <v>Efficient WindowsSouth</v>
      </c>
      <c r="T21">
        <v>3.83</v>
      </c>
      <c r="U21">
        <v>4.0000000000000002E-4</v>
      </c>
      <c r="AH21" t="s">
        <v>444</v>
      </c>
      <c r="AW21" s="50" t="s">
        <v>445</v>
      </c>
    </row>
    <row r="22" spans="4:49">
      <c r="D22">
        <v>15</v>
      </c>
      <c r="E22" t="s">
        <v>429</v>
      </c>
      <c r="F22">
        <v>420230</v>
      </c>
      <c r="G22" t="s">
        <v>364</v>
      </c>
      <c r="H22" s="34">
        <v>95</v>
      </c>
      <c r="I22" s="34">
        <v>95</v>
      </c>
      <c r="J22" t="s">
        <v>355</v>
      </c>
      <c r="K22">
        <v>780.5</v>
      </c>
      <c r="L22">
        <v>8.7999999999999995E-2</v>
      </c>
      <c r="M22">
        <v>95</v>
      </c>
      <c r="P22">
        <v>991307</v>
      </c>
      <c r="Q22" t="s">
        <v>446</v>
      </c>
      <c r="R22" t="s">
        <v>296</v>
      </c>
      <c r="S22" t="str">
        <f>_xlfn.CONCAT($AR$5,Table_EffWindow_Savings[[#This Row],[Cardinal Direction]])</f>
        <v>Efficient WindowsWest</v>
      </c>
      <c r="T22">
        <v>4.32</v>
      </c>
      <c r="U22">
        <v>5.0000000000000001E-4</v>
      </c>
      <c r="AH22" t="s">
        <v>447</v>
      </c>
      <c r="AW22" s="50" t="s">
        <v>448</v>
      </c>
    </row>
    <row r="23" spans="4:49">
      <c r="D23">
        <v>16</v>
      </c>
      <c r="E23" t="s">
        <v>429</v>
      </c>
      <c r="F23">
        <v>420330</v>
      </c>
      <c r="G23" t="s">
        <v>377</v>
      </c>
      <c r="H23" s="34">
        <v>165</v>
      </c>
      <c r="I23" s="34">
        <v>165</v>
      </c>
      <c r="J23" t="s">
        <v>355</v>
      </c>
      <c r="K23" s="71">
        <v>2176.5</v>
      </c>
      <c r="L23">
        <v>0.25</v>
      </c>
      <c r="M23">
        <v>165</v>
      </c>
      <c r="P23">
        <v>991308</v>
      </c>
      <c r="Q23" t="s">
        <v>449</v>
      </c>
      <c r="R23" t="s">
        <v>271</v>
      </c>
      <c r="S23" t="str">
        <f>_xlfn.CONCAT($AR$5,Table_EffWindow_Savings[[#This Row],[Cardinal Direction]])</f>
        <v>Efficient WindowsEast</v>
      </c>
      <c r="T23">
        <v>4.32</v>
      </c>
      <c r="U23">
        <v>5.0000000000000001E-4</v>
      </c>
      <c r="AH23" t="s">
        <v>450</v>
      </c>
      <c r="AW23" s="50" t="s">
        <v>451</v>
      </c>
    </row>
    <row r="24" spans="4:49">
      <c r="D24">
        <v>17</v>
      </c>
      <c r="E24" t="s">
        <v>429</v>
      </c>
      <c r="F24">
        <v>420425</v>
      </c>
      <c r="G24" t="s">
        <v>388</v>
      </c>
      <c r="H24" s="34">
        <v>4</v>
      </c>
      <c r="I24" s="34">
        <v>4</v>
      </c>
      <c r="J24" t="s">
        <v>452</v>
      </c>
      <c r="K24">
        <v>30</v>
      </c>
      <c r="L24">
        <v>3.0000000000000001E-3</v>
      </c>
      <c r="M24">
        <v>4</v>
      </c>
      <c r="AH24" t="s">
        <v>453</v>
      </c>
      <c r="AW24" s="50" t="s">
        <v>454</v>
      </c>
    </row>
    <row r="25" spans="4:49">
      <c r="D25">
        <v>18</v>
      </c>
      <c r="E25" t="s">
        <v>429</v>
      </c>
      <c r="F25">
        <v>420525</v>
      </c>
      <c r="G25" t="s">
        <v>396</v>
      </c>
      <c r="H25" s="34">
        <v>8</v>
      </c>
      <c r="I25" s="34">
        <v>8</v>
      </c>
      <c r="J25" t="s">
        <v>452</v>
      </c>
      <c r="K25">
        <v>72</v>
      </c>
      <c r="L25">
        <v>8.0000000000000002E-3</v>
      </c>
      <c r="M25">
        <v>8</v>
      </c>
      <c r="AH25" t="s">
        <v>455</v>
      </c>
      <c r="AW25" s="50" t="s">
        <v>456</v>
      </c>
    </row>
    <row r="26" spans="4:49">
      <c r="D26">
        <v>19</v>
      </c>
      <c r="E26" t="s">
        <v>429</v>
      </c>
      <c r="F26">
        <v>420625</v>
      </c>
      <c r="G26" t="s">
        <v>403</v>
      </c>
      <c r="H26" s="34">
        <v>8</v>
      </c>
      <c r="I26" s="34">
        <v>8</v>
      </c>
      <c r="J26" t="s">
        <v>452</v>
      </c>
      <c r="K26">
        <v>287</v>
      </c>
      <c r="L26">
        <v>3.3000000000000002E-2</v>
      </c>
      <c r="M26">
        <v>8</v>
      </c>
      <c r="AH26" t="s">
        <v>457</v>
      </c>
      <c r="AW26" s="50" t="s">
        <v>458</v>
      </c>
    </row>
    <row r="27" spans="4:49">
      <c r="D27">
        <v>20</v>
      </c>
      <c r="E27" t="s">
        <v>429</v>
      </c>
      <c r="F27" s="105" t="s">
        <v>459</v>
      </c>
      <c r="G27" t="s">
        <v>408</v>
      </c>
      <c r="H27" s="34">
        <v>2</v>
      </c>
      <c r="I27" s="34">
        <v>2</v>
      </c>
      <c r="J27" t="s">
        <v>460</v>
      </c>
      <c r="K27">
        <v>15</v>
      </c>
      <c r="L27">
        <v>2E-3</v>
      </c>
      <c r="AH27" t="s">
        <v>461</v>
      </c>
      <c r="AW27" s="50" t="s">
        <v>462</v>
      </c>
    </row>
    <row r="28" spans="4:49">
      <c r="D28">
        <v>21</v>
      </c>
      <c r="E28" t="s">
        <v>429</v>
      </c>
      <c r="F28" s="105" t="s">
        <v>463</v>
      </c>
      <c r="G28" t="s">
        <v>414</v>
      </c>
      <c r="H28" s="34">
        <v>14</v>
      </c>
      <c r="I28" s="34">
        <v>14</v>
      </c>
      <c r="J28" t="s">
        <v>460</v>
      </c>
      <c r="K28">
        <v>115</v>
      </c>
      <c r="L28">
        <v>1.2999999999999999E-2</v>
      </c>
      <c r="AH28" t="s">
        <v>464</v>
      </c>
      <c r="AW28" s="50" t="s">
        <v>465</v>
      </c>
    </row>
    <row r="29" spans="4:49">
      <c r="D29">
        <v>22</v>
      </c>
      <c r="E29" t="s">
        <v>429</v>
      </c>
      <c r="F29" s="105" t="s">
        <v>466</v>
      </c>
      <c r="G29" t="s">
        <v>418</v>
      </c>
      <c r="H29" s="34">
        <v>113</v>
      </c>
      <c r="I29" s="34">
        <v>113</v>
      </c>
      <c r="J29" t="s">
        <v>467</v>
      </c>
      <c r="K29">
        <v>943</v>
      </c>
      <c r="L29">
        <v>0.13700000000000001</v>
      </c>
      <c r="AH29" t="s">
        <v>468</v>
      </c>
      <c r="AW29" s="50" t="s">
        <v>469</v>
      </c>
    </row>
    <row r="30" spans="4:49">
      <c r="D30">
        <v>23</v>
      </c>
      <c r="E30" t="s">
        <v>429</v>
      </c>
      <c r="F30" s="105" t="s">
        <v>470</v>
      </c>
      <c r="G30" t="s">
        <v>423</v>
      </c>
      <c r="H30" s="34">
        <v>157</v>
      </c>
      <c r="I30" s="34">
        <v>157</v>
      </c>
      <c r="J30" t="s">
        <v>467</v>
      </c>
      <c r="K30">
        <v>2307</v>
      </c>
      <c r="L30">
        <v>0.309</v>
      </c>
      <c r="AH30" t="s">
        <v>471</v>
      </c>
      <c r="AW30" s="50" t="s">
        <v>472</v>
      </c>
    </row>
    <row r="31" spans="4:49">
      <c r="D31">
        <v>24</v>
      </c>
      <c r="E31" t="s">
        <v>429</v>
      </c>
      <c r="F31">
        <v>124997</v>
      </c>
      <c r="G31" t="s">
        <v>427</v>
      </c>
      <c r="H31" s="34">
        <v>44</v>
      </c>
      <c r="I31" s="34">
        <v>44</v>
      </c>
      <c r="J31" t="s">
        <v>473</v>
      </c>
      <c r="K31">
        <v>217.2</v>
      </c>
      <c r="L31">
        <v>3.5000000000000003E-2</v>
      </c>
      <c r="M31">
        <v>30</v>
      </c>
      <c r="AH31" t="s">
        <v>474</v>
      </c>
      <c r="AW31" s="50" t="s">
        <v>475</v>
      </c>
    </row>
    <row r="32" spans="4:49">
      <c r="D32">
        <v>25</v>
      </c>
      <c r="E32" t="s">
        <v>429</v>
      </c>
      <c r="F32">
        <v>125097</v>
      </c>
      <c r="G32" t="s">
        <v>432</v>
      </c>
      <c r="H32" s="34">
        <v>57</v>
      </c>
      <c r="I32" s="34">
        <v>57</v>
      </c>
      <c r="J32" t="s">
        <v>473</v>
      </c>
      <c r="K32">
        <v>310.60000000000002</v>
      </c>
      <c r="L32">
        <v>0.05</v>
      </c>
      <c r="M32">
        <v>40</v>
      </c>
      <c r="AH32" t="s">
        <v>476</v>
      </c>
      <c r="AW32" s="50" t="s">
        <v>477</v>
      </c>
    </row>
    <row r="33" spans="4:49">
      <c r="D33">
        <v>26</v>
      </c>
      <c r="E33" t="s">
        <v>478</v>
      </c>
      <c r="F33">
        <v>322930</v>
      </c>
      <c r="G33" t="s">
        <v>285</v>
      </c>
      <c r="H33" s="34">
        <v>250</v>
      </c>
      <c r="I33" s="34">
        <v>250</v>
      </c>
      <c r="J33" t="s">
        <v>355</v>
      </c>
      <c r="K33">
        <v>2433.5</v>
      </c>
      <c r="L33">
        <v>0.46500000000000002</v>
      </c>
      <c r="M33">
        <v>250</v>
      </c>
      <c r="AH33" t="s">
        <v>479</v>
      </c>
      <c r="AW33" s="50" t="s">
        <v>480</v>
      </c>
    </row>
    <row r="34" spans="4:49">
      <c r="D34">
        <v>27</v>
      </c>
      <c r="E34" t="s">
        <v>478</v>
      </c>
      <c r="F34">
        <v>323030</v>
      </c>
      <c r="G34" t="s">
        <v>310</v>
      </c>
      <c r="H34" s="34">
        <v>1865</v>
      </c>
      <c r="I34" s="34">
        <v>1865</v>
      </c>
      <c r="J34" t="s">
        <v>355</v>
      </c>
      <c r="K34">
        <v>43014.5</v>
      </c>
      <c r="L34">
        <v>8.25</v>
      </c>
      <c r="M34">
        <v>1865</v>
      </c>
      <c r="AH34" t="s">
        <v>481</v>
      </c>
      <c r="AW34" s="50" t="s">
        <v>482</v>
      </c>
    </row>
    <row r="35" spans="4:49">
      <c r="D35">
        <v>28</v>
      </c>
      <c r="E35" t="s">
        <v>478</v>
      </c>
      <c r="F35">
        <v>323130</v>
      </c>
      <c r="G35" t="s">
        <v>331</v>
      </c>
      <c r="H35" s="34">
        <v>230</v>
      </c>
      <c r="I35" s="34">
        <v>230</v>
      </c>
      <c r="J35" t="s">
        <v>355</v>
      </c>
      <c r="K35">
        <v>1987.5</v>
      </c>
      <c r="L35">
        <v>0.38</v>
      </c>
      <c r="M35">
        <v>230</v>
      </c>
      <c r="AH35" t="s">
        <v>483</v>
      </c>
      <c r="AW35" s="50" t="s">
        <v>484</v>
      </c>
    </row>
    <row r="36" spans="4:49">
      <c r="D36">
        <v>29</v>
      </c>
      <c r="E36" t="s">
        <v>478</v>
      </c>
      <c r="F36">
        <v>323230</v>
      </c>
      <c r="G36" t="s">
        <v>349</v>
      </c>
      <c r="H36" s="34">
        <v>45</v>
      </c>
      <c r="I36" s="34">
        <v>45</v>
      </c>
      <c r="J36" t="s">
        <v>485</v>
      </c>
      <c r="K36">
        <v>758</v>
      </c>
      <c r="L36">
        <v>0.15</v>
      </c>
      <c r="M36">
        <v>45</v>
      </c>
      <c r="AH36" t="s">
        <v>486</v>
      </c>
      <c r="AW36" s="50" t="s">
        <v>487</v>
      </c>
    </row>
    <row r="37" spans="4:49">
      <c r="D37">
        <v>30</v>
      </c>
      <c r="E37" t="s">
        <v>478</v>
      </c>
      <c r="F37">
        <v>321115</v>
      </c>
      <c r="G37" t="s">
        <v>365</v>
      </c>
      <c r="H37" s="34">
        <v>600</v>
      </c>
      <c r="I37" s="34">
        <v>600</v>
      </c>
      <c r="J37" t="s">
        <v>488</v>
      </c>
      <c r="K37">
        <v>4845</v>
      </c>
      <c r="L37">
        <v>0.63400000000000001</v>
      </c>
      <c r="M37">
        <v>600</v>
      </c>
      <c r="AW37" s="50" t="s">
        <v>489</v>
      </c>
    </row>
    <row r="38" spans="4:49">
      <c r="D38">
        <v>31</v>
      </c>
      <c r="E38" t="s">
        <v>478</v>
      </c>
      <c r="F38">
        <v>321030</v>
      </c>
      <c r="G38" t="s">
        <v>378</v>
      </c>
      <c r="H38" s="34">
        <v>600</v>
      </c>
      <c r="I38" s="34">
        <v>600</v>
      </c>
      <c r="J38" t="s">
        <v>355</v>
      </c>
      <c r="K38" s="71">
        <v>7622.3</v>
      </c>
      <c r="L38">
        <v>0.97199999999999998</v>
      </c>
      <c r="M38">
        <v>600</v>
      </c>
      <c r="AW38" s="50" t="s">
        <v>490</v>
      </c>
    </row>
    <row r="39" spans="4:49">
      <c r="D39">
        <v>32</v>
      </c>
      <c r="E39" t="s">
        <v>478</v>
      </c>
      <c r="F39">
        <v>522730</v>
      </c>
      <c r="G39" t="s">
        <v>389</v>
      </c>
      <c r="H39" s="34">
        <v>35</v>
      </c>
      <c r="I39" s="34">
        <v>35</v>
      </c>
      <c r="J39" t="s">
        <v>355</v>
      </c>
      <c r="K39">
        <v>993</v>
      </c>
      <c r="L39">
        <v>0.125</v>
      </c>
      <c r="M39">
        <v>35</v>
      </c>
      <c r="AW39" s="50" t="s">
        <v>491</v>
      </c>
    </row>
    <row r="40" spans="4:49">
      <c r="D40">
        <v>33</v>
      </c>
      <c r="E40" t="s">
        <v>492</v>
      </c>
      <c r="F40">
        <v>991298</v>
      </c>
      <c r="G40" t="s">
        <v>270</v>
      </c>
      <c r="H40" s="34">
        <v>1.5</v>
      </c>
      <c r="I40" s="34">
        <v>1.5</v>
      </c>
      <c r="J40" t="s">
        <v>493</v>
      </c>
      <c r="K40">
        <v>10.24</v>
      </c>
      <c r="L40">
        <f t="shared" ref="L40:L48" si="2">K40/1000</f>
        <v>1.0240000000000001E-2</v>
      </c>
      <c r="AW40" s="50" t="s">
        <v>494</v>
      </c>
    </row>
    <row r="41" spans="4:49">
      <c r="D41">
        <v>34</v>
      </c>
      <c r="E41" t="s">
        <v>492</v>
      </c>
      <c r="F41">
        <v>991299</v>
      </c>
      <c r="G41" t="s">
        <v>295</v>
      </c>
      <c r="H41" s="34">
        <v>1.5</v>
      </c>
      <c r="I41" s="34">
        <v>1.5</v>
      </c>
      <c r="J41" t="s">
        <v>493</v>
      </c>
      <c r="K41">
        <v>12.32</v>
      </c>
      <c r="L41">
        <f t="shared" si="2"/>
        <v>1.2320000000000001E-2</v>
      </c>
      <c r="AW41" s="50" t="s">
        <v>495</v>
      </c>
    </row>
    <row r="42" spans="4:49">
      <c r="D42">
        <v>35</v>
      </c>
      <c r="E42" t="s">
        <v>492</v>
      </c>
      <c r="F42">
        <v>991300</v>
      </c>
      <c r="G42" t="s">
        <v>320</v>
      </c>
      <c r="H42" s="34">
        <v>1.5</v>
      </c>
      <c r="I42" s="34">
        <v>1.5</v>
      </c>
      <c r="J42" t="s">
        <v>493</v>
      </c>
      <c r="K42">
        <v>17.079999999999998</v>
      </c>
      <c r="L42">
        <f t="shared" si="2"/>
        <v>1.7079999999999998E-2</v>
      </c>
    </row>
    <row r="43" spans="4:49">
      <c r="D43">
        <v>36</v>
      </c>
      <c r="E43" t="s">
        <v>492</v>
      </c>
      <c r="F43">
        <v>991292</v>
      </c>
      <c r="G43" t="s">
        <v>339</v>
      </c>
      <c r="H43" s="34">
        <v>0.3</v>
      </c>
      <c r="I43" s="34">
        <v>0.3</v>
      </c>
      <c r="J43" t="s">
        <v>493</v>
      </c>
      <c r="K43">
        <v>3.08</v>
      </c>
      <c r="L43">
        <f t="shared" si="2"/>
        <v>3.0800000000000003E-3</v>
      </c>
    </row>
    <row r="44" spans="4:49">
      <c r="D44">
        <v>37</v>
      </c>
      <c r="E44" t="s">
        <v>492</v>
      </c>
      <c r="F44">
        <v>991293</v>
      </c>
      <c r="G44" t="s">
        <v>356</v>
      </c>
      <c r="H44" s="34">
        <v>0.3</v>
      </c>
      <c r="I44" s="34">
        <v>0.3</v>
      </c>
      <c r="J44" t="s">
        <v>493</v>
      </c>
      <c r="K44">
        <v>6.13</v>
      </c>
      <c r="L44">
        <f t="shared" si="2"/>
        <v>6.13E-3</v>
      </c>
    </row>
    <row r="45" spans="4:49">
      <c r="D45">
        <v>38</v>
      </c>
      <c r="E45" t="s">
        <v>492</v>
      </c>
      <c r="F45">
        <v>991294</v>
      </c>
      <c r="G45" t="s">
        <v>370</v>
      </c>
      <c r="H45" s="34">
        <v>0.3</v>
      </c>
      <c r="I45" s="34">
        <v>0.3</v>
      </c>
      <c r="J45" t="s">
        <v>493</v>
      </c>
      <c r="K45">
        <v>1.68</v>
      </c>
      <c r="L45">
        <f t="shared" si="2"/>
        <v>1.6799999999999999E-3</v>
      </c>
    </row>
    <row r="46" spans="4:49">
      <c r="D46">
        <v>39</v>
      </c>
      <c r="E46" t="s">
        <v>492</v>
      </c>
      <c r="F46">
        <v>991295</v>
      </c>
      <c r="G46" t="s">
        <v>382</v>
      </c>
      <c r="H46" s="34">
        <v>0.5</v>
      </c>
      <c r="I46" s="34">
        <v>0.5</v>
      </c>
      <c r="J46" t="s">
        <v>493</v>
      </c>
      <c r="K46">
        <v>5.04</v>
      </c>
      <c r="L46">
        <f t="shared" si="2"/>
        <v>5.0400000000000002E-3</v>
      </c>
    </row>
    <row r="47" spans="4:49">
      <c r="D47">
        <v>40</v>
      </c>
      <c r="E47" t="s">
        <v>492</v>
      </c>
      <c r="F47">
        <v>991296</v>
      </c>
      <c r="G47" t="s">
        <v>392</v>
      </c>
      <c r="H47" s="34">
        <v>0.5</v>
      </c>
      <c r="I47" s="34">
        <v>0.5</v>
      </c>
      <c r="J47" t="s">
        <v>493</v>
      </c>
      <c r="K47">
        <v>7.76</v>
      </c>
      <c r="L47">
        <f t="shared" si="2"/>
        <v>7.7599999999999995E-3</v>
      </c>
    </row>
    <row r="48" spans="4:49">
      <c r="D48">
        <v>41</v>
      </c>
      <c r="E48" t="s">
        <v>492</v>
      </c>
      <c r="F48">
        <v>991297</v>
      </c>
      <c r="G48" t="s">
        <v>399</v>
      </c>
      <c r="H48" s="34">
        <v>0.5</v>
      </c>
      <c r="I48" s="34">
        <v>0.5</v>
      </c>
      <c r="J48" t="s">
        <v>493</v>
      </c>
      <c r="K48">
        <v>5.81</v>
      </c>
      <c r="L48">
        <f t="shared" si="2"/>
        <v>5.8099999999999992E-3</v>
      </c>
    </row>
    <row r="49" spans="4:13">
      <c r="D49">
        <v>42</v>
      </c>
      <c r="E49" t="s">
        <v>312</v>
      </c>
      <c r="F49">
        <v>991301</v>
      </c>
      <c r="G49" t="s">
        <v>421</v>
      </c>
      <c r="H49" s="34">
        <v>0.5</v>
      </c>
      <c r="I49" s="34">
        <v>0.5</v>
      </c>
      <c r="J49" t="s">
        <v>493</v>
      </c>
      <c r="K49" s="40">
        <v>3.4</v>
      </c>
      <c r="L49">
        <v>2.0000000000000001E-4</v>
      </c>
    </row>
    <row r="50" spans="4:13">
      <c r="D50">
        <v>43</v>
      </c>
      <c r="E50" t="s">
        <v>312</v>
      </c>
      <c r="F50">
        <v>991302</v>
      </c>
      <c r="G50" t="s">
        <v>425</v>
      </c>
      <c r="H50" s="34">
        <v>0.5</v>
      </c>
      <c r="I50" s="34">
        <v>0.5</v>
      </c>
      <c r="J50" t="s">
        <v>493</v>
      </c>
      <c r="K50">
        <v>4.16</v>
      </c>
      <c r="L50">
        <v>4.0000000000000002E-4</v>
      </c>
    </row>
    <row r="51" spans="4:13">
      <c r="D51">
        <v>44</v>
      </c>
      <c r="E51" t="s">
        <v>312</v>
      </c>
      <c r="F51">
        <v>991303</v>
      </c>
      <c r="G51" t="s">
        <v>430</v>
      </c>
      <c r="H51" s="34">
        <v>0.5</v>
      </c>
      <c r="I51" s="34">
        <v>0.5</v>
      </c>
      <c r="J51" t="s">
        <v>493</v>
      </c>
      <c r="K51">
        <v>4.67</v>
      </c>
      <c r="L51">
        <v>5.0000000000000001E-4</v>
      </c>
    </row>
    <row r="52" spans="4:13">
      <c r="D52">
        <v>45</v>
      </c>
      <c r="E52" t="s">
        <v>312</v>
      </c>
      <c r="F52">
        <v>991304</v>
      </c>
      <c r="G52" t="s">
        <v>435</v>
      </c>
      <c r="H52" s="34">
        <v>0.5</v>
      </c>
      <c r="I52" s="34">
        <v>0.5</v>
      </c>
      <c r="J52" t="s">
        <v>493</v>
      </c>
      <c r="K52">
        <v>3.98</v>
      </c>
      <c r="L52">
        <v>2.9999999999999997E-4</v>
      </c>
    </row>
    <row r="53" spans="4:13">
      <c r="D53">
        <v>46</v>
      </c>
      <c r="E53" t="s">
        <v>312</v>
      </c>
      <c r="F53">
        <v>991305</v>
      </c>
      <c r="G53" t="s">
        <v>439</v>
      </c>
      <c r="H53" s="34">
        <v>0.5</v>
      </c>
      <c r="I53" s="34">
        <v>0.5</v>
      </c>
      <c r="J53" t="s">
        <v>493</v>
      </c>
      <c r="K53">
        <v>3.11</v>
      </c>
      <c r="L53">
        <v>2.0000000000000001E-4</v>
      </c>
    </row>
    <row r="54" spans="4:13">
      <c r="D54">
        <v>47</v>
      </c>
      <c r="E54" t="s">
        <v>312</v>
      </c>
      <c r="F54">
        <v>991306</v>
      </c>
      <c r="G54" t="s">
        <v>443</v>
      </c>
      <c r="H54" s="34">
        <v>0.5</v>
      </c>
      <c r="I54" s="34">
        <v>0.5</v>
      </c>
      <c r="J54" t="s">
        <v>493</v>
      </c>
      <c r="K54">
        <v>3.83</v>
      </c>
      <c r="L54">
        <v>4.0000000000000002E-4</v>
      </c>
    </row>
    <row r="55" spans="4:13">
      <c r="D55">
        <v>48</v>
      </c>
      <c r="E55" t="s">
        <v>312</v>
      </c>
      <c r="F55">
        <v>991307</v>
      </c>
      <c r="G55" t="s">
        <v>446</v>
      </c>
      <c r="H55" s="34">
        <v>0.5</v>
      </c>
      <c r="I55" s="34">
        <v>0.5</v>
      </c>
      <c r="J55" t="s">
        <v>493</v>
      </c>
      <c r="K55">
        <v>4.32</v>
      </c>
      <c r="L55">
        <v>5.0000000000000001E-4</v>
      </c>
    </row>
    <row r="56" spans="4:13">
      <c r="D56">
        <v>49</v>
      </c>
      <c r="E56" t="s">
        <v>312</v>
      </c>
      <c r="F56">
        <v>991308</v>
      </c>
      <c r="G56" t="s">
        <v>449</v>
      </c>
      <c r="H56" s="34">
        <v>0.5</v>
      </c>
      <c r="I56" s="34">
        <v>0.5</v>
      </c>
      <c r="J56" t="s">
        <v>493</v>
      </c>
      <c r="K56">
        <v>4.32</v>
      </c>
      <c r="L56">
        <v>5.0000000000000001E-4</v>
      </c>
    </row>
    <row r="57" spans="4:13">
      <c r="D57">
        <v>50</v>
      </c>
      <c r="E57" t="s">
        <v>496</v>
      </c>
      <c r="F57">
        <v>933415</v>
      </c>
      <c r="G57" t="s">
        <v>288</v>
      </c>
      <c r="H57" s="34">
        <v>22</v>
      </c>
      <c r="I57" s="34">
        <v>22</v>
      </c>
      <c r="J57" t="s">
        <v>355</v>
      </c>
      <c r="K57">
        <v>256</v>
      </c>
      <c r="L57">
        <v>1.2999999999999999E-2</v>
      </c>
      <c r="M57">
        <v>22</v>
      </c>
    </row>
    <row r="58" spans="4:13">
      <c r="D58">
        <v>51</v>
      </c>
      <c r="E58" t="s">
        <v>496</v>
      </c>
      <c r="F58">
        <v>921530</v>
      </c>
      <c r="G58" t="s">
        <v>313</v>
      </c>
      <c r="H58" s="34">
        <v>8</v>
      </c>
      <c r="I58" s="34">
        <v>8</v>
      </c>
      <c r="J58" t="s">
        <v>355</v>
      </c>
      <c r="K58">
        <v>61.2</v>
      </c>
      <c r="L58">
        <v>0</v>
      </c>
      <c r="M58">
        <v>8</v>
      </c>
    </row>
    <row r="59" spans="4:13">
      <c r="D59">
        <v>52</v>
      </c>
      <c r="E59" t="s">
        <v>496</v>
      </c>
      <c r="F59">
        <v>522630</v>
      </c>
      <c r="G59" t="s">
        <v>333</v>
      </c>
      <c r="H59" s="34">
        <v>6</v>
      </c>
      <c r="I59" s="34">
        <v>6</v>
      </c>
      <c r="J59" t="s">
        <v>355</v>
      </c>
      <c r="K59">
        <v>563.29999999999995</v>
      </c>
      <c r="L59">
        <v>0.12</v>
      </c>
      <c r="M59">
        <v>6</v>
      </c>
    </row>
    <row r="60" spans="4:13">
      <c r="D60">
        <v>53</v>
      </c>
      <c r="E60" t="s">
        <v>496</v>
      </c>
      <c r="F60">
        <v>520830</v>
      </c>
      <c r="G60" t="s">
        <v>350</v>
      </c>
      <c r="H60" s="34">
        <v>7</v>
      </c>
      <c r="I60" s="34">
        <v>7</v>
      </c>
      <c r="J60" t="s">
        <v>355</v>
      </c>
      <c r="K60">
        <v>48.7</v>
      </c>
      <c r="L60">
        <v>2.16</v>
      </c>
      <c r="M60">
        <v>7</v>
      </c>
    </row>
    <row r="61" spans="4:13">
      <c r="D61">
        <v>54</v>
      </c>
      <c r="E61" t="s">
        <v>211</v>
      </c>
      <c r="F61">
        <v>203930</v>
      </c>
      <c r="G61" t="s">
        <v>291</v>
      </c>
      <c r="H61" s="34"/>
      <c r="I61" s="34"/>
    </row>
    <row r="62" spans="4:13">
      <c r="D62">
        <v>55</v>
      </c>
      <c r="E62" t="s">
        <v>211</v>
      </c>
      <c r="F62">
        <v>204030</v>
      </c>
      <c r="G62" t="s">
        <v>316</v>
      </c>
      <c r="H62" s="34"/>
      <c r="I62" s="34"/>
    </row>
    <row r="63" spans="4:13">
      <c r="D63">
        <v>56</v>
      </c>
      <c r="E63" t="s">
        <v>211</v>
      </c>
      <c r="F63">
        <v>204130</v>
      </c>
      <c r="G63" t="s">
        <v>335</v>
      </c>
      <c r="H63" s="34"/>
      <c r="I63" s="34"/>
    </row>
    <row r="64" spans="4:13">
      <c r="D64">
        <v>57</v>
      </c>
      <c r="E64" t="s">
        <v>211</v>
      </c>
      <c r="F64">
        <v>204230</v>
      </c>
      <c r="G64" t="s">
        <v>351</v>
      </c>
      <c r="H64" s="34"/>
      <c r="I64" s="34"/>
    </row>
    <row r="65" spans="4:9">
      <c r="D65">
        <v>58</v>
      </c>
      <c r="E65" t="s">
        <v>211</v>
      </c>
      <c r="F65">
        <v>604330</v>
      </c>
      <c r="G65" t="s">
        <v>366</v>
      </c>
      <c r="H65" s="34"/>
      <c r="I65" s="34"/>
    </row>
    <row r="66" spans="4:9">
      <c r="D66">
        <v>59</v>
      </c>
      <c r="E66" t="s">
        <v>211</v>
      </c>
      <c r="F66">
        <v>604430</v>
      </c>
      <c r="G66" t="s">
        <v>379</v>
      </c>
      <c r="H66" s="34"/>
      <c r="I66" s="34"/>
    </row>
    <row r="67" spans="4:9">
      <c r="D67">
        <v>60</v>
      </c>
      <c r="E67" t="s">
        <v>211</v>
      </c>
      <c r="F67">
        <v>204530</v>
      </c>
      <c r="G67" t="s">
        <v>390</v>
      </c>
      <c r="H67" s="34"/>
      <c r="I67" s="34"/>
    </row>
    <row r="68" spans="4:9">
      <c r="D68">
        <v>61</v>
      </c>
      <c r="E68" t="s">
        <v>211</v>
      </c>
      <c r="F68">
        <v>204630</v>
      </c>
      <c r="G68" t="s">
        <v>397</v>
      </c>
      <c r="H68" s="34"/>
      <c r="I68" s="34"/>
    </row>
    <row r="69" spans="4:9">
      <c r="D69">
        <v>62</v>
      </c>
      <c r="E69" t="s">
        <v>211</v>
      </c>
      <c r="F69">
        <v>204730</v>
      </c>
      <c r="G69" t="s">
        <v>404</v>
      </c>
      <c r="H69" s="34"/>
      <c r="I69" s="34"/>
    </row>
    <row r="70" spans="4:9">
      <c r="D70">
        <v>63</v>
      </c>
      <c r="E70" t="s">
        <v>211</v>
      </c>
      <c r="F70">
        <v>204830</v>
      </c>
      <c r="G70" t="s">
        <v>409</v>
      </c>
      <c r="H70" s="34"/>
      <c r="I70" s="34"/>
    </row>
    <row r="71" spans="4:9">
      <c r="D71">
        <v>64</v>
      </c>
      <c r="E71" t="s">
        <v>211</v>
      </c>
      <c r="F71">
        <v>204930</v>
      </c>
      <c r="G71" t="s">
        <v>415</v>
      </c>
      <c r="H71" s="34"/>
      <c r="I71" s="34"/>
    </row>
    <row r="72" spans="4:9">
      <c r="D72">
        <v>65</v>
      </c>
      <c r="E72" t="s">
        <v>211</v>
      </c>
      <c r="F72">
        <v>205030</v>
      </c>
      <c r="G72" t="s">
        <v>419</v>
      </c>
      <c r="H72" s="34"/>
      <c r="I72" s="34"/>
    </row>
    <row r="73" spans="4:9">
      <c r="D73">
        <v>66</v>
      </c>
      <c r="E73" t="s">
        <v>211</v>
      </c>
      <c r="F73">
        <v>205130</v>
      </c>
      <c r="G73" t="s">
        <v>424</v>
      </c>
      <c r="H73" s="34"/>
      <c r="I73" s="34"/>
    </row>
    <row r="74" spans="4:9">
      <c r="D74">
        <v>67</v>
      </c>
      <c r="E74" t="s">
        <v>211</v>
      </c>
      <c r="F74">
        <v>205230</v>
      </c>
      <c r="G74" t="s">
        <v>428</v>
      </c>
      <c r="H74" s="34"/>
      <c r="I74" s="34"/>
    </row>
    <row r="75" spans="4:9">
      <c r="D75">
        <v>68</v>
      </c>
      <c r="E75" t="s">
        <v>211</v>
      </c>
      <c r="F75">
        <v>205330</v>
      </c>
      <c r="G75" t="s">
        <v>433</v>
      </c>
      <c r="H75" s="34"/>
      <c r="I75" s="34"/>
    </row>
    <row r="76" spans="4:9">
      <c r="D76">
        <v>69</v>
      </c>
      <c r="E76" t="s">
        <v>211</v>
      </c>
      <c r="F76">
        <v>205430</v>
      </c>
      <c r="G76" t="s">
        <v>437</v>
      </c>
      <c r="H76" s="34"/>
      <c r="I76" s="34"/>
    </row>
    <row r="77" spans="4:9">
      <c r="D77">
        <v>70</v>
      </c>
      <c r="E77" t="s">
        <v>211</v>
      </c>
      <c r="F77">
        <v>205530</v>
      </c>
      <c r="G77" t="s">
        <v>441</v>
      </c>
      <c r="H77" s="34"/>
      <c r="I77" s="34"/>
    </row>
    <row r="78" spans="4:9">
      <c r="D78">
        <v>71</v>
      </c>
      <c r="E78" t="s">
        <v>211</v>
      </c>
      <c r="F78">
        <v>205630</v>
      </c>
      <c r="G78" t="s">
        <v>445</v>
      </c>
      <c r="H78" s="34"/>
      <c r="I78" s="34"/>
    </row>
    <row r="79" spans="4:9">
      <c r="D79">
        <v>72</v>
      </c>
      <c r="E79" t="s">
        <v>211</v>
      </c>
      <c r="F79">
        <v>205730</v>
      </c>
      <c r="G79" t="s">
        <v>448</v>
      </c>
      <c r="H79" s="34"/>
      <c r="I79" s="34"/>
    </row>
    <row r="80" spans="4:9">
      <c r="D80">
        <v>73</v>
      </c>
      <c r="E80" t="s">
        <v>211</v>
      </c>
      <c r="F80">
        <v>915830</v>
      </c>
      <c r="G80" t="s">
        <v>451</v>
      </c>
      <c r="H80" s="34"/>
      <c r="I80" s="34"/>
    </row>
    <row r="81" spans="4:9">
      <c r="D81">
        <v>74</v>
      </c>
      <c r="E81" t="s">
        <v>211</v>
      </c>
      <c r="F81">
        <v>915930</v>
      </c>
      <c r="G81" t="s">
        <v>454</v>
      </c>
      <c r="H81" s="34"/>
      <c r="I81" s="34"/>
    </row>
    <row r="82" spans="4:9">
      <c r="D82">
        <v>75</v>
      </c>
      <c r="E82" t="s">
        <v>211</v>
      </c>
      <c r="F82">
        <v>916030</v>
      </c>
      <c r="G82" t="s">
        <v>456</v>
      </c>
      <c r="H82" s="34"/>
      <c r="I82" s="34"/>
    </row>
    <row r="83" spans="4:9">
      <c r="D83">
        <v>76</v>
      </c>
      <c r="E83" t="s">
        <v>211</v>
      </c>
      <c r="F83">
        <v>706130</v>
      </c>
      <c r="G83" t="s">
        <v>458</v>
      </c>
      <c r="H83" s="34"/>
      <c r="I83" s="34"/>
    </row>
    <row r="84" spans="4:9">
      <c r="D84">
        <v>77</v>
      </c>
      <c r="E84" t="s">
        <v>211</v>
      </c>
      <c r="F84">
        <v>706230</v>
      </c>
      <c r="G84" t="s">
        <v>462</v>
      </c>
      <c r="H84" s="34"/>
      <c r="I84" s="34"/>
    </row>
    <row r="85" spans="4:9">
      <c r="D85">
        <v>78</v>
      </c>
      <c r="E85" t="s">
        <v>211</v>
      </c>
      <c r="F85">
        <v>206330</v>
      </c>
      <c r="G85" t="s">
        <v>465</v>
      </c>
      <c r="H85" s="34"/>
      <c r="I85" s="34"/>
    </row>
    <row r="86" spans="4:9">
      <c r="D86">
        <v>79</v>
      </c>
      <c r="E86" t="s">
        <v>211</v>
      </c>
      <c r="F86">
        <v>206425</v>
      </c>
      <c r="G86" t="s">
        <v>469</v>
      </c>
      <c r="H86" s="34"/>
      <c r="I86" s="34"/>
    </row>
    <row r="87" spans="4:9">
      <c r="D87">
        <v>80</v>
      </c>
      <c r="E87" t="s">
        <v>211</v>
      </c>
      <c r="F87">
        <v>206530</v>
      </c>
      <c r="G87" t="s">
        <v>472</v>
      </c>
      <c r="H87" s="34"/>
      <c r="I87" s="34"/>
    </row>
    <row r="88" spans="4:9">
      <c r="D88">
        <v>81</v>
      </c>
      <c r="E88" t="s">
        <v>211</v>
      </c>
      <c r="F88">
        <v>206630</v>
      </c>
      <c r="G88" t="s">
        <v>475</v>
      </c>
      <c r="H88" s="34"/>
      <c r="I88" s="34"/>
    </row>
    <row r="89" spans="4:9">
      <c r="D89">
        <v>82</v>
      </c>
      <c r="E89" t="s">
        <v>211</v>
      </c>
      <c r="F89">
        <v>206730</v>
      </c>
      <c r="G89" t="s">
        <v>477</v>
      </c>
      <c r="H89" s="34"/>
      <c r="I89" s="34"/>
    </row>
    <row r="90" spans="4:9">
      <c r="D90">
        <v>83</v>
      </c>
      <c r="E90" t="s">
        <v>211</v>
      </c>
      <c r="F90">
        <v>206830</v>
      </c>
      <c r="G90" t="s">
        <v>480</v>
      </c>
      <c r="H90" s="34"/>
      <c r="I90" s="34"/>
    </row>
    <row r="91" spans="4:9">
      <c r="D91">
        <v>84</v>
      </c>
      <c r="E91" t="s">
        <v>211</v>
      </c>
      <c r="F91">
        <v>906930</v>
      </c>
      <c r="G91" t="s">
        <v>482</v>
      </c>
      <c r="H91" s="34"/>
      <c r="I91" s="34"/>
    </row>
    <row r="92" spans="4:9">
      <c r="D92">
        <v>85</v>
      </c>
      <c r="E92" t="s">
        <v>211</v>
      </c>
      <c r="F92">
        <v>206930</v>
      </c>
      <c r="G92" t="s">
        <v>484</v>
      </c>
      <c r="H92" s="34"/>
      <c r="I92" s="34"/>
    </row>
    <row r="93" spans="4:9">
      <c r="D93">
        <v>86</v>
      </c>
      <c r="E93" t="s">
        <v>211</v>
      </c>
      <c r="F93">
        <v>207030</v>
      </c>
      <c r="G93" t="s">
        <v>487</v>
      </c>
      <c r="H93" s="34"/>
      <c r="I93" s="34"/>
    </row>
    <row r="94" spans="4:9">
      <c r="D94">
        <v>87</v>
      </c>
      <c r="E94" t="s">
        <v>211</v>
      </c>
      <c r="F94">
        <v>207130</v>
      </c>
      <c r="G94" t="s">
        <v>489</v>
      </c>
      <c r="H94" s="34"/>
      <c r="I94" s="34"/>
    </row>
    <row r="95" spans="4:9">
      <c r="D95">
        <v>88</v>
      </c>
      <c r="E95" t="s">
        <v>211</v>
      </c>
      <c r="F95">
        <v>210130</v>
      </c>
      <c r="G95" t="s">
        <v>490</v>
      </c>
      <c r="H95" s="34"/>
      <c r="I95" s="34"/>
    </row>
    <row r="96" spans="4:9">
      <c r="D96">
        <v>89</v>
      </c>
      <c r="E96" t="s">
        <v>211</v>
      </c>
      <c r="F96">
        <v>210230</v>
      </c>
      <c r="G96" t="s">
        <v>491</v>
      </c>
      <c r="H96" s="34"/>
      <c r="I96" s="34"/>
    </row>
    <row r="97" spans="4:21">
      <c r="D97">
        <v>90</v>
      </c>
      <c r="E97" t="s">
        <v>211</v>
      </c>
      <c r="F97">
        <v>210330</v>
      </c>
      <c r="G97" t="s">
        <v>494</v>
      </c>
      <c r="H97" s="34"/>
      <c r="I97" s="34"/>
    </row>
    <row r="98" spans="4:21">
      <c r="D98">
        <v>91</v>
      </c>
      <c r="E98" t="s">
        <v>211</v>
      </c>
      <c r="F98">
        <v>907330</v>
      </c>
      <c r="G98" t="s">
        <v>495</v>
      </c>
      <c r="H98" s="34"/>
      <c r="I98" s="34"/>
    </row>
    <row r="99" spans="4:21">
      <c r="H99" s="34"/>
      <c r="I99" s="34"/>
    </row>
    <row r="101" spans="4:21" ht="15.75" thickBot="1">
      <c r="K101" s="106" t="s">
        <v>497</v>
      </c>
      <c r="P101" s="107"/>
      <c r="Q101" s="107"/>
      <c r="R101" s="107"/>
      <c r="S101" s="107"/>
      <c r="T101" s="107"/>
      <c r="U101" s="107"/>
    </row>
    <row r="102" spans="4:21" ht="30.75" thickBot="1">
      <c r="K102" s="108" t="s">
        <v>498</v>
      </c>
      <c r="L102" s="109" t="s">
        <v>499</v>
      </c>
      <c r="M102" s="109" t="s">
        <v>500</v>
      </c>
      <c r="N102" s="109" t="s">
        <v>501</v>
      </c>
      <c r="O102" s="173"/>
      <c r="P102" s="107"/>
      <c r="Q102" s="107"/>
      <c r="R102" s="107"/>
      <c r="S102" s="107"/>
      <c r="T102" s="107"/>
      <c r="U102" s="107"/>
    </row>
    <row r="103" spans="4:21" ht="15.75" thickBot="1">
      <c r="K103" s="110" t="s">
        <v>502</v>
      </c>
      <c r="L103" s="111">
        <v>2375</v>
      </c>
      <c r="M103" s="112">
        <v>272</v>
      </c>
      <c r="N103" s="112">
        <v>0.78</v>
      </c>
      <c r="O103" s="14"/>
      <c r="P103" s="107"/>
      <c r="Q103" s="107"/>
      <c r="R103" s="107"/>
      <c r="S103" s="107"/>
      <c r="T103" s="107"/>
      <c r="U103" s="107"/>
    </row>
    <row r="104" spans="4:21" ht="15.75" thickBot="1">
      <c r="K104" s="110" t="s">
        <v>503</v>
      </c>
      <c r="L104" s="111">
        <v>1526</v>
      </c>
      <c r="M104" s="112">
        <v>153</v>
      </c>
      <c r="N104" s="113">
        <v>0.9</v>
      </c>
      <c r="O104" s="174"/>
      <c r="P104" s="107"/>
      <c r="Q104" s="107"/>
      <c r="R104" s="107"/>
      <c r="S104" s="107"/>
      <c r="T104" s="107"/>
      <c r="U104" s="107"/>
    </row>
    <row r="105" spans="4:21" ht="15.75" thickBot="1">
      <c r="K105" s="110" t="s">
        <v>504</v>
      </c>
      <c r="L105" s="111">
        <v>1989</v>
      </c>
      <c r="M105" s="112">
        <v>115</v>
      </c>
      <c r="N105" s="112">
        <v>0.85</v>
      </c>
      <c r="O105" s="14"/>
      <c r="P105" s="107"/>
      <c r="Q105" s="107"/>
      <c r="R105" s="107"/>
      <c r="S105" s="107"/>
      <c r="T105" s="107"/>
      <c r="U105" s="107"/>
    </row>
    <row r="106" spans="4:21" ht="15.75" thickBot="1">
      <c r="K106" s="110" t="s">
        <v>505</v>
      </c>
      <c r="L106" s="111">
        <v>1483</v>
      </c>
      <c r="M106" s="112">
        <v>392</v>
      </c>
      <c r="N106" s="112">
        <v>0.84</v>
      </c>
      <c r="O106" s="14"/>
      <c r="P106" s="107"/>
      <c r="Q106" s="107"/>
      <c r="R106" s="107"/>
      <c r="S106" s="107"/>
      <c r="T106" s="107"/>
      <c r="U106" s="107"/>
    </row>
    <row r="107" spans="4:21" ht="15.75" thickBot="1">
      <c r="K107" s="110" t="s">
        <v>506</v>
      </c>
      <c r="L107" s="111">
        <v>2095</v>
      </c>
      <c r="M107" s="112">
        <v>409</v>
      </c>
      <c r="N107" s="112">
        <v>0.77</v>
      </c>
      <c r="O107" s="14"/>
      <c r="P107" s="107"/>
      <c r="Q107" s="107"/>
      <c r="R107" s="107"/>
      <c r="S107" s="107"/>
      <c r="T107" s="107"/>
      <c r="U107" s="107"/>
    </row>
    <row r="108" spans="4:21" ht="15.75" thickBot="1">
      <c r="K108" s="110" t="s">
        <v>507</v>
      </c>
      <c r="L108" s="111">
        <v>1997</v>
      </c>
      <c r="M108" s="112">
        <v>166</v>
      </c>
      <c r="N108" s="112">
        <v>0.85</v>
      </c>
      <c r="O108" s="14"/>
      <c r="P108" s="107"/>
      <c r="Q108" s="107"/>
      <c r="R108" s="107"/>
      <c r="S108" s="107"/>
      <c r="T108" s="107"/>
      <c r="U108" s="107"/>
    </row>
    <row r="109" spans="4:21" ht="15.75" thickBot="1">
      <c r="K109" s="110" t="s">
        <v>508</v>
      </c>
      <c r="L109" s="111">
        <v>3191</v>
      </c>
      <c r="M109" s="112">
        <v>513</v>
      </c>
      <c r="N109" s="112">
        <v>0.88</v>
      </c>
      <c r="O109" s="14"/>
      <c r="P109" s="107"/>
      <c r="Q109" s="107"/>
      <c r="R109" s="107"/>
      <c r="S109" s="107"/>
      <c r="T109" s="107"/>
      <c r="U109" s="107"/>
    </row>
    <row r="110" spans="4:21" ht="15.75" thickBot="1">
      <c r="K110" s="110" t="s">
        <v>509</v>
      </c>
      <c r="L110" s="111">
        <v>2329</v>
      </c>
      <c r="M110" s="112">
        <v>140</v>
      </c>
      <c r="N110" s="112">
        <v>0.71</v>
      </c>
      <c r="O110" s="14"/>
      <c r="P110" s="107"/>
      <c r="Q110" s="107"/>
      <c r="R110" s="107"/>
      <c r="S110" s="107"/>
      <c r="T110" s="107"/>
      <c r="U110" s="107"/>
    </row>
    <row r="111" spans="4:21" ht="15.75" thickBot="1">
      <c r="K111" s="110" t="s">
        <v>510</v>
      </c>
      <c r="L111" s="111">
        <v>2060</v>
      </c>
      <c r="M111" s="112">
        <v>255</v>
      </c>
      <c r="N111" s="112">
        <v>0.84</v>
      </c>
      <c r="O111" s="14"/>
      <c r="P111" s="107"/>
      <c r="Q111" s="107"/>
      <c r="R111" s="107"/>
      <c r="S111" s="107"/>
      <c r="T111" s="107"/>
      <c r="U111" s="107"/>
    </row>
    <row r="112" spans="4:21" ht="15.75" thickBot="1">
      <c r="K112" s="110" t="s">
        <v>511</v>
      </c>
      <c r="L112" s="111">
        <v>1510</v>
      </c>
      <c r="M112" s="112">
        <v>604</v>
      </c>
      <c r="N112" s="112">
        <v>0.84</v>
      </c>
      <c r="O112" s="14"/>
      <c r="P112" s="107"/>
      <c r="Q112" s="107"/>
      <c r="R112" s="107"/>
      <c r="S112" s="107"/>
      <c r="T112" s="107"/>
      <c r="U112" s="107"/>
    </row>
    <row r="113" spans="11:21" ht="15">
      <c r="K113" s="107"/>
      <c r="L113" s="107"/>
      <c r="M113" s="107"/>
      <c r="N113" s="107"/>
      <c r="O113" s="107"/>
      <c r="P113" s="107"/>
      <c r="Q113" s="107"/>
      <c r="R113" s="107"/>
      <c r="S113" s="107"/>
      <c r="T113" s="107"/>
      <c r="U113" s="107"/>
    </row>
    <row r="114" spans="11:21" ht="15">
      <c r="L114" s="114" t="s">
        <v>512</v>
      </c>
      <c r="M114" s="114"/>
      <c r="N114" s="114"/>
      <c r="O114" s="114"/>
      <c r="P114" s="114" t="s">
        <v>513</v>
      </c>
      <c r="Q114" s="114"/>
      <c r="R114" s="114"/>
      <c r="S114" s="115" t="s">
        <v>514</v>
      </c>
      <c r="T114" s="116"/>
      <c r="U114" s="107"/>
    </row>
    <row r="115" spans="11:21" ht="15">
      <c r="K115" s="117" t="s">
        <v>515</v>
      </c>
      <c r="L115" s="117" t="s">
        <v>516</v>
      </c>
      <c r="M115" s="117" t="s">
        <v>517</v>
      </c>
      <c r="N115" s="117" t="s">
        <v>518</v>
      </c>
      <c r="O115" s="117"/>
      <c r="P115" s="117" t="s">
        <v>516</v>
      </c>
      <c r="Q115" s="117" t="s">
        <v>517</v>
      </c>
      <c r="R115" s="117" t="s">
        <v>518</v>
      </c>
      <c r="S115" s="118" t="s">
        <v>519</v>
      </c>
      <c r="T115" s="118" t="s">
        <v>520</v>
      </c>
      <c r="U115" s="107"/>
    </row>
    <row r="116" spans="11:21" ht="15">
      <c r="K116" s="121" t="s">
        <v>521</v>
      </c>
      <c r="L116" s="119">
        <v>11.8</v>
      </c>
      <c r="M116" s="119">
        <v>13.4</v>
      </c>
      <c r="N116" s="4"/>
      <c r="O116" s="4"/>
      <c r="P116" s="119">
        <v>12.3</v>
      </c>
      <c r="Q116" s="120">
        <v>14.5</v>
      </c>
      <c r="R116" s="4"/>
      <c r="S116" s="119">
        <v>0</v>
      </c>
      <c r="T116" s="119">
        <v>5.4199900000000003</v>
      </c>
      <c r="U116" s="107"/>
    </row>
    <row r="117" spans="11:21" ht="15">
      <c r="K117" s="119" t="s">
        <v>522</v>
      </c>
      <c r="L117" s="119">
        <v>11.1</v>
      </c>
      <c r="M117" s="119">
        <v>14.7</v>
      </c>
      <c r="N117" s="4"/>
      <c r="O117" s="4"/>
      <c r="P117" s="119">
        <v>12.2</v>
      </c>
      <c r="Q117" s="119">
        <v>14.8</v>
      </c>
      <c r="R117" s="4"/>
      <c r="S117" s="119">
        <v>5.42</v>
      </c>
      <c r="T117" s="119">
        <v>11.24</v>
      </c>
      <c r="U117" s="107"/>
    </row>
    <row r="118" spans="11:21" ht="15">
      <c r="K118" s="119" t="s">
        <v>523</v>
      </c>
      <c r="L118" s="119">
        <v>10.9</v>
      </c>
      <c r="M118" s="119">
        <v>14.1</v>
      </c>
      <c r="N118" s="4"/>
      <c r="O118" s="4"/>
      <c r="P118" s="119">
        <v>12.2</v>
      </c>
      <c r="Q118" s="119">
        <v>14.8</v>
      </c>
      <c r="R118" s="4"/>
      <c r="S118" s="119">
        <v>11.25</v>
      </c>
      <c r="T118" s="119">
        <v>19.998999999999999</v>
      </c>
      <c r="U118" s="107"/>
    </row>
    <row r="119" spans="11:21" ht="15">
      <c r="K119" s="121" t="s">
        <v>524</v>
      </c>
      <c r="L119" s="119">
        <v>9.9</v>
      </c>
      <c r="M119" s="119">
        <v>13.1</v>
      </c>
      <c r="N119" s="4"/>
      <c r="O119" s="4"/>
      <c r="P119" s="119">
        <v>10.8</v>
      </c>
      <c r="Q119" s="121">
        <v>13.5</v>
      </c>
      <c r="R119" s="4"/>
      <c r="S119" s="119">
        <v>20</v>
      </c>
      <c r="T119" s="122">
        <v>63.3</v>
      </c>
      <c r="U119" s="107"/>
    </row>
    <row r="120" spans="11:21" ht="15">
      <c r="K120" s="123" t="s">
        <v>525</v>
      </c>
      <c r="L120" s="122">
        <v>9.6</v>
      </c>
      <c r="M120" s="122">
        <v>12.4</v>
      </c>
      <c r="N120" s="122"/>
      <c r="O120" s="122"/>
      <c r="P120" s="122">
        <v>10.4</v>
      </c>
      <c r="Q120" s="124">
        <v>13</v>
      </c>
      <c r="R120" s="122"/>
      <c r="S120" s="122">
        <v>63.4</v>
      </c>
      <c r="T120" s="119">
        <v>999999</v>
      </c>
      <c r="U120" s="107"/>
    </row>
    <row r="121" spans="11:21" ht="15">
      <c r="K121" s="121" t="s">
        <v>526</v>
      </c>
      <c r="L121" s="125">
        <v>11.8</v>
      </c>
      <c r="M121" s="125">
        <v>13.4</v>
      </c>
      <c r="N121" s="125">
        <v>7.1</v>
      </c>
      <c r="O121" s="125"/>
      <c r="P121" s="125">
        <v>12.3</v>
      </c>
      <c r="Q121" s="126">
        <v>14.5</v>
      </c>
      <c r="R121" s="126">
        <v>8</v>
      </c>
      <c r="S121" s="119">
        <v>0</v>
      </c>
      <c r="T121" s="119">
        <v>5.4199900000000003</v>
      </c>
      <c r="U121" s="107"/>
    </row>
    <row r="122" spans="11:21" ht="15">
      <c r="K122" s="121" t="s">
        <v>527</v>
      </c>
      <c r="L122" s="125">
        <f>AVERAGE(11,10.8)</f>
        <v>10.9</v>
      </c>
      <c r="M122" s="125">
        <v>14</v>
      </c>
      <c r="N122" s="125">
        <f>3.4*3.412</f>
        <v>11.6008</v>
      </c>
      <c r="O122" s="125"/>
      <c r="P122" s="125">
        <v>11.3</v>
      </c>
      <c r="Q122" s="126">
        <v>14.5</v>
      </c>
      <c r="R122" s="125">
        <v>12</v>
      </c>
      <c r="S122" s="119">
        <v>5.42</v>
      </c>
      <c r="T122" s="119">
        <v>11.24</v>
      </c>
      <c r="U122" s="107"/>
    </row>
    <row r="123" spans="11:21" ht="15">
      <c r="K123" s="121" t="s">
        <v>528</v>
      </c>
      <c r="L123" s="125">
        <f>AVERAGE(10.6,10.4)</f>
        <v>10.5</v>
      </c>
      <c r="M123" s="125">
        <v>13.4</v>
      </c>
      <c r="N123" s="125">
        <f>3.3*3.412</f>
        <v>11.259599999999999</v>
      </c>
      <c r="O123" s="125"/>
      <c r="P123" s="125">
        <v>10.9</v>
      </c>
      <c r="Q123" s="126">
        <v>14</v>
      </c>
      <c r="R123" s="125">
        <v>12</v>
      </c>
      <c r="S123" s="119">
        <v>11.25</v>
      </c>
      <c r="T123" s="119">
        <v>19.9999</v>
      </c>
      <c r="U123" s="107"/>
    </row>
    <row r="124" spans="11:21" ht="15">
      <c r="K124" s="121" t="s">
        <v>529</v>
      </c>
      <c r="L124" s="125">
        <f>AVERAGE(9.5,9.3)</f>
        <v>9.4</v>
      </c>
      <c r="M124" s="125">
        <v>12.4</v>
      </c>
      <c r="N124" s="125">
        <f>3.2*3.412</f>
        <v>10.9184</v>
      </c>
      <c r="O124" s="125"/>
      <c r="P124" s="125">
        <v>10.3</v>
      </c>
      <c r="Q124" s="126">
        <v>13</v>
      </c>
      <c r="R124" s="125">
        <v>12</v>
      </c>
      <c r="S124" s="119">
        <v>20</v>
      </c>
      <c r="T124" s="119">
        <v>999999</v>
      </c>
      <c r="U124" s="107"/>
    </row>
    <row r="125" spans="11:21" ht="15">
      <c r="K125" s="107"/>
      <c r="L125" s="107"/>
      <c r="M125" s="107"/>
      <c r="N125" s="107"/>
      <c r="O125" s="107"/>
      <c r="P125" s="107"/>
      <c r="Q125" s="107"/>
      <c r="R125" s="107"/>
      <c r="S125" s="107"/>
      <c r="T125" s="107"/>
      <c r="U125" s="107"/>
    </row>
    <row r="126" spans="11:21" ht="15.75" thickBot="1">
      <c r="K126" s="106" t="s">
        <v>530</v>
      </c>
      <c r="N126" s="107"/>
      <c r="O126" s="107"/>
      <c r="P126" s="107"/>
      <c r="Q126" s="107"/>
      <c r="R126" s="107"/>
      <c r="S126" s="107"/>
      <c r="T126" s="107"/>
      <c r="U126" s="107"/>
    </row>
    <row r="127" spans="11:21" ht="15.75" thickBot="1">
      <c r="K127" s="127" t="s">
        <v>498</v>
      </c>
      <c r="L127" s="128" t="s">
        <v>531</v>
      </c>
      <c r="M127" s="128" t="s">
        <v>532</v>
      </c>
      <c r="N127" s="107"/>
      <c r="O127" s="107"/>
      <c r="P127" s="107"/>
      <c r="Q127" s="107"/>
      <c r="R127" s="107"/>
      <c r="S127" s="107"/>
      <c r="T127" s="107"/>
      <c r="U127" s="107"/>
    </row>
    <row r="128" spans="11:21" ht="15.75" thickBot="1">
      <c r="K128" s="129" t="s">
        <v>502</v>
      </c>
      <c r="L128" s="130">
        <v>432</v>
      </c>
      <c r="M128" s="130">
        <v>0.14199999999999999</v>
      </c>
      <c r="N128" s="107"/>
      <c r="O128" s="107"/>
      <c r="P128" s="107"/>
      <c r="Q128" s="107"/>
      <c r="R128" s="107"/>
      <c r="S128" s="107"/>
      <c r="T128" s="107"/>
      <c r="U128" s="107"/>
    </row>
    <row r="129" spans="11:21" ht="15.75" thickBot="1">
      <c r="K129" s="129" t="s">
        <v>503</v>
      </c>
      <c r="L129" s="130">
        <v>278</v>
      </c>
      <c r="M129" s="130">
        <v>0.16400000000000001</v>
      </c>
      <c r="N129" s="107"/>
      <c r="O129" s="107"/>
      <c r="P129" s="107"/>
      <c r="Q129" s="107"/>
      <c r="R129" s="107"/>
      <c r="S129" s="107"/>
      <c r="T129" s="107"/>
      <c r="U129" s="107"/>
    </row>
    <row r="130" spans="11:21" ht="15.75" thickBot="1">
      <c r="K130" s="129" t="s">
        <v>504</v>
      </c>
      <c r="L130" s="130">
        <v>362</v>
      </c>
      <c r="M130" s="130">
        <v>0.155</v>
      </c>
      <c r="N130" s="107"/>
      <c r="O130" s="107"/>
      <c r="P130" s="107"/>
      <c r="Q130" s="107"/>
      <c r="R130" s="107"/>
      <c r="S130" s="107"/>
      <c r="T130" s="107"/>
      <c r="U130" s="107"/>
    </row>
    <row r="131" spans="11:21" ht="15.75" thickBot="1">
      <c r="K131" s="129" t="s">
        <v>505</v>
      </c>
      <c r="L131" s="130">
        <v>270</v>
      </c>
      <c r="M131" s="130">
        <v>0.153</v>
      </c>
      <c r="N131" s="107"/>
      <c r="O131" s="107"/>
      <c r="P131" s="107"/>
      <c r="Q131" s="107"/>
      <c r="R131" s="107"/>
      <c r="S131" s="107"/>
      <c r="T131" s="107"/>
      <c r="U131" s="107"/>
    </row>
    <row r="132" spans="11:21" ht="15.75" thickBot="1">
      <c r="K132" s="129" t="s">
        <v>506</v>
      </c>
      <c r="L132" s="130">
        <v>381</v>
      </c>
      <c r="M132" s="130">
        <v>0.14000000000000001</v>
      </c>
      <c r="N132" s="107"/>
      <c r="O132" s="107"/>
      <c r="P132" s="107"/>
      <c r="Q132" s="107"/>
      <c r="R132" s="107"/>
      <c r="S132" s="107"/>
      <c r="T132" s="107"/>
      <c r="U132" s="107"/>
    </row>
    <row r="133" spans="11:21" ht="15.75" thickBot="1">
      <c r="K133" s="129" t="s">
        <v>507</v>
      </c>
      <c r="L133" s="130">
        <v>363</v>
      </c>
      <c r="M133" s="130">
        <v>0.155</v>
      </c>
      <c r="N133" s="107"/>
      <c r="O133" s="107"/>
      <c r="P133" s="107"/>
      <c r="Q133" s="107"/>
      <c r="R133" s="107"/>
      <c r="S133" s="107"/>
      <c r="T133" s="107"/>
      <c r="U133" s="107"/>
    </row>
    <row r="134" spans="11:21" ht="15.75" thickBot="1">
      <c r="K134" s="129" t="s">
        <v>508</v>
      </c>
      <c r="L134" s="130">
        <v>580</v>
      </c>
      <c r="M134" s="130">
        <v>0.16</v>
      </c>
      <c r="N134" s="107"/>
      <c r="O134" s="107"/>
      <c r="P134" s="107"/>
      <c r="Q134" s="107"/>
      <c r="R134" s="107"/>
      <c r="S134" s="107"/>
      <c r="T134" s="107"/>
      <c r="U134" s="107"/>
    </row>
    <row r="135" spans="11:21" ht="15.75" thickBot="1">
      <c r="K135" s="129" t="s">
        <v>509</v>
      </c>
      <c r="L135" s="130">
        <v>424</v>
      </c>
      <c r="M135" s="130">
        <v>0.129</v>
      </c>
      <c r="N135" s="107"/>
      <c r="O135" s="107"/>
      <c r="P135" s="107"/>
      <c r="Q135" s="107"/>
      <c r="R135" s="107"/>
      <c r="S135" s="107"/>
      <c r="T135" s="107"/>
      <c r="U135" s="107"/>
    </row>
    <row r="136" spans="11:21" ht="15.75" thickBot="1">
      <c r="K136" s="129" t="s">
        <v>510</v>
      </c>
      <c r="L136" s="130">
        <v>375</v>
      </c>
      <c r="M136" s="130">
        <v>0.153</v>
      </c>
      <c r="N136" s="107"/>
      <c r="O136" s="107"/>
      <c r="P136" s="107"/>
      <c r="Q136" s="107"/>
      <c r="R136" s="107"/>
      <c r="S136" s="107"/>
      <c r="T136" s="107"/>
      <c r="U136" s="107"/>
    </row>
    <row r="137" spans="11:21" ht="15.75" thickBot="1">
      <c r="K137" s="129" t="s">
        <v>511</v>
      </c>
      <c r="L137" s="130">
        <v>275</v>
      </c>
      <c r="M137" s="130">
        <v>0.153</v>
      </c>
      <c r="N137" s="107"/>
      <c r="O137" s="107"/>
      <c r="P137" s="107"/>
      <c r="Q137" s="107"/>
      <c r="R137" s="107"/>
      <c r="S137" s="107"/>
      <c r="T137" s="107"/>
      <c r="U137" s="107"/>
    </row>
    <row r="138" spans="11:21" ht="15.75" thickBot="1">
      <c r="K138" s="129" t="s">
        <v>300</v>
      </c>
      <c r="L138" s="130">
        <v>432</v>
      </c>
      <c r="M138" s="130">
        <v>0.14199999999999999</v>
      </c>
      <c r="N138" s="107"/>
      <c r="O138" s="107"/>
      <c r="P138" s="107"/>
      <c r="Q138" s="107"/>
      <c r="R138" s="107"/>
      <c r="S138" s="107"/>
      <c r="T138" s="107"/>
      <c r="U138" s="107"/>
    </row>
    <row r="139" spans="11:21" ht="15.75" thickBot="1">
      <c r="K139" s="106" t="s">
        <v>533</v>
      </c>
      <c r="N139" s="107"/>
      <c r="O139" s="107"/>
      <c r="P139" s="107"/>
      <c r="Q139" s="107"/>
      <c r="R139" s="107"/>
      <c r="S139" s="107"/>
      <c r="T139" s="107"/>
      <c r="U139" s="107"/>
    </row>
    <row r="140" spans="11:21" ht="15.75" thickBot="1">
      <c r="K140" s="127" t="s">
        <v>498</v>
      </c>
      <c r="L140" s="128" t="s">
        <v>531</v>
      </c>
      <c r="M140" s="128" t="s">
        <v>532</v>
      </c>
      <c r="N140" s="107"/>
      <c r="O140" s="107"/>
      <c r="P140" s="107"/>
      <c r="Q140" s="107"/>
      <c r="R140" s="107"/>
      <c r="S140" s="107"/>
      <c r="T140" s="107"/>
      <c r="U140" s="107"/>
    </row>
    <row r="141" spans="11:21" ht="15.75" thickBot="1">
      <c r="K141" s="129" t="s">
        <v>502</v>
      </c>
      <c r="L141" s="130">
        <v>507</v>
      </c>
      <c r="M141" s="130">
        <v>0.14199999999999999</v>
      </c>
      <c r="N141" s="107"/>
      <c r="O141" s="107"/>
      <c r="P141" s="107"/>
      <c r="Q141" s="107"/>
      <c r="R141" s="107"/>
      <c r="S141" s="107"/>
      <c r="T141" s="107"/>
      <c r="U141" s="107"/>
    </row>
    <row r="142" spans="11:21" ht="15.75" thickBot="1">
      <c r="K142" s="129" t="s">
        <v>503</v>
      </c>
      <c r="L142" s="130">
        <v>320</v>
      </c>
      <c r="M142" s="130">
        <v>0.16400000000000001</v>
      </c>
      <c r="N142" s="107"/>
      <c r="O142" s="107"/>
      <c r="P142" s="107"/>
      <c r="Q142" s="107"/>
      <c r="R142" s="107"/>
      <c r="S142" s="107"/>
      <c r="T142" s="107"/>
      <c r="U142" s="107"/>
    </row>
    <row r="143" spans="11:21" ht="15.75" thickBot="1">
      <c r="K143" s="129" t="s">
        <v>504</v>
      </c>
      <c r="L143" s="130">
        <v>394</v>
      </c>
      <c r="M143" s="130">
        <v>0.155</v>
      </c>
      <c r="N143" s="107"/>
      <c r="O143" s="107"/>
      <c r="P143" s="107"/>
      <c r="Q143" s="107"/>
      <c r="R143" s="107"/>
      <c r="S143" s="107"/>
      <c r="T143" s="107"/>
      <c r="U143" s="107"/>
    </row>
    <row r="144" spans="11:21" ht="15.75" thickBot="1">
      <c r="K144" s="129" t="s">
        <v>505</v>
      </c>
      <c r="L144" s="130">
        <v>378</v>
      </c>
      <c r="M144" s="130">
        <v>0.153</v>
      </c>
      <c r="N144" s="107"/>
      <c r="O144" s="107"/>
      <c r="P144" s="107"/>
      <c r="Q144" s="107"/>
      <c r="R144" s="107"/>
      <c r="S144" s="107"/>
      <c r="T144" s="107"/>
      <c r="U144" s="107"/>
    </row>
    <row r="145" spans="11:21" ht="15.75" thickBot="1">
      <c r="K145" s="129" t="s">
        <v>506</v>
      </c>
      <c r="L145" s="130">
        <v>494</v>
      </c>
      <c r="M145" s="130">
        <v>0.14000000000000001</v>
      </c>
      <c r="N145" s="107"/>
      <c r="O145" s="107"/>
      <c r="P145" s="107"/>
      <c r="Q145" s="107"/>
      <c r="R145" s="107"/>
      <c r="S145" s="107"/>
      <c r="T145" s="107"/>
      <c r="U145" s="107"/>
    </row>
    <row r="146" spans="11:21" ht="15.75" thickBot="1">
      <c r="K146" s="129" t="s">
        <v>507</v>
      </c>
      <c r="L146" s="130">
        <v>409</v>
      </c>
      <c r="M146" s="130">
        <v>0.155</v>
      </c>
      <c r="N146" s="107"/>
      <c r="O146" s="107"/>
      <c r="P146" s="107"/>
      <c r="Q146" s="107"/>
      <c r="R146" s="107"/>
      <c r="S146" s="107"/>
      <c r="T146" s="107"/>
      <c r="U146" s="107"/>
    </row>
    <row r="147" spans="11:21" ht="15.75" thickBot="1">
      <c r="K147" s="129" t="s">
        <v>508</v>
      </c>
      <c r="L147" s="130">
        <v>722</v>
      </c>
      <c r="M147" s="130">
        <v>0.16</v>
      </c>
      <c r="N147" s="107"/>
      <c r="O147" s="107"/>
      <c r="P147" s="107"/>
      <c r="Q147" s="107"/>
      <c r="R147" s="107"/>
      <c r="S147" s="107"/>
      <c r="T147" s="107"/>
      <c r="U147" s="107"/>
    </row>
    <row r="148" spans="11:21" ht="15.75" thickBot="1">
      <c r="K148" s="129" t="s">
        <v>509</v>
      </c>
      <c r="L148" s="130">
        <v>462</v>
      </c>
      <c r="M148" s="130">
        <v>0.129</v>
      </c>
      <c r="N148" s="107"/>
      <c r="O148" s="107"/>
      <c r="P148" s="107"/>
      <c r="Q148" s="107"/>
      <c r="R148" s="107"/>
      <c r="S148" s="107"/>
      <c r="T148" s="107"/>
      <c r="U148" s="107"/>
    </row>
    <row r="149" spans="11:21" ht="15.75" thickBot="1">
      <c r="K149" s="129" t="s">
        <v>510</v>
      </c>
      <c r="L149" s="130">
        <v>445</v>
      </c>
      <c r="M149" s="130">
        <v>0.153</v>
      </c>
      <c r="N149" s="107"/>
      <c r="O149" s="107"/>
      <c r="P149" s="107"/>
      <c r="Q149" s="107"/>
      <c r="R149" s="107"/>
      <c r="S149" s="107"/>
      <c r="T149" s="107"/>
      <c r="U149" s="107"/>
    </row>
    <row r="150" spans="11:21" ht="15.75" thickBot="1">
      <c r="K150" s="129" t="s">
        <v>511</v>
      </c>
      <c r="L150" s="130">
        <v>442</v>
      </c>
      <c r="M150" s="130">
        <v>0.153</v>
      </c>
      <c r="N150" s="107"/>
      <c r="O150" s="107"/>
      <c r="P150" s="107"/>
      <c r="Q150" s="107"/>
      <c r="R150" s="107"/>
      <c r="S150" s="107"/>
      <c r="T150" s="107"/>
      <c r="U150" s="107"/>
    </row>
    <row r="151" spans="11:21" ht="15.75" thickBot="1">
      <c r="K151" s="129" t="s">
        <v>300</v>
      </c>
      <c r="L151" s="130">
        <v>507</v>
      </c>
      <c r="M151" s="130">
        <v>0.14199999999999999</v>
      </c>
      <c r="N151" s="107"/>
      <c r="O151" s="107"/>
      <c r="P151" s="107"/>
      <c r="Q151" s="107"/>
      <c r="R151" s="107"/>
      <c r="S151" s="107"/>
      <c r="T151" s="107"/>
      <c r="U151" s="107"/>
    </row>
    <row r="152" spans="11:21" ht="15">
      <c r="K152" s="107"/>
      <c r="L152" s="107"/>
      <c r="M152" s="107"/>
      <c r="N152" s="107"/>
      <c r="O152" s="107"/>
      <c r="P152" s="107"/>
      <c r="Q152" s="107"/>
      <c r="R152" s="107"/>
      <c r="S152" s="107"/>
      <c r="T152" s="107"/>
      <c r="U152" s="107"/>
    </row>
    <row r="153" spans="11:21" ht="15.75" thickBot="1">
      <c r="K153" s="106" t="s">
        <v>534</v>
      </c>
      <c r="M153" s="3" t="s">
        <v>535</v>
      </c>
      <c r="N153" s="3" t="s">
        <v>536</v>
      </c>
      <c r="O153" s="3"/>
      <c r="P153" s="107"/>
      <c r="Q153" s="3" t="s">
        <v>535</v>
      </c>
      <c r="R153" s="3" t="s">
        <v>536</v>
      </c>
      <c r="S153" s="107"/>
      <c r="T153" s="107"/>
      <c r="U153" s="107"/>
    </row>
    <row r="154" spans="11:21" ht="15.75" thickBot="1">
      <c r="K154" s="343" t="s">
        <v>498</v>
      </c>
      <c r="L154" s="345" t="s">
        <v>537</v>
      </c>
      <c r="M154" s="333" t="s">
        <v>538</v>
      </c>
      <c r="N154" s="334"/>
      <c r="O154" s="334"/>
      <c r="P154" s="334"/>
      <c r="Q154" s="334"/>
      <c r="R154" s="334"/>
      <c r="S154" s="335"/>
      <c r="T154" s="131" t="s">
        <v>539</v>
      </c>
      <c r="U154" s="132"/>
    </row>
    <row r="155" spans="11:21" ht="15.75" thickBot="1">
      <c r="K155" s="344"/>
      <c r="L155" s="346"/>
      <c r="M155" s="338" t="s">
        <v>540</v>
      </c>
      <c r="N155" s="347"/>
      <c r="O155" s="347"/>
      <c r="P155" s="339"/>
      <c r="Q155" s="338" t="s">
        <v>541</v>
      </c>
      <c r="R155" s="347"/>
      <c r="S155" s="339"/>
      <c r="T155" s="133" t="s">
        <v>540</v>
      </c>
      <c r="U155" s="134" t="s">
        <v>541</v>
      </c>
    </row>
    <row r="156" spans="11:21" ht="15.75" thickBot="1">
      <c r="K156" s="135" t="s">
        <v>502</v>
      </c>
      <c r="L156" s="136" t="s">
        <v>535</v>
      </c>
      <c r="M156" s="137">
        <v>408</v>
      </c>
      <c r="N156" s="138">
        <v>403</v>
      </c>
      <c r="O156" s="138"/>
      <c r="P156" s="139">
        <f>AVERAGE(M156:N156)</f>
        <v>405.5</v>
      </c>
      <c r="Q156" s="138">
        <v>0.16900000000000001</v>
      </c>
      <c r="R156" s="138">
        <v>0.17699999999999999</v>
      </c>
      <c r="S156" s="140">
        <f>AVERAGE(Q156:R156)</f>
        <v>0.17299999999999999</v>
      </c>
      <c r="T156" s="141">
        <v>658</v>
      </c>
      <c r="U156" s="142">
        <v>0.11</v>
      </c>
    </row>
    <row r="157" spans="11:21" ht="15.75" thickBot="1">
      <c r="K157" s="143"/>
      <c r="L157" s="136" t="s">
        <v>536</v>
      </c>
      <c r="M157" s="144"/>
      <c r="N157" s="122"/>
      <c r="O157" s="122"/>
      <c r="P157" s="145"/>
      <c r="Q157" s="122"/>
      <c r="R157" s="122"/>
      <c r="S157" s="146"/>
      <c r="T157" s="141">
        <v>642</v>
      </c>
      <c r="U157" s="142">
        <v>0.11</v>
      </c>
    </row>
    <row r="158" spans="11:21" ht="15.75" thickBot="1">
      <c r="K158" s="135" t="s">
        <v>503</v>
      </c>
      <c r="L158" s="136" t="s">
        <v>535</v>
      </c>
      <c r="M158" s="147">
        <v>262</v>
      </c>
      <c r="N158" s="15">
        <v>259</v>
      </c>
      <c r="O158" s="15"/>
      <c r="P158" s="145">
        <f t="shared" ref="P158:P174" si="3">AVERAGE(M158:N158)</f>
        <v>260.5</v>
      </c>
      <c r="Q158" s="15">
        <v>0.19500000000000001</v>
      </c>
      <c r="R158" s="15">
        <v>0.20399999999999999</v>
      </c>
      <c r="S158" s="146">
        <f t="shared" ref="S158:S174" si="4">AVERAGE(Q158:R158)</f>
        <v>0.19950000000000001</v>
      </c>
      <c r="T158" s="141">
        <v>423</v>
      </c>
      <c r="U158" s="142">
        <v>0.127</v>
      </c>
    </row>
    <row r="159" spans="11:21" ht="15.75" thickBot="1">
      <c r="K159" s="143"/>
      <c r="L159" s="136" t="s">
        <v>536</v>
      </c>
      <c r="M159" s="144"/>
      <c r="N159" s="122"/>
      <c r="O159" s="122"/>
      <c r="P159" s="145"/>
      <c r="Q159" s="122"/>
      <c r="R159" s="122"/>
      <c r="S159" s="146"/>
      <c r="T159" s="141">
        <v>413</v>
      </c>
      <c r="U159" s="142">
        <v>0.127</v>
      </c>
    </row>
    <row r="160" spans="11:21" ht="15.75" thickBot="1">
      <c r="K160" s="135" t="s">
        <v>504</v>
      </c>
      <c r="L160" s="136" t="s">
        <v>535</v>
      </c>
      <c r="M160" s="147">
        <v>341</v>
      </c>
      <c r="N160" s="15">
        <v>338</v>
      </c>
      <c r="O160" s="15"/>
      <c r="P160" s="145">
        <f t="shared" si="3"/>
        <v>339.5</v>
      </c>
      <c r="Q160" s="15">
        <v>0.184</v>
      </c>
      <c r="R160" s="15">
        <v>0.192</v>
      </c>
      <c r="S160" s="146">
        <f t="shared" si="4"/>
        <v>0.188</v>
      </c>
      <c r="T160" s="141">
        <v>551</v>
      </c>
      <c r="U160" s="142">
        <v>0.12</v>
      </c>
    </row>
    <row r="161" spans="11:21" ht="15.75" thickBot="1">
      <c r="K161" s="143"/>
      <c r="L161" s="136" t="s">
        <v>536</v>
      </c>
      <c r="M161" s="144"/>
      <c r="N161" s="122"/>
      <c r="O161" s="122"/>
      <c r="P161" s="145"/>
      <c r="Q161" s="122"/>
      <c r="R161" s="122"/>
      <c r="S161" s="146"/>
      <c r="T161" s="141">
        <v>538</v>
      </c>
      <c r="U161" s="142">
        <v>0.12</v>
      </c>
    </row>
    <row r="162" spans="11:21" ht="15.75" thickBot="1">
      <c r="K162" s="135" t="s">
        <v>505</v>
      </c>
      <c r="L162" s="136" t="s">
        <v>535</v>
      </c>
      <c r="M162" s="147">
        <v>255</v>
      </c>
      <c r="N162" s="15">
        <v>252</v>
      </c>
      <c r="O162" s="15"/>
      <c r="P162" s="145">
        <f t="shared" si="3"/>
        <v>253.5</v>
      </c>
      <c r="Q162" s="15">
        <v>0.182</v>
      </c>
      <c r="R162" s="15">
        <v>0.19</v>
      </c>
      <c r="S162" s="146">
        <f t="shared" si="4"/>
        <v>0.186</v>
      </c>
      <c r="T162" s="141">
        <v>411</v>
      </c>
      <c r="U162" s="142">
        <v>0.11899999999999999</v>
      </c>
    </row>
    <row r="163" spans="11:21" ht="15.75" thickBot="1">
      <c r="K163" s="143"/>
      <c r="L163" s="136" t="s">
        <v>536</v>
      </c>
      <c r="M163" s="144"/>
      <c r="N163" s="122"/>
      <c r="O163" s="122"/>
      <c r="P163" s="145"/>
      <c r="Q163" s="122"/>
      <c r="R163" s="122"/>
      <c r="S163" s="146"/>
      <c r="T163" s="141">
        <v>401</v>
      </c>
      <c r="U163" s="142">
        <v>0.11899999999999999</v>
      </c>
    </row>
    <row r="164" spans="11:21" ht="15.75" thickBot="1">
      <c r="K164" s="135" t="s">
        <v>506</v>
      </c>
      <c r="L164" s="136" t="s">
        <v>535</v>
      </c>
      <c r="M164" s="147">
        <v>360</v>
      </c>
      <c r="N164" s="15">
        <v>356</v>
      </c>
      <c r="O164" s="15"/>
      <c r="P164" s="145">
        <f t="shared" si="3"/>
        <v>358</v>
      </c>
      <c r="Q164" s="15">
        <v>0.16700000000000001</v>
      </c>
      <c r="R164" s="15">
        <v>0.17399999999999999</v>
      </c>
      <c r="S164" s="146">
        <f t="shared" si="4"/>
        <v>0.17049999999999998</v>
      </c>
      <c r="T164" s="141">
        <v>580</v>
      </c>
      <c r="U164" s="142">
        <v>0.109</v>
      </c>
    </row>
    <row r="165" spans="11:21" ht="15.75" thickBot="1">
      <c r="K165" s="143"/>
      <c r="L165" s="136" t="s">
        <v>536</v>
      </c>
      <c r="M165" s="144"/>
      <c r="N165" s="122"/>
      <c r="O165" s="122"/>
      <c r="P165" s="145"/>
      <c r="Q165" s="122"/>
      <c r="R165" s="122"/>
      <c r="S165" s="146"/>
      <c r="T165" s="141">
        <v>566</v>
      </c>
      <c r="U165" s="142">
        <v>0.109</v>
      </c>
    </row>
    <row r="166" spans="11:21" ht="15.75" thickBot="1">
      <c r="K166" s="135" t="s">
        <v>507</v>
      </c>
      <c r="L166" s="136" t="s">
        <v>535</v>
      </c>
      <c r="M166" s="147">
        <v>343</v>
      </c>
      <c r="N166" s="15">
        <v>339</v>
      </c>
      <c r="O166" s="15"/>
      <c r="P166" s="145">
        <f t="shared" si="3"/>
        <v>341</v>
      </c>
      <c r="Q166" s="15">
        <v>0.184</v>
      </c>
      <c r="R166" s="15">
        <v>0.192</v>
      </c>
      <c r="S166" s="146">
        <f t="shared" si="4"/>
        <v>0.188</v>
      </c>
      <c r="T166" s="141">
        <v>553</v>
      </c>
      <c r="U166" s="142">
        <v>0.12</v>
      </c>
    </row>
    <row r="167" spans="11:21" ht="15.75" thickBot="1">
      <c r="K167" s="143"/>
      <c r="L167" s="136" t="s">
        <v>536</v>
      </c>
      <c r="M167" s="144"/>
      <c r="N167" s="122"/>
      <c r="O167" s="122"/>
      <c r="P167" s="145"/>
      <c r="Q167" s="122"/>
      <c r="R167" s="122"/>
      <c r="S167" s="146"/>
      <c r="T167" s="141">
        <v>540</v>
      </c>
      <c r="U167" s="142">
        <v>0.12</v>
      </c>
    </row>
    <row r="168" spans="11:21" ht="15.75" thickBot="1">
      <c r="K168" s="135" t="s">
        <v>508</v>
      </c>
      <c r="L168" s="136" t="s">
        <v>535</v>
      </c>
      <c r="M168" s="147">
        <v>548</v>
      </c>
      <c r="N168" s="15">
        <v>542</v>
      </c>
      <c r="O168" s="15"/>
      <c r="P168" s="145">
        <f t="shared" si="3"/>
        <v>545</v>
      </c>
      <c r="Q168" s="15">
        <v>0.191</v>
      </c>
      <c r="R168" s="15">
        <v>0.19900000000000001</v>
      </c>
      <c r="S168" s="146">
        <f t="shared" si="4"/>
        <v>0.19500000000000001</v>
      </c>
      <c r="T168" s="141">
        <v>884</v>
      </c>
      <c r="U168" s="142">
        <v>0.125</v>
      </c>
    </row>
    <row r="169" spans="11:21" ht="15.75" thickBot="1">
      <c r="K169" s="143"/>
      <c r="L169" s="136" t="s">
        <v>536</v>
      </c>
      <c r="M169" s="144"/>
      <c r="N169" s="122"/>
      <c r="O169" s="122"/>
      <c r="P169" s="145"/>
      <c r="Q169" s="122"/>
      <c r="R169" s="122"/>
      <c r="S169" s="146"/>
      <c r="T169" s="141">
        <v>863</v>
      </c>
      <c r="U169" s="142">
        <v>0.125</v>
      </c>
    </row>
    <row r="170" spans="11:21" ht="15.75" thickBot="1">
      <c r="K170" s="135" t="s">
        <v>509</v>
      </c>
      <c r="L170" s="136" t="s">
        <v>535</v>
      </c>
      <c r="M170" s="147">
        <v>400</v>
      </c>
      <c r="N170" s="15">
        <v>395</v>
      </c>
      <c r="O170" s="15"/>
      <c r="P170" s="145">
        <f t="shared" si="3"/>
        <v>397.5</v>
      </c>
      <c r="Q170" s="15">
        <v>0.154</v>
      </c>
      <c r="R170" s="15">
        <v>0.161</v>
      </c>
      <c r="S170" s="146">
        <f t="shared" si="4"/>
        <v>0.1575</v>
      </c>
      <c r="T170" s="141">
        <v>645</v>
      </c>
      <c r="U170" s="142">
        <v>0.10100000000000001</v>
      </c>
    </row>
    <row r="171" spans="11:21" ht="15.75" thickBot="1">
      <c r="K171" s="143"/>
      <c r="L171" s="136" t="s">
        <v>536</v>
      </c>
      <c r="M171" s="144"/>
      <c r="N171" s="122"/>
      <c r="O171" s="122"/>
      <c r="P171" s="145"/>
      <c r="Q171" s="122"/>
      <c r="R171" s="122"/>
      <c r="S171" s="146"/>
      <c r="T171" s="141">
        <v>630</v>
      </c>
      <c r="U171" s="142">
        <v>0.10100000000000001</v>
      </c>
    </row>
    <row r="172" spans="11:21" ht="15.75" thickBot="1">
      <c r="K172" s="135" t="s">
        <v>510</v>
      </c>
      <c r="L172" s="136" t="s">
        <v>535</v>
      </c>
      <c r="M172" s="147">
        <v>354</v>
      </c>
      <c r="N172" s="15">
        <v>350</v>
      </c>
      <c r="O172" s="15"/>
      <c r="P172" s="145">
        <f t="shared" si="3"/>
        <v>352</v>
      </c>
      <c r="Q172" s="15">
        <v>0.182</v>
      </c>
      <c r="R172" s="15">
        <v>0.19</v>
      </c>
      <c r="S172" s="146">
        <f t="shared" si="4"/>
        <v>0.186</v>
      </c>
      <c r="T172" s="141">
        <v>570</v>
      </c>
      <c r="U172" s="142">
        <v>0.11899999999999999</v>
      </c>
    </row>
    <row r="173" spans="11:21" ht="15.75" thickBot="1">
      <c r="K173" s="143"/>
      <c r="L173" s="136" t="s">
        <v>536</v>
      </c>
      <c r="M173" s="144"/>
      <c r="N173" s="122"/>
      <c r="O173" s="122"/>
      <c r="P173" s="145"/>
      <c r="Q173" s="122"/>
      <c r="R173" s="122"/>
      <c r="S173" s="146"/>
      <c r="T173" s="141">
        <v>557</v>
      </c>
      <c r="U173" s="142">
        <v>0.11899999999999999</v>
      </c>
    </row>
    <row r="174" spans="11:21" ht="15.75" thickBot="1">
      <c r="K174" s="135" t="s">
        <v>511</v>
      </c>
      <c r="L174" s="136" t="s">
        <v>535</v>
      </c>
      <c r="M174" s="147">
        <v>259</v>
      </c>
      <c r="N174" s="15">
        <v>256</v>
      </c>
      <c r="O174" s="15"/>
      <c r="P174" s="145">
        <f t="shared" si="3"/>
        <v>257.5</v>
      </c>
      <c r="Q174" s="15">
        <v>0.182</v>
      </c>
      <c r="R174" s="15">
        <v>0.19</v>
      </c>
      <c r="S174" s="146">
        <f t="shared" si="4"/>
        <v>0.186</v>
      </c>
      <c r="T174" s="141">
        <v>418</v>
      </c>
      <c r="U174" s="142">
        <v>0.11899999999999999</v>
      </c>
    </row>
    <row r="175" spans="11:21" ht="15.75" thickBot="1">
      <c r="K175" s="148"/>
      <c r="L175" s="149" t="s">
        <v>536</v>
      </c>
      <c r="M175" s="150"/>
      <c r="N175" s="151"/>
      <c r="O175" s="151"/>
      <c r="P175" s="151"/>
      <c r="Q175" s="151"/>
      <c r="R175" s="151"/>
      <c r="S175" s="152"/>
      <c r="T175" s="153">
        <v>408</v>
      </c>
      <c r="U175" s="154">
        <v>0.11899999999999999</v>
      </c>
    </row>
    <row r="176" spans="11:21" ht="15.75" thickBot="1">
      <c r="K176" t="s">
        <v>542</v>
      </c>
      <c r="R176" s="107"/>
      <c r="S176" s="107"/>
      <c r="T176" s="107"/>
      <c r="U176" s="107"/>
    </row>
    <row r="177" spans="11:21" ht="15.75" thickBot="1">
      <c r="K177" s="329" t="s">
        <v>498</v>
      </c>
      <c r="L177" s="331" t="s">
        <v>537</v>
      </c>
      <c r="M177" s="333" t="s">
        <v>538</v>
      </c>
      <c r="N177" s="334"/>
      <c r="O177" s="334"/>
      <c r="P177" s="334"/>
      <c r="Q177" s="335"/>
      <c r="R177" s="336" t="s">
        <v>539</v>
      </c>
      <c r="S177" s="337"/>
      <c r="T177" s="107"/>
      <c r="U177" s="107"/>
    </row>
    <row r="178" spans="11:21" ht="30.75" thickBot="1">
      <c r="K178" s="330"/>
      <c r="L178" s="332"/>
      <c r="M178" s="338" t="s">
        <v>540</v>
      </c>
      <c r="N178" s="339"/>
      <c r="O178" s="175"/>
      <c r="P178" s="338" t="s">
        <v>541</v>
      </c>
      <c r="Q178" s="339"/>
      <c r="R178" s="133" t="s">
        <v>540</v>
      </c>
      <c r="S178" s="133" t="s">
        <v>541</v>
      </c>
      <c r="T178" s="107"/>
      <c r="U178" s="107"/>
    </row>
    <row r="179" spans="11:21" ht="15.75" thickBot="1">
      <c r="K179" s="155" t="s">
        <v>502</v>
      </c>
      <c r="L179" s="136" t="s">
        <v>543</v>
      </c>
      <c r="M179" s="137">
        <v>214</v>
      </c>
      <c r="N179" s="156">
        <f>AVERAGE(M179:M182)</f>
        <v>223.25</v>
      </c>
      <c r="O179" s="156"/>
      <c r="P179" s="138">
        <v>9.1999999999999998E-2</v>
      </c>
      <c r="Q179" s="157">
        <f>AVERAGE(P179:P182)</f>
        <v>8.4250000000000005E-2</v>
      </c>
      <c r="R179" s="141">
        <v>356</v>
      </c>
      <c r="S179" s="141">
        <v>7.5999999999999998E-2</v>
      </c>
      <c r="T179" s="107"/>
      <c r="U179" s="107"/>
    </row>
    <row r="180" spans="11:21" ht="15.75" thickBot="1">
      <c r="K180" s="158"/>
      <c r="L180" s="136" t="s">
        <v>544</v>
      </c>
      <c r="M180" s="147">
        <v>264</v>
      </c>
      <c r="N180" s="122"/>
      <c r="O180" s="122"/>
      <c r="P180" s="15">
        <v>9.9000000000000005E-2</v>
      </c>
      <c r="Q180" s="159"/>
      <c r="R180" s="141">
        <v>344</v>
      </c>
      <c r="S180" s="141">
        <v>0.09</v>
      </c>
      <c r="T180" s="107"/>
      <c r="U180" s="107"/>
    </row>
    <row r="181" spans="11:21" ht="15.75" thickBot="1">
      <c r="K181" s="158"/>
      <c r="L181" s="136" t="s">
        <v>545</v>
      </c>
      <c r="M181" s="147">
        <v>223</v>
      </c>
      <c r="N181" s="122"/>
      <c r="O181" s="122"/>
      <c r="P181" s="15">
        <v>7.2999999999999995E-2</v>
      </c>
      <c r="Q181" s="159"/>
      <c r="R181" s="141">
        <v>342</v>
      </c>
      <c r="S181" s="141">
        <v>8.3000000000000004E-2</v>
      </c>
      <c r="T181" s="107"/>
      <c r="U181" s="107"/>
    </row>
    <row r="182" spans="11:21" ht="15.75" thickBot="1">
      <c r="K182" s="160"/>
      <c r="L182" s="136" t="s">
        <v>546</v>
      </c>
      <c r="M182" s="147">
        <v>192</v>
      </c>
      <c r="N182" s="122"/>
      <c r="O182" s="122"/>
      <c r="P182" s="15">
        <v>7.2999999999999995E-2</v>
      </c>
      <c r="Q182" s="159"/>
      <c r="R182" s="141">
        <v>319</v>
      </c>
      <c r="S182" s="141">
        <v>0.06</v>
      </c>
      <c r="T182" s="107"/>
      <c r="U182" s="107"/>
    </row>
    <row r="183" spans="11:21" ht="15.75" thickBot="1">
      <c r="K183" s="155" t="s">
        <v>503</v>
      </c>
      <c r="L183" s="136" t="s">
        <v>543</v>
      </c>
      <c r="M183" s="147">
        <v>137</v>
      </c>
      <c r="N183" s="161">
        <f>AVERAGE(M183:M186)</f>
        <v>143.25</v>
      </c>
      <c r="O183" s="161"/>
      <c r="P183" s="15">
        <v>0.106</v>
      </c>
      <c r="Q183" s="162">
        <f>AVERAGE(P183:P186)</f>
        <v>9.7250000000000003E-2</v>
      </c>
      <c r="R183" s="141">
        <v>229</v>
      </c>
      <c r="S183" s="141">
        <v>8.7999999999999995E-2</v>
      </c>
      <c r="T183" s="107"/>
      <c r="U183" s="107"/>
    </row>
    <row r="184" spans="11:21" ht="15.75" thickBot="1">
      <c r="K184" s="158"/>
      <c r="L184" s="136" t="s">
        <v>544</v>
      </c>
      <c r="M184" s="147">
        <v>169</v>
      </c>
      <c r="N184" s="122"/>
      <c r="O184" s="122"/>
      <c r="P184" s="15">
        <v>0.114</v>
      </c>
      <c r="Q184" s="159"/>
      <c r="R184" s="141">
        <v>221</v>
      </c>
      <c r="S184" s="141">
        <v>0.104</v>
      </c>
      <c r="T184" s="107"/>
      <c r="U184" s="107"/>
    </row>
    <row r="185" spans="11:21" ht="15.75" thickBot="1">
      <c r="K185" s="158"/>
      <c r="L185" s="136" t="s">
        <v>545</v>
      </c>
      <c r="M185" s="147">
        <v>143</v>
      </c>
      <c r="N185" s="122"/>
      <c r="O185" s="122"/>
      <c r="P185" s="15">
        <v>8.5000000000000006E-2</v>
      </c>
      <c r="Q185" s="159"/>
      <c r="R185" s="141">
        <v>220</v>
      </c>
      <c r="S185" s="141">
        <v>9.5000000000000001E-2</v>
      </c>
      <c r="T185" s="107"/>
      <c r="U185" s="107"/>
    </row>
    <row r="186" spans="11:21" ht="15.75" thickBot="1">
      <c r="K186" s="160"/>
      <c r="L186" s="136" t="s">
        <v>546</v>
      </c>
      <c r="M186" s="147">
        <v>124</v>
      </c>
      <c r="N186" s="122"/>
      <c r="O186" s="122"/>
      <c r="P186" s="15">
        <v>8.4000000000000005E-2</v>
      </c>
      <c r="Q186" s="159"/>
      <c r="R186" s="141">
        <v>205</v>
      </c>
      <c r="S186" s="141">
        <v>6.9000000000000006E-2</v>
      </c>
      <c r="T186" s="107"/>
      <c r="U186" s="107"/>
    </row>
    <row r="187" spans="11:21" ht="15.75" thickBot="1">
      <c r="K187" s="155" t="s">
        <v>504</v>
      </c>
      <c r="L187" s="136" t="s">
        <v>543</v>
      </c>
      <c r="M187" s="147">
        <v>179</v>
      </c>
      <c r="N187" s="161">
        <f>AVERAGE(M187:M190)</f>
        <v>187</v>
      </c>
      <c r="O187" s="161"/>
      <c r="P187" s="15">
        <v>0.1</v>
      </c>
      <c r="Q187" s="162">
        <f>AVERAGE(P187:P190)</f>
        <v>9.1750000000000012E-2</v>
      </c>
      <c r="R187" s="141">
        <v>298</v>
      </c>
      <c r="S187" s="141">
        <v>8.3000000000000004E-2</v>
      </c>
      <c r="T187" s="107"/>
      <c r="U187" s="107"/>
    </row>
    <row r="188" spans="11:21" ht="15.75" thickBot="1">
      <c r="K188" s="158"/>
      <c r="L188" s="136" t="s">
        <v>544</v>
      </c>
      <c r="M188" s="147">
        <v>221</v>
      </c>
      <c r="N188" s="122"/>
      <c r="O188" s="122"/>
      <c r="P188" s="15">
        <v>0.108</v>
      </c>
      <c r="Q188" s="159"/>
      <c r="R188" s="141">
        <v>288</v>
      </c>
      <c r="S188" s="141">
        <v>9.8000000000000004E-2</v>
      </c>
      <c r="T188" s="107"/>
      <c r="U188" s="107"/>
    </row>
    <row r="189" spans="11:21" ht="15.75" thickBot="1">
      <c r="K189" s="158"/>
      <c r="L189" s="136" t="s">
        <v>545</v>
      </c>
      <c r="M189" s="147">
        <v>187</v>
      </c>
      <c r="N189" s="122"/>
      <c r="O189" s="122"/>
      <c r="P189" s="15">
        <v>0.08</v>
      </c>
      <c r="Q189" s="159"/>
      <c r="R189" s="141">
        <v>286</v>
      </c>
      <c r="S189" s="141">
        <v>0.09</v>
      </c>
      <c r="T189" s="107"/>
      <c r="U189" s="107"/>
    </row>
    <row r="190" spans="11:21" ht="15.75" thickBot="1">
      <c r="K190" s="160"/>
      <c r="L190" s="136" t="s">
        <v>546</v>
      </c>
      <c r="M190" s="147">
        <v>161</v>
      </c>
      <c r="N190" s="122"/>
      <c r="O190" s="122"/>
      <c r="P190" s="15">
        <v>7.9000000000000001E-2</v>
      </c>
      <c r="Q190" s="159"/>
      <c r="R190" s="141">
        <v>268</v>
      </c>
      <c r="S190" s="141">
        <v>6.5000000000000002E-2</v>
      </c>
      <c r="T190" s="107"/>
      <c r="U190" s="107"/>
    </row>
    <row r="191" spans="11:21" ht="15.75" thickBot="1">
      <c r="K191" s="155" t="s">
        <v>505</v>
      </c>
      <c r="L191" s="136" t="s">
        <v>543</v>
      </c>
      <c r="M191" s="147">
        <v>133</v>
      </c>
      <c r="N191" s="161">
        <f>AVERAGE(M191:M194)</f>
        <v>139.25</v>
      </c>
      <c r="O191" s="161"/>
      <c r="P191" s="15">
        <v>9.9000000000000005E-2</v>
      </c>
      <c r="Q191" s="162">
        <f>AVERAGE(P191:P194)</f>
        <v>9.1000000000000011E-2</v>
      </c>
      <c r="R191" s="141">
        <v>222</v>
      </c>
      <c r="S191" s="141">
        <v>8.2000000000000003E-2</v>
      </c>
      <c r="T191" s="107"/>
      <c r="U191" s="107"/>
    </row>
    <row r="192" spans="11:21" ht="15.75" thickBot="1">
      <c r="K192" s="158"/>
      <c r="L192" s="136" t="s">
        <v>544</v>
      </c>
      <c r="M192" s="147">
        <v>165</v>
      </c>
      <c r="N192" s="122"/>
      <c r="O192" s="122"/>
      <c r="P192" s="15">
        <v>0.107</v>
      </c>
      <c r="Q192" s="159"/>
      <c r="R192" s="141">
        <v>215</v>
      </c>
      <c r="S192" s="141">
        <v>9.7000000000000003E-2</v>
      </c>
      <c r="T192" s="107"/>
      <c r="U192" s="107"/>
    </row>
    <row r="193" spans="11:21" ht="15.75" thickBot="1">
      <c r="K193" s="158"/>
      <c r="L193" s="136" t="s">
        <v>545</v>
      </c>
      <c r="M193" s="147">
        <v>139</v>
      </c>
      <c r="N193" s="122"/>
      <c r="O193" s="122"/>
      <c r="P193" s="15">
        <v>7.9000000000000001E-2</v>
      </c>
      <c r="Q193" s="159"/>
      <c r="R193" s="141">
        <v>214</v>
      </c>
      <c r="S193" s="141">
        <v>8.8999999999999996E-2</v>
      </c>
      <c r="T193" s="107"/>
      <c r="U193" s="107"/>
    </row>
    <row r="194" spans="11:21" ht="15.75" thickBot="1">
      <c r="K194" s="160"/>
      <c r="L194" s="136" t="s">
        <v>546</v>
      </c>
      <c r="M194" s="147">
        <v>120</v>
      </c>
      <c r="N194" s="122"/>
      <c r="O194" s="122"/>
      <c r="P194" s="15">
        <v>7.9000000000000001E-2</v>
      </c>
      <c r="Q194" s="159"/>
      <c r="R194" s="141">
        <v>199</v>
      </c>
      <c r="S194" s="141">
        <v>6.4000000000000001E-2</v>
      </c>
      <c r="T194" s="107"/>
      <c r="U194" s="107"/>
    </row>
    <row r="195" spans="11:21" ht="15.75" thickBot="1">
      <c r="K195" s="155" t="s">
        <v>506</v>
      </c>
      <c r="L195" s="136" t="s">
        <v>543</v>
      </c>
      <c r="M195" s="147">
        <v>189</v>
      </c>
      <c r="N195" s="161">
        <f>AVERAGE(M195:M198)</f>
        <v>197.25</v>
      </c>
      <c r="O195" s="161"/>
      <c r="P195" s="15">
        <v>9.0999999999999998E-2</v>
      </c>
      <c r="Q195" s="162">
        <f>AVERAGE(P195:P198)</f>
        <v>8.3250000000000005E-2</v>
      </c>
      <c r="R195" s="141">
        <v>314</v>
      </c>
      <c r="S195" s="141">
        <v>7.4999999999999997E-2</v>
      </c>
      <c r="T195" s="107"/>
      <c r="U195" s="107"/>
    </row>
    <row r="196" spans="11:21" ht="15.75" thickBot="1">
      <c r="K196" s="158"/>
      <c r="L196" s="136" t="s">
        <v>544</v>
      </c>
      <c r="M196" s="147">
        <v>233</v>
      </c>
      <c r="N196" s="122"/>
      <c r="O196" s="122"/>
      <c r="P196" s="15">
        <v>9.8000000000000004E-2</v>
      </c>
      <c r="Q196" s="159"/>
      <c r="R196" s="141">
        <v>304</v>
      </c>
      <c r="S196" s="141">
        <v>8.8999999999999996E-2</v>
      </c>
      <c r="T196" s="107"/>
      <c r="U196" s="107"/>
    </row>
    <row r="197" spans="11:21" ht="15.75" thickBot="1">
      <c r="K197" s="158"/>
      <c r="L197" s="136" t="s">
        <v>545</v>
      </c>
      <c r="M197" s="147">
        <v>197</v>
      </c>
      <c r="N197" s="122"/>
      <c r="O197" s="122"/>
      <c r="P197" s="15">
        <v>7.1999999999999995E-2</v>
      </c>
      <c r="Q197" s="159"/>
      <c r="R197" s="141">
        <v>302</v>
      </c>
      <c r="S197" s="141">
        <v>8.2000000000000003E-2</v>
      </c>
      <c r="T197" s="107"/>
      <c r="U197" s="107"/>
    </row>
    <row r="198" spans="11:21" ht="15.75" thickBot="1">
      <c r="K198" s="160"/>
      <c r="L198" s="136" t="s">
        <v>546</v>
      </c>
      <c r="M198" s="147">
        <v>170</v>
      </c>
      <c r="N198" s="122"/>
      <c r="O198" s="122"/>
      <c r="P198" s="15">
        <v>7.1999999999999995E-2</v>
      </c>
      <c r="Q198" s="159"/>
      <c r="R198" s="141">
        <v>282</v>
      </c>
      <c r="S198" s="141">
        <v>5.8999999999999997E-2</v>
      </c>
      <c r="T198" s="107"/>
      <c r="U198" s="107"/>
    </row>
    <row r="199" spans="11:21" ht="15.75" thickBot="1">
      <c r="K199" s="155" t="s">
        <v>507</v>
      </c>
      <c r="L199" s="136" t="s">
        <v>543</v>
      </c>
      <c r="M199" s="147">
        <v>180</v>
      </c>
      <c r="N199" s="161">
        <f>AVERAGE(M199:M202)</f>
        <v>188</v>
      </c>
      <c r="O199" s="161"/>
      <c r="P199" s="15">
        <v>0.1</v>
      </c>
      <c r="Q199" s="162">
        <f>AVERAGE(P199:P202)</f>
        <v>9.1750000000000012E-2</v>
      </c>
      <c r="R199" s="141">
        <v>300</v>
      </c>
      <c r="S199" s="141">
        <v>8.3000000000000004E-2</v>
      </c>
      <c r="T199" s="107"/>
      <c r="U199" s="107"/>
    </row>
    <row r="200" spans="11:21" ht="15.75" thickBot="1">
      <c r="K200" s="158"/>
      <c r="L200" s="136" t="s">
        <v>544</v>
      </c>
      <c r="M200" s="147">
        <v>222</v>
      </c>
      <c r="N200" s="122"/>
      <c r="O200" s="122"/>
      <c r="P200" s="15">
        <v>0.108</v>
      </c>
      <c r="Q200" s="159"/>
      <c r="R200" s="141">
        <v>290</v>
      </c>
      <c r="S200" s="141">
        <v>9.8000000000000004E-2</v>
      </c>
      <c r="T200" s="107"/>
      <c r="U200" s="107"/>
    </row>
    <row r="201" spans="11:21" ht="15.75" thickBot="1">
      <c r="K201" s="158"/>
      <c r="L201" s="136" t="s">
        <v>545</v>
      </c>
      <c r="M201" s="147">
        <v>188</v>
      </c>
      <c r="N201" s="122"/>
      <c r="O201" s="122"/>
      <c r="P201" s="15">
        <v>0.08</v>
      </c>
      <c r="Q201" s="159"/>
      <c r="R201" s="141">
        <v>288</v>
      </c>
      <c r="S201" s="141">
        <v>0.09</v>
      </c>
      <c r="T201" s="107"/>
      <c r="U201" s="107"/>
    </row>
    <row r="202" spans="11:21" ht="15.75" thickBot="1">
      <c r="K202" s="160"/>
      <c r="L202" s="136" t="s">
        <v>546</v>
      </c>
      <c r="M202" s="147">
        <v>162</v>
      </c>
      <c r="N202" s="122"/>
      <c r="O202" s="122"/>
      <c r="P202" s="15">
        <v>7.9000000000000001E-2</v>
      </c>
      <c r="Q202" s="159"/>
      <c r="R202" s="141">
        <v>269</v>
      </c>
      <c r="S202" s="141">
        <v>6.5000000000000002E-2</v>
      </c>
      <c r="T202" s="107"/>
      <c r="U202" s="107"/>
    </row>
    <row r="203" spans="11:21" ht="15.75" thickBot="1">
      <c r="K203" s="155" t="s">
        <v>508</v>
      </c>
      <c r="L203" s="136" t="s">
        <v>543</v>
      </c>
      <c r="M203" s="147">
        <v>287</v>
      </c>
      <c r="N203" s="161">
        <f>AVERAGE(M203:M206)</f>
        <v>299.75</v>
      </c>
      <c r="O203" s="161"/>
      <c r="P203" s="15">
        <v>0.10299999999999999</v>
      </c>
      <c r="Q203" s="162">
        <f>AVERAGE(P203:P206)</f>
        <v>9.5000000000000001E-2</v>
      </c>
      <c r="R203" s="141">
        <v>479</v>
      </c>
      <c r="S203" s="141">
        <v>8.5999999999999993E-2</v>
      </c>
      <c r="T203" s="107"/>
      <c r="U203" s="107"/>
    </row>
    <row r="204" spans="11:21" ht="15.75" thickBot="1">
      <c r="K204" s="158"/>
      <c r="L204" s="136" t="s">
        <v>544</v>
      </c>
      <c r="M204" s="147">
        <v>354</v>
      </c>
      <c r="N204" s="122"/>
      <c r="O204" s="122"/>
      <c r="P204" s="15">
        <v>0.112</v>
      </c>
      <c r="Q204" s="159"/>
      <c r="R204" s="141">
        <v>463</v>
      </c>
      <c r="S204" s="141">
        <v>0.10100000000000001</v>
      </c>
      <c r="T204" s="107"/>
      <c r="U204" s="107"/>
    </row>
    <row r="205" spans="11:21" ht="15.75" thickBot="1">
      <c r="K205" s="158"/>
      <c r="L205" s="136" t="s">
        <v>545</v>
      </c>
      <c r="M205" s="147">
        <v>300</v>
      </c>
      <c r="N205" s="122"/>
      <c r="O205" s="122"/>
      <c r="P205" s="15">
        <v>8.3000000000000004E-2</v>
      </c>
      <c r="Q205" s="159"/>
      <c r="R205" s="141">
        <v>460</v>
      </c>
      <c r="S205" s="141">
        <v>9.2999999999999999E-2</v>
      </c>
      <c r="T205" s="107"/>
      <c r="U205" s="107"/>
    </row>
    <row r="206" spans="11:21" ht="15.75" thickBot="1">
      <c r="K206" s="160"/>
      <c r="L206" s="136" t="s">
        <v>546</v>
      </c>
      <c r="M206" s="147">
        <v>258</v>
      </c>
      <c r="N206" s="122"/>
      <c r="O206" s="122"/>
      <c r="P206" s="15">
        <v>8.2000000000000003E-2</v>
      </c>
      <c r="Q206" s="159"/>
      <c r="R206" s="141">
        <v>429</v>
      </c>
      <c r="S206" s="141">
        <v>6.7000000000000004E-2</v>
      </c>
      <c r="T206" s="107"/>
      <c r="U206" s="107"/>
    </row>
    <row r="207" spans="11:21" ht="15.75" thickBot="1">
      <c r="K207" s="155" t="s">
        <v>509</v>
      </c>
      <c r="L207" s="136" t="s">
        <v>543</v>
      </c>
      <c r="M207" s="147">
        <v>210</v>
      </c>
      <c r="N207" s="161">
        <f>AVERAGE(M207:M210)</f>
        <v>219.25</v>
      </c>
      <c r="O207" s="161"/>
      <c r="P207" s="15">
        <v>8.3000000000000004E-2</v>
      </c>
      <c r="Q207" s="162">
        <f>AVERAGE(P207:P210)</f>
        <v>7.6499999999999999E-2</v>
      </c>
      <c r="R207" s="141">
        <v>349</v>
      </c>
      <c r="S207" s="141">
        <v>7.0000000000000007E-2</v>
      </c>
      <c r="T207" s="107"/>
      <c r="U207" s="107"/>
    </row>
    <row r="208" spans="11:21" ht="15.75" thickBot="1">
      <c r="K208" s="158"/>
      <c r="L208" s="136" t="s">
        <v>544</v>
      </c>
      <c r="M208" s="147">
        <v>259</v>
      </c>
      <c r="N208" s="122"/>
      <c r="O208" s="122"/>
      <c r="P208" s="15">
        <v>0.09</v>
      </c>
      <c r="Q208" s="159"/>
      <c r="R208" s="141">
        <v>338</v>
      </c>
      <c r="S208" s="141">
        <v>8.2000000000000003E-2</v>
      </c>
      <c r="T208" s="107"/>
      <c r="U208" s="107"/>
    </row>
    <row r="209" spans="11:21" ht="15.75" thickBot="1">
      <c r="K209" s="158"/>
      <c r="L209" s="136" t="s">
        <v>545</v>
      </c>
      <c r="M209" s="147">
        <v>219</v>
      </c>
      <c r="N209" s="122"/>
      <c r="O209" s="122"/>
      <c r="P209" s="15">
        <v>6.7000000000000004E-2</v>
      </c>
      <c r="Q209" s="159"/>
      <c r="R209" s="141">
        <v>335</v>
      </c>
      <c r="S209" s="141">
        <v>7.4999999999999997E-2</v>
      </c>
      <c r="T209" s="107"/>
      <c r="U209" s="107"/>
    </row>
    <row r="210" spans="11:21" ht="15.75" thickBot="1">
      <c r="K210" s="160"/>
      <c r="L210" s="136" t="s">
        <v>546</v>
      </c>
      <c r="M210" s="147">
        <v>189</v>
      </c>
      <c r="N210" s="122"/>
      <c r="O210" s="122"/>
      <c r="P210" s="15">
        <v>6.6000000000000003E-2</v>
      </c>
      <c r="Q210" s="159"/>
      <c r="R210" s="141">
        <v>313</v>
      </c>
      <c r="S210" s="141">
        <v>5.3999999999999999E-2</v>
      </c>
      <c r="T210" s="107"/>
      <c r="U210" s="107"/>
    </row>
    <row r="211" spans="11:21" ht="15.75" thickBot="1">
      <c r="K211" s="155" t="s">
        <v>510</v>
      </c>
      <c r="L211" s="136" t="s">
        <v>543</v>
      </c>
      <c r="M211" s="147">
        <v>185</v>
      </c>
      <c r="N211" s="161">
        <f>AVERAGE(M211:M214)</f>
        <v>193.75</v>
      </c>
      <c r="O211" s="161"/>
      <c r="P211" s="15">
        <v>9.9000000000000005E-2</v>
      </c>
      <c r="Q211" s="162">
        <f>AVERAGE(P211:P214)</f>
        <v>9.1000000000000011E-2</v>
      </c>
      <c r="R211" s="141">
        <v>309</v>
      </c>
      <c r="S211" s="141">
        <v>8.2000000000000003E-2</v>
      </c>
      <c r="T211" s="107"/>
      <c r="U211" s="107"/>
    </row>
    <row r="212" spans="11:21" ht="15.75" thickBot="1">
      <c r="K212" s="158"/>
      <c r="L212" s="136" t="s">
        <v>544</v>
      </c>
      <c r="M212" s="147">
        <v>229</v>
      </c>
      <c r="N212" s="122"/>
      <c r="O212" s="122"/>
      <c r="P212" s="15">
        <v>0.107</v>
      </c>
      <c r="Q212" s="159"/>
      <c r="R212" s="141">
        <v>299</v>
      </c>
      <c r="S212" s="141">
        <v>9.7000000000000003E-2</v>
      </c>
      <c r="T212" s="107"/>
      <c r="U212" s="107"/>
    </row>
    <row r="213" spans="11:21" ht="15.75" thickBot="1">
      <c r="K213" s="158"/>
      <c r="L213" s="136" t="s">
        <v>545</v>
      </c>
      <c r="M213" s="147">
        <v>194</v>
      </c>
      <c r="N213" s="122"/>
      <c r="O213" s="122"/>
      <c r="P213" s="15">
        <v>7.9000000000000001E-2</v>
      </c>
      <c r="Q213" s="159"/>
      <c r="R213" s="141">
        <v>297</v>
      </c>
      <c r="S213" s="141">
        <v>8.8999999999999996E-2</v>
      </c>
      <c r="T213" s="107"/>
      <c r="U213" s="107"/>
    </row>
    <row r="214" spans="11:21" ht="15.75" thickBot="1">
      <c r="K214" s="160"/>
      <c r="L214" s="136" t="s">
        <v>546</v>
      </c>
      <c r="M214" s="147">
        <v>167</v>
      </c>
      <c r="N214" s="122"/>
      <c r="O214" s="122"/>
      <c r="P214" s="15">
        <v>7.9000000000000001E-2</v>
      </c>
      <c r="Q214" s="159"/>
      <c r="R214" s="141">
        <v>277</v>
      </c>
      <c r="S214" s="141">
        <v>6.4000000000000001E-2</v>
      </c>
      <c r="T214" s="107"/>
      <c r="U214" s="107"/>
    </row>
    <row r="215" spans="11:21" ht="15.75" thickBot="1">
      <c r="K215" s="155" t="s">
        <v>511</v>
      </c>
      <c r="L215" s="136" t="s">
        <v>543</v>
      </c>
      <c r="M215" s="147">
        <v>136</v>
      </c>
      <c r="N215" s="161">
        <f>AVERAGE(M215:M218)</f>
        <v>142</v>
      </c>
      <c r="O215" s="161"/>
      <c r="P215" s="15">
        <v>9.9000000000000005E-2</v>
      </c>
      <c r="Q215" s="162">
        <f>AVERAGE(P215:P218)</f>
        <v>9.1000000000000011E-2</v>
      </c>
      <c r="R215" s="141">
        <v>227</v>
      </c>
      <c r="S215" s="141">
        <v>8.2000000000000003E-2</v>
      </c>
      <c r="T215" s="107"/>
      <c r="U215" s="107"/>
    </row>
    <row r="216" spans="11:21" ht="15.75" thickBot="1">
      <c r="K216" s="158"/>
      <c r="L216" s="136" t="s">
        <v>544</v>
      </c>
      <c r="M216" s="147">
        <v>168</v>
      </c>
      <c r="N216" s="122"/>
      <c r="O216" s="122"/>
      <c r="P216" s="15">
        <v>0.107</v>
      </c>
      <c r="Q216" s="159"/>
      <c r="R216" s="141">
        <v>219</v>
      </c>
      <c r="S216" s="141">
        <v>9.7000000000000003E-2</v>
      </c>
      <c r="T216" s="107"/>
      <c r="U216" s="107"/>
    </row>
    <row r="217" spans="11:21" ht="15.75" thickBot="1">
      <c r="K217" s="158"/>
      <c r="L217" s="136" t="s">
        <v>545</v>
      </c>
      <c r="M217" s="147">
        <v>142</v>
      </c>
      <c r="N217" s="122"/>
      <c r="O217" s="122"/>
      <c r="P217" s="15">
        <v>7.9000000000000001E-2</v>
      </c>
      <c r="Q217" s="159"/>
      <c r="R217" s="141">
        <v>217</v>
      </c>
      <c r="S217" s="141">
        <v>8.8999999999999996E-2</v>
      </c>
      <c r="T217" s="107"/>
      <c r="U217" s="107"/>
    </row>
    <row r="218" spans="11:21" ht="15.75" thickBot="1">
      <c r="K218" s="160"/>
      <c r="L218" s="163" t="s">
        <v>546</v>
      </c>
      <c r="M218" s="164">
        <v>122</v>
      </c>
      <c r="N218" s="151"/>
      <c r="O218" s="151"/>
      <c r="P218" s="165">
        <v>7.9000000000000001E-2</v>
      </c>
      <c r="Q218" s="166"/>
      <c r="R218" s="167">
        <v>203</v>
      </c>
      <c r="S218" s="167">
        <v>6.4000000000000001E-2</v>
      </c>
      <c r="T218" s="107"/>
      <c r="U218" s="107"/>
    </row>
    <row r="219" spans="11:21" ht="15.75" thickBot="1">
      <c r="K219" s="106" t="s">
        <v>547</v>
      </c>
      <c r="R219" s="107"/>
      <c r="S219" s="107"/>
      <c r="T219" s="107"/>
      <c r="U219" s="107"/>
    </row>
    <row r="220" spans="11:21" ht="15.75" thickBot="1">
      <c r="K220" s="329" t="s">
        <v>498</v>
      </c>
      <c r="L220" s="331" t="s">
        <v>548</v>
      </c>
      <c r="M220" s="333" t="s">
        <v>538</v>
      </c>
      <c r="N220" s="334"/>
      <c r="O220" s="334"/>
      <c r="P220" s="334"/>
      <c r="Q220" s="335"/>
      <c r="R220" s="336" t="s">
        <v>539</v>
      </c>
      <c r="S220" s="337"/>
      <c r="T220" s="107"/>
      <c r="U220" s="107"/>
    </row>
    <row r="221" spans="11:21" ht="30.75" thickBot="1">
      <c r="K221" s="330"/>
      <c r="L221" s="332"/>
      <c r="M221" s="338" t="s">
        <v>540</v>
      </c>
      <c r="N221" s="339"/>
      <c r="O221" s="175"/>
      <c r="P221" s="338" t="s">
        <v>541</v>
      </c>
      <c r="Q221" s="339"/>
      <c r="R221" s="133" t="s">
        <v>540</v>
      </c>
      <c r="S221" s="133" t="s">
        <v>541</v>
      </c>
      <c r="T221" s="107"/>
      <c r="U221" s="107"/>
    </row>
    <row r="222" spans="11:21" ht="15.75" thickBot="1">
      <c r="K222" s="155" t="s">
        <v>502</v>
      </c>
      <c r="L222" s="136" t="s">
        <v>549</v>
      </c>
      <c r="M222" s="137">
        <v>240</v>
      </c>
      <c r="N222" s="156">
        <f>AVERAGE(M222:M224)</f>
        <v>221.66666666666666</v>
      </c>
      <c r="O222" s="156"/>
      <c r="P222" s="138">
        <v>6.6000000000000003E-2</v>
      </c>
      <c r="Q222" s="157">
        <f>AVERAGE(P222:P224)</f>
        <v>5.7666666666666665E-2</v>
      </c>
      <c r="R222" s="141">
        <v>171</v>
      </c>
      <c r="S222" s="141">
        <v>3.2000000000000001E-2</v>
      </c>
      <c r="T222" s="107"/>
      <c r="U222" s="107"/>
    </row>
    <row r="223" spans="11:21" ht="15.75" thickBot="1">
      <c r="K223" s="158"/>
      <c r="L223" s="136" t="s">
        <v>550</v>
      </c>
      <c r="M223" s="147">
        <v>214</v>
      </c>
      <c r="N223" s="145"/>
      <c r="O223" s="145"/>
      <c r="P223" s="15">
        <v>5.6000000000000001E-2</v>
      </c>
      <c r="Q223" s="162"/>
      <c r="R223" s="141">
        <v>127</v>
      </c>
      <c r="S223" s="141">
        <v>5.3999999999999999E-2</v>
      </c>
      <c r="T223" s="107"/>
      <c r="U223" s="107"/>
    </row>
    <row r="224" spans="11:21" ht="15.75" thickBot="1">
      <c r="K224" s="160"/>
      <c r="L224" s="136" t="s">
        <v>551</v>
      </c>
      <c r="M224" s="147">
        <v>211</v>
      </c>
      <c r="N224" s="145"/>
      <c r="O224" s="145"/>
      <c r="P224" s="15">
        <v>5.0999999999999997E-2</v>
      </c>
      <c r="Q224" s="162"/>
      <c r="R224" s="141">
        <v>138</v>
      </c>
      <c r="S224" s="141">
        <v>0.05</v>
      </c>
      <c r="T224" s="107"/>
      <c r="U224" s="107"/>
    </row>
    <row r="225" spans="11:21" ht="15.75" thickBot="1">
      <c r="K225" s="155" t="s">
        <v>503</v>
      </c>
      <c r="L225" s="136" t="s">
        <v>549</v>
      </c>
      <c r="M225" s="147">
        <v>154</v>
      </c>
      <c r="N225" s="161">
        <f>AVERAGE(M225:M227)</f>
        <v>142.33333333333334</v>
      </c>
      <c r="O225" s="161"/>
      <c r="P225" s="15">
        <v>7.6999999999999999E-2</v>
      </c>
      <c r="Q225" s="162">
        <f>AVERAGE(P225:P227)</f>
        <v>6.7000000000000004E-2</v>
      </c>
      <c r="R225" s="141">
        <v>110</v>
      </c>
      <c r="S225" s="141">
        <v>3.5999999999999997E-2</v>
      </c>
      <c r="T225" s="107"/>
      <c r="U225" s="107"/>
    </row>
    <row r="226" spans="11:21" ht="15.75" thickBot="1">
      <c r="K226" s="158"/>
      <c r="L226" s="136" t="s">
        <v>550</v>
      </c>
      <c r="M226" s="147">
        <v>137</v>
      </c>
      <c r="N226" s="145"/>
      <c r="O226" s="145"/>
      <c r="P226" s="15">
        <v>6.5000000000000002E-2</v>
      </c>
      <c r="Q226" s="162"/>
      <c r="R226" s="141">
        <v>82</v>
      </c>
      <c r="S226" s="141">
        <v>6.2E-2</v>
      </c>
      <c r="T226" s="107"/>
      <c r="U226" s="107"/>
    </row>
    <row r="227" spans="11:21" ht="15.75" thickBot="1">
      <c r="K227" s="160"/>
      <c r="L227" s="136" t="s">
        <v>551</v>
      </c>
      <c r="M227" s="147">
        <v>136</v>
      </c>
      <c r="N227" s="145"/>
      <c r="O227" s="145"/>
      <c r="P227" s="15">
        <v>5.8999999999999997E-2</v>
      </c>
      <c r="Q227" s="162"/>
      <c r="R227" s="141">
        <v>89</v>
      </c>
      <c r="S227" s="141">
        <v>5.7000000000000002E-2</v>
      </c>
      <c r="T227" s="107"/>
      <c r="U227" s="107"/>
    </row>
    <row r="228" spans="11:21" ht="15.75" thickBot="1">
      <c r="K228" s="155" t="s">
        <v>504</v>
      </c>
      <c r="L228" s="136" t="s">
        <v>549</v>
      </c>
      <c r="M228" s="147">
        <v>201</v>
      </c>
      <c r="N228" s="161">
        <f>AVERAGE(M228:M230)</f>
        <v>185.66666666666666</v>
      </c>
      <c r="O228" s="161"/>
      <c r="P228" s="15">
        <v>7.1999999999999995E-2</v>
      </c>
      <c r="Q228" s="162">
        <f>AVERAGE(P228:P230)</f>
        <v>6.3E-2</v>
      </c>
      <c r="R228" s="141">
        <v>143</v>
      </c>
      <c r="S228" s="141">
        <v>3.4000000000000002E-2</v>
      </c>
      <c r="T228" s="107"/>
      <c r="U228" s="107"/>
    </row>
    <row r="229" spans="11:21" ht="15.75" thickBot="1">
      <c r="K229" s="158"/>
      <c r="L229" s="136" t="s">
        <v>550</v>
      </c>
      <c r="M229" s="147">
        <v>179</v>
      </c>
      <c r="N229" s="145"/>
      <c r="O229" s="145"/>
      <c r="P229" s="15">
        <v>6.0999999999999999E-2</v>
      </c>
      <c r="Q229" s="162"/>
      <c r="R229" s="141">
        <v>106</v>
      </c>
      <c r="S229" s="141">
        <v>5.8999999999999997E-2</v>
      </c>
      <c r="T229" s="107"/>
      <c r="U229" s="107"/>
    </row>
    <row r="230" spans="11:21" ht="15.75" thickBot="1">
      <c r="K230" s="160"/>
      <c r="L230" s="136" t="s">
        <v>551</v>
      </c>
      <c r="M230" s="147">
        <v>177</v>
      </c>
      <c r="N230" s="145"/>
      <c r="O230" s="145"/>
      <c r="P230" s="15">
        <v>5.6000000000000001E-2</v>
      </c>
      <c r="Q230" s="162"/>
      <c r="R230" s="141">
        <v>115</v>
      </c>
      <c r="S230" s="141">
        <v>5.3999999999999999E-2</v>
      </c>
      <c r="T230" s="107"/>
      <c r="U230" s="107"/>
    </row>
    <row r="231" spans="11:21" ht="15.75" thickBot="1">
      <c r="K231" s="155" t="s">
        <v>505</v>
      </c>
      <c r="L231" s="136" t="s">
        <v>549</v>
      </c>
      <c r="M231" s="147">
        <v>150</v>
      </c>
      <c r="N231" s="161">
        <f>AVERAGE(M231:M233)</f>
        <v>138.33333333333334</v>
      </c>
      <c r="O231" s="161"/>
      <c r="P231" s="15">
        <v>7.0999999999999994E-2</v>
      </c>
      <c r="Q231" s="162">
        <f>AVERAGE(P231:P233)</f>
        <v>6.2E-2</v>
      </c>
      <c r="R231" s="141">
        <v>107</v>
      </c>
      <c r="S231" s="141">
        <v>3.4000000000000002E-2</v>
      </c>
      <c r="T231" s="107"/>
      <c r="U231" s="107"/>
    </row>
    <row r="232" spans="11:21" ht="15.75" thickBot="1">
      <c r="K232" s="158"/>
      <c r="L232" s="136" t="s">
        <v>550</v>
      </c>
      <c r="M232" s="147">
        <v>133</v>
      </c>
      <c r="N232" s="145"/>
      <c r="O232" s="145"/>
      <c r="P232" s="15">
        <v>0.06</v>
      </c>
      <c r="Q232" s="162"/>
      <c r="R232" s="141">
        <v>79</v>
      </c>
      <c r="S232" s="141">
        <v>5.8000000000000003E-2</v>
      </c>
      <c r="T232" s="107"/>
      <c r="U232" s="107"/>
    </row>
    <row r="233" spans="11:21" ht="15.75" thickBot="1">
      <c r="K233" s="160"/>
      <c r="L233" s="136" t="s">
        <v>551</v>
      </c>
      <c r="M233" s="147">
        <v>132</v>
      </c>
      <c r="N233" s="145"/>
      <c r="O233" s="145"/>
      <c r="P233" s="15">
        <v>5.5E-2</v>
      </c>
      <c r="Q233" s="162"/>
      <c r="R233" s="141">
        <v>86</v>
      </c>
      <c r="S233" s="141">
        <v>5.2999999999999999E-2</v>
      </c>
      <c r="T233" s="107"/>
      <c r="U233" s="107"/>
    </row>
    <row r="234" spans="11:21" ht="15.75" thickBot="1">
      <c r="K234" s="155" t="s">
        <v>506</v>
      </c>
      <c r="L234" s="136" t="s">
        <v>549</v>
      </c>
      <c r="M234" s="147">
        <v>212</v>
      </c>
      <c r="N234" s="161">
        <f>AVERAGE(M234:M236)</f>
        <v>195.66666666666666</v>
      </c>
      <c r="O234" s="161"/>
      <c r="P234" s="15">
        <v>6.5000000000000002E-2</v>
      </c>
      <c r="Q234" s="162">
        <f>AVERAGE(P234:P236)</f>
        <v>5.6999999999999995E-2</v>
      </c>
      <c r="R234" s="141">
        <v>151</v>
      </c>
      <c r="S234" s="141">
        <v>3.1E-2</v>
      </c>
      <c r="T234" s="107"/>
      <c r="U234" s="107"/>
    </row>
    <row r="235" spans="11:21" ht="15.75" thickBot="1">
      <c r="K235" s="158"/>
      <c r="L235" s="136" t="s">
        <v>550</v>
      </c>
      <c r="M235" s="147">
        <v>189</v>
      </c>
      <c r="N235" s="145"/>
      <c r="O235" s="145"/>
      <c r="P235" s="15">
        <v>5.5E-2</v>
      </c>
      <c r="Q235" s="162"/>
      <c r="R235" s="141">
        <v>112</v>
      </c>
      <c r="S235" s="141">
        <v>5.2999999999999999E-2</v>
      </c>
      <c r="T235" s="107"/>
      <c r="U235" s="107"/>
    </row>
    <row r="236" spans="11:21" ht="15.75" thickBot="1">
      <c r="K236" s="160"/>
      <c r="L236" s="136" t="s">
        <v>551</v>
      </c>
      <c r="M236" s="147">
        <v>186</v>
      </c>
      <c r="N236" s="145"/>
      <c r="O236" s="145"/>
      <c r="P236" s="15">
        <v>5.0999999999999997E-2</v>
      </c>
      <c r="Q236" s="162"/>
      <c r="R236" s="141">
        <v>122</v>
      </c>
      <c r="S236" s="141">
        <v>4.9000000000000002E-2</v>
      </c>
      <c r="T236" s="107"/>
      <c r="U236" s="107"/>
    </row>
    <row r="237" spans="11:21" ht="15.75" thickBot="1">
      <c r="K237" s="155" t="s">
        <v>507</v>
      </c>
      <c r="L237" s="136" t="s">
        <v>549</v>
      </c>
      <c r="M237" s="147">
        <v>202</v>
      </c>
      <c r="N237" s="161">
        <f>AVERAGE(M237:M239)</f>
        <v>186.66666666666666</v>
      </c>
      <c r="O237" s="161"/>
      <c r="P237" s="15">
        <v>7.1999999999999995E-2</v>
      </c>
      <c r="Q237" s="162">
        <f>AVERAGE(P237:P239)</f>
        <v>6.3E-2</v>
      </c>
      <c r="R237" s="141">
        <v>144</v>
      </c>
      <c r="S237" s="141">
        <v>3.4000000000000002E-2</v>
      </c>
      <c r="T237" s="107"/>
      <c r="U237" s="107"/>
    </row>
    <row r="238" spans="11:21" ht="15.75" thickBot="1">
      <c r="K238" s="158"/>
      <c r="L238" s="136" t="s">
        <v>550</v>
      </c>
      <c r="M238" s="147">
        <v>180</v>
      </c>
      <c r="N238" s="145"/>
      <c r="O238" s="145"/>
      <c r="P238" s="15">
        <v>6.0999999999999999E-2</v>
      </c>
      <c r="Q238" s="162"/>
      <c r="R238" s="141">
        <v>107</v>
      </c>
      <c r="S238" s="141">
        <v>5.8999999999999997E-2</v>
      </c>
      <c r="T238" s="107"/>
      <c r="U238" s="107"/>
    </row>
    <row r="239" spans="11:21" ht="15.75" thickBot="1">
      <c r="K239" s="160"/>
      <c r="L239" s="136" t="s">
        <v>551</v>
      </c>
      <c r="M239" s="147">
        <v>178</v>
      </c>
      <c r="N239" s="145"/>
      <c r="O239" s="145"/>
      <c r="P239" s="15">
        <v>5.6000000000000001E-2</v>
      </c>
      <c r="Q239" s="162"/>
      <c r="R239" s="141">
        <v>116</v>
      </c>
      <c r="S239" s="141">
        <v>5.3999999999999999E-2</v>
      </c>
      <c r="T239" s="107"/>
      <c r="U239" s="107"/>
    </row>
    <row r="240" spans="11:21" ht="15.75" thickBot="1">
      <c r="K240" s="155" t="s">
        <v>508</v>
      </c>
      <c r="L240" s="136" t="s">
        <v>549</v>
      </c>
      <c r="M240" s="147">
        <v>322</v>
      </c>
      <c r="N240" s="161">
        <f>AVERAGE(M240:M242)</f>
        <v>297.66666666666669</v>
      </c>
      <c r="O240" s="161"/>
      <c r="P240" s="15">
        <v>7.4999999999999997E-2</v>
      </c>
      <c r="Q240" s="162">
        <f>AVERAGE(P240:P242)</f>
        <v>6.533333333333334E-2</v>
      </c>
      <c r="R240" s="141">
        <v>230</v>
      </c>
      <c r="S240" s="141">
        <v>3.5999999999999997E-2</v>
      </c>
      <c r="T240" s="107"/>
      <c r="U240" s="107"/>
    </row>
    <row r="241" spans="11:21" ht="15.75" thickBot="1">
      <c r="K241" s="158"/>
      <c r="L241" s="136" t="s">
        <v>550</v>
      </c>
      <c r="M241" s="147">
        <v>287</v>
      </c>
      <c r="N241" s="145"/>
      <c r="O241" s="145"/>
      <c r="P241" s="15">
        <v>6.3E-2</v>
      </c>
      <c r="Q241" s="162"/>
      <c r="R241" s="141">
        <v>171</v>
      </c>
      <c r="S241" s="141">
        <v>6.0999999999999999E-2</v>
      </c>
      <c r="T241" s="107"/>
      <c r="U241" s="107"/>
    </row>
    <row r="242" spans="11:21" ht="15.75" thickBot="1">
      <c r="K242" s="160"/>
      <c r="L242" s="136" t="s">
        <v>551</v>
      </c>
      <c r="M242" s="147">
        <v>284</v>
      </c>
      <c r="N242" s="145"/>
      <c r="O242" s="145"/>
      <c r="P242" s="15">
        <v>5.8000000000000003E-2</v>
      </c>
      <c r="Q242" s="162"/>
      <c r="R242" s="141">
        <v>185</v>
      </c>
      <c r="S242" s="141">
        <v>5.6000000000000001E-2</v>
      </c>
      <c r="T242" s="107"/>
      <c r="U242" s="107"/>
    </row>
    <row r="243" spans="11:21" ht="15.75" thickBot="1">
      <c r="K243" s="155" t="s">
        <v>509</v>
      </c>
      <c r="L243" s="136" t="s">
        <v>549</v>
      </c>
      <c r="M243" s="147">
        <v>235</v>
      </c>
      <c r="N243" s="161">
        <f>AVERAGE(M243:M245)</f>
        <v>217.33333333333334</v>
      </c>
      <c r="O243" s="161"/>
      <c r="P243" s="15">
        <v>0.06</v>
      </c>
      <c r="Q243" s="162">
        <f>AVERAGE(P243:P245)</f>
        <v>5.266666666666666E-2</v>
      </c>
      <c r="R243" s="141">
        <v>168</v>
      </c>
      <c r="S243" s="141">
        <v>2.9000000000000001E-2</v>
      </c>
      <c r="T243" s="107"/>
      <c r="U243" s="107"/>
    </row>
    <row r="244" spans="11:21" ht="15.75" thickBot="1">
      <c r="K244" s="158"/>
      <c r="L244" s="136" t="s">
        <v>550</v>
      </c>
      <c r="M244" s="147">
        <v>210</v>
      </c>
      <c r="N244" s="145"/>
      <c r="O244" s="145"/>
      <c r="P244" s="15">
        <v>5.0999999999999997E-2</v>
      </c>
      <c r="Q244" s="162"/>
      <c r="R244" s="141">
        <v>125</v>
      </c>
      <c r="S244" s="141">
        <v>4.9000000000000002E-2</v>
      </c>
      <c r="T244" s="107"/>
      <c r="U244" s="107"/>
    </row>
    <row r="245" spans="11:21" ht="15.75" thickBot="1">
      <c r="K245" s="160"/>
      <c r="L245" s="136" t="s">
        <v>551</v>
      </c>
      <c r="M245" s="147">
        <v>207</v>
      </c>
      <c r="N245" s="145"/>
      <c r="O245" s="145"/>
      <c r="P245" s="15">
        <v>4.7E-2</v>
      </c>
      <c r="Q245" s="162"/>
      <c r="R245" s="141">
        <v>135</v>
      </c>
      <c r="S245" s="141">
        <v>4.4999999999999998E-2</v>
      </c>
      <c r="T245" s="107"/>
      <c r="U245" s="107"/>
    </row>
    <row r="246" spans="11:21" ht="15.75" thickBot="1">
      <c r="K246" s="155" t="s">
        <v>510</v>
      </c>
      <c r="L246" s="136" t="s">
        <v>549</v>
      </c>
      <c r="M246" s="147">
        <v>208</v>
      </c>
      <c r="N246" s="161">
        <f>AVERAGE(M246:M248)</f>
        <v>192</v>
      </c>
      <c r="O246" s="161"/>
      <c r="P246" s="15">
        <v>7.0999999999999994E-2</v>
      </c>
      <c r="Q246" s="162">
        <f>AVERAGE(P246:P248)</f>
        <v>6.2E-2</v>
      </c>
      <c r="R246" s="141">
        <v>148</v>
      </c>
      <c r="S246" s="141">
        <v>3.4000000000000002E-2</v>
      </c>
      <c r="T246" s="107"/>
      <c r="U246" s="107"/>
    </row>
    <row r="247" spans="11:21" ht="15.75" thickBot="1">
      <c r="K247" s="158"/>
      <c r="L247" s="136" t="s">
        <v>550</v>
      </c>
      <c r="M247" s="147">
        <v>185</v>
      </c>
      <c r="N247" s="145"/>
      <c r="O247" s="145"/>
      <c r="P247" s="15">
        <v>0.06</v>
      </c>
      <c r="Q247" s="162"/>
      <c r="R247" s="141">
        <v>110</v>
      </c>
      <c r="S247" s="141">
        <v>5.8000000000000003E-2</v>
      </c>
      <c r="T247" s="107"/>
      <c r="U247" s="107"/>
    </row>
    <row r="248" spans="11:21" ht="15.75" thickBot="1">
      <c r="K248" s="160"/>
      <c r="L248" s="136" t="s">
        <v>551</v>
      </c>
      <c r="M248" s="147">
        <v>183</v>
      </c>
      <c r="N248" s="145"/>
      <c r="O248" s="145"/>
      <c r="P248" s="15">
        <v>5.5E-2</v>
      </c>
      <c r="Q248" s="162"/>
      <c r="R248" s="141">
        <v>119</v>
      </c>
      <c r="S248" s="141">
        <v>5.2999999999999999E-2</v>
      </c>
      <c r="T248" s="107"/>
      <c r="U248" s="107"/>
    </row>
    <row r="249" spans="11:21" ht="15.75" thickBot="1">
      <c r="K249" s="155" t="s">
        <v>511</v>
      </c>
      <c r="L249" s="136" t="s">
        <v>549</v>
      </c>
      <c r="M249" s="147">
        <v>153</v>
      </c>
      <c r="N249" s="161">
        <f>AVERAGE(M249:M251)</f>
        <v>141</v>
      </c>
      <c r="O249" s="161"/>
      <c r="P249" s="15">
        <v>7.0999999999999994E-2</v>
      </c>
      <c r="Q249" s="162">
        <f>AVERAGE(P249:P251)</f>
        <v>6.2E-2</v>
      </c>
      <c r="R249" s="141">
        <v>109</v>
      </c>
      <c r="S249" s="141">
        <v>3.4000000000000002E-2</v>
      </c>
      <c r="T249" s="107"/>
      <c r="U249" s="107"/>
    </row>
    <row r="250" spans="11:21" ht="15.75" thickBot="1">
      <c r="K250" s="158"/>
      <c r="L250" s="136" t="s">
        <v>550</v>
      </c>
      <c r="M250" s="147">
        <v>136</v>
      </c>
      <c r="N250" s="122"/>
      <c r="O250" s="122"/>
      <c r="P250" s="15">
        <v>0.06</v>
      </c>
      <c r="Q250" s="168"/>
      <c r="R250" s="141">
        <v>81</v>
      </c>
      <c r="S250" s="141">
        <v>5.8000000000000003E-2</v>
      </c>
      <c r="T250" s="107"/>
      <c r="U250" s="107"/>
    </row>
    <row r="251" spans="11:21" ht="15.75" thickBot="1">
      <c r="K251" s="160"/>
      <c r="L251" s="136" t="s">
        <v>551</v>
      </c>
      <c r="M251" s="169">
        <v>134</v>
      </c>
      <c r="N251" s="151"/>
      <c r="O251" s="151"/>
      <c r="P251" s="170">
        <v>5.5E-2</v>
      </c>
      <c r="Q251" s="152"/>
      <c r="R251" s="141">
        <v>88</v>
      </c>
      <c r="S251" s="141">
        <v>5.2999999999999999E-2</v>
      </c>
      <c r="T251" s="107"/>
      <c r="U251" s="107"/>
    </row>
  </sheetData>
  <mergeCells count="18">
    <mergeCell ref="D2:G2"/>
    <mergeCell ref="K154:K155"/>
    <mergeCell ref="L154:L155"/>
    <mergeCell ref="M154:S154"/>
    <mergeCell ref="M155:P155"/>
    <mergeCell ref="Q155:S155"/>
    <mergeCell ref="K177:K178"/>
    <mergeCell ref="L177:L178"/>
    <mergeCell ref="M177:Q177"/>
    <mergeCell ref="R177:S177"/>
    <mergeCell ref="M178:N178"/>
    <mergeCell ref="P178:Q178"/>
    <mergeCell ref="K220:K221"/>
    <mergeCell ref="L220:L221"/>
    <mergeCell ref="M220:Q220"/>
    <mergeCell ref="R220:S220"/>
    <mergeCell ref="M221:N221"/>
    <mergeCell ref="P221:Q221"/>
  </mergeCells>
  <phoneticPr fontId="10" type="noConversion"/>
  <pageMargins left="0.7" right="0.7" top="0.75" bottom="0.75" header="0.3" footer="0.3"/>
  <pageSetup orientation="portrait" horizontalDpi="0" verticalDpi="0" r:id="rId1"/>
  <legacyDrawing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I52"/>
  <sheetViews>
    <sheetView workbookViewId="0">
      <selection activeCell="B2" sqref="B2"/>
    </sheetView>
  </sheetViews>
  <sheetFormatPr defaultRowHeight="12.75"/>
  <cols>
    <col min="2" max="2" width="19.28515625" bestFit="1" customWidth="1"/>
    <col min="3" max="3" width="27" bestFit="1" customWidth="1"/>
    <col min="4" max="4" width="25.85546875" bestFit="1" customWidth="1"/>
    <col min="5" max="5" width="33.42578125" bestFit="1" customWidth="1"/>
    <col min="6" max="6" width="28.42578125" bestFit="1" customWidth="1"/>
    <col min="8" max="8" width="13.85546875" bestFit="1" customWidth="1"/>
    <col min="9" max="9" width="12.42578125" bestFit="1" customWidth="1"/>
  </cols>
  <sheetData>
    <row r="2" spans="1:9" ht="15">
      <c r="B2" s="176" t="s">
        <v>552</v>
      </c>
      <c r="C2" s="176" t="s">
        <v>553</v>
      </c>
      <c r="D2" s="176" t="s">
        <v>554</v>
      </c>
      <c r="E2" s="176" t="s">
        <v>555</v>
      </c>
      <c r="F2" s="176" t="s">
        <v>556</v>
      </c>
      <c r="H2" s="176" t="s">
        <v>557</v>
      </c>
      <c r="I2" s="176" t="s">
        <v>558</v>
      </c>
    </row>
    <row r="3" spans="1:9" ht="15">
      <c r="A3">
        <v>1</v>
      </c>
      <c r="B3" s="107" t="b">
        <f>IF('Input HVAC Measures'!$E6="High Eff. AC Unit",IF('Input HVAC Measures'!$G6&lt;References!$T$116,References!$L$116,IF(AND('Input HVAC Measures'!$G6&lt;References!$T$117,'Input HVAC Measures'!$G6&gt;References!$S$117),References!$L$117,IF(AND('Input HVAC Measures'!$G6&lt;References!$T$118,'Input HVAC Measures'!$G6&gt;References!$S$118),References!$L$118,IF(AND('Input HVAC Measures'!$G6&lt;References!$T$119,'Input HVAC Measures'!$G6&gt;References!$S$119),References!$L$119,IF('Input HVAC Measures'!$G6&gt;References!$S$120,References!$L$120,""))))))</f>
        <v>0</v>
      </c>
      <c r="C3" s="107" t="b">
        <f>IF('Input HVAC Measures'!$E6="High Eff. Heat Pump Unit",IF('Input HVAC Measures'!$G6&lt;References!$T$121,References!$L$121,IF(AND('Input HVAC Measures'!$G6&lt;References!$T$122,'Input HVAC Measures'!$G6&gt;References!$S$122),References!$L$122,IF(AND('Input HVAC Measures'!$G6&lt;References!$T$123,'Input HVAC Measures'!$G6&gt;References!$S$123),References!$L$123,IF('Input HVAC Measures'!$G6&gt;References!$S$124,References!$L$124,"")))))</f>
        <v>0</v>
      </c>
      <c r="D3" s="107" t="b">
        <f>IF('Input HVAC Measures'!$E6="High Eff. AC Unit",IF('Input HVAC Measures'!$G6&lt;References!$T$116,References!$M$116,IF(AND('Input HVAC Measures'!$G6&lt;References!$T$117,'Input HVAC Measures'!$G6&gt;References!$S$117),References!$M$117,IF(AND('Input HVAC Measures'!$G6&lt;References!$T$118,'Input HVAC Measures'!$G6&gt;References!$S$118),References!$M$118,IF(AND('Input HVAC Measures'!$G6&lt;References!$T$119,'Input HVAC Measures'!$G6&gt;References!$S$119),References!$M$119,IF('Input HVAC Measures'!$G6&gt;References!$S$120,References!$M$120,""))))))</f>
        <v>0</v>
      </c>
      <c r="E3" s="107" t="b">
        <f>IF('Input HVAC Measures'!$E6="High Eff. Heat Pump Unit",IF('Input HVAC Measures'!$G6&lt;References!$T$121,References!$M$121,IF(AND('Input HVAC Measures'!$G6&lt;References!$T$122,'Input HVAC Measures'!$G6&gt;References!$S$122),References!$M$122,IF(AND('Input HVAC Measures'!$G6&lt;References!$T$123,'Input HVAC Measures'!$G6&gt;References!$S$123),References!$M$123,IF('Input HVAC Measures'!$G6&gt;References!$S$124,References!$M$124,"")))))</f>
        <v>0</v>
      </c>
      <c r="F3" s="107" t="b">
        <f>IF('Input HVAC Measures'!$E6="High Eff. Heat Pump Unit",IF('Input HVAC Measures'!$G6&lt;References!$T$121,References!$N$121,IF(AND('Input HVAC Measures'!$G6&lt;References!$T$122,'Input HVAC Measures'!$G6&gt;References!$S$122),References!$N$122,IF(AND('Input HVAC Measures'!$G6&lt;References!$T$123,'Input HVAC Measures'!$G6&gt;References!$S$123),References!$N$123,IF('Input HVAC Measures'!$G6&gt;References!$S$124,References!$N$124,"")))))</f>
        <v>0</v>
      </c>
      <c r="H3" s="171">
        <f>IF('Input HVAC Measures'!$E6="High Eff. AC Unit",'Input HVAC Measures'!$G6*12000/1000*References!$K$4*((1/'HVAC Calcs'!$D3)-(1/'Input HVAC Measures'!$K6)),IF('Input HVAC Measures'!$E6="High Eff. Heat Pump Unit",'Input HVAC Measures'!$G6*12000/1000*References!$K$5*((1/'HVAC Calcs'!$E3)-(1/'Input HVAC Measures'!$K6))+'Input HVAC Measures'!$G6*12000/1000*References!$N$5*((1/'HVAC Calcs'!$F3)-(1/'Input HVAC Measures'!$L6)),0))</f>
        <v>0</v>
      </c>
      <c r="I3" s="172" t="b">
        <f>IF('Input HVAC Measures'!$E6="High Eff. AC Unit",'Input HVAC Measures'!$G6*12000/1000*References!$L$4*((1/'HVAC Calcs'!$B3)-(1/'Input HVAC Measures'!$J6)),IF('Input HVAC Measures'!$E6="High Eff. Heat Pump Unit",'Input HVAC Measures'!$G6*12000/1000*References!$L$5*((1/'HVAC Calcs'!$C3)-(1/'Input HVAC Measures'!$J6))))</f>
        <v>0</v>
      </c>
    </row>
    <row r="4" spans="1:9" ht="15">
      <c r="A4">
        <v>2</v>
      </c>
      <c r="B4" s="107" t="b">
        <f>IF('Input HVAC Measures'!$E7="High Eff. AC Unit",IF('Input HVAC Measures'!$G7&lt;References!$T$116,References!$L$116,IF(AND('Input HVAC Measures'!$G7&lt;References!$T$117,'Input HVAC Measures'!$G7&gt;References!$S$117),References!$L$117,IF(AND('Input HVAC Measures'!$G7&lt;References!$T$118,'Input HVAC Measures'!$G7&gt;References!$S$118),References!$L$118,IF(AND('Input HVAC Measures'!$G7&lt;References!$T$119,'Input HVAC Measures'!$G7&gt;References!$S$119),References!$L$119,IF('Input HVAC Measures'!$G7&gt;References!$S$120,References!$L$120,""))))))</f>
        <v>0</v>
      </c>
      <c r="C4" s="107" t="b">
        <f>IF('Input HVAC Measures'!$E7="High Eff. Heat Pump Unit",IF('Input HVAC Measures'!$G7&lt;References!$T$121,References!$L$121,IF(AND('Input HVAC Measures'!$G7&lt;References!$T$122,'Input HVAC Measures'!$G7&gt;References!$S$122),References!$L$122,IF(AND('Input HVAC Measures'!$G7&lt;References!$T$123,'Input HVAC Measures'!$G7&gt;References!$S$123),References!$L$123,IF('Input HVAC Measures'!$G7&gt;References!$S$124,References!$L$124,"")))))</f>
        <v>0</v>
      </c>
      <c r="D4" s="107" t="b">
        <f>IF('Input HVAC Measures'!$E7="High Eff. AC Unit",IF('Input HVAC Measures'!$G7&lt;References!$T$116,References!$M$116,IF(AND('Input HVAC Measures'!$G7&lt;References!$T$117,'Input HVAC Measures'!$G7&gt;References!$S$117),References!$M$117,IF(AND('Input HVAC Measures'!$G7&lt;References!$T$118,'Input HVAC Measures'!$G7&gt;References!$S$118),References!$M$118,IF(AND('Input HVAC Measures'!$G7&lt;References!$T$119,'Input HVAC Measures'!$G7&gt;References!$S$119),References!$M$119,IF('Input HVAC Measures'!$G7&gt;References!$S$120,References!$M$120,""))))))</f>
        <v>0</v>
      </c>
      <c r="E4" s="107" t="b">
        <f>IF('Input HVAC Measures'!$E7="High Eff. Heat Pump Unit",IF('Input HVAC Measures'!$G7&lt;References!$T$121,References!$M$121,IF(AND('Input HVAC Measures'!$G7&lt;References!$T$122,'Input HVAC Measures'!$G7&gt;References!$S$122),References!$M$122,IF(AND('Input HVAC Measures'!$G7&lt;References!$T$123,'Input HVAC Measures'!$G7&gt;References!$S$123),References!$M$123,IF('Input HVAC Measures'!$G7&gt;References!$S$124,References!$M$124,"")))))</f>
        <v>0</v>
      </c>
      <c r="F4" s="107" t="b">
        <f>IF('Input HVAC Measures'!$E7="High Eff. Heat Pump Unit",IF('Input HVAC Measures'!$G7&lt;References!$T$121,References!$N$121,IF(AND('Input HVAC Measures'!$G7&lt;References!$T$122,'Input HVAC Measures'!$G7&gt;References!$S$122),References!$N$122,IF(AND('Input HVAC Measures'!$G7&lt;References!$T$123,'Input HVAC Measures'!$G7&gt;References!$S$123),References!$N$123,IF('Input HVAC Measures'!$G7&gt;References!$S$124,References!$N$124,"")))))</f>
        <v>0</v>
      </c>
      <c r="H4" s="171">
        <f>IF('Input HVAC Measures'!$E7="High Eff. AC Unit",'Input HVAC Measures'!$G7*12000/1000*References!$K$4*((1/'HVAC Calcs'!$D4)-(1/'Input HVAC Measures'!$K7)),IF('Input HVAC Measures'!$E7="High Eff. Heat Pump Unit",'Input HVAC Measures'!$G7*12000/1000*References!$K$5*((1/'HVAC Calcs'!$E4)-(1/'Input HVAC Measures'!$K7))+'Input HVAC Measures'!$G7*12000/1000*References!$N$5*((1/'HVAC Calcs'!$F4)-(1/'Input HVAC Measures'!$L7)),0))</f>
        <v>0</v>
      </c>
      <c r="I4" s="172" t="b">
        <f>IF('Input HVAC Measures'!$E7="High Eff. AC Unit",'Input HVAC Measures'!$G7*12000/1000*References!$L$4*((1/'HVAC Calcs'!$B4)-(1/'Input HVAC Measures'!$J7)),IF('Input HVAC Measures'!$E7="High Eff. Heat Pump Unit",'Input HVAC Measures'!$G7*12000/1000*References!$L$5*((1/'HVAC Calcs'!$C4)-(1/'Input HVAC Measures'!$J7))))</f>
        <v>0</v>
      </c>
    </row>
    <row r="5" spans="1:9" ht="15">
      <c r="A5">
        <v>3</v>
      </c>
      <c r="B5" s="107" t="b">
        <f>IF('Input HVAC Measures'!$E8="High Eff. AC Unit",IF('Input HVAC Measures'!$G8&lt;References!$T$116,References!$L$116,IF(AND('Input HVAC Measures'!$G8&lt;References!$T$117,'Input HVAC Measures'!$G8&gt;References!$S$117),References!$L$117,IF(AND('Input HVAC Measures'!$G8&lt;References!$T$118,'Input HVAC Measures'!$G8&gt;References!$S$118),References!$L$118,IF(AND('Input HVAC Measures'!$G8&lt;References!$T$119,'Input HVAC Measures'!$G8&gt;References!$S$119),References!$L$119,IF('Input HVAC Measures'!$G8&gt;References!$S$120,References!$L$120,""))))))</f>
        <v>0</v>
      </c>
      <c r="C5" s="107" t="b">
        <f>IF('Input HVAC Measures'!$E8="High Eff. Heat Pump Unit",IF('Input HVAC Measures'!$G8&lt;References!$T$121,References!$L$121,IF(AND('Input HVAC Measures'!$G8&lt;References!$T$122,'Input HVAC Measures'!$G8&gt;References!$S$122),References!$L$122,IF(AND('Input HVAC Measures'!$G8&lt;References!$T$123,'Input HVAC Measures'!$G8&gt;References!$S$123),References!$L$123,IF('Input HVAC Measures'!$G8&gt;References!$S$124,References!$L$124,"")))))</f>
        <v>0</v>
      </c>
      <c r="D5" s="107" t="b">
        <f>IF('Input HVAC Measures'!$E8="High Eff. AC Unit",IF('Input HVAC Measures'!$G8&lt;References!$T$116,References!$M$116,IF(AND('Input HVAC Measures'!$G8&lt;References!$T$117,'Input HVAC Measures'!$G8&gt;References!$S$117),References!$M$117,IF(AND('Input HVAC Measures'!$G8&lt;References!$T$118,'Input HVAC Measures'!$G8&gt;References!$S$118),References!$M$118,IF(AND('Input HVAC Measures'!$G8&lt;References!$T$119,'Input HVAC Measures'!$G8&gt;References!$S$119),References!$M$119,IF('Input HVAC Measures'!$G8&gt;References!$S$120,References!$M$120,""))))))</f>
        <v>0</v>
      </c>
      <c r="E5" s="107" t="b">
        <f>IF('Input HVAC Measures'!$E8="High Eff. Heat Pump Unit",IF('Input HVAC Measures'!$G8&lt;References!$T$121,References!$M$121,IF(AND('Input HVAC Measures'!$G8&lt;References!$T$122,'Input HVAC Measures'!$G8&gt;References!$S$122),References!$M$122,IF(AND('Input HVAC Measures'!$G8&lt;References!$T$123,'Input HVAC Measures'!$G8&gt;References!$S$123),References!$M$123,IF('Input HVAC Measures'!$G8&gt;References!$S$124,References!$M$124,"")))))</f>
        <v>0</v>
      </c>
      <c r="F5" s="107" t="b">
        <f>IF('Input HVAC Measures'!$E8="High Eff. Heat Pump Unit",IF('Input HVAC Measures'!$G8&lt;References!$T$121,References!$N$121,IF(AND('Input HVAC Measures'!$G8&lt;References!$T$122,'Input HVAC Measures'!$G8&gt;References!$S$122),References!$N$122,IF(AND('Input HVAC Measures'!$G8&lt;References!$T$123,'Input HVAC Measures'!$G8&gt;References!$S$123),References!$N$123,IF('Input HVAC Measures'!$G8&gt;References!$S$124,References!$N$124,"")))))</f>
        <v>0</v>
      </c>
      <c r="H5" s="171">
        <f>IF('Input HVAC Measures'!$E8="High Eff. AC Unit",'Input HVAC Measures'!$G8*12000/1000*References!$K$4*((1/'HVAC Calcs'!$D5)-(1/'Input HVAC Measures'!$K8)),IF('Input HVAC Measures'!$E8="High Eff. Heat Pump Unit",'Input HVAC Measures'!$G8*12000/1000*References!$K$5*((1/'HVAC Calcs'!$E5)-(1/'Input HVAC Measures'!$K8))+'Input HVAC Measures'!$G8*12000/1000*References!$N$5*((1/'HVAC Calcs'!$F5)-(1/'Input HVAC Measures'!$L8)),0))</f>
        <v>0</v>
      </c>
      <c r="I5" s="172" t="b">
        <f>IF('Input HVAC Measures'!$E8="High Eff. AC Unit",'Input HVAC Measures'!$G8*12000/1000*References!$L$4*((1/'HVAC Calcs'!$B5)-(1/'Input HVAC Measures'!$J8)),IF('Input HVAC Measures'!$E8="High Eff. Heat Pump Unit",'Input HVAC Measures'!$G8*12000/1000*References!$L$5*((1/'HVAC Calcs'!$C5)-(1/'Input HVAC Measures'!$J8))))</f>
        <v>0</v>
      </c>
    </row>
    <row r="6" spans="1:9" ht="15">
      <c r="A6">
        <v>4</v>
      </c>
      <c r="B6" s="107" t="b">
        <f>IF('Input HVAC Measures'!$E9="High Eff. AC Unit",IF('Input HVAC Measures'!$G9&lt;References!$T$116,References!$L$116,IF(AND('Input HVAC Measures'!$G9&lt;References!$T$117,'Input HVAC Measures'!$G9&gt;References!$S$117),References!$L$117,IF(AND('Input HVAC Measures'!$G9&lt;References!$T$118,'Input HVAC Measures'!$G9&gt;References!$S$118),References!$L$118,IF(AND('Input HVAC Measures'!$G9&lt;References!$T$119,'Input HVAC Measures'!$G9&gt;References!$S$119),References!$L$119,IF('Input HVAC Measures'!$G9&gt;References!$S$120,References!$L$120,""))))))</f>
        <v>0</v>
      </c>
      <c r="C6" s="107" t="b">
        <f>IF('Input HVAC Measures'!$E9="High Eff. Heat Pump Unit",IF('Input HVAC Measures'!$G9&lt;References!$T$121,References!$L$121,IF(AND('Input HVAC Measures'!$G9&lt;References!$T$122,'Input HVAC Measures'!$G9&gt;References!$S$122),References!$L$122,IF(AND('Input HVAC Measures'!$G9&lt;References!$T$123,'Input HVAC Measures'!$G9&gt;References!$S$123),References!$L$123,IF('Input HVAC Measures'!$G9&gt;References!$S$124,References!$L$124,"")))))</f>
        <v>0</v>
      </c>
      <c r="D6" s="107" t="b">
        <f>IF('Input HVAC Measures'!$E9="High Eff. AC Unit",IF('Input HVAC Measures'!$G9&lt;References!$T$116,References!$M$116,IF(AND('Input HVAC Measures'!$G9&lt;References!$T$117,'Input HVAC Measures'!$G9&gt;References!$S$117),References!$M$117,IF(AND('Input HVAC Measures'!$G9&lt;References!$T$118,'Input HVAC Measures'!$G9&gt;References!$S$118),References!$M$118,IF(AND('Input HVAC Measures'!$G9&lt;References!$T$119,'Input HVAC Measures'!$G9&gt;References!$S$119),References!$M$119,IF('Input HVAC Measures'!$G9&gt;References!$S$120,References!$M$120,""))))))</f>
        <v>0</v>
      </c>
      <c r="E6" s="107" t="b">
        <f>IF('Input HVAC Measures'!$E9="High Eff. Heat Pump Unit",IF('Input HVAC Measures'!$G9&lt;References!$T$121,References!$M$121,IF(AND('Input HVAC Measures'!$G9&lt;References!$T$122,'Input HVAC Measures'!$G9&gt;References!$S$122),References!$M$122,IF(AND('Input HVAC Measures'!$G9&lt;References!$T$123,'Input HVAC Measures'!$G9&gt;References!$S$123),References!$M$123,IF('Input HVAC Measures'!$G9&gt;References!$S$124,References!$M$124,"")))))</f>
        <v>0</v>
      </c>
      <c r="F6" s="107" t="b">
        <f>IF('Input HVAC Measures'!$E9="High Eff. Heat Pump Unit",IF('Input HVAC Measures'!$G9&lt;References!$T$121,References!$N$121,IF(AND('Input HVAC Measures'!$G9&lt;References!$T$122,'Input HVAC Measures'!$G9&gt;References!$S$122),References!$N$122,IF(AND('Input HVAC Measures'!$G9&lt;References!$T$123,'Input HVAC Measures'!$G9&gt;References!$S$123),References!$N$123,IF('Input HVAC Measures'!$G9&gt;References!$S$124,References!$N$124,"")))))</f>
        <v>0</v>
      </c>
      <c r="H6" s="171">
        <f>IF('Input HVAC Measures'!$E9="High Eff. AC Unit",'Input HVAC Measures'!$G9*12000/1000*References!$K$4*((1/'HVAC Calcs'!$D6)-(1/'Input HVAC Measures'!$K9)),IF('Input HVAC Measures'!$E9="High Eff. Heat Pump Unit",'Input HVAC Measures'!$G9*12000/1000*References!$K$5*((1/'HVAC Calcs'!$E6)-(1/'Input HVAC Measures'!$K9))+'Input HVAC Measures'!$G9*12000/1000*References!$N$5*((1/'HVAC Calcs'!$F6)-(1/'Input HVAC Measures'!$L9)),0))</f>
        <v>0</v>
      </c>
      <c r="I6" s="172" t="b">
        <f>IF('Input HVAC Measures'!$E9="High Eff. AC Unit",'Input HVAC Measures'!$G9*12000/1000*References!$L$4*((1/'HVAC Calcs'!$B6)-(1/'Input HVAC Measures'!$J9)),IF('Input HVAC Measures'!$E9="High Eff. Heat Pump Unit",'Input HVAC Measures'!$G9*12000/1000*References!$L$5*((1/'HVAC Calcs'!$C6)-(1/'Input HVAC Measures'!$J9))))</f>
        <v>0</v>
      </c>
    </row>
    <row r="7" spans="1:9" ht="15">
      <c r="A7">
        <v>5</v>
      </c>
      <c r="B7" s="107" t="b">
        <f>IF('Input HVAC Measures'!$E10="High Eff. AC Unit",IF('Input HVAC Measures'!$G10&lt;References!$T$116,References!$L$116,IF(AND('Input HVAC Measures'!$G10&lt;References!$T$117,'Input HVAC Measures'!$G10&gt;References!$S$117),References!$L$117,IF(AND('Input HVAC Measures'!$G10&lt;References!$T$118,'Input HVAC Measures'!$G10&gt;References!$S$118),References!$L$118,IF(AND('Input HVAC Measures'!$G10&lt;References!$T$119,'Input HVAC Measures'!$G10&gt;References!$S$119),References!$L$119,IF('Input HVAC Measures'!$G10&gt;References!$S$120,References!$L$120,""))))))</f>
        <v>0</v>
      </c>
      <c r="C7" s="107" t="b">
        <f>IF('Input HVAC Measures'!$E10="High Eff. Heat Pump Unit",IF('Input HVAC Measures'!$G10&lt;References!$T$121,References!$L$121,IF(AND('Input HVAC Measures'!$G10&lt;References!$T$122,'Input HVAC Measures'!$G10&gt;References!$S$122),References!$L$122,IF(AND('Input HVAC Measures'!$G10&lt;References!$T$123,'Input HVAC Measures'!$G10&gt;References!$S$123),References!$L$123,IF('Input HVAC Measures'!$G10&gt;References!$S$124,References!$L$124,"")))))</f>
        <v>0</v>
      </c>
      <c r="D7" s="107" t="b">
        <f>IF('Input HVAC Measures'!$E10="High Eff. AC Unit",IF('Input HVAC Measures'!$G10&lt;References!$T$116,References!$M$116,IF(AND('Input HVAC Measures'!$G10&lt;References!$T$117,'Input HVAC Measures'!$G10&gt;References!$S$117),References!$M$117,IF(AND('Input HVAC Measures'!$G10&lt;References!$T$118,'Input HVAC Measures'!$G10&gt;References!$S$118),References!$M$118,IF(AND('Input HVAC Measures'!$G10&lt;References!$T$119,'Input HVAC Measures'!$G10&gt;References!$S$119),References!$M$119,IF('Input HVAC Measures'!$G10&gt;References!$S$120,References!$M$120,""))))))</f>
        <v>0</v>
      </c>
      <c r="E7" s="107" t="b">
        <f>IF('Input HVAC Measures'!$E10="High Eff. Heat Pump Unit",IF('Input HVAC Measures'!$G10&lt;References!$T$121,References!$M$121,IF(AND('Input HVAC Measures'!$G10&lt;References!$T$122,'Input HVAC Measures'!$G10&gt;References!$S$122),References!$M$122,IF(AND('Input HVAC Measures'!$G10&lt;References!$T$123,'Input HVAC Measures'!$G10&gt;References!$S$123),References!$M$123,IF('Input HVAC Measures'!$G10&gt;References!$S$124,References!$M$124,"")))))</f>
        <v>0</v>
      </c>
      <c r="F7" s="107" t="b">
        <f>IF('Input HVAC Measures'!$E10="High Eff. Heat Pump Unit",IF('Input HVAC Measures'!$G10&lt;References!$T$121,References!$N$121,IF(AND('Input HVAC Measures'!$G10&lt;References!$T$122,'Input HVAC Measures'!$G10&gt;References!$S$122),References!$N$122,IF(AND('Input HVAC Measures'!$G10&lt;References!$T$123,'Input HVAC Measures'!$G10&gt;References!$S$123),References!$N$123,IF('Input HVAC Measures'!$G10&gt;References!$S$124,References!$N$124,"")))))</f>
        <v>0</v>
      </c>
      <c r="H7" s="171">
        <f>IF('Input HVAC Measures'!$E10="High Eff. AC Unit",'Input HVAC Measures'!$G10*12000/1000*References!$K$4*((1/'HVAC Calcs'!$D7)-(1/'Input HVAC Measures'!$K10)),IF('Input HVAC Measures'!$E10="High Eff. Heat Pump Unit",'Input HVAC Measures'!$G10*12000/1000*References!$K$5*((1/'HVAC Calcs'!$E7)-(1/'Input HVAC Measures'!$K10))+'Input HVAC Measures'!$G10*12000/1000*References!$N$5*((1/'HVAC Calcs'!$F7)-(1/'Input HVAC Measures'!$L10)),0))</f>
        <v>0</v>
      </c>
      <c r="I7" s="172" t="b">
        <f>IF('Input HVAC Measures'!$E10="High Eff. AC Unit",'Input HVAC Measures'!$G10*12000/1000*References!$L$4*((1/'HVAC Calcs'!$B7)-(1/'Input HVAC Measures'!$J10)),IF('Input HVAC Measures'!$E10="High Eff. Heat Pump Unit",'Input HVAC Measures'!$G10*12000/1000*References!$L$5*((1/'HVAC Calcs'!$C7)-(1/'Input HVAC Measures'!$J10))))</f>
        <v>0</v>
      </c>
    </row>
    <row r="8" spans="1:9" ht="15">
      <c r="A8">
        <v>6</v>
      </c>
      <c r="B8" s="107" t="b">
        <f>IF('Input HVAC Measures'!$E11="High Eff. AC Unit",IF('Input HVAC Measures'!$G11&lt;References!$T$116,References!$L$116,IF(AND('Input HVAC Measures'!$G11&lt;References!$T$117,'Input HVAC Measures'!$G11&gt;References!$S$117),References!$L$117,IF(AND('Input HVAC Measures'!$G11&lt;References!$T$118,'Input HVAC Measures'!$G11&gt;References!$S$118),References!$L$118,IF(AND('Input HVAC Measures'!$G11&lt;References!$T$119,'Input HVAC Measures'!$G11&gt;References!$S$119),References!$L$119,IF('Input HVAC Measures'!$G11&gt;References!$S$120,References!$L$120,""))))))</f>
        <v>0</v>
      </c>
      <c r="C8" s="107" t="b">
        <f>IF('Input HVAC Measures'!$E11="High Eff. Heat Pump Unit",IF('Input HVAC Measures'!$G11&lt;References!$T$121,References!$L$121,IF(AND('Input HVAC Measures'!$G11&lt;References!$T$122,'Input HVAC Measures'!$G11&gt;References!$S$122),References!$L$122,IF(AND('Input HVAC Measures'!$G11&lt;References!$T$123,'Input HVAC Measures'!$G11&gt;References!$S$123),References!$L$123,IF('Input HVAC Measures'!$G11&gt;References!$S$124,References!$L$124,"")))))</f>
        <v>0</v>
      </c>
      <c r="D8" s="107" t="b">
        <f>IF('Input HVAC Measures'!$E11="High Eff. AC Unit",IF('Input HVAC Measures'!$G11&lt;References!$T$116,References!$M$116,IF(AND('Input HVAC Measures'!$G11&lt;References!$T$117,'Input HVAC Measures'!$G11&gt;References!$S$117),References!$M$117,IF(AND('Input HVAC Measures'!$G11&lt;References!$T$118,'Input HVAC Measures'!$G11&gt;References!$S$118),References!$M$118,IF(AND('Input HVAC Measures'!$G11&lt;References!$T$119,'Input HVAC Measures'!$G11&gt;References!$S$119),References!$M$119,IF('Input HVAC Measures'!$G11&gt;References!$S$120,References!$M$120,""))))))</f>
        <v>0</v>
      </c>
      <c r="E8" s="107" t="b">
        <f>IF('Input HVAC Measures'!$E11="High Eff. Heat Pump Unit",IF('Input HVAC Measures'!$G11&lt;References!$T$121,References!$M$121,IF(AND('Input HVAC Measures'!$G11&lt;References!$T$122,'Input HVAC Measures'!$G11&gt;References!$S$122),References!$M$122,IF(AND('Input HVAC Measures'!$G11&lt;References!$T$123,'Input HVAC Measures'!$G11&gt;References!$S$123),References!$M$123,IF('Input HVAC Measures'!$G11&gt;References!$S$124,References!$M$124,"")))))</f>
        <v>0</v>
      </c>
      <c r="F8" s="107" t="b">
        <f>IF('Input HVAC Measures'!$E11="High Eff. Heat Pump Unit",IF('Input HVAC Measures'!$G11&lt;References!$T$121,References!$N$121,IF(AND('Input HVAC Measures'!$G11&lt;References!$T$122,'Input HVAC Measures'!$G11&gt;References!$S$122),References!$N$122,IF(AND('Input HVAC Measures'!$G11&lt;References!$T$123,'Input HVAC Measures'!$G11&gt;References!$S$123),References!$N$123,IF('Input HVAC Measures'!$G11&gt;References!$S$124,References!$N$124,"")))))</f>
        <v>0</v>
      </c>
      <c r="H8" s="171">
        <f>IF('Input HVAC Measures'!$E11="High Eff. AC Unit",'Input HVAC Measures'!$G11*12000/1000*References!$K$4*((1/'HVAC Calcs'!$D8)-(1/'Input HVAC Measures'!$K11)),IF('Input HVAC Measures'!$E11="High Eff. Heat Pump Unit",'Input HVAC Measures'!$G11*12000/1000*References!$K$5*((1/'HVAC Calcs'!$E8)-(1/'Input HVAC Measures'!$K11))+'Input HVAC Measures'!$G11*12000/1000*References!$N$5*((1/'HVAC Calcs'!$F8)-(1/'Input HVAC Measures'!$L11)),0))</f>
        <v>0</v>
      </c>
      <c r="I8" s="172" t="b">
        <f>IF('Input HVAC Measures'!$E11="High Eff. AC Unit",'Input HVAC Measures'!$G11*12000/1000*References!$L$4*((1/'HVAC Calcs'!$B8)-(1/'Input HVAC Measures'!$J11)),IF('Input HVAC Measures'!$E11="High Eff. Heat Pump Unit",'Input HVAC Measures'!$G11*12000/1000*References!$L$5*((1/'HVAC Calcs'!$C8)-(1/'Input HVAC Measures'!$J11))))</f>
        <v>0</v>
      </c>
    </row>
    <row r="9" spans="1:9" ht="15">
      <c r="A9">
        <v>7</v>
      </c>
      <c r="B9" s="107" t="b">
        <f>IF('Input HVAC Measures'!$E12="High Eff. AC Unit",IF('Input HVAC Measures'!$G12&lt;References!$T$116,References!$L$116,IF(AND('Input HVAC Measures'!$G12&lt;References!$T$117,'Input HVAC Measures'!$G12&gt;References!$S$117),References!$L$117,IF(AND('Input HVAC Measures'!$G12&lt;References!$T$118,'Input HVAC Measures'!$G12&gt;References!$S$118),References!$L$118,IF(AND('Input HVAC Measures'!$G12&lt;References!$T$119,'Input HVAC Measures'!$G12&gt;References!$S$119),References!$L$119,IF('Input HVAC Measures'!$G12&gt;References!$S$120,References!$L$120,""))))))</f>
        <v>0</v>
      </c>
      <c r="C9" s="107" t="b">
        <f>IF('Input HVAC Measures'!$E12="High Eff. Heat Pump Unit",IF('Input HVAC Measures'!$G12&lt;References!$T$121,References!$L$121,IF(AND('Input HVAC Measures'!$G12&lt;References!$T$122,'Input HVAC Measures'!$G12&gt;References!$S$122),References!$L$122,IF(AND('Input HVAC Measures'!$G12&lt;References!$T$123,'Input HVAC Measures'!$G12&gt;References!$S$123),References!$L$123,IF('Input HVAC Measures'!$G12&gt;References!$S$124,References!$L$124,"")))))</f>
        <v>0</v>
      </c>
      <c r="D9" s="107" t="b">
        <f>IF('Input HVAC Measures'!$E12="High Eff. AC Unit",IF('Input HVAC Measures'!$G12&lt;References!$T$116,References!$M$116,IF(AND('Input HVAC Measures'!$G12&lt;References!$T$117,'Input HVAC Measures'!$G12&gt;References!$S$117),References!$M$117,IF(AND('Input HVAC Measures'!$G12&lt;References!$T$118,'Input HVAC Measures'!$G12&gt;References!$S$118),References!$M$118,IF(AND('Input HVAC Measures'!$G12&lt;References!$T$119,'Input HVAC Measures'!$G12&gt;References!$S$119),References!$M$119,IF('Input HVAC Measures'!$G12&gt;References!$S$120,References!$M$120,""))))))</f>
        <v>0</v>
      </c>
      <c r="E9" s="107" t="b">
        <f>IF('Input HVAC Measures'!$E12="High Eff. Heat Pump Unit",IF('Input HVAC Measures'!$G12&lt;References!$T$121,References!$M$121,IF(AND('Input HVAC Measures'!$G12&lt;References!$T$122,'Input HVAC Measures'!$G12&gt;References!$S$122),References!$M$122,IF(AND('Input HVAC Measures'!$G12&lt;References!$T$123,'Input HVAC Measures'!$G12&gt;References!$S$123),References!$M$123,IF('Input HVAC Measures'!$G12&gt;References!$S$124,References!$M$124,"")))))</f>
        <v>0</v>
      </c>
      <c r="F9" s="107" t="b">
        <f>IF('Input HVAC Measures'!$E12="High Eff. Heat Pump Unit",IF('Input HVAC Measures'!$G12&lt;References!$T$121,References!$N$121,IF(AND('Input HVAC Measures'!$G12&lt;References!$T$122,'Input HVAC Measures'!$G12&gt;References!$S$122),References!$N$122,IF(AND('Input HVAC Measures'!$G12&lt;References!$T$123,'Input HVAC Measures'!$G12&gt;References!$S$123),References!$N$123,IF('Input HVAC Measures'!$G12&gt;References!$S$124,References!$N$124,"")))))</f>
        <v>0</v>
      </c>
      <c r="H9" s="171">
        <f>IF('Input HVAC Measures'!$E12="High Eff. AC Unit",'Input HVAC Measures'!$G12*12000/1000*References!$K$4*((1/'HVAC Calcs'!$D9)-(1/'Input HVAC Measures'!$K12)),IF('Input HVAC Measures'!$E12="High Eff. Heat Pump Unit",'Input HVAC Measures'!$G12*12000/1000*References!$K$5*((1/'HVAC Calcs'!$E9)-(1/'Input HVAC Measures'!$K12))+'Input HVAC Measures'!$G12*12000/1000*References!$N$5*((1/'HVAC Calcs'!$F9)-(1/'Input HVAC Measures'!$L12)),0))</f>
        <v>0</v>
      </c>
      <c r="I9" s="172" t="b">
        <f>IF('Input HVAC Measures'!$E12="High Eff. AC Unit",'Input HVAC Measures'!$G12*12000/1000*References!$L$4*((1/'HVAC Calcs'!$B9)-(1/'Input HVAC Measures'!$J12)),IF('Input HVAC Measures'!$E12="High Eff. Heat Pump Unit",'Input HVAC Measures'!$G12*12000/1000*References!$L$5*((1/'HVAC Calcs'!$C9)-(1/'Input HVAC Measures'!$J12))))</f>
        <v>0</v>
      </c>
    </row>
    <row r="10" spans="1:9" ht="15">
      <c r="A10">
        <v>8</v>
      </c>
      <c r="B10" s="107" t="b">
        <f>IF('Input HVAC Measures'!$E13="High Eff. AC Unit",IF('Input HVAC Measures'!$G13&lt;References!$T$116,References!$L$116,IF(AND('Input HVAC Measures'!$G13&lt;References!$T$117,'Input HVAC Measures'!$G13&gt;References!$S$117),References!$L$117,IF(AND('Input HVAC Measures'!$G13&lt;References!$T$118,'Input HVAC Measures'!$G13&gt;References!$S$118),References!$L$118,IF(AND('Input HVAC Measures'!$G13&lt;References!$T$119,'Input HVAC Measures'!$G13&gt;References!$S$119),References!$L$119,IF('Input HVAC Measures'!$G13&gt;References!$S$120,References!$L$120,""))))))</f>
        <v>0</v>
      </c>
      <c r="C10" s="107" t="b">
        <f>IF('Input HVAC Measures'!$E13="High Eff. Heat Pump Unit",IF('Input HVAC Measures'!$G13&lt;References!$T$121,References!$L$121,IF(AND('Input HVAC Measures'!$G13&lt;References!$T$122,'Input HVAC Measures'!$G13&gt;References!$S$122),References!$L$122,IF(AND('Input HVAC Measures'!$G13&lt;References!$T$123,'Input HVAC Measures'!$G13&gt;References!$S$123),References!$L$123,IF('Input HVAC Measures'!$G13&gt;References!$S$124,References!$L$124,"")))))</f>
        <v>0</v>
      </c>
      <c r="D10" s="107" t="b">
        <f>IF('Input HVAC Measures'!$E13="High Eff. AC Unit",IF('Input HVAC Measures'!$G13&lt;References!$T$116,References!$M$116,IF(AND('Input HVAC Measures'!$G13&lt;References!$T$117,'Input HVAC Measures'!$G13&gt;References!$S$117),References!$M$117,IF(AND('Input HVAC Measures'!$G13&lt;References!$T$118,'Input HVAC Measures'!$G13&gt;References!$S$118),References!$M$118,IF(AND('Input HVAC Measures'!$G13&lt;References!$T$119,'Input HVAC Measures'!$G13&gt;References!$S$119),References!$M$119,IF('Input HVAC Measures'!$G13&gt;References!$S$120,References!$M$120,""))))))</f>
        <v>0</v>
      </c>
      <c r="E10" s="107" t="b">
        <f>IF('Input HVAC Measures'!$E13="High Eff. Heat Pump Unit",IF('Input HVAC Measures'!$G13&lt;References!$T$121,References!$M$121,IF(AND('Input HVAC Measures'!$G13&lt;References!$T$122,'Input HVAC Measures'!$G13&gt;References!$S$122),References!$M$122,IF(AND('Input HVAC Measures'!$G13&lt;References!$T$123,'Input HVAC Measures'!$G13&gt;References!$S$123),References!$M$123,IF('Input HVAC Measures'!$G13&gt;References!$S$124,References!$M$124,"")))))</f>
        <v>0</v>
      </c>
      <c r="F10" s="107" t="b">
        <f>IF('Input HVAC Measures'!$E13="High Eff. Heat Pump Unit",IF('Input HVAC Measures'!$G13&lt;References!$T$121,References!$N$121,IF(AND('Input HVAC Measures'!$G13&lt;References!$T$122,'Input HVAC Measures'!$G13&gt;References!$S$122),References!$N$122,IF(AND('Input HVAC Measures'!$G13&lt;References!$T$123,'Input HVAC Measures'!$G13&gt;References!$S$123),References!$N$123,IF('Input HVAC Measures'!$G13&gt;References!$S$124,References!$N$124,"")))))</f>
        <v>0</v>
      </c>
      <c r="H10" s="171">
        <f>IF('Input HVAC Measures'!$E13="High Eff. AC Unit",'Input HVAC Measures'!$G13*12000/1000*References!$K$4*((1/'HVAC Calcs'!$D10)-(1/'Input HVAC Measures'!$K13)),IF('Input HVAC Measures'!$E13="High Eff. Heat Pump Unit",'Input HVAC Measures'!$G13*12000/1000*References!$K$5*((1/'HVAC Calcs'!$E10)-(1/'Input HVAC Measures'!$K13))+'Input HVAC Measures'!$G13*12000/1000*References!$N$5*((1/'HVAC Calcs'!$F10)-(1/'Input HVAC Measures'!$L13)),0))</f>
        <v>0</v>
      </c>
      <c r="I10" s="172" t="b">
        <f>IF('Input HVAC Measures'!$E13="High Eff. AC Unit",'Input HVAC Measures'!$G13*12000/1000*References!$L$4*((1/'HVAC Calcs'!$B10)-(1/'Input HVAC Measures'!$J13)),IF('Input HVAC Measures'!$E13="High Eff. Heat Pump Unit",'Input HVAC Measures'!$G13*12000/1000*References!$L$5*((1/'HVAC Calcs'!$C10)-(1/'Input HVAC Measures'!$J13))))</f>
        <v>0</v>
      </c>
    </row>
    <row r="11" spans="1:9" ht="15">
      <c r="A11">
        <v>9</v>
      </c>
      <c r="B11" s="107" t="b">
        <f>IF('Input HVAC Measures'!$E14="High Eff. AC Unit",IF('Input HVAC Measures'!$G14&lt;References!$T$116,References!$L$116,IF(AND('Input HVAC Measures'!$G14&lt;References!$T$117,'Input HVAC Measures'!$G14&gt;References!$S$117),References!$L$117,IF(AND('Input HVAC Measures'!$G14&lt;References!$T$118,'Input HVAC Measures'!$G14&gt;References!$S$118),References!$L$118,IF(AND('Input HVAC Measures'!$G14&lt;References!$T$119,'Input HVAC Measures'!$G14&gt;References!$S$119),References!$L$119,IF('Input HVAC Measures'!$G14&gt;References!$S$120,References!$L$120,""))))))</f>
        <v>0</v>
      </c>
      <c r="C11" s="107" t="b">
        <f>IF('Input HVAC Measures'!$E14="High Eff. Heat Pump Unit",IF('Input HVAC Measures'!$G14&lt;References!$T$121,References!$L$121,IF(AND('Input HVAC Measures'!$G14&lt;References!$T$122,'Input HVAC Measures'!$G14&gt;References!$S$122),References!$L$122,IF(AND('Input HVAC Measures'!$G14&lt;References!$T$123,'Input HVAC Measures'!$G14&gt;References!$S$123),References!$L$123,IF('Input HVAC Measures'!$G14&gt;References!$S$124,References!$L$124,"")))))</f>
        <v>0</v>
      </c>
      <c r="D11" s="107" t="b">
        <f>IF('Input HVAC Measures'!$E14="High Eff. AC Unit",IF('Input HVAC Measures'!$G14&lt;References!$T$116,References!$M$116,IF(AND('Input HVAC Measures'!$G14&lt;References!$T$117,'Input HVAC Measures'!$G14&gt;References!$S$117),References!$M$117,IF(AND('Input HVAC Measures'!$G14&lt;References!$T$118,'Input HVAC Measures'!$G14&gt;References!$S$118),References!$M$118,IF(AND('Input HVAC Measures'!$G14&lt;References!$T$119,'Input HVAC Measures'!$G14&gt;References!$S$119),References!$M$119,IF('Input HVAC Measures'!$G14&gt;References!$S$120,References!$M$120,""))))))</f>
        <v>0</v>
      </c>
      <c r="E11" s="107" t="b">
        <f>IF('Input HVAC Measures'!$E14="High Eff. Heat Pump Unit",IF('Input HVAC Measures'!$G14&lt;References!$T$121,References!$M$121,IF(AND('Input HVAC Measures'!$G14&lt;References!$T$122,'Input HVAC Measures'!$G14&gt;References!$S$122),References!$M$122,IF(AND('Input HVAC Measures'!$G14&lt;References!$T$123,'Input HVAC Measures'!$G14&gt;References!$S$123),References!$M$123,IF('Input HVAC Measures'!$G14&gt;References!$S$124,References!$M$124,"")))))</f>
        <v>0</v>
      </c>
      <c r="F11" s="107" t="b">
        <f>IF('Input HVAC Measures'!$E14="High Eff. Heat Pump Unit",IF('Input HVAC Measures'!$G14&lt;References!$T$121,References!$N$121,IF(AND('Input HVAC Measures'!$G14&lt;References!$T$122,'Input HVAC Measures'!$G14&gt;References!$S$122),References!$N$122,IF(AND('Input HVAC Measures'!$G14&lt;References!$T$123,'Input HVAC Measures'!$G14&gt;References!$S$123),References!$N$123,IF('Input HVAC Measures'!$G14&gt;References!$S$124,References!$N$124,"")))))</f>
        <v>0</v>
      </c>
      <c r="H11" s="171">
        <f>IF('Input HVAC Measures'!$E14="High Eff. AC Unit",'Input HVAC Measures'!$G14*12000/1000*References!$K$4*((1/'HVAC Calcs'!$D11)-(1/'Input HVAC Measures'!$K14)),IF('Input HVAC Measures'!$E14="High Eff. Heat Pump Unit",'Input HVAC Measures'!$G14*12000/1000*References!$K$5*((1/'HVAC Calcs'!$E11)-(1/'Input HVAC Measures'!$K14))+'Input HVAC Measures'!$G14*12000/1000*References!$N$5*((1/'HVAC Calcs'!$F11)-(1/'Input HVAC Measures'!$L14)),0))</f>
        <v>0</v>
      </c>
      <c r="I11" s="172" t="b">
        <f>IF('Input HVAC Measures'!$E14="High Eff. AC Unit",'Input HVAC Measures'!$G14*12000/1000*References!$L$4*((1/'HVAC Calcs'!$B11)-(1/'Input HVAC Measures'!$J14)),IF('Input HVAC Measures'!$E14="High Eff. Heat Pump Unit",'Input HVAC Measures'!$G14*12000/1000*References!$L$5*((1/'HVAC Calcs'!$C11)-(1/'Input HVAC Measures'!$J14))))</f>
        <v>0</v>
      </c>
    </row>
    <row r="12" spans="1:9" ht="15">
      <c r="A12">
        <v>10</v>
      </c>
      <c r="B12" s="107" t="b">
        <f>IF('Input HVAC Measures'!$E15="High Eff. AC Unit",IF('Input HVAC Measures'!$G15&lt;References!$T$116,References!$L$116,IF(AND('Input HVAC Measures'!$G15&lt;References!$T$117,'Input HVAC Measures'!$G15&gt;References!$S$117),References!$L$117,IF(AND('Input HVAC Measures'!$G15&lt;References!$T$118,'Input HVAC Measures'!$G15&gt;References!$S$118),References!$L$118,IF(AND('Input HVAC Measures'!$G15&lt;References!$T$119,'Input HVAC Measures'!$G15&gt;References!$S$119),References!$L$119,IF('Input HVAC Measures'!$G15&gt;References!$S$120,References!$L$120,""))))))</f>
        <v>0</v>
      </c>
      <c r="C12" s="107" t="b">
        <f>IF('Input HVAC Measures'!$E15="High Eff. Heat Pump Unit",IF('Input HVAC Measures'!$G15&lt;References!$T$121,References!$L$121,IF(AND('Input HVAC Measures'!$G15&lt;References!$T$122,'Input HVAC Measures'!$G15&gt;References!$S$122),References!$L$122,IF(AND('Input HVAC Measures'!$G15&lt;References!$T$123,'Input HVAC Measures'!$G15&gt;References!$S$123),References!$L$123,IF('Input HVAC Measures'!$G15&gt;References!$S$124,References!$L$124,"")))))</f>
        <v>0</v>
      </c>
      <c r="D12" s="107" t="b">
        <f>IF('Input HVAC Measures'!$E15="High Eff. AC Unit",IF('Input HVAC Measures'!$G15&lt;References!$T$116,References!$M$116,IF(AND('Input HVAC Measures'!$G15&lt;References!$T$117,'Input HVAC Measures'!$G15&gt;References!$S$117),References!$M$117,IF(AND('Input HVAC Measures'!$G15&lt;References!$T$118,'Input HVAC Measures'!$G15&gt;References!$S$118),References!$M$118,IF(AND('Input HVAC Measures'!$G15&lt;References!$T$119,'Input HVAC Measures'!$G15&gt;References!$S$119),References!$M$119,IF('Input HVAC Measures'!$G15&gt;References!$S$120,References!$M$120,""))))))</f>
        <v>0</v>
      </c>
      <c r="E12" s="107" t="b">
        <f>IF('Input HVAC Measures'!$E15="High Eff. Heat Pump Unit",IF('Input HVAC Measures'!$G15&lt;References!$T$121,References!$M$121,IF(AND('Input HVAC Measures'!$G15&lt;References!$T$122,'Input HVAC Measures'!$G15&gt;References!$S$122),References!$M$122,IF(AND('Input HVAC Measures'!$G15&lt;References!$T$123,'Input HVAC Measures'!$G15&gt;References!$S$123),References!$M$123,IF('Input HVAC Measures'!$G15&gt;References!$S$124,References!$M$124,"")))))</f>
        <v>0</v>
      </c>
      <c r="F12" s="107" t="b">
        <f>IF('Input HVAC Measures'!$E15="High Eff. Heat Pump Unit",IF('Input HVAC Measures'!$G15&lt;References!$T$121,References!$N$121,IF(AND('Input HVAC Measures'!$G15&lt;References!$T$122,'Input HVAC Measures'!$G15&gt;References!$S$122),References!$N$122,IF(AND('Input HVAC Measures'!$G15&lt;References!$T$123,'Input HVAC Measures'!$G15&gt;References!$S$123),References!$N$123,IF('Input HVAC Measures'!$G15&gt;References!$S$124,References!$N$124,"")))))</f>
        <v>0</v>
      </c>
      <c r="H12" s="171">
        <f>IF('Input HVAC Measures'!$E15="High Eff. AC Unit",'Input HVAC Measures'!$G15*12000/1000*References!$K$4*((1/'HVAC Calcs'!$D12)-(1/'Input HVAC Measures'!$K15)),IF('Input HVAC Measures'!$E15="High Eff. Heat Pump Unit",'Input HVAC Measures'!$G15*12000/1000*References!$K$5*((1/'HVAC Calcs'!$E12)-(1/'Input HVAC Measures'!$K15))+'Input HVAC Measures'!$G15*12000/1000*References!$N$5*((1/'HVAC Calcs'!$F12)-(1/'Input HVAC Measures'!$L15)),0))</f>
        <v>0</v>
      </c>
      <c r="I12" s="172" t="b">
        <f>IF('Input HVAC Measures'!$E15="High Eff. AC Unit",'Input HVAC Measures'!$G15*12000/1000*References!$L$4*((1/'HVAC Calcs'!$B12)-(1/'Input HVAC Measures'!$J15)),IF('Input HVAC Measures'!$E15="High Eff. Heat Pump Unit",'Input HVAC Measures'!$G15*12000/1000*References!$L$5*((1/'HVAC Calcs'!$C12)-(1/'Input HVAC Measures'!$J15))))</f>
        <v>0</v>
      </c>
    </row>
    <row r="13" spans="1:9" ht="15">
      <c r="A13">
        <v>11</v>
      </c>
      <c r="B13" s="107" t="b">
        <f>IF('Input HVAC Measures'!$E16="High Eff. AC Unit",IF('Input HVAC Measures'!$G16&lt;References!$T$116,References!$L$116,IF(AND('Input HVAC Measures'!$G16&lt;References!$T$117,'Input HVAC Measures'!$G16&gt;References!$S$117),References!$L$117,IF(AND('Input HVAC Measures'!$G16&lt;References!$T$118,'Input HVAC Measures'!$G16&gt;References!$S$118),References!$L$118,IF(AND('Input HVAC Measures'!$G16&lt;References!$T$119,'Input HVAC Measures'!$G16&gt;References!$S$119),References!$L$119,IF('Input HVAC Measures'!$G16&gt;References!$S$120,References!$L$120,""))))))</f>
        <v>0</v>
      </c>
      <c r="C13" s="107" t="b">
        <f>IF('Input HVAC Measures'!$E16="High Eff. Heat Pump Unit",IF('Input HVAC Measures'!$G16&lt;References!$T$121,References!$L$121,IF(AND('Input HVAC Measures'!$G16&lt;References!$T$122,'Input HVAC Measures'!$G16&gt;References!$S$122),References!$L$122,IF(AND('Input HVAC Measures'!$G16&lt;References!$T$123,'Input HVAC Measures'!$G16&gt;References!$S$123),References!$L$123,IF('Input HVAC Measures'!$G16&gt;References!$S$124,References!$L$124,"")))))</f>
        <v>0</v>
      </c>
      <c r="D13" s="107" t="b">
        <f>IF('Input HVAC Measures'!$E16="High Eff. AC Unit",IF('Input HVAC Measures'!$G16&lt;References!$T$116,References!$M$116,IF(AND('Input HVAC Measures'!$G16&lt;References!$T$117,'Input HVAC Measures'!$G16&gt;References!$S$117),References!$M$117,IF(AND('Input HVAC Measures'!$G16&lt;References!$T$118,'Input HVAC Measures'!$G16&gt;References!$S$118),References!$M$118,IF(AND('Input HVAC Measures'!$G16&lt;References!$T$119,'Input HVAC Measures'!$G16&gt;References!$S$119),References!$M$119,IF('Input HVAC Measures'!$G16&gt;References!$S$120,References!$M$120,""))))))</f>
        <v>0</v>
      </c>
      <c r="E13" s="107" t="b">
        <f>IF('Input HVAC Measures'!$E16="High Eff. Heat Pump Unit",IF('Input HVAC Measures'!$G16&lt;References!$T$121,References!$M$121,IF(AND('Input HVAC Measures'!$G16&lt;References!$T$122,'Input HVAC Measures'!$G16&gt;References!$S$122),References!$M$122,IF(AND('Input HVAC Measures'!$G16&lt;References!$T$123,'Input HVAC Measures'!$G16&gt;References!$S$123),References!$M$123,IF('Input HVAC Measures'!$G16&gt;References!$S$124,References!$M$124,"")))))</f>
        <v>0</v>
      </c>
      <c r="F13" s="107" t="b">
        <f>IF('Input HVAC Measures'!$E16="High Eff. Heat Pump Unit",IF('Input HVAC Measures'!$G16&lt;References!$T$121,References!$N$121,IF(AND('Input HVAC Measures'!$G16&lt;References!$T$122,'Input HVAC Measures'!$G16&gt;References!$S$122),References!$N$122,IF(AND('Input HVAC Measures'!$G16&lt;References!$T$123,'Input HVAC Measures'!$G16&gt;References!$S$123),References!$N$123,IF('Input HVAC Measures'!$G16&gt;References!$S$124,References!$N$124,"")))))</f>
        <v>0</v>
      </c>
      <c r="H13" s="171">
        <f>IF('Input HVAC Measures'!$E16="High Eff. AC Unit",'Input HVAC Measures'!$G16*12000/1000*References!$K$4*((1/'HVAC Calcs'!$D13)-(1/'Input HVAC Measures'!$K16)),IF('Input HVAC Measures'!$E16="High Eff. Heat Pump Unit",'Input HVAC Measures'!$G16*12000/1000*References!$K$5*((1/'HVAC Calcs'!$E13)-(1/'Input HVAC Measures'!$K16))+'Input HVAC Measures'!$G16*12000/1000*References!$N$5*((1/'HVAC Calcs'!$F13)-(1/'Input HVAC Measures'!$L16)),0))</f>
        <v>0</v>
      </c>
      <c r="I13" s="172" t="b">
        <f>IF('Input HVAC Measures'!$E16="High Eff. AC Unit",'Input HVAC Measures'!$G16*12000/1000*References!$L$4*((1/'HVAC Calcs'!$B13)-(1/'Input HVAC Measures'!$J16)),IF('Input HVAC Measures'!$E16="High Eff. Heat Pump Unit",'Input HVAC Measures'!$G16*12000/1000*References!$L$5*((1/'HVAC Calcs'!$C13)-(1/'Input HVAC Measures'!$J16))))</f>
        <v>0</v>
      </c>
    </row>
    <row r="14" spans="1:9" ht="15">
      <c r="A14">
        <v>12</v>
      </c>
      <c r="B14" s="107" t="b">
        <f>IF('Input HVAC Measures'!$E17="High Eff. AC Unit",IF('Input HVAC Measures'!$G17&lt;References!$T$116,References!$L$116,IF(AND('Input HVAC Measures'!$G17&lt;References!$T$117,'Input HVAC Measures'!$G17&gt;References!$S$117),References!$L$117,IF(AND('Input HVAC Measures'!$G17&lt;References!$T$118,'Input HVAC Measures'!$G17&gt;References!$S$118),References!$L$118,IF(AND('Input HVAC Measures'!$G17&lt;References!$T$119,'Input HVAC Measures'!$G17&gt;References!$S$119),References!$L$119,IF('Input HVAC Measures'!$G17&gt;References!$S$120,References!$L$120,""))))))</f>
        <v>0</v>
      </c>
      <c r="C14" s="107" t="b">
        <f>IF('Input HVAC Measures'!$E17="High Eff. Heat Pump Unit",IF('Input HVAC Measures'!$G17&lt;References!$T$121,References!$L$121,IF(AND('Input HVAC Measures'!$G17&lt;References!$T$122,'Input HVAC Measures'!$G17&gt;References!$S$122),References!$L$122,IF(AND('Input HVAC Measures'!$G17&lt;References!$T$123,'Input HVAC Measures'!$G17&gt;References!$S$123),References!$L$123,IF('Input HVAC Measures'!$G17&gt;References!$S$124,References!$L$124,"")))))</f>
        <v>0</v>
      </c>
      <c r="D14" s="107" t="b">
        <f>IF('Input HVAC Measures'!$E17="High Eff. AC Unit",IF('Input HVAC Measures'!$G17&lt;References!$T$116,References!$M$116,IF(AND('Input HVAC Measures'!$G17&lt;References!$T$117,'Input HVAC Measures'!$G17&gt;References!$S$117),References!$M$117,IF(AND('Input HVAC Measures'!$G17&lt;References!$T$118,'Input HVAC Measures'!$G17&gt;References!$S$118),References!$M$118,IF(AND('Input HVAC Measures'!$G17&lt;References!$T$119,'Input HVAC Measures'!$G17&gt;References!$S$119),References!$M$119,IF('Input HVAC Measures'!$G17&gt;References!$S$120,References!$M$120,""))))))</f>
        <v>0</v>
      </c>
      <c r="E14" s="107" t="b">
        <f>IF('Input HVAC Measures'!$E17="High Eff. Heat Pump Unit",IF('Input HVAC Measures'!$G17&lt;References!$T$121,References!$M$121,IF(AND('Input HVAC Measures'!$G17&lt;References!$T$122,'Input HVAC Measures'!$G17&gt;References!$S$122),References!$M$122,IF(AND('Input HVAC Measures'!$G17&lt;References!$T$123,'Input HVAC Measures'!$G17&gt;References!$S$123),References!$M$123,IF('Input HVAC Measures'!$G17&gt;References!$S$124,References!$M$124,"")))))</f>
        <v>0</v>
      </c>
      <c r="F14" s="107" t="b">
        <f>IF('Input HVAC Measures'!$E17="High Eff. Heat Pump Unit",IF('Input HVAC Measures'!$G17&lt;References!$T$121,References!$N$121,IF(AND('Input HVAC Measures'!$G17&lt;References!$T$122,'Input HVAC Measures'!$G17&gt;References!$S$122),References!$N$122,IF(AND('Input HVAC Measures'!$G17&lt;References!$T$123,'Input HVAC Measures'!$G17&gt;References!$S$123),References!$N$123,IF('Input HVAC Measures'!$G17&gt;References!$S$124,References!$N$124,"")))))</f>
        <v>0</v>
      </c>
      <c r="H14" s="171">
        <f>IF('Input HVAC Measures'!$E17="High Eff. AC Unit",'Input HVAC Measures'!$G17*12000/1000*References!$K$4*((1/'HVAC Calcs'!$D14)-(1/'Input HVAC Measures'!$K17)),IF('Input HVAC Measures'!$E17="High Eff. Heat Pump Unit",'Input HVAC Measures'!$G17*12000/1000*References!$K$5*((1/'HVAC Calcs'!$E14)-(1/'Input HVAC Measures'!$K17))+'Input HVAC Measures'!$G17*12000/1000*References!$N$5*((1/'HVAC Calcs'!$F14)-(1/'Input HVAC Measures'!$L17)),0))</f>
        <v>0</v>
      </c>
      <c r="I14" s="172" t="b">
        <f>IF('Input HVAC Measures'!$E17="High Eff. AC Unit",'Input HVAC Measures'!$G17*12000/1000*References!$L$4*((1/'HVAC Calcs'!$B14)-(1/'Input HVAC Measures'!$J17)),IF('Input HVAC Measures'!$E17="High Eff. Heat Pump Unit",'Input HVAC Measures'!$G17*12000/1000*References!$L$5*((1/'HVAC Calcs'!$C14)-(1/'Input HVAC Measures'!$J17))))</f>
        <v>0</v>
      </c>
    </row>
    <row r="15" spans="1:9" ht="15">
      <c r="A15">
        <v>13</v>
      </c>
      <c r="B15" s="107" t="b">
        <f>IF('Input HVAC Measures'!$E18="High Eff. AC Unit",IF('Input HVAC Measures'!$G18&lt;References!$T$116,References!$L$116,IF(AND('Input HVAC Measures'!$G18&lt;References!$T$117,'Input HVAC Measures'!$G18&gt;References!$S$117),References!$L$117,IF(AND('Input HVAC Measures'!$G18&lt;References!$T$118,'Input HVAC Measures'!$G18&gt;References!$S$118),References!$L$118,IF(AND('Input HVAC Measures'!$G18&lt;References!$T$119,'Input HVAC Measures'!$G18&gt;References!$S$119),References!$L$119,IF('Input HVAC Measures'!$G18&gt;References!$S$120,References!$L$120,""))))))</f>
        <v>0</v>
      </c>
      <c r="C15" s="107" t="b">
        <f>IF('Input HVAC Measures'!$E18="High Eff. Heat Pump Unit",IF('Input HVAC Measures'!$G18&lt;References!$T$121,References!$L$121,IF(AND('Input HVAC Measures'!$G18&lt;References!$T$122,'Input HVAC Measures'!$G18&gt;References!$S$122),References!$L$122,IF(AND('Input HVAC Measures'!$G18&lt;References!$T$123,'Input HVAC Measures'!$G18&gt;References!$S$123),References!$L$123,IF('Input HVAC Measures'!$G18&gt;References!$S$124,References!$L$124,"")))))</f>
        <v>0</v>
      </c>
      <c r="D15" s="107" t="b">
        <f>IF('Input HVAC Measures'!$E18="High Eff. AC Unit",IF('Input HVAC Measures'!$G18&lt;References!$T$116,References!$M$116,IF(AND('Input HVAC Measures'!$G18&lt;References!$T$117,'Input HVAC Measures'!$G18&gt;References!$S$117),References!$M$117,IF(AND('Input HVAC Measures'!$G18&lt;References!$T$118,'Input HVAC Measures'!$G18&gt;References!$S$118),References!$M$118,IF(AND('Input HVAC Measures'!$G18&lt;References!$T$119,'Input HVAC Measures'!$G18&gt;References!$S$119),References!$M$119,IF('Input HVAC Measures'!$G18&gt;References!$S$120,References!$M$120,""))))))</f>
        <v>0</v>
      </c>
      <c r="E15" s="107" t="b">
        <f>IF('Input HVAC Measures'!$E18="High Eff. Heat Pump Unit",IF('Input HVAC Measures'!$G18&lt;References!$T$121,References!$M$121,IF(AND('Input HVAC Measures'!$G18&lt;References!$T$122,'Input HVAC Measures'!$G18&gt;References!$S$122),References!$M$122,IF(AND('Input HVAC Measures'!$G18&lt;References!$T$123,'Input HVAC Measures'!$G18&gt;References!$S$123),References!$M$123,IF('Input HVAC Measures'!$G18&gt;References!$S$124,References!$M$124,"")))))</f>
        <v>0</v>
      </c>
      <c r="F15" s="107" t="b">
        <f>IF('Input HVAC Measures'!$E18="High Eff. Heat Pump Unit",IF('Input HVAC Measures'!$G18&lt;References!$T$121,References!$N$121,IF(AND('Input HVAC Measures'!$G18&lt;References!$T$122,'Input HVAC Measures'!$G18&gt;References!$S$122),References!$N$122,IF(AND('Input HVAC Measures'!$G18&lt;References!$T$123,'Input HVAC Measures'!$G18&gt;References!$S$123),References!$N$123,IF('Input HVAC Measures'!$G18&gt;References!$S$124,References!$N$124,"")))))</f>
        <v>0</v>
      </c>
      <c r="H15" s="171">
        <f>IF('Input HVAC Measures'!$E18="High Eff. AC Unit",'Input HVAC Measures'!$G18*12000/1000*References!$K$4*((1/'HVAC Calcs'!$D15)-(1/'Input HVAC Measures'!$K18)),IF('Input HVAC Measures'!$E18="High Eff. Heat Pump Unit",'Input HVAC Measures'!$G18*12000/1000*References!$K$5*((1/'HVAC Calcs'!$E15)-(1/'Input HVAC Measures'!$K18))+'Input HVAC Measures'!$G18*12000/1000*References!$N$5*((1/'HVAC Calcs'!$F15)-(1/'Input HVAC Measures'!$L18)),0))</f>
        <v>0</v>
      </c>
      <c r="I15" s="172" t="b">
        <f>IF('Input HVAC Measures'!$E18="High Eff. AC Unit",'Input HVAC Measures'!$G18*12000/1000*References!$L$4*((1/'HVAC Calcs'!$B15)-(1/'Input HVAC Measures'!$J18)),IF('Input HVAC Measures'!$E18="High Eff. Heat Pump Unit",'Input HVAC Measures'!$G18*12000/1000*References!$L$5*((1/'HVAC Calcs'!$C15)-(1/'Input HVAC Measures'!$J18))))</f>
        <v>0</v>
      </c>
    </row>
    <row r="16" spans="1:9" ht="15">
      <c r="A16">
        <v>14</v>
      </c>
      <c r="B16" s="107" t="b">
        <f>IF('Input HVAC Measures'!$E19="High Eff. AC Unit",IF('Input HVAC Measures'!$G19&lt;References!$T$116,References!$L$116,IF(AND('Input HVAC Measures'!$G19&lt;References!$T$117,'Input HVAC Measures'!$G19&gt;References!$S$117),References!$L$117,IF(AND('Input HVAC Measures'!$G19&lt;References!$T$118,'Input HVAC Measures'!$G19&gt;References!$S$118),References!$L$118,IF(AND('Input HVAC Measures'!$G19&lt;References!$T$119,'Input HVAC Measures'!$G19&gt;References!$S$119),References!$L$119,IF('Input HVAC Measures'!$G19&gt;References!$S$120,References!$L$120,""))))))</f>
        <v>0</v>
      </c>
      <c r="C16" s="107" t="b">
        <f>IF('Input HVAC Measures'!$E19="High Eff. Heat Pump Unit",IF('Input HVAC Measures'!$G19&lt;References!$T$121,References!$L$121,IF(AND('Input HVAC Measures'!$G19&lt;References!$T$122,'Input HVAC Measures'!$G19&gt;References!$S$122),References!$L$122,IF(AND('Input HVAC Measures'!$G19&lt;References!$T$123,'Input HVAC Measures'!$G19&gt;References!$S$123),References!$L$123,IF('Input HVAC Measures'!$G19&gt;References!$S$124,References!$L$124,"")))))</f>
        <v>0</v>
      </c>
      <c r="D16" s="107" t="b">
        <f>IF('Input HVAC Measures'!$E19="High Eff. AC Unit",IF('Input HVAC Measures'!$G19&lt;References!$T$116,References!$M$116,IF(AND('Input HVAC Measures'!$G19&lt;References!$T$117,'Input HVAC Measures'!$G19&gt;References!$S$117),References!$M$117,IF(AND('Input HVAC Measures'!$G19&lt;References!$T$118,'Input HVAC Measures'!$G19&gt;References!$S$118),References!$M$118,IF(AND('Input HVAC Measures'!$G19&lt;References!$T$119,'Input HVAC Measures'!$G19&gt;References!$S$119),References!$M$119,IF('Input HVAC Measures'!$G19&gt;References!$S$120,References!$M$120,""))))))</f>
        <v>0</v>
      </c>
      <c r="E16" s="107" t="b">
        <f>IF('Input HVAC Measures'!$E19="High Eff. Heat Pump Unit",IF('Input HVAC Measures'!$G19&lt;References!$T$121,References!$M$121,IF(AND('Input HVAC Measures'!$G19&lt;References!$T$122,'Input HVAC Measures'!$G19&gt;References!$S$122),References!$M$122,IF(AND('Input HVAC Measures'!$G19&lt;References!$T$123,'Input HVAC Measures'!$G19&gt;References!$S$123),References!$M$123,IF('Input HVAC Measures'!$G19&gt;References!$S$124,References!$M$124,"")))))</f>
        <v>0</v>
      </c>
      <c r="F16" s="107" t="b">
        <f>IF('Input HVAC Measures'!$E19="High Eff. Heat Pump Unit",IF('Input HVAC Measures'!$G19&lt;References!$T$121,References!$N$121,IF(AND('Input HVAC Measures'!$G19&lt;References!$T$122,'Input HVAC Measures'!$G19&gt;References!$S$122),References!$N$122,IF(AND('Input HVAC Measures'!$G19&lt;References!$T$123,'Input HVAC Measures'!$G19&gt;References!$S$123),References!$N$123,IF('Input HVAC Measures'!$G19&gt;References!$S$124,References!$N$124,"")))))</f>
        <v>0</v>
      </c>
      <c r="H16" s="171">
        <f>IF('Input HVAC Measures'!$E19="High Eff. AC Unit",'Input HVAC Measures'!$G19*12000/1000*References!$K$4*((1/'HVAC Calcs'!$D16)-(1/'Input HVAC Measures'!$K19)),IF('Input HVAC Measures'!$E19="High Eff. Heat Pump Unit",'Input HVAC Measures'!$G19*12000/1000*References!$K$5*((1/'HVAC Calcs'!$E16)-(1/'Input HVAC Measures'!$K19))+'Input HVAC Measures'!$G19*12000/1000*References!$N$5*((1/'HVAC Calcs'!$F16)-(1/'Input HVAC Measures'!$L19)),0))</f>
        <v>0</v>
      </c>
      <c r="I16" s="172" t="b">
        <f>IF('Input HVAC Measures'!$E19="High Eff. AC Unit",'Input HVAC Measures'!$G19*12000/1000*References!$L$4*((1/'HVAC Calcs'!$B16)-(1/'Input HVAC Measures'!$J19)),IF('Input HVAC Measures'!$E19="High Eff. Heat Pump Unit",'Input HVAC Measures'!$G19*12000/1000*References!$L$5*((1/'HVAC Calcs'!$C16)-(1/'Input HVAC Measures'!$J19))))</f>
        <v>0</v>
      </c>
    </row>
    <row r="17" spans="1:9" ht="15">
      <c r="A17">
        <v>15</v>
      </c>
      <c r="B17" s="107" t="b">
        <f>IF('Input HVAC Measures'!$E20="High Eff. AC Unit",IF('Input HVAC Measures'!$G20&lt;References!$T$116,References!$L$116,IF(AND('Input HVAC Measures'!$G20&lt;References!$T$117,'Input HVAC Measures'!$G20&gt;References!$S$117),References!$L$117,IF(AND('Input HVAC Measures'!$G20&lt;References!$T$118,'Input HVAC Measures'!$G20&gt;References!$S$118),References!$L$118,IF(AND('Input HVAC Measures'!$G20&lt;References!$T$119,'Input HVAC Measures'!$G20&gt;References!$S$119),References!$L$119,IF('Input HVAC Measures'!$G20&gt;References!$S$120,References!$L$120,""))))))</f>
        <v>0</v>
      </c>
      <c r="C17" s="107" t="b">
        <f>IF('Input HVAC Measures'!$E20="High Eff. Heat Pump Unit",IF('Input HVAC Measures'!$G20&lt;References!$T$121,References!$L$121,IF(AND('Input HVAC Measures'!$G20&lt;References!$T$122,'Input HVAC Measures'!$G20&gt;References!$S$122),References!$L$122,IF(AND('Input HVAC Measures'!$G20&lt;References!$T$123,'Input HVAC Measures'!$G20&gt;References!$S$123),References!$L$123,IF('Input HVAC Measures'!$G20&gt;References!$S$124,References!$L$124,"")))))</f>
        <v>0</v>
      </c>
      <c r="D17" s="107" t="b">
        <f>IF('Input HVAC Measures'!$E20="High Eff. AC Unit",IF('Input HVAC Measures'!$G20&lt;References!$T$116,References!$M$116,IF(AND('Input HVAC Measures'!$G20&lt;References!$T$117,'Input HVAC Measures'!$G20&gt;References!$S$117),References!$M$117,IF(AND('Input HVAC Measures'!$G20&lt;References!$T$118,'Input HVAC Measures'!$G20&gt;References!$S$118),References!$M$118,IF(AND('Input HVAC Measures'!$G20&lt;References!$T$119,'Input HVAC Measures'!$G20&gt;References!$S$119),References!$M$119,IF('Input HVAC Measures'!$G20&gt;References!$S$120,References!$M$120,""))))))</f>
        <v>0</v>
      </c>
      <c r="E17" s="107" t="b">
        <f>IF('Input HVAC Measures'!$E20="High Eff. Heat Pump Unit",IF('Input HVAC Measures'!$G20&lt;References!$T$121,References!$M$121,IF(AND('Input HVAC Measures'!$G20&lt;References!$T$122,'Input HVAC Measures'!$G20&gt;References!$S$122),References!$M$122,IF(AND('Input HVAC Measures'!$G20&lt;References!$T$123,'Input HVAC Measures'!$G20&gt;References!$S$123),References!$M$123,IF('Input HVAC Measures'!$G20&gt;References!$S$124,References!$M$124,"")))))</f>
        <v>0</v>
      </c>
      <c r="F17" s="107" t="b">
        <f>IF('Input HVAC Measures'!$E20="High Eff. Heat Pump Unit",IF('Input HVAC Measures'!$G20&lt;References!$T$121,References!$N$121,IF(AND('Input HVAC Measures'!$G20&lt;References!$T$122,'Input HVAC Measures'!$G20&gt;References!$S$122),References!$N$122,IF(AND('Input HVAC Measures'!$G20&lt;References!$T$123,'Input HVAC Measures'!$G20&gt;References!$S$123),References!$N$123,IF('Input HVAC Measures'!$G20&gt;References!$S$124,References!$N$124,"")))))</f>
        <v>0</v>
      </c>
      <c r="H17" s="171">
        <f>IF('Input HVAC Measures'!$E20="High Eff. AC Unit",'Input HVAC Measures'!$G20*12000/1000*References!$K$4*((1/'HVAC Calcs'!$D17)-(1/'Input HVAC Measures'!$K20)),IF('Input HVAC Measures'!$E20="High Eff. Heat Pump Unit",'Input HVAC Measures'!$G20*12000/1000*References!$K$5*((1/'HVAC Calcs'!$E17)-(1/'Input HVAC Measures'!$K20))+'Input HVAC Measures'!$G20*12000/1000*References!$N$5*((1/'HVAC Calcs'!$F17)-(1/'Input HVAC Measures'!$L20)),0))</f>
        <v>0</v>
      </c>
      <c r="I17" s="172" t="b">
        <f>IF('Input HVAC Measures'!$E20="High Eff. AC Unit",'Input HVAC Measures'!$G20*12000/1000*References!$L$4*((1/'HVAC Calcs'!$B17)-(1/'Input HVAC Measures'!$J20)),IF('Input HVAC Measures'!$E20="High Eff. Heat Pump Unit",'Input HVAC Measures'!$G20*12000/1000*References!$L$5*((1/'HVAC Calcs'!$C17)-(1/'Input HVAC Measures'!$J20))))</f>
        <v>0</v>
      </c>
    </row>
    <row r="18" spans="1:9" ht="15">
      <c r="A18">
        <v>16</v>
      </c>
      <c r="B18" s="107" t="b">
        <f>IF('Input HVAC Measures'!$E21="High Eff. AC Unit",IF('Input HVAC Measures'!$G21&lt;References!$T$116,References!$L$116,IF(AND('Input HVAC Measures'!$G21&lt;References!$T$117,'Input HVAC Measures'!$G21&gt;References!$S$117),References!$L$117,IF(AND('Input HVAC Measures'!$G21&lt;References!$T$118,'Input HVAC Measures'!$G21&gt;References!$S$118),References!$L$118,IF(AND('Input HVAC Measures'!$G21&lt;References!$T$119,'Input HVAC Measures'!$G21&gt;References!$S$119),References!$L$119,IF('Input HVAC Measures'!$G21&gt;References!$S$120,References!$L$120,""))))))</f>
        <v>0</v>
      </c>
      <c r="C18" s="107" t="b">
        <f>IF('Input HVAC Measures'!$E21="High Eff. Heat Pump Unit",IF('Input HVAC Measures'!$G21&lt;References!$T$121,References!$L$121,IF(AND('Input HVAC Measures'!$G21&lt;References!$T$122,'Input HVAC Measures'!$G21&gt;References!$S$122),References!$L$122,IF(AND('Input HVAC Measures'!$G21&lt;References!$T$123,'Input HVAC Measures'!$G21&gt;References!$S$123),References!$L$123,IF('Input HVAC Measures'!$G21&gt;References!$S$124,References!$L$124,"")))))</f>
        <v>0</v>
      </c>
      <c r="D18" s="107" t="b">
        <f>IF('Input HVAC Measures'!$E21="High Eff. AC Unit",IF('Input HVAC Measures'!$G21&lt;References!$T$116,References!$M$116,IF(AND('Input HVAC Measures'!$G21&lt;References!$T$117,'Input HVAC Measures'!$G21&gt;References!$S$117),References!$M$117,IF(AND('Input HVAC Measures'!$G21&lt;References!$T$118,'Input HVAC Measures'!$G21&gt;References!$S$118),References!$M$118,IF(AND('Input HVAC Measures'!$G21&lt;References!$T$119,'Input HVAC Measures'!$G21&gt;References!$S$119),References!$M$119,IF('Input HVAC Measures'!$G21&gt;References!$S$120,References!$M$120,""))))))</f>
        <v>0</v>
      </c>
      <c r="E18" s="107" t="b">
        <f>IF('Input HVAC Measures'!$E21="High Eff. Heat Pump Unit",IF('Input HVAC Measures'!$G21&lt;References!$T$121,References!$M$121,IF(AND('Input HVAC Measures'!$G21&lt;References!$T$122,'Input HVAC Measures'!$G21&gt;References!$S$122),References!$M$122,IF(AND('Input HVAC Measures'!$G21&lt;References!$T$123,'Input HVAC Measures'!$G21&gt;References!$S$123),References!$M$123,IF('Input HVAC Measures'!$G21&gt;References!$S$124,References!$M$124,"")))))</f>
        <v>0</v>
      </c>
      <c r="F18" s="107" t="b">
        <f>IF('Input HVAC Measures'!$E21="High Eff. Heat Pump Unit",IF('Input HVAC Measures'!$G21&lt;References!$T$121,References!$N$121,IF(AND('Input HVAC Measures'!$G21&lt;References!$T$122,'Input HVAC Measures'!$G21&gt;References!$S$122),References!$N$122,IF(AND('Input HVAC Measures'!$G21&lt;References!$T$123,'Input HVAC Measures'!$G21&gt;References!$S$123),References!$N$123,IF('Input HVAC Measures'!$G21&gt;References!$S$124,References!$N$124,"")))))</f>
        <v>0</v>
      </c>
      <c r="H18" s="171">
        <f>IF('Input HVAC Measures'!$E21="High Eff. AC Unit",'Input HVAC Measures'!$G21*12000/1000*References!$K$4*((1/'HVAC Calcs'!$D18)-(1/'Input HVAC Measures'!$K21)),IF('Input HVAC Measures'!$E21="High Eff. Heat Pump Unit",'Input HVAC Measures'!$G21*12000/1000*References!$K$5*((1/'HVAC Calcs'!$E18)-(1/'Input HVAC Measures'!$K21))+'Input HVAC Measures'!$G21*12000/1000*References!$N$5*((1/'HVAC Calcs'!$F18)-(1/'Input HVAC Measures'!$L21)),0))</f>
        <v>0</v>
      </c>
      <c r="I18" s="172" t="b">
        <f>IF('Input HVAC Measures'!$E21="High Eff. AC Unit",'Input HVAC Measures'!$G21*12000/1000*References!$L$4*((1/'HVAC Calcs'!$B18)-(1/'Input HVAC Measures'!$J21)),IF('Input HVAC Measures'!$E21="High Eff. Heat Pump Unit",'Input HVAC Measures'!$G21*12000/1000*References!$L$5*((1/'HVAC Calcs'!$C18)-(1/'Input HVAC Measures'!$J21))))</f>
        <v>0</v>
      </c>
    </row>
    <row r="19" spans="1:9" ht="15">
      <c r="A19">
        <v>17</v>
      </c>
      <c r="B19" s="107" t="b">
        <f>IF('Input HVAC Measures'!$E22="High Eff. AC Unit",IF('Input HVAC Measures'!$G22&lt;References!$T$116,References!$L$116,IF(AND('Input HVAC Measures'!$G22&lt;References!$T$117,'Input HVAC Measures'!$G22&gt;References!$S$117),References!$L$117,IF(AND('Input HVAC Measures'!$G22&lt;References!$T$118,'Input HVAC Measures'!$G22&gt;References!$S$118),References!$L$118,IF(AND('Input HVAC Measures'!$G22&lt;References!$T$119,'Input HVAC Measures'!$G22&gt;References!$S$119),References!$L$119,IF('Input HVAC Measures'!$G22&gt;References!$S$120,References!$L$120,""))))))</f>
        <v>0</v>
      </c>
      <c r="C19" s="107" t="b">
        <f>IF('Input HVAC Measures'!$E22="High Eff. Heat Pump Unit",IF('Input HVAC Measures'!$G22&lt;References!$T$121,References!$L$121,IF(AND('Input HVAC Measures'!$G22&lt;References!$T$122,'Input HVAC Measures'!$G22&gt;References!$S$122),References!$L$122,IF(AND('Input HVAC Measures'!$G22&lt;References!$T$123,'Input HVAC Measures'!$G22&gt;References!$S$123),References!$L$123,IF('Input HVAC Measures'!$G22&gt;References!$S$124,References!$L$124,"")))))</f>
        <v>0</v>
      </c>
      <c r="D19" s="107" t="b">
        <f>IF('Input HVAC Measures'!$E22="High Eff. AC Unit",IF('Input HVAC Measures'!$G22&lt;References!$T$116,References!$M$116,IF(AND('Input HVAC Measures'!$G22&lt;References!$T$117,'Input HVAC Measures'!$G22&gt;References!$S$117),References!$M$117,IF(AND('Input HVAC Measures'!$G22&lt;References!$T$118,'Input HVAC Measures'!$G22&gt;References!$S$118),References!$M$118,IF(AND('Input HVAC Measures'!$G22&lt;References!$T$119,'Input HVAC Measures'!$G22&gt;References!$S$119),References!$M$119,IF('Input HVAC Measures'!$G22&gt;References!$S$120,References!$M$120,""))))))</f>
        <v>0</v>
      </c>
      <c r="E19" s="107" t="b">
        <f>IF('Input HVAC Measures'!$E22="High Eff. Heat Pump Unit",IF('Input HVAC Measures'!$G22&lt;References!$T$121,References!$M$121,IF(AND('Input HVAC Measures'!$G22&lt;References!$T$122,'Input HVAC Measures'!$G22&gt;References!$S$122),References!$M$122,IF(AND('Input HVAC Measures'!$G22&lt;References!$T$123,'Input HVAC Measures'!$G22&gt;References!$S$123),References!$M$123,IF('Input HVAC Measures'!$G22&gt;References!$S$124,References!$M$124,"")))))</f>
        <v>0</v>
      </c>
      <c r="F19" s="107" t="b">
        <f>IF('Input HVAC Measures'!$E22="High Eff. Heat Pump Unit",IF('Input HVAC Measures'!$G22&lt;References!$T$121,References!$N$121,IF(AND('Input HVAC Measures'!$G22&lt;References!$T$122,'Input HVAC Measures'!$G22&gt;References!$S$122),References!$N$122,IF(AND('Input HVAC Measures'!$G22&lt;References!$T$123,'Input HVAC Measures'!$G22&gt;References!$S$123),References!$N$123,IF('Input HVAC Measures'!$G22&gt;References!$S$124,References!$N$124,"")))))</f>
        <v>0</v>
      </c>
      <c r="H19" s="171">
        <f>IF('Input HVAC Measures'!$E22="High Eff. AC Unit",'Input HVAC Measures'!$G22*12000/1000*References!$K$4*((1/'HVAC Calcs'!$D19)-(1/'Input HVAC Measures'!$K22)),IF('Input HVAC Measures'!$E22="High Eff. Heat Pump Unit",'Input HVAC Measures'!$G22*12000/1000*References!$K$5*((1/'HVAC Calcs'!$E19)-(1/'Input HVAC Measures'!$K22))+'Input HVAC Measures'!$G22*12000/1000*References!$N$5*((1/'HVAC Calcs'!$F19)-(1/'Input HVAC Measures'!$L22)),0))</f>
        <v>0</v>
      </c>
      <c r="I19" s="172" t="b">
        <f>IF('Input HVAC Measures'!$E22="High Eff. AC Unit",'Input HVAC Measures'!$G22*12000/1000*References!$L$4*((1/'HVAC Calcs'!$B19)-(1/'Input HVAC Measures'!$J22)),IF('Input HVAC Measures'!$E22="High Eff. Heat Pump Unit",'Input HVAC Measures'!$G22*12000/1000*References!$L$5*((1/'HVAC Calcs'!$C19)-(1/'Input HVAC Measures'!$J22))))</f>
        <v>0</v>
      </c>
    </row>
    <row r="20" spans="1:9" ht="15">
      <c r="A20">
        <v>18</v>
      </c>
      <c r="B20" s="107" t="b">
        <f>IF('Input HVAC Measures'!$E23="High Eff. AC Unit",IF('Input HVAC Measures'!$G23&lt;References!$T$116,References!$L$116,IF(AND('Input HVAC Measures'!$G23&lt;References!$T$117,'Input HVAC Measures'!$G23&gt;References!$S$117),References!$L$117,IF(AND('Input HVAC Measures'!$G23&lt;References!$T$118,'Input HVAC Measures'!$G23&gt;References!$S$118),References!$L$118,IF(AND('Input HVAC Measures'!$G23&lt;References!$T$119,'Input HVAC Measures'!$G23&gt;References!$S$119),References!$L$119,IF('Input HVAC Measures'!$G23&gt;References!$S$120,References!$L$120,""))))))</f>
        <v>0</v>
      </c>
      <c r="C20" s="107" t="b">
        <f>IF('Input HVAC Measures'!$E23="High Eff. Heat Pump Unit",IF('Input HVAC Measures'!$G23&lt;References!$T$121,References!$L$121,IF(AND('Input HVAC Measures'!$G23&lt;References!$T$122,'Input HVAC Measures'!$G23&gt;References!$S$122),References!$L$122,IF(AND('Input HVAC Measures'!$G23&lt;References!$T$123,'Input HVAC Measures'!$G23&gt;References!$S$123),References!$L$123,IF('Input HVAC Measures'!$G23&gt;References!$S$124,References!$L$124,"")))))</f>
        <v>0</v>
      </c>
      <c r="D20" s="107" t="b">
        <f>IF('Input HVAC Measures'!$E23="High Eff. AC Unit",IF('Input HVAC Measures'!$G23&lt;References!$T$116,References!$M$116,IF(AND('Input HVAC Measures'!$G23&lt;References!$T$117,'Input HVAC Measures'!$G23&gt;References!$S$117),References!$M$117,IF(AND('Input HVAC Measures'!$G23&lt;References!$T$118,'Input HVAC Measures'!$G23&gt;References!$S$118),References!$M$118,IF(AND('Input HVAC Measures'!$G23&lt;References!$T$119,'Input HVAC Measures'!$G23&gt;References!$S$119),References!$M$119,IF('Input HVAC Measures'!$G23&gt;References!$S$120,References!$M$120,""))))))</f>
        <v>0</v>
      </c>
      <c r="E20" s="107" t="b">
        <f>IF('Input HVAC Measures'!$E23="High Eff. Heat Pump Unit",IF('Input HVAC Measures'!$G23&lt;References!$T$121,References!$M$121,IF(AND('Input HVAC Measures'!$G23&lt;References!$T$122,'Input HVAC Measures'!$G23&gt;References!$S$122),References!$M$122,IF(AND('Input HVAC Measures'!$G23&lt;References!$T$123,'Input HVAC Measures'!$G23&gt;References!$S$123),References!$M$123,IF('Input HVAC Measures'!$G23&gt;References!$S$124,References!$M$124,"")))))</f>
        <v>0</v>
      </c>
      <c r="F20" s="107" t="b">
        <f>IF('Input HVAC Measures'!$E23="High Eff. Heat Pump Unit",IF('Input HVAC Measures'!$G23&lt;References!$T$121,References!$N$121,IF(AND('Input HVAC Measures'!$G23&lt;References!$T$122,'Input HVAC Measures'!$G23&gt;References!$S$122),References!$N$122,IF(AND('Input HVAC Measures'!$G23&lt;References!$T$123,'Input HVAC Measures'!$G23&gt;References!$S$123),References!$N$123,IF('Input HVAC Measures'!$G23&gt;References!$S$124,References!$N$124,"")))))</f>
        <v>0</v>
      </c>
      <c r="H20" s="171">
        <f>IF('Input HVAC Measures'!$E23="High Eff. AC Unit",'Input HVAC Measures'!$G23*12000/1000*References!$K$4*((1/'HVAC Calcs'!$D20)-(1/'Input HVAC Measures'!$K23)),IF('Input HVAC Measures'!$E23="High Eff. Heat Pump Unit",'Input HVAC Measures'!$G23*12000/1000*References!$K$5*((1/'HVAC Calcs'!$E20)-(1/'Input HVAC Measures'!$K23))+'Input HVAC Measures'!$G23*12000/1000*References!$N$5*((1/'HVAC Calcs'!$F20)-(1/'Input HVAC Measures'!$L23)),0))</f>
        <v>0</v>
      </c>
      <c r="I20" s="172" t="b">
        <f>IF('Input HVAC Measures'!$E23="High Eff. AC Unit",'Input HVAC Measures'!$G23*12000/1000*References!$L$4*((1/'HVAC Calcs'!$B20)-(1/'Input HVAC Measures'!$J23)),IF('Input HVAC Measures'!$E23="High Eff. Heat Pump Unit",'Input HVAC Measures'!$G23*12000/1000*References!$L$5*((1/'HVAC Calcs'!$C20)-(1/'Input HVAC Measures'!$J23))))</f>
        <v>0</v>
      </c>
    </row>
    <row r="21" spans="1:9" ht="15">
      <c r="A21">
        <v>19</v>
      </c>
      <c r="B21" s="107" t="b">
        <f>IF('Input HVAC Measures'!$E24="High Eff. AC Unit",IF('Input HVAC Measures'!$G24&lt;References!$T$116,References!$L$116,IF(AND('Input HVAC Measures'!$G24&lt;References!$T$117,'Input HVAC Measures'!$G24&gt;References!$S$117),References!$L$117,IF(AND('Input HVAC Measures'!$G24&lt;References!$T$118,'Input HVAC Measures'!$G24&gt;References!$S$118),References!$L$118,IF(AND('Input HVAC Measures'!$G24&lt;References!$T$119,'Input HVAC Measures'!$G24&gt;References!$S$119),References!$L$119,IF('Input HVAC Measures'!$G24&gt;References!$S$120,References!$L$120,""))))))</f>
        <v>0</v>
      </c>
      <c r="C21" s="107" t="b">
        <f>IF('Input HVAC Measures'!$E24="High Eff. Heat Pump Unit",IF('Input HVAC Measures'!$G24&lt;References!$T$121,References!$L$121,IF(AND('Input HVAC Measures'!$G24&lt;References!$T$122,'Input HVAC Measures'!$G24&gt;References!$S$122),References!$L$122,IF(AND('Input HVAC Measures'!$G24&lt;References!$T$123,'Input HVAC Measures'!$G24&gt;References!$S$123),References!$L$123,IF('Input HVAC Measures'!$G24&gt;References!$S$124,References!$L$124,"")))))</f>
        <v>0</v>
      </c>
      <c r="D21" s="107" t="b">
        <f>IF('Input HVAC Measures'!$E24="High Eff. AC Unit",IF('Input HVAC Measures'!$G24&lt;References!$T$116,References!$M$116,IF(AND('Input HVAC Measures'!$G24&lt;References!$T$117,'Input HVAC Measures'!$G24&gt;References!$S$117),References!$M$117,IF(AND('Input HVAC Measures'!$G24&lt;References!$T$118,'Input HVAC Measures'!$G24&gt;References!$S$118),References!$M$118,IF(AND('Input HVAC Measures'!$G24&lt;References!$T$119,'Input HVAC Measures'!$G24&gt;References!$S$119),References!$M$119,IF('Input HVAC Measures'!$G24&gt;References!$S$120,References!$M$120,""))))))</f>
        <v>0</v>
      </c>
      <c r="E21" s="107" t="b">
        <f>IF('Input HVAC Measures'!$E24="High Eff. Heat Pump Unit",IF('Input HVAC Measures'!$G24&lt;References!$T$121,References!$M$121,IF(AND('Input HVAC Measures'!$G24&lt;References!$T$122,'Input HVAC Measures'!$G24&gt;References!$S$122),References!$M$122,IF(AND('Input HVAC Measures'!$G24&lt;References!$T$123,'Input HVAC Measures'!$G24&gt;References!$S$123),References!$M$123,IF('Input HVAC Measures'!$G24&gt;References!$S$124,References!$M$124,"")))))</f>
        <v>0</v>
      </c>
      <c r="F21" s="107" t="b">
        <f>IF('Input HVAC Measures'!$E24="High Eff. Heat Pump Unit",IF('Input HVAC Measures'!$G24&lt;References!$T$121,References!$N$121,IF(AND('Input HVAC Measures'!$G24&lt;References!$T$122,'Input HVAC Measures'!$G24&gt;References!$S$122),References!$N$122,IF(AND('Input HVAC Measures'!$G24&lt;References!$T$123,'Input HVAC Measures'!$G24&gt;References!$S$123),References!$N$123,IF('Input HVAC Measures'!$G24&gt;References!$S$124,References!$N$124,"")))))</f>
        <v>0</v>
      </c>
      <c r="H21" s="171">
        <f>IF('Input HVAC Measures'!$E24="High Eff. AC Unit",'Input HVAC Measures'!$G24*12000/1000*References!$K$4*((1/'HVAC Calcs'!$D21)-(1/'Input HVAC Measures'!$K24)),IF('Input HVAC Measures'!$E24="High Eff. Heat Pump Unit",'Input HVAC Measures'!$G24*12000/1000*References!$K$5*((1/'HVAC Calcs'!$E21)-(1/'Input HVAC Measures'!$K24))+'Input HVAC Measures'!$G24*12000/1000*References!$N$5*((1/'HVAC Calcs'!$F21)-(1/'Input HVAC Measures'!$L24)),0))</f>
        <v>0</v>
      </c>
      <c r="I21" s="172" t="b">
        <f>IF('Input HVAC Measures'!$E24="High Eff. AC Unit",'Input HVAC Measures'!$G24*12000/1000*References!$L$4*((1/'HVAC Calcs'!$B21)-(1/'Input HVAC Measures'!$J24)),IF('Input HVAC Measures'!$E24="High Eff. Heat Pump Unit",'Input HVAC Measures'!$G24*12000/1000*References!$L$5*((1/'HVAC Calcs'!$C21)-(1/'Input HVAC Measures'!$J24))))</f>
        <v>0</v>
      </c>
    </row>
    <row r="22" spans="1:9" ht="15">
      <c r="A22">
        <v>20</v>
      </c>
      <c r="B22" s="107" t="b">
        <f>IF('Input HVAC Measures'!$E25="High Eff. AC Unit",IF('Input HVAC Measures'!$G25&lt;References!$T$116,References!$L$116,IF(AND('Input HVAC Measures'!$G25&lt;References!$T$117,'Input HVAC Measures'!$G25&gt;References!$S$117),References!$L$117,IF(AND('Input HVAC Measures'!$G25&lt;References!$T$118,'Input HVAC Measures'!$G25&gt;References!$S$118),References!$L$118,IF(AND('Input HVAC Measures'!$G25&lt;References!$T$119,'Input HVAC Measures'!$G25&gt;References!$S$119),References!$L$119,IF('Input HVAC Measures'!$G25&gt;References!$S$120,References!$L$120,""))))))</f>
        <v>0</v>
      </c>
      <c r="C22" s="107" t="b">
        <f>IF('Input HVAC Measures'!$E25="High Eff. Heat Pump Unit",IF('Input HVAC Measures'!$G25&lt;References!$T$121,References!$L$121,IF(AND('Input HVAC Measures'!$G25&lt;References!$T$122,'Input HVAC Measures'!$G25&gt;References!$S$122),References!$L$122,IF(AND('Input HVAC Measures'!$G25&lt;References!$T$123,'Input HVAC Measures'!$G25&gt;References!$S$123),References!$L$123,IF('Input HVAC Measures'!$G25&gt;References!$S$124,References!$L$124,"")))))</f>
        <v>0</v>
      </c>
      <c r="D22" s="107" t="b">
        <f>IF('Input HVAC Measures'!$E25="High Eff. AC Unit",IF('Input HVAC Measures'!$G25&lt;References!$T$116,References!$M$116,IF(AND('Input HVAC Measures'!$G25&lt;References!$T$117,'Input HVAC Measures'!$G25&gt;References!$S$117),References!$M$117,IF(AND('Input HVAC Measures'!$G25&lt;References!$T$118,'Input HVAC Measures'!$G25&gt;References!$S$118),References!$M$118,IF(AND('Input HVAC Measures'!$G25&lt;References!$T$119,'Input HVAC Measures'!$G25&gt;References!$S$119),References!$M$119,IF('Input HVAC Measures'!$G25&gt;References!$S$120,References!$M$120,""))))))</f>
        <v>0</v>
      </c>
      <c r="E22" s="107" t="b">
        <f>IF('Input HVAC Measures'!$E25="High Eff. Heat Pump Unit",IF('Input HVAC Measures'!$G25&lt;References!$T$121,References!$M$121,IF(AND('Input HVAC Measures'!$G25&lt;References!$T$122,'Input HVAC Measures'!$G25&gt;References!$S$122),References!$M$122,IF(AND('Input HVAC Measures'!$G25&lt;References!$T$123,'Input HVAC Measures'!$G25&gt;References!$S$123),References!$M$123,IF('Input HVAC Measures'!$G25&gt;References!$S$124,References!$M$124,"")))))</f>
        <v>0</v>
      </c>
      <c r="F22" s="107" t="b">
        <f>IF('Input HVAC Measures'!$E25="High Eff. Heat Pump Unit",IF('Input HVAC Measures'!$G25&lt;References!$T$121,References!$N$121,IF(AND('Input HVAC Measures'!$G25&lt;References!$T$122,'Input HVAC Measures'!$G25&gt;References!$S$122),References!$N$122,IF(AND('Input HVAC Measures'!$G25&lt;References!$T$123,'Input HVAC Measures'!$G25&gt;References!$S$123),References!$N$123,IF('Input HVAC Measures'!$G25&gt;References!$S$124,References!$N$124,"")))))</f>
        <v>0</v>
      </c>
      <c r="H22" s="171">
        <f>IF('Input HVAC Measures'!$E25="High Eff. AC Unit",'Input HVAC Measures'!$G25*12000/1000*References!$K$4*((1/'HVAC Calcs'!$D22)-(1/'Input HVAC Measures'!$K25)),IF('Input HVAC Measures'!$E25="High Eff. Heat Pump Unit",'Input HVAC Measures'!$G25*12000/1000*References!$K$5*((1/'HVAC Calcs'!$E22)-(1/'Input HVAC Measures'!$K25))+'Input HVAC Measures'!$G25*12000/1000*References!$N$5*((1/'HVAC Calcs'!$F22)-(1/'Input HVAC Measures'!$L25)),0))</f>
        <v>0</v>
      </c>
      <c r="I22" s="172" t="b">
        <f>IF('Input HVAC Measures'!$E25="High Eff. AC Unit",'Input HVAC Measures'!$G25*12000/1000*References!$L$4*((1/'HVAC Calcs'!$B22)-(1/'Input HVAC Measures'!$J25)),IF('Input HVAC Measures'!$E25="High Eff. Heat Pump Unit",'Input HVAC Measures'!$G25*12000/1000*References!$L$5*((1/'HVAC Calcs'!$C22)-(1/'Input HVAC Measures'!$J25))))</f>
        <v>0</v>
      </c>
    </row>
    <row r="23" spans="1:9" ht="15">
      <c r="A23">
        <v>21</v>
      </c>
      <c r="B23" s="107" t="b">
        <f>IF('Input HVAC Measures'!$E26="High Eff. AC Unit",IF('Input HVAC Measures'!$G26&lt;References!$T$116,References!$L$116,IF(AND('Input HVAC Measures'!$G26&lt;References!$T$117,'Input HVAC Measures'!$G26&gt;References!$S$117),References!$L$117,IF(AND('Input HVAC Measures'!$G26&lt;References!$T$118,'Input HVAC Measures'!$G26&gt;References!$S$118),References!$L$118,IF(AND('Input HVAC Measures'!$G26&lt;References!$T$119,'Input HVAC Measures'!$G26&gt;References!$S$119),References!$L$119,IF('Input HVAC Measures'!$G26&gt;References!$S$120,References!$L$120,""))))))</f>
        <v>0</v>
      </c>
      <c r="C23" s="107" t="b">
        <f>IF('Input HVAC Measures'!$E26="High Eff. Heat Pump Unit",IF('Input HVAC Measures'!$G26&lt;References!$T$121,References!$L$121,IF(AND('Input HVAC Measures'!$G26&lt;References!$T$122,'Input HVAC Measures'!$G26&gt;References!$S$122),References!$L$122,IF(AND('Input HVAC Measures'!$G26&lt;References!$T$123,'Input HVAC Measures'!$G26&gt;References!$S$123),References!$L$123,IF('Input HVAC Measures'!$G26&gt;References!$S$124,References!$L$124,"")))))</f>
        <v>0</v>
      </c>
      <c r="D23" s="107" t="b">
        <f>IF('Input HVAC Measures'!$E26="High Eff. AC Unit",IF('Input HVAC Measures'!$G26&lt;References!$T$116,References!$M$116,IF(AND('Input HVAC Measures'!$G26&lt;References!$T$117,'Input HVAC Measures'!$G26&gt;References!$S$117),References!$M$117,IF(AND('Input HVAC Measures'!$G26&lt;References!$T$118,'Input HVAC Measures'!$G26&gt;References!$S$118),References!$M$118,IF(AND('Input HVAC Measures'!$G26&lt;References!$T$119,'Input HVAC Measures'!$G26&gt;References!$S$119),References!$M$119,IF('Input HVAC Measures'!$G26&gt;References!$S$120,References!$M$120,""))))))</f>
        <v>0</v>
      </c>
      <c r="E23" s="107" t="b">
        <f>IF('Input HVAC Measures'!$E26="High Eff. Heat Pump Unit",IF('Input HVAC Measures'!$G26&lt;References!$T$121,References!$M$121,IF(AND('Input HVAC Measures'!$G26&lt;References!$T$122,'Input HVAC Measures'!$G26&gt;References!$S$122),References!$M$122,IF(AND('Input HVAC Measures'!$G26&lt;References!$T$123,'Input HVAC Measures'!$G26&gt;References!$S$123),References!$M$123,IF('Input HVAC Measures'!$G26&gt;References!$S$124,References!$M$124,"")))))</f>
        <v>0</v>
      </c>
      <c r="F23" s="107" t="b">
        <f>IF('Input HVAC Measures'!$E26="High Eff. Heat Pump Unit",IF('Input HVAC Measures'!$G26&lt;References!$T$121,References!$N$121,IF(AND('Input HVAC Measures'!$G26&lt;References!$T$122,'Input HVAC Measures'!$G26&gt;References!$S$122),References!$N$122,IF(AND('Input HVAC Measures'!$G26&lt;References!$T$123,'Input HVAC Measures'!$G26&gt;References!$S$123),References!$N$123,IF('Input HVAC Measures'!$G26&gt;References!$S$124,References!$N$124,"")))))</f>
        <v>0</v>
      </c>
      <c r="H23" s="171">
        <f>IF('Input HVAC Measures'!$E26="High Eff. AC Unit",'Input HVAC Measures'!$G26*12000/1000*References!$K$4*((1/'HVAC Calcs'!$D23)-(1/'Input HVAC Measures'!$K26)),IF('Input HVAC Measures'!$E26="High Eff. Heat Pump Unit",'Input HVAC Measures'!$G26*12000/1000*References!$K$5*((1/'HVAC Calcs'!$E23)-(1/'Input HVAC Measures'!$K26))+'Input HVAC Measures'!$G26*12000/1000*References!$N$5*((1/'HVAC Calcs'!$F23)-(1/'Input HVAC Measures'!$L26)),0))</f>
        <v>0</v>
      </c>
      <c r="I23" s="172" t="b">
        <f>IF('Input HVAC Measures'!$E26="High Eff. AC Unit",'Input HVAC Measures'!$G26*12000/1000*References!$L$4*((1/'HVAC Calcs'!$B23)-(1/'Input HVAC Measures'!$J26)),IF('Input HVAC Measures'!$E26="High Eff. Heat Pump Unit",'Input HVAC Measures'!$G26*12000/1000*References!$L$5*((1/'HVAC Calcs'!$C23)-(1/'Input HVAC Measures'!$J26))))</f>
        <v>0</v>
      </c>
    </row>
    <row r="24" spans="1:9" ht="15">
      <c r="A24">
        <v>22</v>
      </c>
      <c r="B24" s="107" t="b">
        <f>IF('Input HVAC Measures'!$E27="High Eff. AC Unit",IF('Input HVAC Measures'!$G27&lt;References!$T$116,References!$L$116,IF(AND('Input HVAC Measures'!$G27&lt;References!$T$117,'Input HVAC Measures'!$G27&gt;References!$S$117),References!$L$117,IF(AND('Input HVAC Measures'!$G27&lt;References!$T$118,'Input HVAC Measures'!$G27&gt;References!$S$118),References!$L$118,IF(AND('Input HVAC Measures'!$G27&lt;References!$T$119,'Input HVAC Measures'!$G27&gt;References!$S$119),References!$L$119,IF('Input HVAC Measures'!$G27&gt;References!$S$120,References!$L$120,""))))))</f>
        <v>0</v>
      </c>
      <c r="C24" s="107" t="b">
        <f>IF('Input HVAC Measures'!$E27="High Eff. Heat Pump Unit",IF('Input HVAC Measures'!$G27&lt;References!$T$121,References!$L$121,IF(AND('Input HVAC Measures'!$G27&lt;References!$T$122,'Input HVAC Measures'!$G27&gt;References!$S$122),References!$L$122,IF(AND('Input HVAC Measures'!$G27&lt;References!$T$123,'Input HVAC Measures'!$G27&gt;References!$S$123),References!$L$123,IF('Input HVAC Measures'!$G27&gt;References!$S$124,References!$L$124,"")))))</f>
        <v>0</v>
      </c>
      <c r="D24" s="107" t="b">
        <f>IF('Input HVAC Measures'!$E27="High Eff. AC Unit",IF('Input HVAC Measures'!$G27&lt;References!$T$116,References!$M$116,IF(AND('Input HVAC Measures'!$G27&lt;References!$T$117,'Input HVAC Measures'!$G27&gt;References!$S$117),References!$M$117,IF(AND('Input HVAC Measures'!$G27&lt;References!$T$118,'Input HVAC Measures'!$G27&gt;References!$S$118),References!$M$118,IF(AND('Input HVAC Measures'!$G27&lt;References!$T$119,'Input HVAC Measures'!$G27&gt;References!$S$119),References!$M$119,IF('Input HVAC Measures'!$G27&gt;References!$S$120,References!$M$120,""))))))</f>
        <v>0</v>
      </c>
      <c r="E24" s="107" t="b">
        <f>IF('Input HVAC Measures'!$E27="High Eff. Heat Pump Unit",IF('Input HVAC Measures'!$G27&lt;References!$T$121,References!$M$121,IF(AND('Input HVAC Measures'!$G27&lt;References!$T$122,'Input HVAC Measures'!$G27&gt;References!$S$122),References!$M$122,IF(AND('Input HVAC Measures'!$G27&lt;References!$T$123,'Input HVAC Measures'!$G27&gt;References!$S$123),References!$M$123,IF('Input HVAC Measures'!$G27&gt;References!$S$124,References!$M$124,"")))))</f>
        <v>0</v>
      </c>
      <c r="F24" s="107" t="b">
        <f>IF('Input HVAC Measures'!$E27="High Eff. Heat Pump Unit",IF('Input HVAC Measures'!$G27&lt;References!$T$121,References!$N$121,IF(AND('Input HVAC Measures'!$G27&lt;References!$T$122,'Input HVAC Measures'!$G27&gt;References!$S$122),References!$N$122,IF(AND('Input HVAC Measures'!$G27&lt;References!$T$123,'Input HVAC Measures'!$G27&gt;References!$S$123),References!$N$123,IF('Input HVAC Measures'!$G27&gt;References!$S$124,References!$N$124,"")))))</f>
        <v>0</v>
      </c>
      <c r="H24" s="171">
        <f>IF('Input HVAC Measures'!$E27="High Eff. AC Unit",'Input HVAC Measures'!$G27*12000/1000*References!$K$4*((1/'HVAC Calcs'!$D24)-(1/'Input HVAC Measures'!$K27)),IF('Input HVAC Measures'!$E27="High Eff. Heat Pump Unit",'Input HVAC Measures'!$G27*12000/1000*References!$K$5*((1/'HVAC Calcs'!$E24)-(1/'Input HVAC Measures'!$K27))+'Input HVAC Measures'!$G27*12000/1000*References!$N$5*((1/'HVAC Calcs'!$F24)-(1/'Input HVAC Measures'!$L27)),0))</f>
        <v>0</v>
      </c>
      <c r="I24" s="172" t="b">
        <f>IF('Input HVAC Measures'!$E27="High Eff. AC Unit",'Input HVAC Measures'!$G27*12000/1000*References!$L$4*((1/'HVAC Calcs'!$B24)-(1/'Input HVAC Measures'!$J27)),IF('Input HVAC Measures'!$E27="High Eff. Heat Pump Unit",'Input HVAC Measures'!$G27*12000/1000*References!$L$5*((1/'HVAC Calcs'!$C24)-(1/'Input HVAC Measures'!$J27))))</f>
        <v>0</v>
      </c>
    </row>
    <row r="25" spans="1:9" ht="15">
      <c r="A25">
        <v>23</v>
      </c>
      <c r="B25" s="107" t="b">
        <f>IF('Input HVAC Measures'!$E28="High Eff. AC Unit",IF('Input HVAC Measures'!$G28&lt;References!$T$116,References!$L$116,IF(AND('Input HVAC Measures'!$G28&lt;References!$T$117,'Input HVAC Measures'!$G28&gt;References!$S$117),References!$L$117,IF(AND('Input HVAC Measures'!$G28&lt;References!$T$118,'Input HVAC Measures'!$G28&gt;References!$S$118),References!$L$118,IF(AND('Input HVAC Measures'!$G28&lt;References!$T$119,'Input HVAC Measures'!$G28&gt;References!$S$119),References!$L$119,IF('Input HVAC Measures'!$G28&gt;References!$S$120,References!$L$120,""))))))</f>
        <v>0</v>
      </c>
      <c r="C25" s="107" t="b">
        <f>IF('Input HVAC Measures'!$E28="High Eff. Heat Pump Unit",IF('Input HVAC Measures'!$G28&lt;References!$T$121,References!$L$121,IF(AND('Input HVAC Measures'!$G28&lt;References!$T$122,'Input HVAC Measures'!$G28&gt;References!$S$122),References!$L$122,IF(AND('Input HVAC Measures'!$G28&lt;References!$T$123,'Input HVAC Measures'!$G28&gt;References!$S$123),References!$L$123,IF('Input HVAC Measures'!$G28&gt;References!$S$124,References!$L$124,"")))))</f>
        <v>0</v>
      </c>
      <c r="D25" s="107" t="b">
        <f>IF('Input HVAC Measures'!$E28="High Eff. AC Unit",IF('Input HVAC Measures'!$G28&lt;References!$T$116,References!$M$116,IF(AND('Input HVAC Measures'!$G28&lt;References!$T$117,'Input HVAC Measures'!$G28&gt;References!$S$117),References!$M$117,IF(AND('Input HVAC Measures'!$G28&lt;References!$T$118,'Input HVAC Measures'!$G28&gt;References!$S$118),References!$M$118,IF(AND('Input HVAC Measures'!$G28&lt;References!$T$119,'Input HVAC Measures'!$G28&gt;References!$S$119),References!$M$119,IF('Input HVAC Measures'!$G28&gt;References!$S$120,References!$M$120,""))))))</f>
        <v>0</v>
      </c>
      <c r="E25" s="107" t="b">
        <f>IF('Input HVAC Measures'!$E28="High Eff. Heat Pump Unit",IF('Input HVAC Measures'!$G28&lt;References!$T$121,References!$M$121,IF(AND('Input HVAC Measures'!$G28&lt;References!$T$122,'Input HVAC Measures'!$G28&gt;References!$S$122),References!$M$122,IF(AND('Input HVAC Measures'!$G28&lt;References!$T$123,'Input HVAC Measures'!$G28&gt;References!$S$123),References!$M$123,IF('Input HVAC Measures'!$G28&gt;References!$S$124,References!$M$124,"")))))</f>
        <v>0</v>
      </c>
      <c r="F25" s="107" t="b">
        <f>IF('Input HVAC Measures'!$E28="High Eff. Heat Pump Unit",IF('Input HVAC Measures'!$G28&lt;References!$T$121,References!$N$121,IF(AND('Input HVAC Measures'!$G28&lt;References!$T$122,'Input HVAC Measures'!$G28&gt;References!$S$122),References!$N$122,IF(AND('Input HVAC Measures'!$G28&lt;References!$T$123,'Input HVAC Measures'!$G28&gt;References!$S$123),References!$N$123,IF('Input HVAC Measures'!$G28&gt;References!$S$124,References!$N$124,"")))))</f>
        <v>0</v>
      </c>
      <c r="H25" s="171">
        <f>IF('Input HVAC Measures'!$E28="High Eff. AC Unit",'Input HVAC Measures'!$G28*12000/1000*References!$K$4*((1/'HVAC Calcs'!$D25)-(1/'Input HVAC Measures'!$K28)),IF('Input HVAC Measures'!$E28="High Eff. Heat Pump Unit",'Input HVAC Measures'!$G28*12000/1000*References!$K$5*((1/'HVAC Calcs'!$E25)-(1/'Input HVAC Measures'!$K28))+'Input HVAC Measures'!$G28*12000/1000*References!$N$5*((1/'HVAC Calcs'!$F25)-(1/'Input HVAC Measures'!$L28)),0))</f>
        <v>0</v>
      </c>
      <c r="I25" s="172" t="b">
        <f>IF('Input HVAC Measures'!$E28="High Eff. AC Unit",'Input HVAC Measures'!$G28*12000/1000*References!$L$4*((1/'HVAC Calcs'!$B25)-(1/'Input HVAC Measures'!$J28)),IF('Input HVAC Measures'!$E28="High Eff. Heat Pump Unit",'Input HVAC Measures'!$G28*12000/1000*References!$L$5*((1/'HVAC Calcs'!$C25)-(1/'Input HVAC Measures'!$J28))))</f>
        <v>0</v>
      </c>
    </row>
    <row r="26" spans="1:9" ht="15">
      <c r="A26">
        <v>24</v>
      </c>
      <c r="B26" s="107" t="b">
        <f>IF('Input HVAC Measures'!$E29="High Eff. AC Unit",IF('Input HVAC Measures'!$G29&lt;References!$T$116,References!$L$116,IF(AND('Input HVAC Measures'!$G29&lt;References!$T$117,'Input HVAC Measures'!$G29&gt;References!$S$117),References!$L$117,IF(AND('Input HVAC Measures'!$G29&lt;References!$T$118,'Input HVAC Measures'!$G29&gt;References!$S$118),References!$L$118,IF(AND('Input HVAC Measures'!$G29&lt;References!$T$119,'Input HVAC Measures'!$G29&gt;References!$S$119),References!$L$119,IF('Input HVAC Measures'!$G29&gt;References!$S$120,References!$L$120,""))))))</f>
        <v>0</v>
      </c>
      <c r="C26" s="107" t="b">
        <f>IF('Input HVAC Measures'!$E29="High Eff. Heat Pump Unit",IF('Input HVAC Measures'!$G29&lt;References!$T$121,References!$L$121,IF(AND('Input HVAC Measures'!$G29&lt;References!$T$122,'Input HVAC Measures'!$G29&gt;References!$S$122),References!$L$122,IF(AND('Input HVAC Measures'!$G29&lt;References!$T$123,'Input HVAC Measures'!$G29&gt;References!$S$123),References!$L$123,IF('Input HVAC Measures'!$G29&gt;References!$S$124,References!$L$124,"")))))</f>
        <v>0</v>
      </c>
      <c r="D26" s="107" t="b">
        <f>IF('Input HVAC Measures'!$E29="High Eff. AC Unit",IF('Input HVAC Measures'!$G29&lt;References!$T$116,References!$M$116,IF(AND('Input HVAC Measures'!$G29&lt;References!$T$117,'Input HVAC Measures'!$G29&gt;References!$S$117),References!$M$117,IF(AND('Input HVAC Measures'!$G29&lt;References!$T$118,'Input HVAC Measures'!$G29&gt;References!$S$118),References!$M$118,IF(AND('Input HVAC Measures'!$G29&lt;References!$T$119,'Input HVAC Measures'!$G29&gt;References!$S$119),References!$M$119,IF('Input HVAC Measures'!$G29&gt;References!$S$120,References!$M$120,""))))))</f>
        <v>0</v>
      </c>
      <c r="E26" s="107" t="b">
        <f>IF('Input HVAC Measures'!$E29="High Eff. Heat Pump Unit",IF('Input HVAC Measures'!$G29&lt;References!$T$121,References!$M$121,IF(AND('Input HVAC Measures'!$G29&lt;References!$T$122,'Input HVAC Measures'!$G29&gt;References!$S$122),References!$M$122,IF(AND('Input HVAC Measures'!$G29&lt;References!$T$123,'Input HVAC Measures'!$G29&gt;References!$S$123),References!$M$123,IF('Input HVAC Measures'!$G29&gt;References!$S$124,References!$M$124,"")))))</f>
        <v>0</v>
      </c>
      <c r="F26" s="107" t="b">
        <f>IF('Input HVAC Measures'!$E29="High Eff. Heat Pump Unit",IF('Input HVAC Measures'!$G29&lt;References!$T$121,References!$N$121,IF(AND('Input HVAC Measures'!$G29&lt;References!$T$122,'Input HVAC Measures'!$G29&gt;References!$S$122),References!$N$122,IF(AND('Input HVAC Measures'!$G29&lt;References!$T$123,'Input HVAC Measures'!$G29&gt;References!$S$123),References!$N$123,IF('Input HVAC Measures'!$G29&gt;References!$S$124,References!$N$124,"")))))</f>
        <v>0</v>
      </c>
      <c r="H26" s="171">
        <f>IF('Input HVAC Measures'!$E29="High Eff. AC Unit",'Input HVAC Measures'!$G29*12000/1000*References!$K$4*((1/'HVAC Calcs'!$D26)-(1/'Input HVAC Measures'!$K29)),IF('Input HVAC Measures'!$E29="High Eff. Heat Pump Unit",'Input HVAC Measures'!$G29*12000/1000*References!$K$5*((1/'HVAC Calcs'!$E26)-(1/'Input HVAC Measures'!$K29))+'Input HVAC Measures'!$G29*12000/1000*References!$N$5*((1/'HVAC Calcs'!$F26)-(1/'Input HVAC Measures'!$L29)),0))</f>
        <v>0</v>
      </c>
      <c r="I26" s="172" t="b">
        <f>IF('Input HVAC Measures'!$E29="High Eff. AC Unit",'Input HVAC Measures'!$G29*12000/1000*References!$L$4*((1/'HVAC Calcs'!$B26)-(1/'Input HVAC Measures'!$J29)),IF('Input HVAC Measures'!$E29="High Eff. Heat Pump Unit",'Input HVAC Measures'!$G29*12000/1000*References!$L$5*((1/'HVAC Calcs'!$C26)-(1/'Input HVAC Measures'!$J29))))</f>
        <v>0</v>
      </c>
    </row>
    <row r="27" spans="1:9" ht="15">
      <c r="A27">
        <v>25</v>
      </c>
      <c r="B27" s="107" t="b">
        <f>IF('Input HVAC Measures'!$E30="High Eff. AC Unit",IF('Input HVAC Measures'!$G30&lt;References!$T$116,References!$L$116,IF(AND('Input HVAC Measures'!$G30&lt;References!$T$117,'Input HVAC Measures'!$G30&gt;References!$S$117),References!$L$117,IF(AND('Input HVAC Measures'!$G30&lt;References!$T$118,'Input HVAC Measures'!$G30&gt;References!$S$118),References!$L$118,IF(AND('Input HVAC Measures'!$G30&lt;References!$T$119,'Input HVAC Measures'!$G30&gt;References!$S$119),References!$L$119,IF('Input HVAC Measures'!$G30&gt;References!$S$120,References!$L$120,""))))))</f>
        <v>0</v>
      </c>
      <c r="C27" s="107" t="b">
        <f>IF('Input HVAC Measures'!$E30="High Eff. Heat Pump Unit",IF('Input HVAC Measures'!$G30&lt;References!$T$121,References!$L$121,IF(AND('Input HVAC Measures'!$G30&lt;References!$T$122,'Input HVAC Measures'!$G30&gt;References!$S$122),References!$L$122,IF(AND('Input HVAC Measures'!$G30&lt;References!$T$123,'Input HVAC Measures'!$G30&gt;References!$S$123),References!$L$123,IF('Input HVAC Measures'!$G30&gt;References!$S$124,References!$L$124,"")))))</f>
        <v>0</v>
      </c>
      <c r="D27" s="107" t="b">
        <f>IF('Input HVAC Measures'!$E30="High Eff. AC Unit",IF('Input HVAC Measures'!$G30&lt;References!$T$116,References!$M$116,IF(AND('Input HVAC Measures'!$G30&lt;References!$T$117,'Input HVAC Measures'!$G30&gt;References!$S$117),References!$M$117,IF(AND('Input HVAC Measures'!$G30&lt;References!$T$118,'Input HVAC Measures'!$G30&gt;References!$S$118),References!$M$118,IF(AND('Input HVAC Measures'!$G30&lt;References!$T$119,'Input HVAC Measures'!$G30&gt;References!$S$119),References!$M$119,IF('Input HVAC Measures'!$G30&gt;References!$S$120,References!$M$120,""))))))</f>
        <v>0</v>
      </c>
      <c r="E27" s="107" t="b">
        <f>IF('Input HVAC Measures'!$E30="High Eff. Heat Pump Unit",IF('Input HVAC Measures'!$G30&lt;References!$T$121,References!$M$121,IF(AND('Input HVAC Measures'!$G30&lt;References!$T$122,'Input HVAC Measures'!$G30&gt;References!$S$122),References!$M$122,IF(AND('Input HVAC Measures'!$G30&lt;References!$T$123,'Input HVAC Measures'!$G30&gt;References!$S$123),References!$M$123,IF('Input HVAC Measures'!$G30&gt;References!$S$124,References!$M$124,"")))))</f>
        <v>0</v>
      </c>
      <c r="F27" s="107" t="b">
        <f>IF('Input HVAC Measures'!$E30="High Eff. Heat Pump Unit",IF('Input HVAC Measures'!$G30&lt;References!$T$121,References!$N$121,IF(AND('Input HVAC Measures'!$G30&lt;References!$T$122,'Input HVAC Measures'!$G30&gt;References!$S$122),References!$N$122,IF(AND('Input HVAC Measures'!$G30&lt;References!$T$123,'Input HVAC Measures'!$G30&gt;References!$S$123),References!$N$123,IF('Input HVAC Measures'!$G30&gt;References!$S$124,References!$N$124,"")))))</f>
        <v>0</v>
      </c>
      <c r="H27" s="171">
        <f>IF('Input HVAC Measures'!$E30="High Eff. AC Unit",'Input HVAC Measures'!$G30*12000/1000*References!$K$4*((1/'HVAC Calcs'!$D27)-(1/'Input HVAC Measures'!$K30)),IF('Input HVAC Measures'!$E30="High Eff. Heat Pump Unit",'Input HVAC Measures'!$G30*12000/1000*References!$K$5*((1/'HVAC Calcs'!$E27)-(1/'Input HVAC Measures'!$K30))+'Input HVAC Measures'!$G30*12000/1000*References!$N$5*((1/'HVAC Calcs'!$F27)-(1/'Input HVAC Measures'!$L30)),0))</f>
        <v>0</v>
      </c>
      <c r="I27" s="172" t="b">
        <f>IF('Input HVAC Measures'!$E30="High Eff. AC Unit",'Input HVAC Measures'!$G30*12000/1000*References!$L$4*((1/'HVAC Calcs'!$B27)-(1/'Input HVAC Measures'!$J30)),IF('Input HVAC Measures'!$E30="High Eff. Heat Pump Unit",'Input HVAC Measures'!$G30*12000/1000*References!$L$5*((1/'HVAC Calcs'!$C27)-(1/'Input HVAC Measures'!$J30))))</f>
        <v>0</v>
      </c>
    </row>
    <row r="28" spans="1:9" ht="15">
      <c r="A28">
        <v>26</v>
      </c>
      <c r="B28" s="107" t="b">
        <f>IF('Input HVAC Measures'!$E31="High Eff. AC Unit",IF('Input HVAC Measures'!$G31&lt;References!$T$116,References!$L$116,IF(AND('Input HVAC Measures'!$G31&lt;References!$T$117,'Input HVAC Measures'!$G31&gt;References!$S$117),References!$L$117,IF(AND('Input HVAC Measures'!$G31&lt;References!$T$118,'Input HVAC Measures'!$G31&gt;References!$S$118),References!$L$118,IF(AND('Input HVAC Measures'!$G31&lt;References!$T$119,'Input HVAC Measures'!$G31&gt;References!$S$119),References!$L$119,IF('Input HVAC Measures'!$G31&gt;References!$S$120,References!$L$120,""))))))</f>
        <v>0</v>
      </c>
      <c r="C28" s="107" t="b">
        <f>IF('Input HVAC Measures'!$E31="High Eff. Heat Pump Unit",IF('Input HVAC Measures'!$G31&lt;References!$T$121,References!$L$121,IF(AND('Input HVAC Measures'!$G31&lt;References!$T$122,'Input HVAC Measures'!$G31&gt;References!$S$122),References!$L$122,IF(AND('Input HVAC Measures'!$G31&lt;References!$T$123,'Input HVAC Measures'!$G31&gt;References!$S$123),References!$L$123,IF('Input HVAC Measures'!$G31&gt;References!$S$124,References!$L$124,"")))))</f>
        <v>0</v>
      </c>
      <c r="D28" s="107" t="b">
        <f>IF('Input HVAC Measures'!$E31="High Eff. AC Unit",IF('Input HVAC Measures'!$G31&lt;References!$T$116,References!$M$116,IF(AND('Input HVAC Measures'!$G31&lt;References!$T$117,'Input HVAC Measures'!$G31&gt;References!$S$117),References!$M$117,IF(AND('Input HVAC Measures'!$G31&lt;References!$T$118,'Input HVAC Measures'!$G31&gt;References!$S$118),References!$M$118,IF(AND('Input HVAC Measures'!$G31&lt;References!$T$119,'Input HVAC Measures'!$G31&gt;References!$S$119),References!$M$119,IF('Input HVAC Measures'!$G31&gt;References!$S$120,References!$M$120,""))))))</f>
        <v>0</v>
      </c>
      <c r="E28" s="107" t="b">
        <f>IF('Input HVAC Measures'!$E31="High Eff. Heat Pump Unit",IF('Input HVAC Measures'!$G31&lt;References!$T$121,References!$M$121,IF(AND('Input HVAC Measures'!$G31&lt;References!$T$122,'Input HVAC Measures'!$G31&gt;References!$S$122),References!$M$122,IF(AND('Input HVAC Measures'!$G31&lt;References!$T$123,'Input HVAC Measures'!$G31&gt;References!$S$123),References!$M$123,IF('Input HVAC Measures'!$G31&gt;References!$S$124,References!$M$124,"")))))</f>
        <v>0</v>
      </c>
      <c r="F28" s="107" t="b">
        <f>IF('Input HVAC Measures'!$E31="High Eff. Heat Pump Unit",IF('Input HVAC Measures'!$G31&lt;References!$T$121,References!$N$121,IF(AND('Input HVAC Measures'!$G31&lt;References!$T$122,'Input HVAC Measures'!$G31&gt;References!$S$122),References!$N$122,IF(AND('Input HVAC Measures'!$G31&lt;References!$T$123,'Input HVAC Measures'!$G31&gt;References!$S$123),References!$N$123,IF('Input HVAC Measures'!$G31&gt;References!$S$124,References!$N$124,"")))))</f>
        <v>0</v>
      </c>
      <c r="H28" s="171">
        <f>IF('Input HVAC Measures'!$E31="High Eff. AC Unit",'Input HVAC Measures'!$G31*12000/1000*References!$K$4*((1/'HVAC Calcs'!$D28)-(1/'Input HVAC Measures'!$K31)),IF('Input HVAC Measures'!$E31="High Eff. Heat Pump Unit",'Input HVAC Measures'!$G31*12000/1000*References!$K$5*((1/'HVAC Calcs'!$E28)-(1/'Input HVAC Measures'!$K31))+'Input HVAC Measures'!$G31*12000/1000*References!$N$5*((1/'HVAC Calcs'!$F28)-(1/'Input HVAC Measures'!$L31)),0))</f>
        <v>0</v>
      </c>
      <c r="I28" s="172" t="b">
        <f>IF('Input HVAC Measures'!$E31="High Eff. AC Unit",'Input HVAC Measures'!$G31*12000/1000*References!$L$4*((1/'HVAC Calcs'!$B28)-(1/'Input HVAC Measures'!$J31)),IF('Input HVAC Measures'!$E31="High Eff. Heat Pump Unit",'Input HVAC Measures'!$G31*12000/1000*References!$L$5*((1/'HVAC Calcs'!$C28)-(1/'Input HVAC Measures'!$J31))))</f>
        <v>0</v>
      </c>
    </row>
    <row r="29" spans="1:9" ht="15">
      <c r="A29">
        <v>27</v>
      </c>
      <c r="B29" s="107" t="b">
        <f>IF('Input HVAC Measures'!$E32="High Eff. AC Unit",IF('Input HVAC Measures'!$G32&lt;References!$T$116,References!$L$116,IF(AND('Input HVAC Measures'!$G32&lt;References!$T$117,'Input HVAC Measures'!$G32&gt;References!$S$117),References!$L$117,IF(AND('Input HVAC Measures'!$G32&lt;References!$T$118,'Input HVAC Measures'!$G32&gt;References!$S$118),References!$L$118,IF(AND('Input HVAC Measures'!$G32&lt;References!$T$119,'Input HVAC Measures'!$G32&gt;References!$S$119),References!$L$119,IF('Input HVAC Measures'!$G32&gt;References!$S$120,References!$L$120,""))))))</f>
        <v>0</v>
      </c>
      <c r="C29" s="107" t="b">
        <f>IF('Input HVAC Measures'!$E32="High Eff. Heat Pump Unit",IF('Input HVAC Measures'!$G32&lt;References!$T$121,References!$L$121,IF(AND('Input HVAC Measures'!$G32&lt;References!$T$122,'Input HVAC Measures'!$G32&gt;References!$S$122),References!$L$122,IF(AND('Input HVAC Measures'!$G32&lt;References!$T$123,'Input HVAC Measures'!$G32&gt;References!$S$123),References!$L$123,IF('Input HVAC Measures'!$G32&gt;References!$S$124,References!$L$124,"")))))</f>
        <v>0</v>
      </c>
      <c r="D29" s="107" t="b">
        <f>IF('Input HVAC Measures'!$E32="High Eff. AC Unit",IF('Input HVAC Measures'!$G32&lt;References!$T$116,References!$M$116,IF(AND('Input HVAC Measures'!$G32&lt;References!$T$117,'Input HVAC Measures'!$G32&gt;References!$S$117),References!$M$117,IF(AND('Input HVAC Measures'!$G32&lt;References!$T$118,'Input HVAC Measures'!$G32&gt;References!$S$118),References!$M$118,IF(AND('Input HVAC Measures'!$G32&lt;References!$T$119,'Input HVAC Measures'!$G32&gt;References!$S$119),References!$M$119,IF('Input HVAC Measures'!$G32&gt;References!$S$120,References!$M$120,""))))))</f>
        <v>0</v>
      </c>
      <c r="E29" s="107" t="b">
        <f>IF('Input HVAC Measures'!$E32="High Eff. Heat Pump Unit",IF('Input HVAC Measures'!$G32&lt;References!$T$121,References!$M$121,IF(AND('Input HVAC Measures'!$G32&lt;References!$T$122,'Input HVAC Measures'!$G32&gt;References!$S$122),References!$M$122,IF(AND('Input HVAC Measures'!$G32&lt;References!$T$123,'Input HVAC Measures'!$G32&gt;References!$S$123),References!$M$123,IF('Input HVAC Measures'!$G32&gt;References!$S$124,References!$M$124,"")))))</f>
        <v>0</v>
      </c>
      <c r="F29" s="107" t="b">
        <f>IF('Input HVAC Measures'!$E32="High Eff. Heat Pump Unit",IF('Input HVAC Measures'!$G32&lt;References!$T$121,References!$N$121,IF(AND('Input HVAC Measures'!$G32&lt;References!$T$122,'Input HVAC Measures'!$G32&gt;References!$S$122),References!$N$122,IF(AND('Input HVAC Measures'!$G32&lt;References!$T$123,'Input HVAC Measures'!$G32&gt;References!$S$123),References!$N$123,IF('Input HVAC Measures'!$G32&gt;References!$S$124,References!$N$124,"")))))</f>
        <v>0</v>
      </c>
      <c r="H29" s="171">
        <f>IF('Input HVAC Measures'!$E32="High Eff. AC Unit",'Input HVAC Measures'!$G32*12000/1000*References!$K$4*((1/'HVAC Calcs'!$D29)-(1/'Input HVAC Measures'!$K32)),IF('Input HVAC Measures'!$E32="High Eff. Heat Pump Unit",'Input HVAC Measures'!$G32*12000/1000*References!$K$5*((1/'HVAC Calcs'!$E29)-(1/'Input HVAC Measures'!$K32))+'Input HVAC Measures'!$G32*12000/1000*References!$N$5*((1/'HVAC Calcs'!$F29)-(1/'Input HVAC Measures'!$L32)),0))</f>
        <v>0</v>
      </c>
      <c r="I29" s="172" t="b">
        <f>IF('Input HVAC Measures'!$E32="High Eff. AC Unit",'Input HVAC Measures'!$G32*12000/1000*References!$L$4*((1/'HVAC Calcs'!$B29)-(1/'Input HVAC Measures'!$J32)),IF('Input HVAC Measures'!$E32="High Eff. Heat Pump Unit",'Input HVAC Measures'!$G32*12000/1000*References!$L$5*((1/'HVAC Calcs'!$C29)-(1/'Input HVAC Measures'!$J32))))</f>
        <v>0</v>
      </c>
    </row>
    <row r="30" spans="1:9" ht="15">
      <c r="A30">
        <v>28</v>
      </c>
      <c r="B30" s="107" t="b">
        <f>IF('Input HVAC Measures'!$E33="High Eff. AC Unit",IF('Input HVAC Measures'!$G33&lt;References!$T$116,References!$L$116,IF(AND('Input HVAC Measures'!$G33&lt;References!$T$117,'Input HVAC Measures'!$G33&gt;References!$S$117),References!$L$117,IF(AND('Input HVAC Measures'!$G33&lt;References!$T$118,'Input HVAC Measures'!$G33&gt;References!$S$118),References!$L$118,IF(AND('Input HVAC Measures'!$G33&lt;References!$T$119,'Input HVAC Measures'!$G33&gt;References!$S$119),References!$L$119,IF('Input HVAC Measures'!$G33&gt;References!$S$120,References!$L$120,""))))))</f>
        <v>0</v>
      </c>
      <c r="C30" s="107" t="b">
        <f>IF('Input HVAC Measures'!$E33="High Eff. Heat Pump Unit",IF('Input HVAC Measures'!$G33&lt;References!$T$121,References!$L$121,IF(AND('Input HVAC Measures'!$G33&lt;References!$T$122,'Input HVAC Measures'!$G33&gt;References!$S$122),References!$L$122,IF(AND('Input HVAC Measures'!$G33&lt;References!$T$123,'Input HVAC Measures'!$G33&gt;References!$S$123),References!$L$123,IF('Input HVAC Measures'!$G33&gt;References!$S$124,References!$L$124,"")))))</f>
        <v>0</v>
      </c>
      <c r="D30" s="107" t="b">
        <f>IF('Input HVAC Measures'!$E33="High Eff. AC Unit",IF('Input HVAC Measures'!$G33&lt;References!$T$116,References!$M$116,IF(AND('Input HVAC Measures'!$G33&lt;References!$T$117,'Input HVAC Measures'!$G33&gt;References!$S$117),References!$M$117,IF(AND('Input HVAC Measures'!$G33&lt;References!$T$118,'Input HVAC Measures'!$G33&gt;References!$S$118),References!$M$118,IF(AND('Input HVAC Measures'!$G33&lt;References!$T$119,'Input HVAC Measures'!$G33&gt;References!$S$119),References!$M$119,IF('Input HVAC Measures'!$G33&gt;References!$S$120,References!$M$120,""))))))</f>
        <v>0</v>
      </c>
      <c r="E30" s="107" t="b">
        <f>IF('Input HVAC Measures'!$E33="High Eff. Heat Pump Unit",IF('Input HVAC Measures'!$G33&lt;References!$T$121,References!$M$121,IF(AND('Input HVAC Measures'!$G33&lt;References!$T$122,'Input HVAC Measures'!$G33&gt;References!$S$122),References!$M$122,IF(AND('Input HVAC Measures'!$G33&lt;References!$T$123,'Input HVAC Measures'!$G33&gt;References!$S$123),References!$M$123,IF('Input HVAC Measures'!$G33&gt;References!$S$124,References!$M$124,"")))))</f>
        <v>0</v>
      </c>
      <c r="F30" s="107" t="b">
        <f>IF('Input HVAC Measures'!$E33="High Eff. Heat Pump Unit",IF('Input HVAC Measures'!$G33&lt;References!$T$121,References!$N$121,IF(AND('Input HVAC Measures'!$G33&lt;References!$T$122,'Input HVAC Measures'!$G33&gt;References!$S$122),References!$N$122,IF(AND('Input HVAC Measures'!$G33&lt;References!$T$123,'Input HVAC Measures'!$G33&gt;References!$S$123),References!$N$123,IF('Input HVAC Measures'!$G33&gt;References!$S$124,References!$N$124,"")))))</f>
        <v>0</v>
      </c>
      <c r="H30" s="171">
        <f>IF('Input HVAC Measures'!$E33="High Eff. AC Unit",'Input HVAC Measures'!$G33*12000/1000*References!$K$4*((1/'HVAC Calcs'!$D30)-(1/'Input HVAC Measures'!$K33)),IF('Input HVAC Measures'!$E33="High Eff. Heat Pump Unit",'Input HVAC Measures'!$G33*12000/1000*References!$K$5*((1/'HVAC Calcs'!$E30)-(1/'Input HVAC Measures'!$K33))+'Input HVAC Measures'!$G33*12000/1000*References!$N$5*((1/'HVAC Calcs'!$F30)-(1/'Input HVAC Measures'!$L33)),0))</f>
        <v>0</v>
      </c>
      <c r="I30" s="172" t="b">
        <f>IF('Input HVAC Measures'!$E33="High Eff. AC Unit",'Input HVAC Measures'!$G33*12000/1000*References!$L$4*((1/'HVAC Calcs'!$B30)-(1/'Input HVAC Measures'!$J33)),IF('Input HVAC Measures'!$E33="High Eff. Heat Pump Unit",'Input HVAC Measures'!$G33*12000/1000*References!$L$5*((1/'HVAC Calcs'!$C30)-(1/'Input HVAC Measures'!$J33))))</f>
        <v>0</v>
      </c>
    </row>
    <row r="31" spans="1:9" ht="15">
      <c r="A31">
        <v>29</v>
      </c>
      <c r="B31" s="107" t="b">
        <f>IF('Input HVAC Measures'!$E34="High Eff. AC Unit",IF('Input HVAC Measures'!$G34&lt;References!$T$116,References!$L$116,IF(AND('Input HVAC Measures'!$G34&lt;References!$T$117,'Input HVAC Measures'!$G34&gt;References!$S$117),References!$L$117,IF(AND('Input HVAC Measures'!$G34&lt;References!$T$118,'Input HVAC Measures'!$G34&gt;References!$S$118),References!$L$118,IF(AND('Input HVAC Measures'!$G34&lt;References!$T$119,'Input HVAC Measures'!$G34&gt;References!$S$119),References!$L$119,IF('Input HVAC Measures'!$G34&gt;References!$S$120,References!$L$120,""))))))</f>
        <v>0</v>
      </c>
      <c r="C31" s="107" t="b">
        <f>IF('Input HVAC Measures'!$E34="High Eff. Heat Pump Unit",IF('Input HVAC Measures'!$G34&lt;References!$T$121,References!$L$121,IF(AND('Input HVAC Measures'!$G34&lt;References!$T$122,'Input HVAC Measures'!$G34&gt;References!$S$122),References!$L$122,IF(AND('Input HVAC Measures'!$G34&lt;References!$T$123,'Input HVAC Measures'!$G34&gt;References!$S$123),References!$L$123,IF('Input HVAC Measures'!$G34&gt;References!$S$124,References!$L$124,"")))))</f>
        <v>0</v>
      </c>
      <c r="D31" s="107" t="b">
        <f>IF('Input HVAC Measures'!$E34="High Eff. AC Unit",IF('Input HVAC Measures'!$G34&lt;References!$T$116,References!$M$116,IF(AND('Input HVAC Measures'!$G34&lt;References!$T$117,'Input HVAC Measures'!$G34&gt;References!$S$117),References!$M$117,IF(AND('Input HVAC Measures'!$G34&lt;References!$T$118,'Input HVAC Measures'!$G34&gt;References!$S$118),References!$M$118,IF(AND('Input HVAC Measures'!$G34&lt;References!$T$119,'Input HVAC Measures'!$G34&gt;References!$S$119),References!$M$119,IF('Input HVAC Measures'!$G34&gt;References!$S$120,References!$M$120,""))))))</f>
        <v>0</v>
      </c>
      <c r="E31" s="107" t="b">
        <f>IF('Input HVAC Measures'!$E34="High Eff. Heat Pump Unit",IF('Input HVAC Measures'!$G34&lt;References!$T$121,References!$M$121,IF(AND('Input HVAC Measures'!$G34&lt;References!$T$122,'Input HVAC Measures'!$G34&gt;References!$S$122),References!$M$122,IF(AND('Input HVAC Measures'!$G34&lt;References!$T$123,'Input HVAC Measures'!$G34&gt;References!$S$123),References!$M$123,IF('Input HVAC Measures'!$G34&gt;References!$S$124,References!$M$124,"")))))</f>
        <v>0</v>
      </c>
      <c r="F31" s="107" t="b">
        <f>IF('Input HVAC Measures'!$E34="High Eff. Heat Pump Unit",IF('Input HVAC Measures'!$G34&lt;References!$T$121,References!$N$121,IF(AND('Input HVAC Measures'!$G34&lt;References!$T$122,'Input HVAC Measures'!$G34&gt;References!$S$122),References!$N$122,IF(AND('Input HVAC Measures'!$G34&lt;References!$T$123,'Input HVAC Measures'!$G34&gt;References!$S$123),References!$N$123,IF('Input HVAC Measures'!$G34&gt;References!$S$124,References!$N$124,"")))))</f>
        <v>0</v>
      </c>
      <c r="H31" s="171">
        <f>IF('Input HVAC Measures'!$E34="High Eff. AC Unit",'Input HVAC Measures'!$G34*12000/1000*References!$K$4*((1/'HVAC Calcs'!$D31)-(1/'Input HVAC Measures'!$K34)),IF('Input HVAC Measures'!$E34="High Eff. Heat Pump Unit",'Input HVAC Measures'!$G34*12000/1000*References!$K$5*((1/'HVAC Calcs'!$E31)-(1/'Input HVAC Measures'!$K34))+'Input HVAC Measures'!$G34*12000/1000*References!$N$5*((1/'HVAC Calcs'!$F31)-(1/'Input HVAC Measures'!$L34)),0))</f>
        <v>0</v>
      </c>
      <c r="I31" s="172" t="b">
        <f>IF('Input HVAC Measures'!$E34="High Eff. AC Unit",'Input HVAC Measures'!$G34*12000/1000*References!$L$4*((1/'HVAC Calcs'!$B31)-(1/'Input HVAC Measures'!$J34)),IF('Input HVAC Measures'!$E34="High Eff. Heat Pump Unit",'Input HVAC Measures'!$G34*12000/1000*References!$L$5*((1/'HVAC Calcs'!$C31)-(1/'Input HVAC Measures'!$J34))))</f>
        <v>0</v>
      </c>
    </row>
    <row r="32" spans="1:9" ht="15">
      <c r="A32">
        <v>30</v>
      </c>
      <c r="B32" s="107" t="b">
        <f>IF('Input HVAC Measures'!$E35="High Eff. AC Unit",IF('Input HVAC Measures'!$G35&lt;References!$T$116,References!$L$116,IF(AND('Input HVAC Measures'!$G35&lt;References!$T$117,'Input HVAC Measures'!$G35&gt;References!$S$117),References!$L$117,IF(AND('Input HVAC Measures'!$G35&lt;References!$T$118,'Input HVAC Measures'!$G35&gt;References!$S$118),References!$L$118,IF(AND('Input HVAC Measures'!$G35&lt;References!$T$119,'Input HVAC Measures'!$G35&gt;References!$S$119),References!$L$119,IF('Input HVAC Measures'!$G35&gt;References!$S$120,References!$L$120,""))))))</f>
        <v>0</v>
      </c>
      <c r="C32" s="107" t="b">
        <f>IF('Input HVAC Measures'!$E35="High Eff. Heat Pump Unit",IF('Input HVAC Measures'!$G35&lt;References!$T$121,References!$L$121,IF(AND('Input HVAC Measures'!$G35&lt;References!$T$122,'Input HVAC Measures'!$G35&gt;References!$S$122),References!$L$122,IF(AND('Input HVAC Measures'!$G35&lt;References!$T$123,'Input HVAC Measures'!$G35&gt;References!$S$123),References!$L$123,IF('Input HVAC Measures'!$G35&gt;References!$S$124,References!$L$124,"")))))</f>
        <v>0</v>
      </c>
      <c r="D32" s="107" t="b">
        <f>IF('Input HVAC Measures'!$E35="High Eff. AC Unit",IF('Input HVAC Measures'!$G35&lt;References!$T$116,References!$M$116,IF(AND('Input HVAC Measures'!$G35&lt;References!$T$117,'Input HVAC Measures'!$G35&gt;References!$S$117),References!$M$117,IF(AND('Input HVAC Measures'!$G35&lt;References!$T$118,'Input HVAC Measures'!$G35&gt;References!$S$118),References!$M$118,IF(AND('Input HVAC Measures'!$G35&lt;References!$T$119,'Input HVAC Measures'!$G35&gt;References!$S$119),References!$M$119,IF('Input HVAC Measures'!$G35&gt;References!$S$120,References!$M$120,""))))))</f>
        <v>0</v>
      </c>
      <c r="E32" s="107" t="b">
        <f>IF('Input HVAC Measures'!$E35="High Eff. Heat Pump Unit",IF('Input HVAC Measures'!$G35&lt;References!$T$121,References!$M$121,IF(AND('Input HVAC Measures'!$G35&lt;References!$T$122,'Input HVAC Measures'!$G35&gt;References!$S$122),References!$M$122,IF(AND('Input HVAC Measures'!$G35&lt;References!$T$123,'Input HVAC Measures'!$G35&gt;References!$S$123),References!$M$123,IF('Input HVAC Measures'!$G35&gt;References!$S$124,References!$M$124,"")))))</f>
        <v>0</v>
      </c>
      <c r="F32" s="107" t="b">
        <f>IF('Input HVAC Measures'!$E35="High Eff. Heat Pump Unit",IF('Input HVAC Measures'!$G35&lt;References!$T$121,References!$N$121,IF(AND('Input HVAC Measures'!$G35&lt;References!$T$122,'Input HVAC Measures'!$G35&gt;References!$S$122),References!$N$122,IF(AND('Input HVAC Measures'!$G35&lt;References!$T$123,'Input HVAC Measures'!$G35&gt;References!$S$123),References!$N$123,IF('Input HVAC Measures'!$G35&gt;References!$S$124,References!$N$124,"")))))</f>
        <v>0</v>
      </c>
      <c r="H32" s="171">
        <f>IF('Input HVAC Measures'!$E35="High Eff. AC Unit",'Input HVAC Measures'!$G35*12000/1000*References!$K$4*((1/'HVAC Calcs'!$D32)-(1/'Input HVAC Measures'!$K35)),IF('Input HVAC Measures'!$E35="High Eff. Heat Pump Unit",'Input HVAC Measures'!$G35*12000/1000*References!$K$5*((1/'HVAC Calcs'!$E32)-(1/'Input HVAC Measures'!$K35))+'Input HVAC Measures'!$G35*12000/1000*References!$N$5*((1/'HVAC Calcs'!$F32)-(1/'Input HVAC Measures'!$L35)),0))</f>
        <v>0</v>
      </c>
      <c r="I32" s="172" t="b">
        <f>IF('Input HVAC Measures'!$E35="High Eff. AC Unit",'Input HVAC Measures'!$G35*12000/1000*References!$L$4*((1/'HVAC Calcs'!$B32)-(1/'Input HVAC Measures'!$J35)),IF('Input HVAC Measures'!$E35="High Eff. Heat Pump Unit",'Input HVAC Measures'!$G35*12000/1000*References!$L$5*((1/'HVAC Calcs'!$C32)-(1/'Input HVAC Measures'!$J35))))</f>
        <v>0</v>
      </c>
    </row>
    <row r="33" spans="1:9" ht="15">
      <c r="A33">
        <v>31</v>
      </c>
      <c r="B33" s="107" t="b">
        <f>IF('Input HVAC Measures'!$E36="High Eff. AC Unit",IF('Input HVAC Measures'!$G36&lt;References!$T$116,References!$L$116,IF(AND('Input HVAC Measures'!$G36&lt;References!$T$117,'Input HVAC Measures'!$G36&gt;References!$S$117),References!$L$117,IF(AND('Input HVAC Measures'!$G36&lt;References!$T$118,'Input HVAC Measures'!$G36&gt;References!$S$118),References!$L$118,IF(AND('Input HVAC Measures'!$G36&lt;References!$T$119,'Input HVAC Measures'!$G36&gt;References!$S$119),References!$L$119,IF('Input HVAC Measures'!$G36&gt;References!$S$120,References!$L$120,""))))))</f>
        <v>0</v>
      </c>
      <c r="C33" s="107" t="b">
        <f>IF('Input HVAC Measures'!$E36="High Eff. Heat Pump Unit",IF('Input HVAC Measures'!$G36&lt;References!$T$121,References!$L$121,IF(AND('Input HVAC Measures'!$G36&lt;References!$T$122,'Input HVAC Measures'!$G36&gt;References!$S$122),References!$L$122,IF(AND('Input HVAC Measures'!$G36&lt;References!$T$123,'Input HVAC Measures'!$G36&gt;References!$S$123),References!$L$123,IF('Input HVAC Measures'!$G36&gt;References!$S$124,References!$L$124,"")))))</f>
        <v>0</v>
      </c>
      <c r="D33" s="107" t="b">
        <f>IF('Input HVAC Measures'!$E36="High Eff. AC Unit",IF('Input HVAC Measures'!$G36&lt;References!$T$116,References!$M$116,IF(AND('Input HVAC Measures'!$G36&lt;References!$T$117,'Input HVAC Measures'!$G36&gt;References!$S$117),References!$M$117,IF(AND('Input HVAC Measures'!$G36&lt;References!$T$118,'Input HVAC Measures'!$G36&gt;References!$S$118),References!$M$118,IF(AND('Input HVAC Measures'!$G36&lt;References!$T$119,'Input HVAC Measures'!$G36&gt;References!$S$119),References!$M$119,IF('Input HVAC Measures'!$G36&gt;References!$S$120,References!$M$120,""))))))</f>
        <v>0</v>
      </c>
      <c r="E33" s="107" t="b">
        <f>IF('Input HVAC Measures'!$E36="High Eff. Heat Pump Unit",IF('Input HVAC Measures'!$G36&lt;References!$T$121,References!$M$121,IF(AND('Input HVAC Measures'!$G36&lt;References!$T$122,'Input HVAC Measures'!$G36&gt;References!$S$122),References!$M$122,IF(AND('Input HVAC Measures'!$G36&lt;References!$T$123,'Input HVAC Measures'!$G36&gt;References!$S$123),References!$M$123,IF('Input HVAC Measures'!$G36&gt;References!$S$124,References!$M$124,"")))))</f>
        <v>0</v>
      </c>
      <c r="F33" s="107" t="b">
        <f>IF('Input HVAC Measures'!$E36="High Eff. Heat Pump Unit",IF('Input HVAC Measures'!$G36&lt;References!$T$121,References!$N$121,IF(AND('Input HVAC Measures'!$G36&lt;References!$T$122,'Input HVAC Measures'!$G36&gt;References!$S$122),References!$N$122,IF(AND('Input HVAC Measures'!$G36&lt;References!$T$123,'Input HVAC Measures'!$G36&gt;References!$S$123),References!$N$123,IF('Input HVAC Measures'!$G36&gt;References!$S$124,References!$N$124,"")))))</f>
        <v>0</v>
      </c>
      <c r="H33" s="171">
        <f>IF('Input HVAC Measures'!$E36="High Eff. AC Unit",'Input HVAC Measures'!$G36*12000/1000*References!$K$4*((1/'HVAC Calcs'!$D33)-(1/'Input HVAC Measures'!$K36)),IF('Input HVAC Measures'!$E36="High Eff. Heat Pump Unit",'Input HVAC Measures'!$G36*12000/1000*References!$K$5*((1/'HVAC Calcs'!$E33)-(1/'Input HVAC Measures'!$K36))+'Input HVAC Measures'!$G36*12000/1000*References!$N$5*((1/'HVAC Calcs'!$F33)-(1/'Input HVAC Measures'!$L36)),0))</f>
        <v>0</v>
      </c>
      <c r="I33" s="172" t="b">
        <f>IF('Input HVAC Measures'!$E36="High Eff. AC Unit",'Input HVAC Measures'!$G36*12000/1000*References!$L$4*((1/'HVAC Calcs'!$B33)-(1/'Input HVAC Measures'!$J36)),IF('Input HVAC Measures'!$E36="High Eff. Heat Pump Unit",'Input HVAC Measures'!$G36*12000/1000*References!$L$5*((1/'HVAC Calcs'!$C33)-(1/'Input HVAC Measures'!$J36))))</f>
        <v>0</v>
      </c>
    </row>
    <row r="34" spans="1:9" ht="15">
      <c r="A34">
        <v>32</v>
      </c>
      <c r="B34" s="107" t="b">
        <f>IF('Input HVAC Measures'!$E37="High Eff. AC Unit",IF('Input HVAC Measures'!$G37&lt;References!$T$116,References!$L$116,IF(AND('Input HVAC Measures'!$G37&lt;References!$T$117,'Input HVAC Measures'!$G37&gt;References!$S$117),References!$L$117,IF(AND('Input HVAC Measures'!$G37&lt;References!$T$118,'Input HVAC Measures'!$G37&gt;References!$S$118),References!$L$118,IF(AND('Input HVAC Measures'!$G37&lt;References!$T$119,'Input HVAC Measures'!$G37&gt;References!$S$119),References!$L$119,IF('Input HVAC Measures'!$G37&gt;References!$S$120,References!$L$120,""))))))</f>
        <v>0</v>
      </c>
      <c r="C34" s="107" t="b">
        <f>IF('Input HVAC Measures'!$E37="High Eff. Heat Pump Unit",IF('Input HVAC Measures'!$G37&lt;References!$T$121,References!$L$121,IF(AND('Input HVAC Measures'!$G37&lt;References!$T$122,'Input HVAC Measures'!$G37&gt;References!$S$122),References!$L$122,IF(AND('Input HVAC Measures'!$G37&lt;References!$T$123,'Input HVAC Measures'!$G37&gt;References!$S$123),References!$L$123,IF('Input HVAC Measures'!$G37&gt;References!$S$124,References!$L$124,"")))))</f>
        <v>0</v>
      </c>
      <c r="D34" s="107" t="b">
        <f>IF('Input HVAC Measures'!$E37="High Eff. AC Unit",IF('Input HVAC Measures'!$G37&lt;References!$T$116,References!$M$116,IF(AND('Input HVAC Measures'!$G37&lt;References!$T$117,'Input HVAC Measures'!$G37&gt;References!$S$117),References!$M$117,IF(AND('Input HVAC Measures'!$G37&lt;References!$T$118,'Input HVAC Measures'!$G37&gt;References!$S$118),References!$M$118,IF(AND('Input HVAC Measures'!$G37&lt;References!$T$119,'Input HVAC Measures'!$G37&gt;References!$S$119),References!$M$119,IF('Input HVAC Measures'!$G37&gt;References!$S$120,References!$M$120,""))))))</f>
        <v>0</v>
      </c>
      <c r="E34" s="107" t="b">
        <f>IF('Input HVAC Measures'!$E37="High Eff. Heat Pump Unit",IF('Input HVAC Measures'!$G37&lt;References!$T$121,References!$M$121,IF(AND('Input HVAC Measures'!$G37&lt;References!$T$122,'Input HVAC Measures'!$G37&gt;References!$S$122),References!$M$122,IF(AND('Input HVAC Measures'!$G37&lt;References!$T$123,'Input HVAC Measures'!$G37&gt;References!$S$123),References!$M$123,IF('Input HVAC Measures'!$G37&gt;References!$S$124,References!$M$124,"")))))</f>
        <v>0</v>
      </c>
      <c r="F34" s="107" t="b">
        <f>IF('Input HVAC Measures'!$E37="High Eff. Heat Pump Unit",IF('Input HVAC Measures'!$G37&lt;References!$T$121,References!$N$121,IF(AND('Input HVAC Measures'!$G37&lt;References!$T$122,'Input HVAC Measures'!$G37&gt;References!$S$122),References!$N$122,IF(AND('Input HVAC Measures'!$G37&lt;References!$T$123,'Input HVAC Measures'!$G37&gt;References!$S$123),References!$N$123,IF('Input HVAC Measures'!$G37&gt;References!$S$124,References!$N$124,"")))))</f>
        <v>0</v>
      </c>
      <c r="H34" s="171">
        <f>IF('Input HVAC Measures'!$E37="High Eff. AC Unit",'Input HVAC Measures'!$G37*12000/1000*References!$K$4*((1/'HVAC Calcs'!$D34)-(1/'Input HVAC Measures'!$K37)),IF('Input HVAC Measures'!$E37="High Eff. Heat Pump Unit",'Input HVAC Measures'!$G37*12000/1000*References!$K$5*((1/'HVAC Calcs'!$E34)-(1/'Input HVAC Measures'!$K37))+'Input HVAC Measures'!$G37*12000/1000*References!$N$5*((1/'HVAC Calcs'!$F34)-(1/'Input HVAC Measures'!$L37)),0))</f>
        <v>0</v>
      </c>
      <c r="I34" s="172" t="b">
        <f>IF('Input HVAC Measures'!$E37="High Eff. AC Unit",'Input HVAC Measures'!$G37*12000/1000*References!$L$4*((1/'HVAC Calcs'!$B34)-(1/'Input HVAC Measures'!$J37)),IF('Input HVAC Measures'!$E37="High Eff. Heat Pump Unit",'Input HVAC Measures'!$G37*12000/1000*References!$L$5*((1/'HVAC Calcs'!$C34)-(1/'Input HVAC Measures'!$J37))))</f>
        <v>0</v>
      </c>
    </row>
    <row r="35" spans="1:9" ht="15">
      <c r="A35">
        <v>33</v>
      </c>
      <c r="B35" s="107" t="b">
        <f>IF('Input HVAC Measures'!$E38="High Eff. AC Unit",IF('Input HVAC Measures'!$G38&lt;References!$T$116,References!$L$116,IF(AND('Input HVAC Measures'!$G38&lt;References!$T$117,'Input HVAC Measures'!$G38&gt;References!$S$117),References!$L$117,IF(AND('Input HVAC Measures'!$G38&lt;References!$T$118,'Input HVAC Measures'!$G38&gt;References!$S$118),References!$L$118,IF(AND('Input HVAC Measures'!$G38&lt;References!$T$119,'Input HVAC Measures'!$G38&gt;References!$S$119),References!$L$119,IF('Input HVAC Measures'!$G38&gt;References!$S$120,References!$L$120,""))))))</f>
        <v>0</v>
      </c>
      <c r="C35" s="107" t="b">
        <f>IF('Input HVAC Measures'!$E38="High Eff. Heat Pump Unit",IF('Input HVAC Measures'!$G38&lt;References!$T$121,References!$L$121,IF(AND('Input HVAC Measures'!$G38&lt;References!$T$122,'Input HVAC Measures'!$G38&gt;References!$S$122),References!$L$122,IF(AND('Input HVAC Measures'!$G38&lt;References!$T$123,'Input HVAC Measures'!$G38&gt;References!$S$123),References!$L$123,IF('Input HVAC Measures'!$G38&gt;References!$S$124,References!$L$124,"")))))</f>
        <v>0</v>
      </c>
      <c r="D35" s="107" t="b">
        <f>IF('Input HVAC Measures'!$E38="High Eff. AC Unit",IF('Input HVAC Measures'!$G38&lt;References!$T$116,References!$M$116,IF(AND('Input HVAC Measures'!$G38&lt;References!$T$117,'Input HVAC Measures'!$G38&gt;References!$S$117),References!$M$117,IF(AND('Input HVAC Measures'!$G38&lt;References!$T$118,'Input HVAC Measures'!$G38&gt;References!$S$118),References!$M$118,IF(AND('Input HVAC Measures'!$G38&lt;References!$T$119,'Input HVAC Measures'!$G38&gt;References!$S$119),References!$M$119,IF('Input HVAC Measures'!$G38&gt;References!$S$120,References!$M$120,""))))))</f>
        <v>0</v>
      </c>
      <c r="E35" s="107" t="b">
        <f>IF('Input HVAC Measures'!$E38="High Eff. Heat Pump Unit",IF('Input HVAC Measures'!$G38&lt;References!$T$121,References!$M$121,IF(AND('Input HVAC Measures'!$G38&lt;References!$T$122,'Input HVAC Measures'!$G38&gt;References!$S$122),References!$M$122,IF(AND('Input HVAC Measures'!$G38&lt;References!$T$123,'Input HVAC Measures'!$G38&gt;References!$S$123),References!$M$123,IF('Input HVAC Measures'!$G38&gt;References!$S$124,References!$M$124,"")))))</f>
        <v>0</v>
      </c>
      <c r="F35" s="107" t="b">
        <f>IF('Input HVAC Measures'!$E38="High Eff. Heat Pump Unit",IF('Input HVAC Measures'!$G38&lt;References!$T$121,References!$N$121,IF(AND('Input HVAC Measures'!$G38&lt;References!$T$122,'Input HVAC Measures'!$G38&gt;References!$S$122),References!$N$122,IF(AND('Input HVAC Measures'!$G38&lt;References!$T$123,'Input HVAC Measures'!$G38&gt;References!$S$123),References!$N$123,IF('Input HVAC Measures'!$G38&gt;References!$S$124,References!$N$124,"")))))</f>
        <v>0</v>
      </c>
      <c r="H35" s="171">
        <f>IF('Input HVAC Measures'!$E38="High Eff. AC Unit",'Input HVAC Measures'!$G38*12000/1000*References!$K$4*((1/'HVAC Calcs'!$D35)-(1/'Input HVAC Measures'!$K38)),IF('Input HVAC Measures'!$E38="High Eff. Heat Pump Unit",'Input HVAC Measures'!$G38*12000/1000*References!$K$5*((1/'HVAC Calcs'!$E35)-(1/'Input HVAC Measures'!$K38))+'Input HVAC Measures'!$G38*12000/1000*References!$N$5*((1/'HVAC Calcs'!$F35)-(1/'Input HVAC Measures'!$L38)),0))</f>
        <v>0</v>
      </c>
      <c r="I35" s="172" t="b">
        <f>IF('Input HVAC Measures'!$E38="High Eff. AC Unit",'Input HVAC Measures'!$G38*12000/1000*References!$L$4*((1/'HVAC Calcs'!$B35)-(1/'Input HVAC Measures'!$J38)),IF('Input HVAC Measures'!$E38="High Eff. Heat Pump Unit",'Input HVAC Measures'!$G38*12000/1000*References!$L$5*((1/'HVAC Calcs'!$C35)-(1/'Input HVAC Measures'!$J38))))</f>
        <v>0</v>
      </c>
    </row>
    <row r="36" spans="1:9" ht="15">
      <c r="A36">
        <v>34</v>
      </c>
      <c r="B36" s="107" t="b">
        <f>IF('Input HVAC Measures'!$E39="High Eff. AC Unit",IF('Input HVAC Measures'!$G39&lt;References!$T$116,References!$L$116,IF(AND('Input HVAC Measures'!$G39&lt;References!$T$117,'Input HVAC Measures'!$G39&gt;References!$S$117),References!$L$117,IF(AND('Input HVAC Measures'!$G39&lt;References!$T$118,'Input HVAC Measures'!$G39&gt;References!$S$118),References!$L$118,IF(AND('Input HVAC Measures'!$G39&lt;References!$T$119,'Input HVAC Measures'!$G39&gt;References!$S$119),References!$L$119,IF('Input HVAC Measures'!$G39&gt;References!$S$120,References!$L$120,""))))))</f>
        <v>0</v>
      </c>
      <c r="C36" s="107" t="b">
        <f>IF('Input HVAC Measures'!$E39="High Eff. Heat Pump Unit",IF('Input HVAC Measures'!$G39&lt;References!$T$121,References!$L$121,IF(AND('Input HVAC Measures'!$G39&lt;References!$T$122,'Input HVAC Measures'!$G39&gt;References!$S$122),References!$L$122,IF(AND('Input HVAC Measures'!$G39&lt;References!$T$123,'Input HVAC Measures'!$G39&gt;References!$S$123),References!$L$123,IF('Input HVAC Measures'!$G39&gt;References!$S$124,References!$L$124,"")))))</f>
        <v>0</v>
      </c>
      <c r="D36" s="107" t="b">
        <f>IF('Input HVAC Measures'!$E39="High Eff. AC Unit",IF('Input HVAC Measures'!$G39&lt;References!$T$116,References!$M$116,IF(AND('Input HVAC Measures'!$G39&lt;References!$T$117,'Input HVAC Measures'!$G39&gt;References!$S$117),References!$M$117,IF(AND('Input HVAC Measures'!$G39&lt;References!$T$118,'Input HVAC Measures'!$G39&gt;References!$S$118),References!$M$118,IF(AND('Input HVAC Measures'!$G39&lt;References!$T$119,'Input HVAC Measures'!$G39&gt;References!$S$119),References!$M$119,IF('Input HVAC Measures'!$G39&gt;References!$S$120,References!$M$120,""))))))</f>
        <v>0</v>
      </c>
      <c r="E36" s="107" t="b">
        <f>IF('Input HVAC Measures'!$E39="High Eff. Heat Pump Unit",IF('Input HVAC Measures'!$G39&lt;References!$T$121,References!$M$121,IF(AND('Input HVAC Measures'!$G39&lt;References!$T$122,'Input HVAC Measures'!$G39&gt;References!$S$122),References!$M$122,IF(AND('Input HVAC Measures'!$G39&lt;References!$T$123,'Input HVAC Measures'!$G39&gt;References!$S$123),References!$M$123,IF('Input HVAC Measures'!$G39&gt;References!$S$124,References!$M$124,"")))))</f>
        <v>0</v>
      </c>
      <c r="F36" s="107" t="b">
        <f>IF('Input HVAC Measures'!$E39="High Eff. Heat Pump Unit",IF('Input HVAC Measures'!$G39&lt;References!$T$121,References!$N$121,IF(AND('Input HVAC Measures'!$G39&lt;References!$T$122,'Input HVAC Measures'!$G39&gt;References!$S$122),References!$N$122,IF(AND('Input HVAC Measures'!$G39&lt;References!$T$123,'Input HVAC Measures'!$G39&gt;References!$S$123),References!$N$123,IF('Input HVAC Measures'!$G39&gt;References!$S$124,References!$N$124,"")))))</f>
        <v>0</v>
      </c>
      <c r="H36" s="171">
        <f>IF('Input HVAC Measures'!$E39="High Eff. AC Unit",'Input HVAC Measures'!$G39*12000/1000*References!$K$4*((1/'HVAC Calcs'!$D36)-(1/'Input HVAC Measures'!$K39)),IF('Input HVAC Measures'!$E39="High Eff. Heat Pump Unit",'Input HVAC Measures'!$G39*12000/1000*References!$K$5*((1/'HVAC Calcs'!$E36)-(1/'Input HVAC Measures'!$K39))+'Input HVAC Measures'!$G39*12000/1000*References!$N$5*((1/'HVAC Calcs'!$F36)-(1/'Input HVAC Measures'!$L39)),0))</f>
        <v>0</v>
      </c>
      <c r="I36" s="172" t="b">
        <f>IF('Input HVAC Measures'!$E39="High Eff. AC Unit",'Input HVAC Measures'!$G39*12000/1000*References!$L$4*((1/'HVAC Calcs'!$B36)-(1/'Input HVAC Measures'!$J39)),IF('Input HVAC Measures'!$E39="High Eff. Heat Pump Unit",'Input HVAC Measures'!$G39*12000/1000*References!$L$5*((1/'HVAC Calcs'!$C36)-(1/'Input HVAC Measures'!$J39))))</f>
        <v>0</v>
      </c>
    </row>
    <row r="37" spans="1:9" ht="15">
      <c r="A37">
        <v>35</v>
      </c>
      <c r="B37" s="107" t="b">
        <f>IF('Input HVAC Measures'!$E40="High Eff. AC Unit",IF('Input HVAC Measures'!$G40&lt;References!$T$116,References!$L$116,IF(AND('Input HVAC Measures'!$G40&lt;References!$T$117,'Input HVAC Measures'!$G40&gt;References!$S$117),References!$L$117,IF(AND('Input HVAC Measures'!$G40&lt;References!$T$118,'Input HVAC Measures'!$G40&gt;References!$S$118),References!$L$118,IF(AND('Input HVAC Measures'!$G40&lt;References!$T$119,'Input HVAC Measures'!$G40&gt;References!$S$119),References!$L$119,IF('Input HVAC Measures'!$G40&gt;References!$S$120,References!$L$120,""))))))</f>
        <v>0</v>
      </c>
      <c r="C37" s="107" t="b">
        <f>IF('Input HVAC Measures'!$E40="High Eff. Heat Pump Unit",IF('Input HVAC Measures'!$G40&lt;References!$T$121,References!$L$121,IF(AND('Input HVAC Measures'!$G40&lt;References!$T$122,'Input HVAC Measures'!$G40&gt;References!$S$122),References!$L$122,IF(AND('Input HVAC Measures'!$G40&lt;References!$T$123,'Input HVAC Measures'!$G40&gt;References!$S$123),References!$L$123,IF('Input HVAC Measures'!$G40&gt;References!$S$124,References!$L$124,"")))))</f>
        <v>0</v>
      </c>
      <c r="D37" s="107" t="b">
        <f>IF('Input HVAC Measures'!$E40="High Eff. AC Unit",IF('Input HVAC Measures'!$G40&lt;References!$T$116,References!$M$116,IF(AND('Input HVAC Measures'!$G40&lt;References!$T$117,'Input HVAC Measures'!$G40&gt;References!$S$117),References!$M$117,IF(AND('Input HVAC Measures'!$G40&lt;References!$T$118,'Input HVAC Measures'!$G40&gt;References!$S$118),References!$M$118,IF(AND('Input HVAC Measures'!$G40&lt;References!$T$119,'Input HVAC Measures'!$G40&gt;References!$S$119),References!$M$119,IF('Input HVAC Measures'!$G40&gt;References!$S$120,References!$M$120,""))))))</f>
        <v>0</v>
      </c>
      <c r="E37" s="107" t="b">
        <f>IF('Input HVAC Measures'!$E40="High Eff. Heat Pump Unit",IF('Input HVAC Measures'!$G40&lt;References!$T$121,References!$M$121,IF(AND('Input HVAC Measures'!$G40&lt;References!$T$122,'Input HVAC Measures'!$G40&gt;References!$S$122),References!$M$122,IF(AND('Input HVAC Measures'!$G40&lt;References!$T$123,'Input HVAC Measures'!$G40&gt;References!$S$123),References!$M$123,IF('Input HVAC Measures'!$G40&gt;References!$S$124,References!$M$124,"")))))</f>
        <v>0</v>
      </c>
      <c r="F37" s="107" t="b">
        <f>IF('Input HVAC Measures'!$E40="High Eff. Heat Pump Unit",IF('Input HVAC Measures'!$G40&lt;References!$T$121,References!$N$121,IF(AND('Input HVAC Measures'!$G40&lt;References!$T$122,'Input HVAC Measures'!$G40&gt;References!$S$122),References!$N$122,IF(AND('Input HVAC Measures'!$G40&lt;References!$T$123,'Input HVAC Measures'!$G40&gt;References!$S$123),References!$N$123,IF('Input HVAC Measures'!$G40&gt;References!$S$124,References!$N$124,"")))))</f>
        <v>0</v>
      </c>
      <c r="H37" s="171">
        <f>IF('Input HVAC Measures'!$E40="High Eff. AC Unit",'Input HVAC Measures'!$G40*12000/1000*References!$K$4*((1/'HVAC Calcs'!$D37)-(1/'Input HVAC Measures'!$K40)),IF('Input HVAC Measures'!$E40="High Eff. Heat Pump Unit",'Input HVAC Measures'!$G40*12000/1000*References!$K$5*((1/'HVAC Calcs'!$E37)-(1/'Input HVAC Measures'!$K40))+'Input HVAC Measures'!$G40*12000/1000*References!$N$5*((1/'HVAC Calcs'!$F37)-(1/'Input HVAC Measures'!$L40)),0))</f>
        <v>0</v>
      </c>
      <c r="I37" s="172" t="b">
        <f>IF('Input HVAC Measures'!$E40="High Eff. AC Unit",'Input HVAC Measures'!$G40*12000/1000*References!$L$4*((1/'HVAC Calcs'!$B37)-(1/'Input HVAC Measures'!$J40)),IF('Input HVAC Measures'!$E40="High Eff. Heat Pump Unit",'Input HVAC Measures'!$G40*12000/1000*References!$L$5*((1/'HVAC Calcs'!$C37)-(1/'Input HVAC Measures'!$J40))))</f>
        <v>0</v>
      </c>
    </row>
    <row r="38" spans="1:9" ht="15">
      <c r="A38">
        <v>36</v>
      </c>
      <c r="B38" s="107" t="b">
        <f>IF('Input HVAC Measures'!$E41="High Eff. AC Unit",IF('Input HVAC Measures'!$G41&lt;References!$T$116,References!$L$116,IF(AND('Input HVAC Measures'!$G41&lt;References!$T$117,'Input HVAC Measures'!$G41&gt;References!$S$117),References!$L$117,IF(AND('Input HVAC Measures'!$G41&lt;References!$T$118,'Input HVAC Measures'!$G41&gt;References!$S$118),References!$L$118,IF(AND('Input HVAC Measures'!$G41&lt;References!$T$119,'Input HVAC Measures'!$G41&gt;References!$S$119),References!$L$119,IF('Input HVAC Measures'!$G41&gt;References!$S$120,References!$L$120,""))))))</f>
        <v>0</v>
      </c>
      <c r="C38" s="107" t="b">
        <f>IF('Input HVAC Measures'!$E41="High Eff. Heat Pump Unit",IF('Input HVAC Measures'!$G41&lt;References!$T$121,References!$L$121,IF(AND('Input HVAC Measures'!$G41&lt;References!$T$122,'Input HVAC Measures'!$G41&gt;References!$S$122),References!$L$122,IF(AND('Input HVAC Measures'!$G41&lt;References!$T$123,'Input HVAC Measures'!$G41&gt;References!$S$123),References!$L$123,IF('Input HVAC Measures'!$G41&gt;References!$S$124,References!$L$124,"")))))</f>
        <v>0</v>
      </c>
      <c r="D38" s="107" t="b">
        <f>IF('Input HVAC Measures'!$E41="High Eff. AC Unit",IF('Input HVAC Measures'!$G41&lt;References!$T$116,References!$M$116,IF(AND('Input HVAC Measures'!$G41&lt;References!$T$117,'Input HVAC Measures'!$G41&gt;References!$S$117),References!$M$117,IF(AND('Input HVAC Measures'!$G41&lt;References!$T$118,'Input HVAC Measures'!$G41&gt;References!$S$118),References!$M$118,IF(AND('Input HVAC Measures'!$G41&lt;References!$T$119,'Input HVAC Measures'!$G41&gt;References!$S$119),References!$M$119,IF('Input HVAC Measures'!$G41&gt;References!$S$120,References!$M$120,""))))))</f>
        <v>0</v>
      </c>
      <c r="E38" s="107" t="b">
        <f>IF('Input HVAC Measures'!$E41="High Eff. Heat Pump Unit",IF('Input HVAC Measures'!$G41&lt;References!$T$121,References!$M$121,IF(AND('Input HVAC Measures'!$G41&lt;References!$T$122,'Input HVAC Measures'!$G41&gt;References!$S$122),References!$M$122,IF(AND('Input HVAC Measures'!$G41&lt;References!$T$123,'Input HVAC Measures'!$G41&gt;References!$S$123),References!$M$123,IF('Input HVAC Measures'!$G41&gt;References!$S$124,References!$M$124,"")))))</f>
        <v>0</v>
      </c>
      <c r="F38" s="107" t="b">
        <f>IF('Input HVAC Measures'!$E41="High Eff. Heat Pump Unit",IF('Input HVAC Measures'!$G41&lt;References!$T$121,References!$N$121,IF(AND('Input HVAC Measures'!$G41&lt;References!$T$122,'Input HVAC Measures'!$G41&gt;References!$S$122),References!$N$122,IF(AND('Input HVAC Measures'!$G41&lt;References!$T$123,'Input HVAC Measures'!$G41&gt;References!$S$123),References!$N$123,IF('Input HVAC Measures'!$G41&gt;References!$S$124,References!$N$124,"")))))</f>
        <v>0</v>
      </c>
      <c r="H38" s="171">
        <f>IF('Input HVAC Measures'!$E41="High Eff. AC Unit",'Input HVAC Measures'!$G41*12000/1000*References!$K$4*((1/'HVAC Calcs'!$D38)-(1/'Input HVAC Measures'!$K41)),IF('Input HVAC Measures'!$E41="High Eff. Heat Pump Unit",'Input HVAC Measures'!$G41*12000/1000*References!$K$5*((1/'HVAC Calcs'!$E38)-(1/'Input HVAC Measures'!$K41))+'Input HVAC Measures'!$G41*12000/1000*References!$N$5*((1/'HVAC Calcs'!$F38)-(1/'Input HVAC Measures'!$L41)),0))</f>
        <v>0</v>
      </c>
      <c r="I38" s="172" t="b">
        <f>IF('Input HVAC Measures'!$E41="High Eff. AC Unit",'Input HVAC Measures'!$G41*12000/1000*References!$L$4*((1/'HVAC Calcs'!$B38)-(1/'Input HVAC Measures'!$J41)),IF('Input HVAC Measures'!$E41="High Eff. Heat Pump Unit",'Input HVAC Measures'!$G41*12000/1000*References!$L$5*((1/'HVAC Calcs'!$C38)-(1/'Input HVAC Measures'!$J41))))</f>
        <v>0</v>
      </c>
    </row>
    <row r="39" spans="1:9" ht="15">
      <c r="A39">
        <v>37</v>
      </c>
      <c r="B39" s="107" t="b">
        <f>IF('Input HVAC Measures'!$E42="High Eff. AC Unit",IF('Input HVAC Measures'!$G42&lt;References!$T$116,References!$L$116,IF(AND('Input HVAC Measures'!$G42&lt;References!$T$117,'Input HVAC Measures'!$G42&gt;References!$S$117),References!$L$117,IF(AND('Input HVAC Measures'!$G42&lt;References!$T$118,'Input HVAC Measures'!$G42&gt;References!$S$118),References!$L$118,IF(AND('Input HVAC Measures'!$G42&lt;References!$T$119,'Input HVAC Measures'!$G42&gt;References!$S$119),References!$L$119,IF('Input HVAC Measures'!$G42&gt;References!$S$120,References!$L$120,""))))))</f>
        <v>0</v>
      </c>
      <c r="C39" s="107" t="b">
        <f>IF('Input HVAC Measures'!$E42="High Eff. Heat Pump Unit",IF('Input HVAC Measures'!$G42&lt;References!$T$121,References!$L$121,IF(AND('Input HVAC Measures'!$G42&lt;References!$T$122,'Input HVAC Measures'!$G42&gt;References!$S$122),References!$L$122,IF(AND('Input HVAC Measures'!$G42&lt;References!$T$123,'Input HVAC Measures'!$G42&gt;References!$S$123),References!$L$123,IF('Input HVAC Measures'!$G42&gt;References!$S$124,References!$L$124,"")))))</f>
        <v>0</v>
      </c>
      <c r="D39" s="107" t="b">
        <f>IF('Input HVAC Measures'!$E42="High Eff. AC Unit",IF('Input HVAC Measures'!$G42&lt;References!$T$116,References!$M$116,IF(AND('Input HVAC Measures'!$G42&lt;References!$T$117,'Input HVAC Measures'!$G42&gt;References!$S$117),References!$M$117,IF(AND('Input HVAC Measures'!$G42&lt;References!$T$118,'Input HVAC Measures'!$G42&gt;References!$S$118),References!$M$118,IF(AND('Input HVAC Measures'!$G42&lt;References!$T$119,'Input HVAC Measures'!$G42&gt;References!$S$119),References!$M$119,IF('Input HVAC Measures'!$G42&gt;References!$S$120,References!$M$120,""))))))</f>
        <v>0</v>
      </c>
      <c r="E39" s="107" t="b">
        <f>IF('Input HVAC Measures'!$E42="High Eff. Heat Pump Unit",IF('Input HVAC Measures'!$G42&lt;References!$T$121,References!$M$121,IF(AND('Input HVAC Measures'!$G42&lt;References!$T$122,'Input HVAC Measures'!$G42&gt;References!$S$122),References!$M$122,IF(AND('Input HVAC Measures'!$G42&lt;References!$T$123,'Input HVAC Measures'!$G42&gt;References!$S$123),References!$M$123,IF('Input HVAC Measures'!$G42&gt;References!$S$124,References!$M$124,"")))))</f>
        <v>0</v>
      </c>
      <c r="F39" s="107" t="b">
        <f>IF('Input HVAC Measures'!$E42="High Eff. Heat Pump Unit",IF('Input HVAC Measures'!$G42&lt;References!$T$121,References!$N$121,IF(AND('Input HVAC Measures'!$G42&lt;References!$T$122,'Input HVAC Measures'!$G42&gt;References!$S$122),References!$N$122,IF(AND('Input HVAC Measures'!$G42&lt;References!$T$123,'Input HVAC Measures'!$G42&gt;References!$S$123),References!$N$123,IF('Input HVAC Measures'!$G42&gt;References!$S$124,References!$N$124,"")))))</f>
        <v>0</v>
      </c>
      <c r="H39" s="171">
        <f>IF('Input HVAC Measures'!$E42="High Eff. AC Unit",'Input HVAC Measures'!$G42*12000/1000*References!$K$4*((1/'HVAC Calcs'!$D39)-(1/'Input HVAC Measures'!$K42)),IF('Input HVAC Measures'!$E42="High Eff. Heat Pump Unit",'Input HVAC Measures'!$G42*12000/1000*References!$K$5*((1/'HVAC Calcs'!$E39)-(1/'Input HVAC Measures'!$K42))+'Input HVAC Measures'!$G42*12000/1000*References!$N$5*((1/'HVAC Calcs'!$F39)-(1/'Input HVAC Measures'!$L42)),0))</f>
        <v>0</v>
      </c>
      <c r="I39" s="172" t="b">
        <f>IF('Input HVAC Measures'!$E42="High Eff. AC Unit",'Input HVAC Measures'!$G42*12000/1000*References!$L$4*((1/'HVAC Calcs'!$B39)-(1/'Input HVAC Measures'!$J42)),IF('Input HVAC Measures'!$E42="High Eff. Heat Pump Unit",'Input HVAC Measures'!$G42*12000/1000*References!$L$5*((1/'HVAC Calcs'!$C39)-(1/'Input HVAC Measures'!$J42))))</f>
        <v>0</v>
      </c>
    </row>
    <row r="40" spans="1:9" ht="15">
      <c r="A40">
        <v>38</v>
      </c>
      <c r="B40" s="107" t="b">
        <f>IF('Input HVAC Measures'!$E43="High Eff. AC Unit",IF('Input HVAC Measures'!$G43&lt;References!$T$116,References!$L$116,IF(AND('Input HVAC Measures'!$G43&lt;References!$T$117,'Input HVAC Measures'!$G43&gt;References!$S$117),References!$L$117,IF(AND('Input HVAC Measures'!$G43&lt;References!$T$118,'Input HVAC Measures'!$G43&gt;References!$S$118),References!$L$118,IF(AND('Input HVAC Measures'!$G43&lt;References!$T$119,'Input HVAC Measures'!$G43&gt;References!$S$119),References!$L$119,IF('Input HVAC Measures'!$G43&gt;References!$S$120,References!$L$120,""))))))</f>
        <v>0</v>
      </c>
      <c r="C40" s="107" t="b">
        <f>IF('Input HVAC Measures'!$E43="High Eff. Heat Pump Unit",IF('Input HVAC Measures'!$G43&lt;References!$T$121,References!$L$121,IF(AND('Input HVAC Measures'!$G43&lt;References!$T$122,'Input HVAC Measures'!$G43&gt;References!$S$122),References!$L$122,IF(AND('Input HVAC Measures'!$G43&lt;References!$T$123,'Input HVAC Measures'!$G43&gt;References!$S$123),References!$L$123,IF('Input HVAC Measures'!$G43&gt;References!$S$124,References!$L$124,"")))))</f>
        <v>0</v>
      </c>
      <c r="D40" s="107" t="b">
        <f>IF('Input HVAC Measures'!$E43="High Eff. AC Unit",IF('Input HVAC Measures'!$G43&lt;References!$T$116,References!$M$116,IF(AND('Input HVAC Measures'!$G43&lt;References!$T$117,'Input HVAC Measures'!$G43&gt;References!$S$117),References!$M$117,IF(AND('Input HVAC Measures'!$G43&lt;References!$T$118,'Input HVAC Measures'!$G43&gt;References!$S$118),References!$M$118,IF(AND('Input HVAC Measures'!$G43&lt;References!$T$119,'Input HVAC Measures'!$G43&gt;References!$S$119),References!$M$119,IF('Input HVAC Measures'!$G43&gt;References!$S$120,References!$M$120,""))))))</f>
        <v>0</v>
      </c>
      <c r="E40" s="107" t="b">
        <f>IF('Input HVAC Measures'!$E43="High Eff. Heat Pump Unit",IF('Input HVAC Measures'!$G43&lt;References!$T$121,References!$M$121,IF(AND('Input HVAC Measures'!$G43&lt;References!$T$122,'Input HVAC Measures'!$G43&gt;References!$S$122),References!$M$122,IF(AND('Input HVAC Measures'!$G43&lt;References!$T$123,'Input HVAC Measures'!$G43&gt;References!$S$123),References!$M$123,IF('Input HVAC Measures'!$G43&gt;References!$S$124,References!$M$124,"")))))</f>
        <v>0</v>
      </c>
      <c r="F40" s="107" t="b">
        <f>IF('Input HVAC Measures'!$E43="High Eff. Heat Pump Unit",IF('Input HVAC Measures'!$G43&lt;References!$T$121,References!$N$121,IF(AND('Input HVAC Measures'!$G43&lt;References!$T$122,'Input HVAC Measures'!$G43&gt;References!$S$122),References!$N$122,IF(AND('Input HVAC Measures'!$G43&lt;References!$T$123,'Input HVAC Measures'!$G43&gt;References!$S$123),References!$N$123,IF('Input HVAC Measures'!$G43&gt;References!$S$124,References!$N$124,"")))))</f>
        <v>0</v>
      </c>
      <c r="H40" s="171">
        <f>IF('Input HVAC Measures'!$E43="High Eff. AC Unit",'Input HVAC Measures'!$G43*12000/1000*References!$K$4*((1/'HVAC Calcs'!$D40)-(1/'Input HVAC Measures'!$K43)),IF('Input HVAC Measures'!$E43="High Eff. Heat Pump Unit",'Input HVAC Measures'!$G43*12000/1000*References!$K$5*((1/'HVAC Calcs'!$E40)-(1/'Input HVAC Measures'!$K43))+'Input HVAC Measures'!$G43*12000/1000*References!$N$5*((1/'HVAC Calcs'!$F40)-(1/'Input HVAC Measures'!$L43)),0))</f>
        <v>0</v>
      </c>
      <c r="I40" s="172" t="b">
        <f>IF('Input HVAC Measures'!$E43="High Eff. AC Unit",'Input HVAC Measures'!$G43*12000/1000*References!$L$4*((1/'HVAC Calcs'!$B40)-(1/'Input HVAC Measures'!$J43)),IF('Input HVAC Measures'!$E43="High Eff. Heat Pump Unit",'Input HVAC Measures'!$G43*12000/1000*References!$L$5*((1/'HVAC Calcs'!$C40)-(1/'Input HVAC Measures'!$J43))))</f>
        <v>0</v>
      </c>
    </row>
    <row r="41" spans="1:9" ht="15">
      <c r="A41">
        <v>39</v>
      </c>
      <c r="B41" s="107" t="b">
        <f>IF('Input HVAC Measures'!$E44="High Eff. AC Unit",IF('Input HVAC Measures'!$G44&lt;References!$T$116,References!$L$116,IF(AND('Input HVAC Measures'!$G44&lt;References!$T$117,'Input HVAC Measures'!$G44&gt;References!$S$117),References!$L$117,IF(AND('Input HVAC Measures'!$G44&lt;References!$T$118,'Input HVAC Measures'!$G44&gt;References!$S$118),References!$L$118,IF(AND('Input HVAC Measures'!$G44&lt;References!$T$119,'Input HVAC Measures'!$G44&gt;References!$S$119),References!$L$119,IF('Input HVAC Measures'!$G44&gt;References!$S$120,References!$L$120,""))))))</f>
        <v>0</v>
      </c>
      <c r="C41" s="107" t="b">
        <f>IF('Input HVAC Measures'!$E44="High Eff. Heat Pump Unit",IF('Input HVAC Measures'!$G44&lt;References!$T$121,References!$L$121,IF(AND('Input HVAC Measures'!$G44&lt;References!$T$122,'Input HVAC Measures'!$G44&gt;References!$S$122),References!$L$122,IF(AND('Input HVAC Measures'!$G44&lt;References!$T$123,'Input HVAC Measures'!$G44&gt;References!$S$123),References!$L$123,IF('Input HVAC Measures'!$G44&gt;References!$S$124,References!$L$124,"")))))</f>
        <v>0</v>
      </c>
      <c r="D41" s="107" t="b">
        <f>IF('Input HVAC Measures'!$E44="High Eff. AC Unit",IF('Input HVAC Measures'!$G44&lt;References!$T$116,References!$M$116,IF(AND('Input HVAC Measures'!$G44&lt;References!$T$117,'Input HVAC Measures'!$G44&gt;References!$S$117),References!$M$117,IF(AND('Input HVAC Measures'!$G44&lt;References!$T$118,'Input HVAC Measures'!$G44&gt;References!$S$118),References!$M$118,IF(AND('Input HVAC Measures'!$G44&lt;References!$T$119,'Input HVAC Measures'!$G44&gt;References!$S$119),References!$M$119,IF('Input HVAC Measures'!$G44&gt;References!$S$120,References!$M$120,""))))))</f>
        <v>0</v>
      </c>
      <c r="E41" s="107" t="b">
        <f>IF('Input HVAC Measures'!$E44="High Eff. Heat Pump Unit",IF('Input HVAC Measures'!$G44&lt;References!$T$121,References!$M$121,IF(AND('Input HVAC Measures'!$G44&lt;References!$T$122,'Input HVAC Measures'!$G44&gt;References!$S$122),References!$M$122,IF(AND('Input HVAC Measures'!$G44&lt;References!$T$123,'Input HVAC Measures'!$G44&gt;References!$S$123),References!$M$123,IF('Input HVAC Measures'!$G44&gt;References!$S$124,References!$M$124,"")))))</f>
        <v>0</v>
      </c>
      <c r="F41" s="107" t="b">
        <f>IF('Input HVAC Measures'!$E44="High Eff. Heat Pump Unit",IF('Input HVAC Measures'!$G44&lt;References!$T$121,References!$N$121,IF(AND('Input HVAC Measures'!$G44&lt;References!$T$122,'Input HVAC Measures'!$G44&gt;References!$S$122),References!$N$122,IF(AND('Input HVAC Measures'!$G44&lt;References!$T$123,'Input HVAC Measures'!$G44&gt;References!$S$123),References!$N$123,IF('Input HVAC Measures'!$G44&gt;References!$S$124,References!$N$124,"")))))</f>
        <v>0</v>
      </c>
      <c r="H41" s="171">
        <f>IF('Input HVAC Measures'!$E44="High Eff. AC Unit",'Input HVAC Measures'!$G44*12000/1000*References!$K$4*((1/'HVAC Calcs'!$D41)-(1/'Input HVAC Measures'!$K44)),IF('Input HVAC Measures'!$E44="High Eff. Heat Pump Unit",'Input HVAC Measures'!$G44*12000/1000*References!$K$5*((1/'HVAC Calcs'!$E41)-(1/'Input HVAC Measures'!$K44))+'Input HVAC Measures'!$G44*12000/1000*References!$N$5*((1/'HVAC Calcs'!$F41)-(1/'Input HVAC Measures'!$L44)),0))</f>
        <v>0</v>
      </c>
      <c r="I41" s="172" t="b">
        <f>IF('Input HVAC Measures'!$E44="High Eff. AC Unit",'Input HVAC Measures'!$G44*12000/1000*References!$L$4*((1/'HVAC Calcs'!$B41)-(1/'Input HVAC Measures'!$J44)),IF('Input HVAC Measures'!$E44="High Eff. Heat Pump Unit",'Input HVAC Measures'!$G44*12000/1000*References!$L$5*((1/'HVAC Calcs'!$C41)-(1/'Input HVAC Measures'!$J44))))</f>
        <v>0</v>
      </c>
    </row>
    <row r="42" spans="1:9" ht="15">
      <c r="A42">
        <v>40</v>
      </c>
      <c r="B42" s="107" t="b">
        <f>IF('Input HVAC Measures'!$E45="High Eff. AC Unit",IF('Input HVAC Measures'!$G45&lt;References!$T$116,References!$L$116,IF(AND('Input HVAC Measures'!$G45&lt;References!$T$117,'Input HVAC Measures'!$G45&gt;References!$S$117),References!$L$117,IF(AND('Input HVAC Measures'!$G45&lt;References!$T$118,'Input HVAC Measures'!$G45&gt;References!$S$118),References!$L$118,IF(AND('Input HVAC Measures'!$G45&lt;References!$T$119,'Input HVAC Measures'!$G45&gt;References!$S$119),References!$L$119,IF('Input HVAC Measures'!$G45&gt;References!$S$120,References!$L$120,""))))))</f>
        <v>0</v>
      </c>
      <c r="C42" s="107" t="b">
        <f>IF('Input HVAC Measures'!$E45="High Eff. Heat Pump Unit",IF('Input HVAC Measures'!$G45&lt;References!$T$121,References!$L$121,IF(AND('Input HVAC Measures'!$G45&lt;References!$T$122,'Input HVAC Measures'!$G45&gt;References!$S$122),References!$L$122,IF(AND('Input HVAC Measures'!$G45&lt;References!$T$123,'Input HVAC Measures'!$G45&gt;References!$S$123),References!$L$123,IF('Input HVAC Measures'!$G45&gt;References!$S$124,References!$L$124,"")))))</f>
        <v>0</v>
      </c>
      <c r="D42" s="107" t="b">
        <f>IF('Input HVAC Measures'!$E45="High Eff. AC Unit",IF('Input HVAC Measures'!$G45&lt;References!$T$116,References!$M$116,IF(AND('Input HVAC Measures'!$G45&lt;References!$T$117,'Input HVAC Measures'!$G45&gt;References!$S$117),References!$M$117,IF(AND('Input HVAC Measures'!$G45&lt;References!$T$118,'Input HVAC Measures'!$G45&gt;References!$S$118),References!$M$118,IF(AND('Input HVAC Measures'!$G45&lt;References!$T$119,'Input HVAC Measures'!$G45&gt;References!$S$119),References!$M$119,IF('Input HVAC Measures'!$G45&gt;References!$S$120,References!$M$120,""))))))</f>
        <v>0</v>
      </c>
      <c r="E42" s="107" t="b">
        <f>IF('Input HVAC Measures'!$E45="High Eff. Heat Pump Unit",IF('Input HVAC Measures'!$G45&lt;References!$T$121,References!$M$121,IF(AND('Input HVAC Measures'!$G45&lt;References!$T$122,'Input HVAC Measures'!$G45&gt;References!$S$122),References!$M$122,IF(AND('Input HVAC Measures'!$G45&lt;References!$T$123,'Input HVAC Measures'!$G45&gt;References!$S$123),References!$M$123,IF('Input HVAC Measures'!$G45&gt;References!$S$124,References!$M$124,"")))))</f>
        <v>0</v>
      </c>
      <c r="F42" s="107" t="b">
        <f>IF('Input HVAC Measures'!$E45="High Eff. Heat Pump Unit",IF('Input HVAC Measures'!$G45&lt;References!$T$121,References!$N$121,IF(AND('Input HVAC Measures'!$G45&lt;References!$T$122,'Input HVAC Measures'!$G45&gt;References!$S$122),References!$N$122,IF(AND('Input HVAC Measures'!$G45&lt;References!$T$123,'Input HVAC Measures'!$G45&gt;References!$S$123),References!$N$123,IF('Input HVAC Measures'!$G45&gt;References!$S$124,References!$N$124,"")))))</f>
        <v>0</v>
      </c>
      <c r="H42" s="171">
        <f>IF('Input HVAC Measures'!$E45="High Eff. AC Unit",'Input HVAC Measures'!$G45*12000/1000*References!$K$4*((1/'HVAC Calcs'!$D42)-(1/'Input HVAC Measures'!$K45)),IF('Input HVAC Measures'!$E45="High Eff. Heat Pump Unit",'Input HVAC Measures'!$G45*12000/1000*References!$K$5*((1/'HVAC Calcs'!$E42)-(1/'Input HVAC Measures'!$K45))+'Input HVAC Measures'!$G45*12000/1000*References!$N$5*((1/'HVAC Calcs'!$F42)-(1/'Input HVAC Measures'!$L45)),0))</f>
        <v>0</v>
      </c>
      <c r="I42" s="172" t="b">
        <f>IF('Input HVAC Measures'!$E45="High Eff. AC Unit",'Input HVAC Measures'!$G45*12000/1000*References!$L$4*((1/'HVAC Calcs'!$B42)-(1/'Input HVAC Measures'!$J45)),IF('Input HVAC Measures'!$E45="High Eff. Heat Pump Unit",'Input HVAC Measures'!$G45*12000/1000*References!$L$5*((1/'HVAC Calcs'!$C42)-(1/'Input HVAC Measures'!$J45))))</f>
        <v>0</v>
      </c>
    </row>
    <row r="43" spans="1:9" ht="15">
      <c r="A43">
        <v>41</v>
      </c>
      <c r="B43" s="107" t="b">
        <f>IF('Input HVAC Measures'!$E46="High Eff. AC Unit",IF('Input HVAC Measures'!$G46&lt;References!$T$116,References!$L$116,IF(AND('Input HVAC Measures'!$G46&lt;References!$T$117,'Input HVAC Measures'!$G46&gt;References!$S$117),References!$L$117,IF(AND('Input HVAC Measures'!$G46&lt;References!$T$118,'Input HVAC Measures'!$G46&gt;References!$S$118),References!$L$118,IF(AND('Input HVAC Measures'!$G46&lt;References!$T$119,'Input HVAC Measures'!$G46&gt;References!$S$119),References!$L$119,IF('Input HVAC Measures'!$G46&gt;References!$S$120,References!$L$120,""))))))</f>
        <v>0</v>
      </c>
      <c r="C43" s="107" t="b">
        <f>IF('Input HVAC Measures'!$E46="High Eff. Heat Pump Unit",IF('Input HVAC Measures'!$G46&lt;References!$T$121,References!$L$121,IF(AND('Input HVAC Measures'!$G46&lt;References!$T$122,'Input HVAC Measures'!$G46&gt;References!$S$122),References!$L$122,IF(AND('Input HVAC Measures'!$G46&lt;References!$T$123,'Input HVAC Measures'!$G46&gt;References!$S$123),References!$L$123,IF('Input HVAC Measures'!$G46&gt;References!$S$124,References!$L$124,"")))))</f>
        <v>0</v>
      </c>
      <c r="D43" s="107" t="b">
        <f>IF('Input HVAC Measures'!$E46="High Eff. AC Unit",IF('Input HVAC Measures'!$G46&lt;References!$T$116,References!$M$116,IF(AND('Input HVAC Measures'!$G46&lt;References!$T$117,'Input HVAC Measures'!$G46&gt;References!$S$117),References!$M$117,IF(AND('Input HVAC Measures'!$G46&lt;References!$T$118,'Input HVAC Measures'!$G46&gt;References!$S$118),References!$M$118,IF(AND('Input HVAC Measures'!$G46&lt;References!$T$119,'Input HVAC Measures'!$G46&gt;References!$S$119),References!$M$119,IF('Input HVAC Measures'!$G46&gt;References!$S$120,References!$M$120,""))))))</f>
        <v>0</v>
      </c>
      <c r="E43" s="107" t="b">
        <f>IF('Input HVAC Measures'!$E46="High Eff. Heat Pump Unit",IF('Input HVAC Measures'!$G46&lt;References!$T$121,References!$M$121,IF(AND('Input HVAC Measures'!$G46&lt;References!$T$122,'Input HVAC Measures'!$G46&gt;References!$S$122),References!$M$122,IF(AND('Input HVAC Measures'!$G46&lt;References!$T$123,'Input HVAC Measures'!$G46&gt;References!$S$123),References!$M$123,IF('Input HVAC Measures'!$G46&gt;References!$S$124,References!$M$124,"")))))</f>
        <v>0</v>
      </c>
      <c r="F43" s="107" t="b">
        <f>IF('Input HVAC Measures'!$E46="High Eff. Heat Pump Unit",IF('Input HVAC Measures'!$G46&lt;References!$T$121,References!$N$121,IF(AND('Input HVAC Measures'!$G46&lt;References!$T$122,'Input HVAC Measures'!$G46&gt;References!$S$122),References!$N$122,IF(AND('Input HVAC Measures'!$G46&lt;References!$T$123,'Input HVAC Measures'!$G46&gt;References!$S$123),References!$N$123,IF('Input HVAC Measures'!$G46&gt;References!$S$124,References!$N$124,"")))))</f>
        <v>0</v>
      </c>
      <c r="H43" s="171">
        <f>IF('Input HVAC Measures'!$E46="High Eff. AC Unit",'Input HVAC Measures'!$G46*12000/1000*References!$K$4*((1/'HVAC Calcs'!$D43)-(1/'Input HVAC Measures'!$K46)),IF('Input HVAC Measures'!$E46="High Eff. Heat Pump Unit",'Input HVAC Measures'!$G46*12000/1000*References!$K$5*((1/'HVAC Calcs'!$E43)-(1/'Input HVAC Measures'!$K46))+'Input HVAC Measures'!$G46*12000/1000*References!$N$5*((1/'HVAC Calcs'!$F43)-(1/'Input HVAC Measures'!$L46)),0))</f>
        <v>0</v>
      </c>
      <c r="I43" s="172" t="b">
        <f>IF('Input HVAC Measures'!$E46="High Eff. AC Unit",'Input HVAC Measures'!$G46*12000/1000*References!$L$4*((1/'HVAC Calcs'!$B43)-(1/'Input HVAC Measures'!$J46)),IF('Input HVAC Measures'!$E46="High Eff. Heat Pump Unit",'Input HVAC Measures'!$G46*12000/1000*References!$L$5*((1/'HVAC Calcs'!$C43)-(1/'Input HVAC Measures'!$J46))))</f>
        <v>0</v>
      </c>
    </row>
    <row r="44" spans="1:9" ht="15">
      <c r="A44">
        <v>42</v>
      </c>
      <c r="B44" s="107" t="b">
        <f>IF('Input HVAC Measures'!$E47="High Eff. AC Unit",IF('Input HVAC Measures'!$G47&lt;References!$T$116,References!$L$116,IF(AND('Input HVAC Measures'!$G47&lt;References!$T$117,'Input HVAC Measures'!$G47&gt;References!$S$117),References!$L$117,IF(AND('Input HVAC Measures'!$G47&lt;References!$T$118,'Input HVAC Measures'!$G47&gt;References!$S$118),References!$L$118,IF(AND('Input HVAC Measures'!$G47&lt;References!$T$119,'Input HVAC Measures'!$G47&gt;References!$S$119),References!$L$119,IF('Input HVAC Measures'!$G47&gt;References!$S$120,References!$L$120,""))))))</f>
        <v>0</v>
      </c>
      <c r="C44" s="107" t="b">
        <f>IF('Input HVAC Measures'!$E47="High Eff. Heat Pump Unit",IF('Input HVAC Measures'!$G47&lt;References!$T$121,References!$L$121,IF(AND('Input HVAC Measures'!$G47&lt;References!$T$122,'Input HVAC Measures'!$G47&gt;References!$S$122),References!$L$122,IF(AND('Input HVAC Measures'!$G47&lt;References!$T$123,'Input HVAC Measures'!$G47&gt;References!$S$123),References!$L$123,IF('Input HVAC Measures'!$G47&gt;References!$S$124,References!$L$124,"")))))</f>
        <v>0</v>
      </c>
      <c r="D44" s="107" t="b">
        <f>IF('Input HVAC Measures'!$E47="High Eff. AC Unit",IF('Input HVAC Measures'!$G47&lt;References!$T$116,References!$M$116,IF(AND('Input HVAC Measures'!$G47&lt;References!$T$117,'Input HVAC Measures'!$G47&gt;References!$S$117),References!$M$117,IF(AND('Input HVAC Measures'!$G47&lt;References!$T$118,'Input HVAC Measures'!$G47&gt;References!$S$118),References!$M$118,IF(AND('Input HVAC Measures'!$G47&lt;References!$T$119,'Input HVAC Measures'!$G47&gt;References!$S$119),References!$M$119,IF('Input HVAC Measures'!$G47&gt;References!$S$120,References!$M$120,""))))))</f>
        <v>0</v>
      </c>
      <c r="E44" s="107" t="b">
        <f>IF('Input HVAC Measures'!$E47="High Eff. Heat Pump Unit",IF('Input HVAC Measures'!$G47&lt;References!$T$121,References!$M$121,IF(AND('Input HVAC Measures'!$G47&lt;References!$T$122,'Input HVAC Measures'!$G47&gt;References!$S$122),References!$M$122,IF(AND('Input HVAC Measures'!$G47&lt;References!$T$123,'Input HVAC Measures'!$G47&gt;References!$S$123),References!$M$123,IF('Input HVAC Measures'!$G47&gt;References!$S$124,References!$M$124,"")))))</f>
        <v>0</v>
      </c>
      <c r="F44" s="107" t="b">
        <f>IF('Input HVAC Measures'!$E47="High Eff. Heat Pump Unit",IF('Input HVAC Measures'!$G47&lt;References!$T$121,References!$N$121,IF(AND('Input HVAC Measures'!$G47&lt;References!$T$122,'Input HVAC Measures'!$G47&gt;References!$S$122),References!$N$122,IF(AND('Input HVAC Measures'!$G47&lt;References!$T$123,'Input HVAC Measures'!$G47&gt;References!$S$123),References!$N$123,IF('Input HVAC Measures'!$G47&gt;References!$S$124,References!$N$124,"")))))</f>
        <v>0</v>
      </c>
      <c r="H44" s="171">
        <f>IF('Input HVAC Measures'!$E47="High Eff. AC Unit",'Input HVAC Measures'!$G47*12000/1000*References!$K$4*((1/'HVAC Calcs'!$D44)-(1/'Input HVAC Measures'!$K47)),IF('Input HVAC Measures'!$E47="High Eff. Heat Pump Unit",'Input HVAC Measures'!$G47*12000/1000*References!$K$5*((1/'HVAC Calcs'!$E44)-(1/'Input HVAC Measures'!$K47))+'Input HVAC Measures'!$G47*12000/1000*References!$N$5*((1/'HVAC Calcs'!$F44)-(1/'Input HVAC Measures'!$L47)),0))</f>
        <v>0</v>
      </c>
      <c r="I44" s="172" t="b">
        <f>IF('Input HVAC Measures'!$E47="High Eff. AC Unit",'Input HVAC Measures'!$G47*12000/1000*References!$L$4*((1/'HVAC Calcs'!$B44)-(1/'Input HVAC Measures'!$J47)),IF('Input HVAC Measures'!$E47="High Eff. Heat Pump Unit",'Input HVAC Measures'!$G47*12000/1000*References!$L$5*((1/'HVAC Calcs'!$C44)-(1/'Input HVAC Measures'!$J47))))</f>
        <v>0</v>
      </c>
    </row>
    <row r="45" spans="1:9" ht="15">
      <c r="A45">
        <v>43</v>
      </c>
      <c r="B45" s="107" t="b">
        <f>IF('Input HVAC Measures'!$E48="High Eff. AC Unit",IF('Input HVAC Measures'!$G48&lt;References!$T$116,References!$L$116,IF(AND('Input HVAC Measures'!$G48&lt;References!$T$117,'Input HVAC Measures'!$G48&gt;References!$S$117),References!$L$117,IF(AND('Input HVAC Measures'!$G48&lt;References!$T$118,'Input HVAC Measures'!$G48&gt;References!$S$118),References!$L$118,IF(AND('Input HVAC Measures'!$G48&lt;References!$T$119,'Input HVAC Measures'!$G48&gt;References!$S$119),References!$L$119,IF('Input HVAC Measures'!$G48&gt;References!$S$120,References!$L$120,""))))))</f>
        <v>0</v>
      </c>
      <c r="C45" s="107" t="b">
        <f>IF('Input HVAC Measures'!$E48="High Eff. Heat Pump Unit",IF('Input HVAC Measures'!$G48&lt;References!$T$121,References!$L$121,IF(AND('Input HVAC Measures'!$G48&lt;References!$T$122,'Input HVAC Measures'!$G48&gt;References!$S$122),References!$L$122,IF(AND('Input HVAC Measures'!$G48&lt;References!$T$123,'Input HVAC Measures'!$G48&gt;References!$S$123),References!$L$123,IF('Input HVAC Measures'!$G48&gt;References!$S$124,References!$L$124,"")))))</f>
        <v>0</v>
      </c>
      <c r="D45" s="107" t="b">
        <f>IF('Input HVAC Measures'!$E48="High Eff. AC Unit",IF('Input HVAC Measures'!$G48&lt;References!$T$116,References!$M$116,IF(AND('Input HVAC Measures'!$G48&lt;References!$T$117,'Input HVAC Measures'!$G48&gt;References!$S$117),References!$M$117,IF(AND('Input HVAC Measures'!$G48&lt;References!$T$118,'Input HVAC Measures'!$G48&gt;References!$S$118),References!$M$118,IF(AND('Input HVAC Measures'!$G48&lt;References!$T$119,'Input HVAC Measures'!$G48&gt;References!$S$119),References!$M$119,IF('Input HVAC Measures'!$G48&gt;References!$S$120,References!$M$120,""))))))</f>
        <v>0</v>
      </c>
      <c r="E45" s="107" t="b">
        <f>IF('Input HVAC Measures'!$E48="High Eff. Heat Pump Unit",IF('Input HVAC Measures'!$G48&lt;References!$T$121,References!$M$121,IF(AND('Input HVAC Measures'!$G48&lt;References!$T$122,'Input HVAC Measures'!$G48&gt;References!$S$122),References!$M$122,IF(AND('Input HVAC Measures'!$G48&lt;References!$T$123,'Input HVAC Measures'!$G48&gt;References!$S$123),References!$M$123,IF('Input HVAC Measures'!$G48&gt;References!$S$124,References!$M$124,"")))))</f>
        <v>0</v>
      </c>
      <c r="F45" s="107" t="b">
        <f>IF('Input HVAC Measures'!$E48="High Eff. Heat Pump Unit",IF('Input HVAC Measures'!$G48&lt;References!$T$121,References!$N$121,IF(AND('Input HVAC Measures'!$G48&lt;References!$T$122,'Input HVAC Measures'!$G48&gt;References!$S$122),References!$N$122,IF(AND('Input HVAC Measures'!$G48&lt;References!$T$123,'Input HVAC Measures'!$G48&gt;References!$S$123),References!$N$123,IF('Input HVAC Measures'!$G48&gt;References!$S$124,References!$N$124,"")))))</f>
        <v>0</v>
      </c>
      <c r="H45" s="171">
        <f>IF('Input HVAC Measures'!$E48="High Eff. AC Unit",'Input HVAC Measures'!$G48*12000/1000*References!$K$4*((1/'HVAC Calcs'!$D45)-(1/'Input HVAC Measures'!$K48)),IF('Input HVAC Measures'!$E48="High Eff. Heat Pump Unit",'Input HVAC Measures'!$G48*12000/1000*References!$K$5*((1/'HVAC Calcs'!$E45)-(1/'Input HVAC Measures'!$K48))+'Input HVAC Measures'!$G48*12000/1000*References!$N$5*((1/'HVAC Calcs'!$F45)-(1/'Input HVAC Measures'!$L48)),0))</f>
        <v>0</v>
      </c>
      <c r="I45" s="172" t="b">
        <f>IF('Input HVAC Measures'!$E48="High Eff. AC Unit",'Input HVAC Measures'!$G48*12000/1000*References!$L$4*((1/'HVAC Calcs'!$B45)-(1/'Input HVAC Measures'!$J48)),IF('Input HVAC Measures'!$E48="High Eff. Heat Pump Unit",'Input HVAC Measures'!$G48*12000/1000*References!$L$5*((1/'HVAC Calcs'!$C45)-(1/'Input HVAC Measures'!$J48))))</f>
        <v>0</v>
      </c>
    </row>
    <row r="46" spans="1:9" ht="15">
      <c r="A46">
        <v>44</v>
      </c>
      <c r="B46" s="107" t="b">
        <f>IF('Input HVAC Measures'!$E49="High Eff. AC Unit",IF('Input HVAC Measures'!$G49&lt;References!$T$116,References!$L$116,IF(AND('Input HVAC Measures'!$G49&lt;References!$T$117,'Input HVAC Measures'!$G49&gt;References!$S$117),References!$L$117,IF(AND('Input HVAC Measures'!$G49&lt;References!$T$118,'Input HVAC Measures'!$G49&gt;References!$S$118),References!$L$118,IF(AND('Input HVAC Measures'!$G49&lt;References!$T$119,'Input HVAC Measures'!$G49&gt;References!$S$119),References!$L$119,IF('Input HVAC Measures'!$G49&gt;References!$S$120,References!$L$120,""))))))</f>
        <v>0</v>
      </c>
      <c r="C46" s="107" t="b">
        <f>IF('Input HVAC Measures'!$E49="High Eff. Heat Pump Unit",IF('Input HVAC Measures'!$G49&lt;References!$T$121,References!$L$121,IF(AND('Input HVAC Measures'!$G49&lt;References!$T$122,'Input HVAC Measures'!$G49&gt;References!$S$122),References!$L$122,IF(AND('Input HVAC Measures'!$G49&lt;References!$T$123,'Input HVAC Measures'!$G49&gt;References!$S$123),References!$L$123,IF('Input HVAC Measures'!$G49&gt;References!$S$124,References!$L$124,"")))))</f>
        <v>0</v>
      </c>
      <c r="D46" s="107" t="b">
        <f>IF('Input HVAC Measures'!$E49="High Eff. AC Unit",IF('Input HVAC Measures'!$G49&lt;References!$T$116,References!$M$116,IF(AND('Input HVAC Measures'!$G49&lt;References!$T$117,'Input HVAC Measures'!$G49&gt;References!$S$117),References!$M$117,IF(AND('Input HVAC Measures'!$G49&lt;References!$T$118,'Input HVAC Measures'!$G49&gt;References!$S$118),References!$M$118,IF(AND('Input HVAC Measures'!$G49&lt;References!$T$119,'Input HVAC Measures'!$G49&gt;References!$S$119),References!$M$119,IF('Input HVAC Measures'!$G49&gt;References!$S$120,References!$M$120,""))))))</f>
        <v>0</v>
      </c>
      <c r="E46" s="107" t="b">
        <f>IF('Input HVAC Measures'!$E49="High Eff. Heat Pump Unit",IF('Input HVAC Measures'!$G49&lt;References!$T$121,References!$M$121,IF(AND('Input HVAC Measures'!$G49&lt;References!$T$122,'Input HVAC Measures'!$G49&gt;References!$S$122),References!$M$122,IF(AND('Input HVAC Measures'!$G49&lt;References!$T$123,'Input HVAC Measures'!$G49&gt;References!$S$123),References!$M$123,IF('Input HVAC Measures'!$G49&gt;References!$S$124,References!$M$124,"")))))</f>
        <v>0</v>
      </c>
      <c r="F46" s="107" t="b">
        <f>IF('Input HVAC Measures'!$E49="High Eff. Heat Pump Unit",IF('Input HVAC Measures'!$G49&lt;References!$T$121,References!$N$121,IF(AND('Input HVAC Measures'!$G49&lt;References!$T$122,'Input HVAC Measures'!$G49&gt;References!$S$122),References!$N$122,IF(AND('Input HVAC Measures'!$G49&lt;References!$T$123,'Input HVAC Measures'!$G49&gt;References!$S$123),References!$N$123,IF('Input HVAC Measures'!$G49&gt;References!$S$124,References!$N$124,"")))))</f>
        <v>0</v>
      </c>
      <c r="H46" s="171">
        <f>IF('Input HVAC Measures'!$E49="High Eff. AC Unit",'Input HVAC Measures'!$G49*12000/1000*References!$K$4*((1/'HVAC Calcs'!$D46)-(1/'Input HVAC Measures'!$K49)),IF('Input HVAC Measures'!$E49="High Eff. Heat Pump Unit",'Input HVAC Measures'!$G49*12000/1000*References!$K$5*((1/'HVAC Calcs'!$E46)-(1/'Input HVAC Measures'!$K49))+'Input HVAC Measures'!$G49*12000/1000*References!$N$5*((1/'HVAC Calcs'!$F46)-(1/'Input HVAC Measures'!$L49)),0))</f>
        <v>0</v>
      </c>
      <c r="I46" s="172" t="b">
        <f>IF('Input HVAC Measures'!$E49="High Eff. AC Unit",'Input HVAC Measures'!$G49*12000/1000*References!$L$4*((1/'HVAC Calcs'!$B46)-(1/'Input HVAC Measures'!$J49)),IF('Input HVAC Measures'!$E49="High Eff. Heat Pump Unit",'Input HVAC Measures'!$G49*12000/1000*References!$L$5*((1/'HVAC Calcs'!$C46)-(1/'Input HVAC Measures'!$J49))))</f>
        <v>0</v>
      </c>
    </row>
    <row r="47" spans="1:9" ht="15">
      <c r="A47">
        <v>45</v>
      </c>
      <c r="B47" s="107" t="b">
        <f>IF('Input HVAC Measures'!$E50="High Eff. AC Unit",IF('Input HVAC Measures'!$G50&lt;References!$T$116,References!$L$116,IF(AND('Input HVAC Measures'!$G50&lt;References!$T$117,'Input HVAC Measures'!$G50&gt;References!$S$117),References!$L$117,IF(AND('Input HVAC Measures'!$G50&lt;References!$T$118,'Input HVAC Measures'!$G50&gt;References!$S$118),References!$L$118,IF(AND('Input HVAC Measures'!$G50&lt;References!$T$119,'Input HVAC Measures'!$G50&gt;References!$S$119),References!$L$119,IF('Input HVAC Measures'!$G50&gt;References!$S$120,References!$L$120,""))))))</f>
        <v>0</v>
      </c>
      <c r="C47" s="107" t="b">
        <f>IF('Input HVAC Measures'!$E50="High Eff. Heat Pump Unit",IF('Input HVAC Measures'!$G50&lt;References!$T$121,References!$L$121,IF(AND('Input HVAC Measures'!$G50&lt;References!$T$122,'Input HVAC Measures'!$G50&gt;References!$S$122),References!$L$122,IF(AND('Input HVAC Measures'!$G50&lt;References!$T$123,'Input HVAC Measures'!$G50&gt;References!$S$123),References!$L$123,IF('Input HVAC Measures'!$G50&gt;References!$S$124,References!$L$124,"")))))</f>
        <v>0</v>
      </c>
      <c r="D47" s="107" t="b">
        <f>IF('Input HVAC Measures'!$E50="High Eff. AC Unit",IF('Input HVAC Measures'!$G50&lt;References!$T$116,References!$M$116,IF(AND('Input HVAC Measures'!$G50&lt;References!$T$117,'Input HVAC Measures'!$G50&gt;References!$S$117),References!$M$117,IF(AND('Input HVAC Measures'!$G50&lt;References!$T$118,'Input HVAC Measures'!$G50&gt;References!$S$118),References!$M$118,IF(AND('Input HVAC Measures'!$G50&lt;References!$T$119,'Input HVAC Measures'!$G50&gt;References!$S$119),References!$M$119,IF('Input HVAC Measures'!$G50&gt;References!$S$120,References!$M$120,""))))))</f>
        <v>0</v>
      </c>
      <c r="E47" s="107" t="b">
        <f>IF('Input HVAC Measures'!$E50="High Eff. Heat Pump Unit",IF('Input HVAC Measures'!$G50&lt;References!$T$121,References!$M$121,IF(AND('Input HVAC Measures'!$G50&lt;References!$T$122,'Input HVAC Measures'!$G50&gt;References!$S$122),References!$M$122,IF(AND('Input HVAC Measures'!$G50&lt;References!$T$123,'Input HVAC Measures'!$G50&gt;References!$S$123),References!$M$123,IF('Input HVAC Measures'!$G50&gt;References!$S$124,References!$M$124,"")))))</f>
        <v>0</v>
      </c>
      <c r="F47" s="107" t="b">
        <f>IF('Input HVAC Measures'!$E50="High Eff. Heat Pump Unit",IF('Input HVAC Measures'!$G50&lt;References!$T$121,References!$N$121,IF(AND('Input HVAC Measures'!$G50&lt;References!$T$122,'Input HVAC Measures'!$G50&gt;References!$S$122),References!$N$122,IF(AND('Input HVAC Measures'!$G50&lt;References!$T$123,'Input HVAC Measures'!$G50&gt;References!$S$123),References!$N$123,IF('Input HVAC Measures'!$G50&gt;References!$S$124,References!$N$124,"")))))</f>
        <v>0</v>
      </c>
      <c r="H47" s="171">
        <f>IF('Input HVAC Measures'!$E50="High Eff. AC Unit",'Input HVAC Measures'!$G50*12000/1000*References!$K$4*((1/'HVAC Calcs'!$D47)-(1/'Input HVAC Measures'!$K50)),IF('Input HVAC Measures'!$E50="High Eff. Heat Pump Unit",'Input HVAC Measures'!$G50*12000/1000*References!$K$5*((1/'HVAC Calcs'!$E47)-(1/'Input HVAC Measures'!$K50))+'Input HVAC Measures'!$G50*12000/1000*References!$N$5*((1/'HVAC Calcs'!$F47)-(1/'Input HVAC Measures'!$L50)),0))</f>
        <v>0</v>
      </c>
      <c r="I47" s="172" t="b">
        <f>IF('Input HVAC Measures'!$E50="High Eff. AC Unit",'Input HVAC Measures'!$G50*12000/1000*References!$L$4*((1/'HVAC Calcs'!$B47)-(1/'Input HVAC Measures'!$J50)),IF('Input HVAC Measures'!$E50="High Eff. Heat Pump Unit",'Input HVAC Measures'!$G50*12000/1000*References!$L$5*((1/'HVAC Calcs'!$C47)-(1/'Input HVAC Measures'!$J50))))</f>
        <v>0</v>
      </c>
    </row>
    <row r="48" spans="1:9" ht="15">
      <c r="A48">
        <v>46</v>
      </c>
      <c r="B48" s="107" t="b">
        <f>IF('Input HVAC Measures'!$E51="High Eff. AC Unit",IF('Input HVAC Measures'!$G51&lt;References!$T$116,References!$L$116,IF(AND('Input HVAC Measures'!$G51&lt;References!$T$117,'Input HVAC Measures'!$G51&gt;References!$S$117),References!$L$117,IF(AND('Input HVAC Measures'!$G51&lt;References!$T$118,'Input HVAC Measures'!$G51&gt;References!$S$118),References!$L$118,IF(AND('Input HVAC Measures'!$G51&lt;References!$T$119,'Input HVAC Measures'!$G51&gt;References!$S$119),References!$L$119,IF('Input HVAC Measures'!$G51&gt;References!$S$120,References!$L$120,""))))))</f>
        <v>0</v>
      </c>
      <c r="C48" s="107" t="b">
        <f>IF('Input HVAC Measures'!$E51="High Eff. Heat Pump Unit",IF('Input HVAC Measures'!$G51&lt;References!$T$121,References!$L$121,IF(AND('Input HVAC Measures'!$G51&lt;References!$T$122,'Input HVAC Measures'!$G51&gt;References!$S$122),References!$L$122,IF(AND('Input HVAC Measures'!$G51&lt;References!$T$123,'Input HVAC Measures'!$G51&gt;References!$S$123),References!$L$123,IF('Input HVAC Measures'!$G51&gt;References!$S$124,References!$L$124,"")))))</f>
        <v>0</v>
      </c>
      <c r="D48" s="107" t="b">
        <f>IF('Input HVAC Measures'!$E51="High Eff. AC Unit",IF('Input HVAC Measures'!$G51&lt;References!$T$116,References!$M$116,IF(AND('Input HVAC Measures'!$G51&lt;References!$T$117,'Input HVAC Measures'!$G51&gt;References!$S$117),References!$M$117,IF(AND('Input HVAC Measures'!$G51&lt;References!$T$118,'Input HVAC Measures'!$G51&gt;References!$S$118),References!$M$118,IF(AND('Input HVAC Measures'!$G51&lt;References!$T$119,'Input HVAC Measures'!$G51&gt;References!$S$119),References!$M$119,IF('Input HVAC Measures'!$G51&gt;References!$S$120,References!$M$120,""))))))</f>
        <v>0</v>
      </c>
      <c r="E48" s="107" t="b">
        <f>IF('Input HVAC Measures'!$E51="High Eff. Heat Pump Unit",IF('Input HVAC Measures'!$G51&lt;References!$T$121,References!$M$121,IF(AND('Input HVAC Measures'!$G51&lt;References!$T$122,'Input HVAC Measures'!$G51&gt;References!$S$122),References!$M$122,IF(AND('Input HVAC Measures'!$G51&lt;References!$T$123,'Input HVAC Measures'!$G51&gt;References!$S$123),References!$M$123,IF('Input HVAC Measures'!$G51&gt;References!$S$124,References!$M$124,"")))))</f>
        <v>0</v>
      </c>
      <c r="F48" s="107" t="b">
        <f>IF('Input HVAC Measures'!$E51="High Eff. Heat Pump Unit",IF('Input HVAC Measures'!$G51&lt;References!$T$121,References!$N$121,IF(AND('Input HVAC Measures'!$G51&lt;References!$T$122,'Input HVAC Measures'!$G51&gt;References!$S$122),References!$N$122,IF(AND('Input HVAC Measures'!$G51&lt;References!$T$123,'Input HVAC Measures'!$G51&gt;References!$S$123),References!$N$123,IF('Input HVAC Measures'!$G51&gt;References!$S$124,References!$N$124,"")))))</f>
        <v>0</v>
      </c>
      <c r="H48" s="171">
        <f>IF('Input HVAC Measures'!$E51="High Eff. AC Unit",'Input HVAC Measures'!$G51*12000/1000*References!$K$4*((1/'HVAC Calcs'!$D48)-(1/'Input HVAC Measures'!$K51)),IF('Input HVAC Measures'!$E51="High Eff. Heat Pump Unit",'Input HVAC Measures'!$G51*12000/1000*References!$K$5*((1/'HVAC Calcs'!$E48)-(1/'Input HVAC Measures'!$K51))+'Input HVAC Measures'!$G51*12000/1000*References!$N$5*((1/'HVAC Calcs'!$F48)-(1/'Input HVAC Measures'!$L51)),0))</f>
        <v>0</v>
      </c>
      <c r="I48" s="172" t="b">
        <f>IF('Input HVAC Measures'!$E51="High Eff. AC Unit",'Input HVAC Measures'!$G51*12000/1000*References!$L$4*((1/'HVAC Calcs'!$B48)-(1/'Input HVAC Measures'!$J51)),IF('Input HVAC Measures'!$E51="High Eff. Heat Pump Unit",'Input HVAC Measures'!$G51*12000/1000*References!$L$5*((1/'HVAC Calcs'!$C48)-(1/'Input HVAC Measures'!$J51))))</f>
        <v>0</v>
      </c>
    </row>
    <row r="49" spans="1:9" ht="15">
      <c r="A49">
        <v>47</v>
      </c>
      <c r="B49" s="107" t="b">
        <f>IF('Input HVAC Measures'!$E52="High Eff. AC Unit",IF('Input HVAC Measures'!$G52&lt;References!$T$116,References!$L$116,IF(AND('Input HVAC Measures'!$G52&lt;References!$T$117,'Input HVAC Measures'!$G52&gt;References!$S$117),References!$L$117,IF(AND('Input HVAC Measures'!$G52&lt;References!$T$118,'Input HVAC Measures'!$G52&gt;References!$S$118),References!$L$118,IF(AND('Input HVAC Measures'!$G52&lt;References!$T$119,'Input HVAC Measures'!$G52&gt;References!$S$119),References!$L$119,IF('Input HVAC Measures'!$G52&gt;References!$S$120,References!$L$120,""))))))</f>
        <v>0</v>
      </c>
      <c r="C49" s="107" t="b">
        <f>IF('Input HVAC Measures'!$E52="High Eff. Heat Pump Unit",IF('Input HVAC Measures'!$G52&lt;References!$T$121,References!$L$121,IF(AND('Input HVAC Measures'!$G52&lt;References!$T$122,'Input HVAC Measures'!$G52&gt;References!$S$122),References!$L$122,IF(AND('Input HVAC Measures'!$G52&lt;References!$T$123,'Input HVAC Measures'!$G52&gt;References!$S$123),References!$L$123,IF('Input HVAC Measures'!$G52&gt;References!$S$124,References!$L$124,"")))))</f>
        <v>0</v>
      </c>
      <c r="D49" s="107" t="b">
        <f>IF('Input HVAC Measures'!$E52="High Eff. AC Unit",IF('Input HVAC Measures'!$G52&lt;References!$T$116,References!$M$116,IF(AND('Input HVAC Measures'!$G52&lt;References!$T$117,'Input HVAC Measures'!$G52&gt;References!$S$117),References!$M$117,IF(AND('Input HVAC Measures'!$G52&lt;References!$T$118,'Input HVAC Measures'!$G52&gt;References!$S$118),References!$M$118,IF(AND('Input HVAC Measures'!$G52&lt;References!$T$119,'Input HVAC Measures'!$G52&gt;References!$S$119),References!$M$119,IF('Input HVAC Measures'!$G52&gt;References!$S$120,References!$M$120,""))))))</f>
        <v>0</v>
      </c>
      <c r="E49" s="107" t="b">
        <f>IF('Input HVAC Measures'!$E52="High Eff. Heat Pump Unit",IF('Input HVAC Measures'!$G52&lt;References!$T$121,References!$M$121,IF(AND('Input HVAC Measures'!$G52&lt;References!$T$122,'Input HVAC Measures'!$G52&gt;References!$S$122),References!$M$122,IF(AND('Input HVAC Measures'!$G52&lt;References!$T$123,'Input HVAC Measures'!$G52&gt;References!$S$123),References!$M$123,IF('Input HVAC Measures'!$G52&gt;References!$S$124,References!$M$124,"")))))</f>
        <v>0</v>
      </c>
      <c r="F49" s="107" t="b">
        <f>IF('Input HVAC Measures'!$E52="High Eff. Heat Pump Unit",IF('Input HVAC Measures'!$G52&lt;References!$T$121,References!$N$121,IF(AND('Input HVAC Measures'!$G52&lt;References!$T$122,'Input HVAC Measures'!$G52&gt;References!$S$122),References!$N$122,IF(AND('Input HVAC Measures'!$G52&lt;References!$T$123,'Input HVAC Measures'!$G52&gt;References!$S$123),References!$N$123,IF('Input HVAC Measures'!$G52&gt;References!$S$124,References!$N$124,"")))))</f>
        <v>0</v>
      </c>
      <c r="H49" s="171">
        <f>IF('Input HVAC Measures'!$E52="High Eff. AC Unit",'Input HVAC Measures'!$G52*12000/1000*References!$K$4*((1/'HVAC Calcs'!$D49)-(1/'Input HVAC Measures'!$K52)),IF('Input HVAC Measures'!$E52="High Eff. Heat Pump Unit",'Input HVAC Measures'!$G52*12000/1000*References!$K$5*((1/'HVAC Calcs'!$E49)-(1/'Input HVAC Measures'!$K52))+'Input HVAC Measures'!$G52*12000/1000*References!$N$5*((1/'HVAC Calcs'!$F49)-(1/'Input HVAC Measures'!$L52)),0))</f>
        <v>0</v>
      </c>
      <c r="I49" s="172" t="b">
        <f>IF('Input HVAC Measures'!$E52="High Eff. AC Unit",'Input HVAC Measures'!$G52*12000/1000*References!$L$4*((1/'HVAC Calcs'!$B49)-(1/'Input HVAC Measures'!$J52)),IF('Input HVAC Measures'!$E52="High Eff. Heat Pump Unit",'Input HVAC Measures'!$G52*12000/1000*References!$L$5*((1/'HVAC Calcs'!$C49)-(1/'Input HVAC Measures'!$J52))))</f>
        <v>0</v>
      </c>
    </row>
    <row r="50" spans="1:9" ht="15">
      <c r="A50">
        <v>48</v>
      </c>
      <c r="B50" s="107" t="b">
        <f>IF('Input HVAC Measures'!$E53="High Eff. AC Unit",IF('Input HVAC Measures'!$G53&lt;References!$T$116,References!$L$116,IF(AND('Input HVAC Measures'!$G53&lt;References!$T$117,'Input HVAC Measures'!$G53&gt;References!$S$117),References!$L$117,IF(AND('Input HVAC Measures'!$G53&lt;References!$T$118,'Input HVAC Measures'!$G53&gt;References!$S$118),References!$L$118,IF(AND('Input HVAC Measures'!$G53&lt;References!$T$119,'Input HVAC Measures'!$G53&gt;References!$S$119),References!$L$119,IF('Input HVAC Measures'!$G53&gt;References!$S$120,References!$L$120,""))))))</f>
        <v>0</v>
      </c>
      <c r="C50" s="107" t="b">
        <f>IF('Input HVAC Measures'!$E53="High Eff. Heat Pump Unit",IF('Input HVAC Measures'!$G53&lt;References!$T$121,References!$L$121,IF(AND('Input HVAC Measures'!$G53&lt;References!$T$122,'Input HVAC Measures'!$G53&gt;References!$S$122),References!$L$122,IF(AND('Input HVAC Measures'!$G53&lt;References!$T$123,'Input HVAC Measures'!$G53&gt;References!$S$123),References!$L$123,IF('Input HVAC Measures'!$G53&gt;References!$S$124,References!$L$124,"")))))</f>
        <v>0</v>
      </c>
      <c r="D50" s="107" t="b">
        <f>IF('Input HVAC Measures'!$E53="High Eff. AC Unit",IF('Input HVAC Measures'!$G53&lt;References!$T$116,References!$M$116,IF(AND('Input HVAC Measures'!$G53&lt;References!$T$117,'Input HVAC Measures'!$G53&gt;References!$S$117),References!$M$117,IF(AND('Input HVAC Measures'!$G53&lt;References!$T$118,'Input HVAC Measures'!$G53&gt;References!$S$118),References!$M$118,IF(AND('Input HVAC Measures'!$G53&lt;References!$T$119,'Input HVAC Measures'!$G53&gt;References!$S$119),References!$M$119,IF('Input HVAC Measures'!$G53&gt;References!$S$120,References!$M$120,""))))))</f>
        <v>0</v>
      </c>
      <c r="E50" s="107" t="b">
        <f>IF('Input HVAC Measures'!$E53="High Eff. Heat Pump Unit",IF('Input HVAC Measures'!$G53&lt;References!$T$121,References!$M$121,IF(AND('Input HVAC Measures'!$G53&lt;References!$T$122,'Input HVAC Measures'!$G53&gt;References!$S$122),References!$M$122,IF(AND('Input HVAC Measures'!$G53&lt;References!$T$123,'Input HVAC Measures'!$G53&gt;References!$S$123),References!$M$123,IF('Input HVAC Measures'!$G53&gt;References!$S$124,References!$M$124,"")))))</f>
        <v>0</v>
      </c>
      <c r="F50" s="107" t="b">
        <f>IF('Input HVAC Measures'!$E53="High Eff. Heat Pump Unit",IF('Input HVAC Measures'!$G53&lt;References!$T$121,References!$N$121,IF(AND('Input HVAC Measures'!$G53&lt;References!$T$122,'Input HVAC Measures'!$G53&gt;References!$S$122),References!$N$122,IF(AND('Input HVAC Measures'!$G53&lt;References!$T$123,'Input HVAC Measures'!$G53&gt;References!$S$123),References!$N$123,IF('Input HVAC Measures'!$G53&gt;References!$S$124,References!$N$124,"")))))</f>
        <v>0</v>
      </c>
      <c r="H50" s="171">
        <f>IF('Input HVAC Measures'!$E53="High Eff. AC Unit",'Input HVAC Measures'!$G53*12000/1000*References!$K$4*((1/'HVAC Calcs'!$D50)-(1/'Input HVAC Measures'!$K53)),IF('Input HVAC Measures'!$E53="High Eff. Heat Pump Unit",'Input HVAC Measures'!$G53*12000/1000*References!$K$5*((1/'HVAC Calcs'!$E50)-(1/'Input HVAC Measures'!$K53))+'Input HVAC Measures'!$G53*12000/1000*References!$N$5*((1/'HVAC Calcs'!$F50)-(1/'Input HVAC Measures'!$L53)),0))</f>
        <v>0</v>
      </c>
      <c r="I50" s="172" t="b">
        <f>IF('Input HVAC Measures'!$E53="High Eff. AC Unit",'Input HVAC Measures'!$G53*12000/1000*References!$L$4*((1/'HVAC Calcs'!$B50)-(1/'Input HVAC Measures'!$J53)),IF('Input HVAC Measures'!$E53="High Eff. Heat Pump Unit",'Input HVAC Measures'!$G53*12000/1000*References!$L$5*((1/'HVAC Calcs'!$C50)-(1/'Input HVAC Measures'!$J53))))</f>
        <v>0</v>
      </c>
    </row>
    <row r="51" spans="1:9" ht="15">
      <c r="A51">
        <v>49</v>
      </c>
      <c r="B51" s="107" t="b">
        <f>IF('Input HVAC Measures'!$E54="High Eff. AC Unit",IF('Input HVAC Measures'!$G54&lt;References!$T$116,References!$L$116,IF(AND('Input HVAC Measures'!$G54&lt;References!$T$117,'Input HVAC Measures'!$G54&gt;References!$S$117),References!$L$117,IF(AND('Input HVAC Measures'!$G54&lt;References!$T$118,'Input HVAC Measures'!$G54&gt;References!$S$118),References!$L$118,IF(AND('Input HVAC Measures'!$G54&lt;References!$T$119,'Input HVAC Measures'!$G54&gt;References!$S$119),References!$L$119,IF('Input HVAC Measures'!$G54&gt;References!$S$120,References!$L$120,""))))))</f>
        <v>0</v>
      </c>
      <c r="C51" s="107" t="b">
        <f>IF('Input HVAC Measures'!$E54="High Eff. Heat Pump Unit",IF('Input HVAC Measures'!$G54&lt;References!$T$121,References!$L$121,IF(AND('Input HVAC Measures'!$G54&lt;References!$T$122,'Input HVAC Measures'!$G54&gt;References!$S$122),References!$L$122,IF(AND('Input HVAC Measures'!$G54&lt;References!$T$123,'Input HVAC Measures'!$G54&gt;References!$S$123),References!$L$123,IF('Input HVAC Measures'!$G54&gt;References!$S$124,References!$L$124,"")))))</f>
        <v>0</v>
      </c>
      <c r="D51" s="107" t="b">
        <f>IF('Input HVAC Measures'!$E54="High Eff. AC Unit",IF('Input HVAC Measures'!$G54&lt;References!$T$116,References!$M$116,IF(AND('Input HVAC Measures'!$G54&lt;References!$T$117,'Input HVAC Measures'!$G54&gt;References!$S$117),References!$M$117,IF(AND('Input HVAC Measures'!$G54&lt;References!$T$118,'Input HVAC Measures'!$G54&gt;References!$S$118),References!$M$118,IF(AND('Input HVAC Measures'!$G54&lt;References!$T$119,'Input HVAC Measures'!$G54&gt;References!$S$119),References!$M$119,IF('Input HVAC Measures'!$G54&gt;References!$S$120,References!$M$120,""))))))</f>
        <v>0</v>
      </c>
      <c r="E51" s="107" t="b">
        <f>IF('Input HVAC Measures'!$E54="High Eff. Heat Pump Unit",IF('Input HVAC Measures'!$G54&lt;References!$T$121,References!$M$121,IF(AND('Input HVAC Measures'!$G54&lt;References!$T$122,'Input HVAC Measures'!$G54&gt;References!$S$122),References!$M$122,IF(AND('Input HVAC Measures'!$G54&lt;References!$T$123,'Input HVAC Measures'!$G54&gt;References!$S$123),References!$M$123,IF('Input HVAC Measures'!$G54&gt;References!$S$124,References!$M$124,"")))))</f>
        <v>0</v>
      </c>
      <c r="F51" s="107" t="b">
        <f>IF('Input HVAC Measures'!$E54="High Eff. Heat Pump Unit",IF('Input HVAC Measures'!$G54&lt;References!$T$121,References!$N$121,IF(AND('Input HVAC Measures'!$G54&lt;References!$T$122,'Input HVAC Measures'!$G54&gt;References!$S$122),References!$N$122,IF(AND('Input HVAC Measures'!$G54&lt;References!$T$123,'Input HVAC Measures'!$G54&gt;References!$S$123),References!$N$123,IF('Input HVAC Measures'!$G54&gt;References!$S$124,References!$N$124,"")))))</f>
        <v>0</v>
      </c>
      <c r="H51" s="171">
        <f>IF('Input HVAC Measures'!$E54="High Eff. AC Unit",'Input HVAC Measures'!$G54*12000/1000*References!$K$4*((1/'HVAC Calcs'!$D51)-(1/'Input HVAC Measures'!$K54)),IF('Input HVAC Measures'!$E54="High Eff. Heat Pump Unit",'Input HVAC Measures'!$G54*12000/1000*References!$K$5*((1/'HVAC Calcs'!$E51)-(1/'Input HVAC Measures'!$K54))+'Input HVAC Measures'!$G54*12000/1000*References!$N$5*((1/'HVAC Calcs'!$F51)-(1/'Input HVAC Measures'!$L54)),0))</f>
        <v>0</v>
      </c>
      <c r="I51" s="172" t="b">
        <f>IF('Input HVAC Measures'!$E54="High Eff. AC Unit",'Input HVAC Measures'!$G54*12000/1000*References!$L$4*((1/'HVAC Calcs'!$B51)-(1/'Input HVAC Measures'!$J54)),IF('Input HVAC Measures'!$E54="High Eff. Heat Pump Unit",'Input HVAC Measures'!$G54*12000/1000*References!$L$5*((1/'HVAC Calcs'!$C51)-(1/'Input HVAC Measures'!$J54))))</f>
        <v>0</v>
      </c>
    </row>
    <row r="52" spans="1:9" ht="15">
      <c r="A52">
        <v>50</v>
      </c>
      <c r="B52" s="107" t="b">
        <f>IF('Input HVAC Measures'!$E55="High Eff. AC Unit",IF('Input HVAC Measures'!$G55&lt;References!$T$116,References!$L$116,IF(AND('Input HVAC Measures'!$G55&lt;References!$T$117,'Input HVAC Measures'!$G55&gt;References!$S$117),References!$L$117,IF(AND('Input HVAC Measures'!$G55&lt;References!$T$118,'Input HVAC Measures'!$G55&gt;References!$S$118),References!$L$118,IF(AND('Input HVAC Measures'!$G55&lt;References!$T$119,'Input HVAC Measures'!$G55&gt;References!$S$119),References!$L$119,IF('Input HVAC Measures'!$G55&gt;References!$S$120,References!$L$120,""))))))</f>
        <v>0</v>
      </c>
      <c r="C52" s="107" t="b">
        <f>IF('Input HVAC Measures'!$E55="High Eff. Heat Pump Unit",IF('Input HVAC Measures'!$G55&lt;References!$T$121,References!$L$121,IF(AND('Input HVAC Measures'!$G55&lt;References!$T$122,'Input HVAC Measures'!$G55&gt;References!$S$122),References!$L$122,IF(AND('Input HVAC Measures'!$G55&lt;References!$T$123,'Input HVAC Measures'!$G55&gt;References!$S$123),References!$L$123,IF('Input HVAC Measures'!$G55&gt;References!$S$124,References!$L$124,"")))))</f>
        <v>0</v>
      </c>
      <c r="D52" s="107" t="b">
        <f>IF('Input HVAC Measures'!$E55="High Eff. AC Unit",IF('Input HVAC Measures'!$G55&lt;References!$T$116,References!$M$116,IF(AND('Input HVAC Measures'!$G55&lt;References!$T$117,'Input HVAC Measures'!$G55&gt;References!$S$117),References!$M$117,IF(AND('Input HVAC Measures'!$G55&lt;References!$T$118,'Input HVAC Measures'!$G55&gt;References!$S$118),References!$M$118,IF(AND('Input HVAC Measures'!$G55&lt;References!$T$119,'Input HVAC Measures'!$G55&gt;References!$S$119),References!$M$119,IF('Input HVAC Measures'!$G55&gt;References!$S$120,References!$M$120,""))))))</f>
        <v>0</v>
      </c>
      <c r="E52" s="107" t="b">
        <f>IF('Input HVAC Measures'!$E55="High Eff. Heat Pump Unit",IF('Input HVAC Measures'!$G55&lt;References!$T$121,References!$M$121,IF(AND('Input HVAC Measures'!$G55&lt;References!$T$122,'Input HVAC Measures'!$G55&gt;References!$S$122),References!$M$122,IF(AND('Input HVAC Measures'!$G55&lt;References!$T$123,'Input HVAC Measures'!$G55&gt;References!$S$123),References!$M$123,IF('Input HVAC Measures'!$G55&gt;References!$S$124,References!$M$124,"")))))</f>
        <v>0</v>
      </c>
      <c r="F52" s="107" t="b">
        <f>IF('Input HVAC Measures'!$E55="High Eff. Heat Pump Unit",IF('Input HVAC Measures'!$G55&lt;References!$T$121,References!$N$121,IF(AND('Input HVAC Measures'!$G55&lt;References!$T$122,'Input HVAC Measures'!$G55&gt;References!$S$122),References!$N$122,IF(AND('Input HVAC Measures'!$G55&lt;References!$T$123,'Input HVAC Measures'!$G55&gt;References!$S$123),References!$N$123,IF('Input HVAC Measures'!$G55&gt;References!$S$124,References!$N$124,"")))))</f>
        <v>0</v>
      </c>
      <c r="H52" s="171">
        <f>IF('Input HVAC Measures'!$E55="High Eff. AC Unit",'Input HVAC Measures'!$G55*12000/1000*References!$K$4*((1/'HVAC Calcs'!$D52)-(1/'Input HVAC Measures'!$K55)),IF('Input HVAC Measures'!$E55="High Eff. Heat Pump Unit",'Input HVAC Measures'!$G55*12000/1000*References!$K$5*((1/'HVAC Calcs'!$E52)-(1/'Input HVAC Measures'!$K55))+'Input HVAC Measures'!$G55*12000/1000*References!$N$5*((1/'HVAC Calcs'!$F52)-(1/'Input HVAC Measures'!$L55)),0))</f>
        <v>0</v>
      </c>
      <c r="I52" s="172" t="b">
        <f>IF('Input HVAC Measures'!$E55="High Eff. AC Unit",'Input HVAC Measures'!$G55*12000/1000*References!$L$4*((1/'HVAC Calcs'!$B52)-(1/'Input HVAC Measures'!$J55)),IF('Input HVAC Measures'!$E55="High Eff. Heat Pump Unit",'Input HVAC Measures'!$G55*12000/1000*References!$L$5*((1/'HVAC Calcs'!$C52)-(1/'Input HVAC Measures'!$J55))))</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6"/>
  <sheetViews>
    <sheetView workbookViewId="0">
      <selection activeCell="L3" sqref="L3:O3"/>
    </sheetView>
  </sheetViews>
  <sheetFormatPr defaultRowHeight="12.75"/>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c r="A1" s="357" t="s">
        <v>559</v>
      </c>
      <c r="B1" s="357"/>
      <c r="L1" s="357" t="s">
        <v>560</v>
      </c>
      <c r="M1" s="357"/>
    </row>
    <row r="2" spans="1:15" s="8" customFormat="1" ht="26.25" thickTop="1">
      <c r="A2" s="54" t="s">
        <v>561</v>
      </c>
      <c r="B2" s="54" t="s">
        <v>562</v>
      </c>
      <c r="C2" s="54" t="s">
        <v>563</v>
      </c>
      <c r="D2" s="54" t="s">
        <v>564</v>
      </c>
      <c r="E2" s="54" t="s">
        <v>565</v>
      </c>
      <c r="F2" s="54" t="s">
        <v>566</v>
      </c>
      <c r="G2" s="54" t="s">
        <v>567</v>
      </c>
      <c r="H2" s="54" t="s">
        <v>568</v>
      </c>
      <c r="I2" s="54" t="s">
        <v>569</v>
      </c>
      <c r="J2" s="54" t="s">
        <v>570</v>
      </c>
      <c r="L2" t="s">
        <v>571</v>
      </c>
      <c r="M2" t="s">
        <v>572</v>
      </c>
      <c r="N2" t="s">
        <v>573</v>
      </c>
      <c r="O2" t="s">
        <v>574</v>
      </c>
    </row>
    <row r="3" spans="1:15">
      <c r="A3" t="s">
        <v>267</v>
      </c>
      <c r="B3" t="s">
        <v>575</v>
      </c>
      <c r="C3" s="103">
        <f>'Input HVAC Measures'!R4</f>
        <v>0</v>
      </c>
      <c r="D3" s="101">
        <f>'Input HVAC Measures'!S4</f>
        <v>0</v>
      </c>
      <c r="E3" s="102">
        <f>'Input HVAC Measures'!T4</f>
        <v>0</v>
      </c>
      <c r="F3" s="103">
        <f>'Input HVAC Measures'!U4</f>
        <v>0</v>
      </c>
      <c r="G3" s="103">
        <f>'Input HVAC Measures'!V4</f>
        <v>0</v>
      </c>
      <c r="H3" s="103">
        <f>'Input HVAC Measures'!W4</f>
        <v>0</v>
      </c>
      <c r="I3" s="56" t="e">
        <f>Table_Measure_Caps[[#This Row],[Estimated Raw Incentive Total]]/Table_Measure_Caps[[#This Row],[Gross Measure Cost Total]]</f>
        <v>#DIV/0!</v>
      </c>
      <c r="J3" s="55" t="e">
        <f>Table_Measure_Caps[[#This Row],[Estimated Raw Incentive Total]]*MIN(Table_Measure_Caps[[#Totals],[Estimated Raw Incentive Total]], Table_Measure_Caps[[#Totals],[Gross Measure Cost Total]], Value_Project_CAP)/Table_Measure_Caps[[#Totals],[Estimated Raw Incentive Total]]</f>
        <v>#DIV/0!</v>
      </c>
      <c r="K3" s="55"/>
      <c r="L3" s="68"/>
      <c r="M3" s="32"/>
      <c r="N3" s="32"/>
      <c r="O3" s="32"/>
    </row>
    <row r="4" spans="1:15">
      <c r="A4" t="s">
        <v>429</v>
      </c>
      <c r="B4" t="s">
        <v>576</v>
      </c>
      <c r="C4" s="103">
        <f>'Input Refrigeration Measures'!K4</f>
        <v>0</v>
      </c>
      <c r="D4" s="101">
        <f>'Input Refrigeration Measures'!L4</f>
        <v>0</v>
      </c>
      <c r="E4" s="102">
        <f>'Input Refrigeration Measures'!M4</f>
        <v>0</v>
      </c>
      <c r="F4" s="103">
        <f>'Input Refrigeration Measures'!N4</f>
        <v>0</v>
      </c>
      <c r="G4" s="103">
        <f>'Input Refrigeration Measures'!O4</f>
        <v>0</v>
      </c>
      <c r="H4" s="103">
        <f>'Input Refrigeration Measures'!P4</f>
        <v>0</v>
      </c>
      <c r="I4" s="56" t="e">
        <f>Table_Measure_Caps[[#This Row],[Estimated Raw Incentive Total]]/Table_Measure_Caps[[#This Row],[Gross Measure Cost Total]]</f>
        <v>#DIV/0!</v>
      </c>
      <c r="J4" s="55" t="e">
        <f>Table_Measure_Caps[[#This Row],[Estimated Raw Incentive Total]]*MIN(Table_Measure_Caps[[#Totals],[Estimated Raw Incentive Total]], Table_Measure_Caps[[#Totals],[Gross Measure Cost Total]], Value_Project_CAP)/Table_Measure_Caps[[#Totals],[Estimated Raw Incentive Total]]</f>
        <v>#DIV/0!</v>
      </c>
      <c r="K4" s="55"/>
    </row>
    <row r="5" spans="1:15">
      <c r="A5" t="s">
        <v>577</v>
      </c>
      <c r="B5" t="s">
        <v>578</v>
      </c>
      <c r="C5" s="103">
        <f>'Input Com Kitchen Measures'!K3</f>
        <v>0</v>
      </c>
      <c r="D5" s="101">
        <f>'Input Com Kitchen Measures'!L3</f>
        <v>0</v>
      </c>
      <c r="E5" s="102">
        <f>'Input Com Kitchen Measures'!M3</f>
        <v>0</v>
      </c>
      <c r="F5" s="103">
        <f>'Input Com Kitchen Measures'!N3</f>
        <v>0</v>
      </c>
      <c r="G5" s="103">
        <f>'Input Com Kitchen Measures'!O3</f>
        <v>0</v>
      </c>
      <c r="H5" s="103">
        <f>'Input Com Kitchen Measures'!P3</f>
        <v>0</v>
      </c>
      <c r="I5" s="56" t="e">
        <f>Table_Measure_Caps[[#This Row],[Estimated Raw Incentive Total]]/Table_Measure_Caps[[#This Row],[Gross Measure Cost Total]]</f>
        <v>#DIV/0!</v>
      </c>
      <c r="J5" s="55" t="e">
        <f>Table_Measure_Caps[[#This Row],[Estimated Raw Incentive Total]]*MIN(Table_Measure_Caps[[#Totals],[Estimated Raw Incentive Total]], Table_Measure_Caps[[#Totals],[Gross Measure Cost Total]], Value_Project_CAP)/Table_Measure_Caps[[#Totals],[Estimated Raw Incentive Total]]</f>
        <v>#DIV/0!</v>
      </c>
      <c r="K5" s="55"/>
    </row>
    <row r="6" spans="1:15">
      <c r="A6" t="s">
        <v>492</v>
      </c>
      <c r="B6" t="s">
        <v>579</v>
      </c>
      <c r="C6" s="103">
        <f>'Input Window Film Measures'!L3</f>
        <v>0</v>
      </c>
      <c r="D6" s="101">
        <f>'Input Window Film Measures'!M3</f>
        <v>0</v>
      </c>
      <c r="E6" s="102">
        <f>'Input Window Film Measures'!N3</f>
        <v>0</v>
      </c>
      <c r="F6" s="103">
        <f>'Input Window Film Measures'!O3</f>
        <v>0</v>
      </c>
      <c r="G6" s="103">
        <f>'Input Window Film Measures'!P3</f>
        <v>0</v>
      </c>
      <c r="H6" s="103">
        <f>'Input Window Film Measures'!Q3</f>
        <v>0</v>
      </c>
      <c r="I6" s="56" t="e">
        <f>Table_Measure_Caps[[#This Row],[Estimated Raw Incentive Total]]/Table_Measure_Caps[[#This Row],[Gross Measure Cost Total]]</f>
        <v>#DIV/0!</v>
      </c>
      <c r="J6" s="55" t="e">
        <f>Table_Measure_Caps[[#This Row],[Estimated Raw Incentive Total]]*MIN(Table_Measure_Caps[[#Totals],[Estimated Raw Incentive Total]], Table_Measure_Caps[[#Totals],[Gross Measure Cost Total]], Value_Project_CAP)/Table_Measure_Caps[[#Totals],[Estimated Raw Incentive Total]]</f>
        <v>#DIV/0!</v>
      </c>
      <c r="K6" s="55"/>
    </row>
    <row r="7" spans="1:15">
      <c r="A7" t="s">
        <v>496</v>
      </c>
      <c r="B7" t="s">
        <v>580</v>
      </c>
      <c r="C7" s="103">
        <f>'Input Misc Measures'!K3</f>
        <v>0</v>
      </c>
      <c r="D7" s="101">
        <f>'Input Misc Measures'!L3</f>
        <v>0</v>
      </c>
      <c r="E7" s="102">
        <f>'Input Misc Measures'!M3</f>
        <v>0</v>
      </c>
      <c r="F7" s="103">
        <f>'Input Misc Measures'!N3</f>
        <v>0</v>
      </c>
      <c r="G7" s="103">
        <f>'Input Misc Measures'!O3</f>
        <v>0</v>
      </c>
      <c r="H7" s="103">
        <f>'Input Misc Measures'!P3</f>
        <v>0</v>
      </c>
      <c r="I7" s="56" t="e">
        <f>Table_Measure_Caps[[#This Row],[Estimated Raw Incentive Total]]/Table_Measure_Caps[[#This Row],[Gross Measure Cost Total]]</f>
        <v>#DIV/0!</v>
      </c>
      <c r="J7" s="55" t="e">
        <f>Table_Measure_Caps[[#This Row],[Estimated Raw Incentive Total]]*MIN(Table_Measure_Caps[[#Totals],[Estimated Raw Incentive Total]], Table_Measure_Caps[[#Totals],[Gross Measure Cost Total]], Value_Project_CAP)/Table_Measure_Caps[[#Totals],[Estimated Raw Incentive Total]]</f>
        <v>#DIV/0!</v>
      </c>
    </row>
    <row r="8" spans="1:15">
      <c r="A8" t="s">
        <v>211</v>
      </c>
      <c r="B8" t="s">
        <v>211</v>
      </c>
      <c r="C8" s="103">
        <f>'Input Custom Measures'!R3</f>
        <v>0</v>
      </c>
      <c r="D8" s="101">
        <f>'Input Custom Measures'!S3</f>
        <v>0</v>
      </c>
      <c r="E8" s="102">
        <f>'Input Custom Measures'!T3</f>
        <v>0</v>
      </c>
      <c r="F8" s="103">
        <f>'Input Custom Measures'!U3</f>
        <v>0</v>
      </c>
      <c r="G8" s="103">
        <f>'Input Custom Measures'!V3</f>
        <v>0</v>
      </c>
      <c r="H8" s="103">
        <f>'Input Custom Measures'!W3</f>
        <v>0</v>
      </c>
      <c r="I8" s="56" t="e">
        <f>Table_Measure_Caps[[#This Row],[Estimated Raw Incentive Total]]/Table_Measure_Caps[[#This Row],[Gross Measure Cost Total]]</f>
        <v>#DIV/0!</v>
      </c>
      <c r="J8" s="55" t="e">
        <f>Table_Measure_Caps[[#This Row],[Estimated Raw Incentive Total]]*MIN(Table_Measure_Caps[[#Totals],[Estimated Raw Incentive Total]], Table_Measure_Caps[[#Totals],[Gross Measure Cost Total]], Value_Project_CAP)/Table_Measure_Caps[[#Totals],[Estimated Raw Incentive Total]]</f>
        <v>#DIV/0!</v>
      </c>
    </row>
    <row r="9" spans="1:15">
      <c r="A9" t="s">
        <v>165</v>
      </c>
      <c r="C9" s="103">
        <f>SUBTOTAL(109,Table_Measure_Caps[Estimated Raw Incentive Total])</f>
        <v>0</v>
      </c>
      <c r="D9" s="101">
        <f>SUBTOTAL(109,Table_Measure_Caps[Energy Savings Total (kWh)])</f>
        <v>0</v>
      </c>
      <c r="E9" s="102">
        <f>SUBTOTAL(109,Table_Measure_Caps[Demand Reduction Total (kW)])</f>
        <v>0</v>
      </c>
      <c r="F9" s="103">
        <f>SUBTOTAL(109,Table_Measure_Caps[Cost Savings Total])</f>
        <v>0</v>
      </c>
      <c r="G9" s="103">
        <f>SUBTOTAL(109,Table_Measure_Caps[Gross Measure Cost Total])</f>
        <v>0</v>
      </c>
      <c r="H9" s="103">
        <f>SUBTOTAL(109,Table_Measure_Caps[Net Measure Cost Total])</f>
        <v>0</v>
      </c>
      <c r="I9" s="104" t="e">
        <f>Table_Measure_Caps[[#Totals],[Estimated Raw Incentive Total]]/Table_Measure_Caps[[#Totals],[Gross Measure Cost Total]]</f>
        <v>#DIV/0!</v>
      </c>
      <c r="J9" s="55" t="e">
        <f>SUBTOTAL(109,Table_Measure_Caps[Capped Incentive])</f>
        <v>#DIV/0!</v>
      </c>
    </row>
    <row r="13" spans="1:15">
      <c r="G13" s="32"/>
      <c r="H13" s="32"/>
    </row>
    <row r="16" spans="1:15">
      <c r="E16" s="32"/>
    </row>
  </sheetData>
  <mergeCells count="2">
    <mergeCell ref="A1:B1"/>
    <mergeCell ref="L1:M1"/>
  </mergeCells>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K21" sqref="K21"/>
    </sheetView>
  </sheetViews>
  <sheetFormatPr defaultRowHeight="12.75"/>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row r="2" spans="1:18" ht="14.25" thickTop="1" thickBot="1">
      <c r="A2" s="48" t="s">
        <v>581</v>
      </c>
    </row>
    <row r="3" spans="1:18" ht="13.5" thickTop="1">
      <c r="A3" t="s">
        <v>582</v>
      </c>
      <c r="B3" t="s">
        <v>180</v>
      </c>
      <c r="C3" t="s">
        <v>583</v>
      </c>
      <c r="D3" t="s">
        <v>584</v>
      </c>
      <c r="E3" t="s">
        <v>46</v>
      </c>
      <c r="F3" t="s">
        <v>47</v>
      </c>
      <c r="G3" t="s">
        <v>585</v>
      </c>
      <c r="H3" t="s">
        <v>586</v>
      </c>
      <c r="I3" t="s">
        <v>587</v>
      </c>
      <c r="J3" t="s">
        <v>588</v>
      </c>
      <c r="K3" t="s">
        <v>589</v>
      </c>
      <c r="L3" t="s">
        <v>590</v>
      </c>
      <c r="M3" t="s">
        <v>591</v>
      </c>
      <c r="N3" t="s">
        <v>592</v>
      </c>
      <c r="O3" t="s">
        <v>185</v>
      </c>
      <c r="P3" t="s">
        <v>593</v>
      </c>
      <c r="Q3" t="s">
        <v>187</v>
      </c>
      <c r="R3" t="s">
        <v>188</v>
      </c>
    </row>
    <row r="4" spans="1:18">
      <c r="A4" s="52" t="s">
        <v>159</v>
      </c>
      <c r="B4">
        <f>'Fill in the Application'!$C$5</f>
        <v>0</v>
      </c>
      <c r="C4">
        <f>'Fill in the Application'!$C$6</f>
        <v>0</v>
      </c>
      <c r="D4">
        <f>'Fill in the Application'!$C$7</f>
        <v>0</v>
      </c>
      <c r="E4">
        <f>'Fill in the Application'!$C$8</f>
        <v>0</v>
      </c>
      <c r="F4">
        <f>'Fill in the Application'!$C$9</f>
        <v>0</v>
      </c>
      <c r="G4">
        <f>'Fill in the Application'!$C$10</f>
        <v>0</v>
      </c>
      <c r="H4">
        <f>'Fill in the Application'!$C$11</f>
        <v>0</v>
      </c>
      <c r="I4">
        <f>'Fill in the Application'!$C$12</f>
        <v>0</v>
      </c>
      <c r="J4">
        <f>'Fill in the Application'!$C$13</f>
        <v>0</v>
      </c>
      <c r="K4">
        <f>'Fill in the Application'!$C$14</f>
        <v>0</v>
      </c>
      <c r="L4">
        <f>'Fill in the Application'!$C$15</f>
        <v>0</v>
      </c>
      <c r="M4" t="s">
        <v>594</v>
      </c>
      <c r="N4" t="str">
        <f>Table_Contacts[[#This Row],[Entity]]</f>
        <v>Customer</v>
      </c>
      <c r="O4" t="s">
        <v>594</v>
      </c>
      <c r="P4" t="s">
        <v>594</v>
      </c>
      <c r="Q4" t="s">
        <v>594</v>
      </c>
      <c r="R4" t="s">
        <v>594</v>
      </c>
    </row>
    <row r="5" spans="1:18">
      <c r="A5" s="52" t="s">
        <v>307</v>
      </c>
      <c r="B5">
        <f>'Fill in the Application'!$C$17</f>
        <v>0</v>
      </c>
      <c r="C5">
        <f>'Fill in the Application'!$C$18</f>
        <v>0</v>
      </c>
      <c r="D5">
        <f>'Fill in the Application'!$C$19</f>
        <v>0</v>
      </c>
      <c r="E5">
        <f>'Fill in the Application'!$C$20</f>
        <v>0</v>
      </c>
      <c r="F5">
        <f>'Fill in the Application'!$C$21</f>
        <v>0</v>
      </c>
      <c r="G5">
        <f>'Fill in the Application'!$C$22</f>
        <v>0</v>
      </c>
      <c r="H5">
        <f>'Fill in the Application'!$C$23</f>
        <v>0</v>
      </c>
      <c r="I5">
        <f>'Fill in the Application'!$C$24</f>
        <v>0</v>
      </c>
      <c r="J5" t="s">
        <v>594</v>
      </c>
      <c r="K5" t="s">
        <v>594</v>
      </c>
      <c r="L5" t="s">
        <v>594</v>
      </c>
      <c r="M5">
        <f>'Fill in the Application'!$C$25</f>
        <v>0</v>
      </c>
      <c r="N5" t="str">
        <f>Table_Contacts[[#This Row],[Entity]]</f>
        <v>Trade Ally/Contractor</v>
      </c>
      <c r="O5" t="s">
        <v>594</v>
      </c>
      <c r="P5" t="s">
        <v>594</v>
      </c>
      <c r="Q5" t="s">
        <v>594</v>
      </c>
      <c r="R5" t="s">
        <v>594</v>
      </c>
    </row>
    <row r="6" spans="1:18">
      <c r="A6" s="52" t="s">
        <v>328</v>
      </c>
      <c r="B6">
        <f>'Fill in the Application'!$C$27</f>
        <v>0</v>
      </c>
      <c r="C6">
        <f>'Fill in the Application'!$C$28</f>
        <v>0</v>
      </c>
      <c r="D6">
        <f>'Fill in the Application'!$C$29</f>
        <v>0</v>
      </c>
      <c r="E6">
        <f>'Fill in the Application'!$C$30</f>
        <v>0</v>
      </c>
      <c r="F6">
        <f>'Fill in the Application'!$C$31</f>
        <v>0</v>
      </c>
      <c r="G6">
        <f>'Fill in the Application'!$C$32</f>
        <v>0</v>
      </c>
      <c r="H6">
        <f>'Fill in the Application'!$C$33</f>
        <v>0</v>
      </c>
      <c r="I6">
        <f>'Fill in the Application'!$C$34</f>
        <v>0</v>
      </c>
      <c r="J6" t="s">
        <v>594</v>
      </c>
      <c r="K6" t="s">
        <v>594</v>
      </c>
      <c r="L6" t="s">
        <v>594</v>
      </c>
      <c r="M6" t="s">
        <v>594</v>
      </c>
      <c r="N6">
        <f>'Fill in the Application'!$C$35</f>
        <v>0</v>
      </c>
      <c r="O6" t="s">
        <v>594</v>
      </c>
      <c r="P6" t="s">
        <v>594</v>
      </c>
      <c r="Q6" t="s">
        <v>594</v>
      </c>
      <c r="R6" t="s">
        <v>594</v>
      </c>
    </row>
    <row r="7" spans="1:18">
      <c r="A7" s="52" t="s">
        <v>346</v>
      </c>
      <c r="B7">
        <f>'Fill in the Application'!$F$15</f>
        <v>0</v>
      </c>
      <c r="C7">
        <f>'Fill in the Application'!$F$16</f>
        <v>0</v>
      </c>
      <c r="D7">
        <f>'Fill in the Application'!$F$17</f>
        <v>0</v>
      </c>
      <c r="E7">
        <f>'Fill in the Application'!$F$18</f>
        <v>0</v>
      </c>
      <c r="F7">
        <f>'Fill in the Application'!$F$19</f>
        <v>0</v>
      </c>
      <c r="G7">
        <f>'Fill in the Application'!$F$20</f>
        <v>0</v>
      </c>
      <c r="H7">
        <f>'Fill in the Application'!$F$21</f>
        <v>0</v>
      </c>
      <c r="I7">
        <f>'Fill in the Application'!$F$22</f>
        <v>0</v>
      </c>
      <c r="J7" t="s">
        <v>594</v>
      </c>
      <c r="K7" t="s">
        <v>594</v>
      </c>
      <c r="L7" t="s">
        <v>594</v>
      </c>
      <c r="M7" t="s">
        <v>594</v>
      </c>
      <c r="N7" t="str">
        <f>Table_Contacts[[#This Row],[Entity]]</f>
        <v>Job Site</v>
      </c>
      <c r="O7" t="s">
        <v>594</v>
      </c>
      <c r="P7" t="s">
        <v>594</v>
      </c>
      <c r="Q7" t="s">
        <v>594</v>
      </c>
      <c r="R7" t="s">
        <v>594</v>
      </c>
    </row>
    <row r="8" spans="1:18">
      <c r="A8" s="52" t="s">
        <v>595</v>
      </c>
      <c r="B8" t="e">
        <f>INDEX(Table_Contacts[Business Name], MATCH('Fill in the Application'!$C$37, Table_Contacts[Entity], 0))</f>
        <v>#N/A</v>
      </c>
      <c r="C8" t="e">
        <f>INDEX(Table_Contacts[Contact Name], MATCH('Fill in the Application'!$C$37, Table_Contacts[Entity], 0))</f>
        <v>#N/A</v>
      </c>
      <c r="D8" t="e">
        <f>INDEX(Table_Contacts[Street], MATCH('Fill in the Application'!$C$37, Table_Contacts[Entity], 0))</f>
        <v>#N/A</v>
      </c>
      <c r="E8" t="e">
        <f>INDEX(Table_Contacts[City], MATCH('Fill in the Application'!$C$37, Table_Contacts[Entity], 0))</f>
        <v>#N/A</v>
      </c>
      <c r="F8" t="e">
        <f>INDEX(Table_Contacts[State], MATCH('Fill in the Application'!$C$37, Table_Contacts[Entity], 0))</f>
        <v>#N/A</v>
      </c>
      <c r="G8" t="e">
        <f>INDEX(Table_Contacts[Zip], MATCH('Fill in the Application'!$C$37, Table_Contacts[Entity], 0))</f>
        <v>#N/A</v>
      </c>
      <c r="H8" t="e">
        <f>INDEX(Table_Contacts[Phone], MATCH('Fill in the Application'!$C$37, Table_Contacts[Entity], 0))</f>
        <v>#N/A</v>
      </c>
      <c r="I8" t="e">
        <f>INDEX(Table_Contacts[Email], MATCH('Fill in the Application'!$C$37, Table_Contacts[Entity], 0))</f>
        <v>#N/A</v>
      </c>
      <c r="J8" t="e">
        <f>INDEX(Table_Contacts[Classification], MATCH('Fill in the Application'!$C$37, Table_Contacts[Entity], 0))</f>
        <v>#N/A</v>
      </c>
      <c r="K8" t="s">
        <v>594</v>
      </c>
      <c r="L8" t="s">
        <v>594</v>
      </c>
      <c r="M8" t="s">
        <v>594</v>
      </c>
      <c r="N8" t="s">
        <v>594</v>
      </c>
      <c r="O8">
        <f>'Fill in the Application'!F34</f>
        <v>0</v>
      </c>
      <c r="P8">
        <f>'Fill in the Application'!F35</f>
        <v>0</v>
      </c>
      <c r="Q8">
        <f>'Fill in the Application'!F36</f>
        <v>0</v>
      </c>
      <c r="R8">
        <f>'Fill in the 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N212"/>
  <sheetViews>
    <sheetView workbookViewId="0">
      <selection activeCell="A2" sqref="A2"/>
    </sheetView>
  </sheetViews>
  <sheetFormatPr defaultColWidth="9.140625" defaultRowHeight="12.75"/>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10" width="17.140625" style="40" customWidth="1"/>
    <col min="11" max="11" width="13" customWidth="1"/>
    <col min="12" max="12" width="19.28515625" customWidth="1"/>
    <col min="13" max="13" width="56" customWidth="1"/>
    <col min="14" max="14" width="12.28515625" style="40" customWidth="1"/>
  </cols>
  <sheetData>
    <row r="1" spans="1:14" ht="30">
      <c r="A1" s="61" t="s">
        <v>596</v>
      </c>
      <c r="B1" s="62" t="s">
        <v>597</v>
      </c>
      <c r="C1" s="62" t="s">
        <v>598</v>
      </c>
      <c r="D1" s="62" t="s">
        <v>228</v>
      </c>
      <c r="E1" s="62" t="s">
        <v>599</v>
      </c>
      <c r="F1" s="62" t="s">
        <v>232</v>
      </c>
      <c r="G1" s="63" t="s">
        <v>557</v>
      </c>
      <c r="H1" s="62" t="s">
        <v>558</v>
      </c>
      <c r="I1" s="64" t="s">
        <v>212</v>
      </c>
      <c r="J1" s="64" t="s">
        <v>600</v>
      </c>
      <c r="K1" s="62" t="s">
        <v>601</v>
      </c>
      <c r="L1" s="62" t="s">
        <v>602</v>
      </c>
      <c r="M1" s="65" t="s">
        <v>229</v>
      </c>
      <c r="N1" s="64" t="s">
        <v>603</v>
      </c>
    </row>
    <row r="2" spans="1:14">
      <c r="A2" s="36"/>
      <c r="B2" s="35"/>
      <c r="C2" s="35"/>
      <c r="D2" s="35"/>
      <c r="E2" s="35"/>
      <c r="F2" s="35"/>
      <c r="G2" s="35"/>
      <c r="H2" s="95"/>
      <c r="I2" s="41"/>
      <c r="J2" s="41"/>
      <c r="K2" s="35"/>
      <c r="L2" s="37"/>
      <c r="M2" s="59"/>
      <c r="N2" s="38"/>
    </row>
    <row r="3" spans="1:14">
      <c r="A3" s="11" t="s">
        <v>267</v>
      </c>
      <c r="B3" s="10">
        <f t="shared" ref="B3:B104" si="0">Input_ProjectNumber</f>
        <v>0</v>
      </c>
      <c r="C3" s="10">
        <f>'Input HVAC Measures'!B6</f>
        <v>1</v>
      </c>
      <c r="D3" s="10" t="str">
        <f>'Input HVAC Measures'!C6</f>
        <v/>
      </c>
      <c r="E3" s="10" t="str">
        <f>'Input HVAC Measures'!F6</f>
        <v/>
      </c>
      <c r="F3" s="10" t="str">
        <f>IF(ISNUMBER($D3)=TRUE,'Input HVAC Measures'!G6,"")</f>
        <v/>
      </c>
      <c r="G3" s="10" t="str">
        <f>IF(ISNUMBER($D3)=TRUE,'Input HVAC Measures'!S6,"")</f>
        <v/>
      </c>
      <c r="H3" s="96" t="str">
        <f>IF(ISNUMBER($D3)=TRUE,'Input HVAC Measures'!T6,"")</f>
        <v/>
      </c>
      <c r="I3" s="42" t="str">
        <f>IFERROR(N3*MIN(Table_Measure_Caps[[#Totals],[Estimated Raw Incentive Total]], Table_Measure_Caps[[#Totals],[Gross Measure Cost Total]], Value_Project_CAP)/Table_Measure_Caps[[#Totals],[Estimated Raw Incentive Total]], "")</f>
        <v/>
      </c>
      <c r="J3" s="42" t="str">
        <f>IF(ISNUMBER($D3)=TRUE,'Input HVAC Measures'!O6,"")</f>
        <v/>
      </c>
      <c r="K3" s="10" t="str">
        <f>IF(ISNUMBER($D3)=TRUE,'Input HVAC Measures'!P6,"")</f>
        <v/>
      </c>
      <c r="L3" s="27" t="str">
        <f t="shared" ref="L3:L65" si="1">Value_Application_Version</f>
        <v>Version 5.0 - 2025</v>
      </c>
      <c r="M3" s="60" t="str">
        <f>IF(ISNUMBER($D3)=TRUE,'Input HVAC Measures'!E6,"")</f>
        <v/>
      </c>
      <c r="N3" s="39" t="str">
        <f>'Input HVAC Measures'!R6</f>
        <v/>
      </c>
    </row>
    <row r="4" spans="1:14">
      <c r="A4" s="11" t="s">
        <v>267</v>
      </c>
      <c r="B4" s="10">
        <f t="shared" si="0"/>
        <v>0</v>
      </c>
      <c r="C4" s="10">
        <f>'Input HVAC Measures'!B7</f>
        <v>2</v>
      </c>
      <c r="D4" s="10" t="str">
        <f>'Input HVAC Measures'!C7</f>
        <v/>
      </c>
      <c r="E4" s="10" t="str">
        <f>'Input HVAC Measures'!F7</f>
        <v/>
      </c>
      <c r="F4" s="10" t="str">
        <f>IF(ISNUMBER($D4)=TRUE,'Input HVAC Measures'!G7,"")</f>
        <v/>
      </c>
      <c r="G4" s="10" t="str">
        <f>IF(ISNUMBER($D4)=TRUE,'Input HVAC Measures'!S7,"")</f>
        <v/>
      </c>
      <c r="H4" s="96" t="str">
        <f>IF(ISNUMBER($D4)=TRUE,'Input HVAC Measures'!T7,"")</f>
        <v/>
      </c>
      <c r="I4" s="42" t="str">
        <f>IFERROR(N4*MIN(Table_Measure_Caps[[#Totals],[Estimated Raw Incentive Total]], Table_Measure_Caps[[#Totals],[Gross Measure Cost Total]], Value_Project_CAP)/Table_Measure_Caps[[#Totals],[Estimated Raw Incentive Total]], "")</f>
        <v/>
      </c>
      <c r="J4" s="42" t="str">
        <f>IF(ISNUMBER($D4)=TRUE,'Input HVAC Measures'!O7,"")</f>
        <v/>
      </c>
      <c r="K4" s="10" t="str">
        <f>IF(ISNUMBER($D4)=TRUE,'Input HVAC Measures'!P7,"")</f>
        <v/>
      </c>
      <c r="L4" s="27" t="str">
        <f t="shared" si="1"/>
        <v>Version 5.0 - 2025</v>
      </c>
      <c r="M4" s="60" t="str">
        <f>IF(ISNUMBER($D4)=TRUE,'Input HVAC Measures'!E7,"")</f>
        <v/>
      </c>
      <c r="N4" s="39" t="str">
        <f>'Input HVAC Measures'!R7</f>
        <v/>
      </c>
    </row>
    <row r="5" spans="1:14">
      <c r="A5" s="11" t="s">
        <v>267</v>
      </c>
      <c r="B5" s="10">
        <f t="shared" si="0"/>
        <v>0</v>
      </c>
      <c r="C5" s="10">
        <f>'Input HVAC Measures'!B8</f>
        <v>3</v>
      </c>
      <c r="D5" s="10" t="str">
        <f>'Input HVAC Measures'!C8</f>
        <v/>
      </c>
      <c r="E5" s="10" t="str">
        <f>'Input HVAC Measures'!F8</f>
        <v/>
      </c>
      <c r="F5" s="10" t="str">
        <f>IF(ISNUMBER($D5)=TRUE,'Input HVAC Measures'!G8,"")</f>
        <v/>
      </c>
      <c r="G5" s="10" t="str">
        <f>IF(ISNUMBER($D5)=TRUE,'Input HVAC Measures'!S8,"")</f>
        <v/>
      </c>
      <c r="H5" s="96" t="str">
        <f>IF(ISNUMBER($D5)=TRUE,'Input HVAC Measures'!T8,"")</f>
        <v/>
      </c>
      <c r="I5" s="42" t="str">
        <f>IFERROR(N5*MIN(Table_Measure_Caps[[#Totals],[Estimated Raw Incentive Total]], Table_Measure_Caps[[#Totals],[Gross Measure Cost Total]], Value_Project_CAP)/Table_Measure_Caps[[#Totals],[Estimated Raw Incentive Total]], "")</f>
        <v/>
      </c>
      <c r="J5" s="42" t="str">
        <f>IF(ISNUMBER($D5)=TRUE,'Input HVAC Measures'!O8,"")</f>
        <v/>
      </c>
      <c r="K5" s="10" t="str">
        <f>IF(ISNUMBER($D5)=TRUE,'Input HVAC Measures'!P8,"")</f>
        <v/>
      </c>
      <c r="L5" s="27" t="str">
        <f t="shared" si="1"/>
        <v>Version 5.0 - 2025</v>
      </c>
      <c r="M5" s="60" t="str">
        <f>IF(ISNUMBER($D5)=TRUE,'Input HVAC Measures'!E8,"")</f>
        <v/>
      </c>
      <c r="N5" s="39" t="str">
        <f>'Input HVAC Measures'!R8</f>
        <v/>
      </c>
    </row>
    <row r="6" spans="1:14">
      <c r="A6" s="11" t="s">
        <v>267</v>
      </c>
      <c r="B6" s="10">
        <f t="shared" si="0"/>
        <v>0</v>
      </c>
      <c r="C6" s="10">
        <f>'Input HVAC Measures'!B9</f>
        <v>4</v>
      </c>
      <c r="D6" s="10" t="str">
        <f>'Input HVAC Measures'!C9</f>
        <v/>
      </c>
      <c r="E6" s="10" t="str">
        <f>'Input HVAC Measures'!F9</f>
        <v/>
      </c>
      <c r="F6" s="10" t="str">
        <f>IF(ISNUMBER($D6)=TRUE,'Input HVAC Measures'!G9,"")</f>
        <v/>
      </c>
      <c r="G6" s="10" t="str">
        <f>IF(ISNUMBER($D6)=TRUE,'Input HVAC Measures'!S9,"")</f>
        <v/>
      </c>
      <c r="H6" s="96" t="str">
        <f>IF(ISNUMBER($D6)=TRUE,'Input HVAC Measures'!T9,"")</f>
        <v/>
      </c>
      <c r="I6" s="42" t="str">
        <f>IFERROR(N6*MIN(Table_Measure_Caps[[#Totals],[Estimated Raw Incentive Total]], Table_Measure_Caps[[#Totals],[Gross Measure Cost Total]], Value_Project_CAP)/Table_Measure_Caps[[#Totals],[Estimated Raw Incentive Total]], "")</f>
        <v/>
      </c>
      <c r="J6" s="42" t="str">
        <f>IF(ISNUMBER($D6)=TRUE,'Input HVAC Measures'!O9,"")</f>
        <v/>
      </c>
      <c r="K6" s="10" t="str">
        <f>IF(ISNUMBER($D6)=TRUE,'Input HVAC Measures'!P9,"")</f>
        <v/>
      </c>
      <c r="L6" s="27" t="str">
        <f t="shared" si="1"/>
        <v>Version 5.0 - 2025</v>
      </c>
      <c r="M6" s="60" t="str">
        <f>IF(ISNUMBER($D6)=TRUE,'Input HVAC Measures'!E9,"")</f>
        <v/>
      </c>
      <c r="N6" s="39" t="str">
        <f>'Input HVAC Measures'!R9</f>
        <v/>
      </c>
    </row>
    <row r="7" spans="1:14">
      <c r="A7" s="11" t="s">
        <v>267</v>
      </c>
      <c r="B7" s="10">
        <f t="shared" si="0"/>
        <v>0</v>
      </c>
      <c r="C7" s="10">
        <f>'Input HVAC Measures'!B10</f>
        <v>5</v>
      </c>
      <c r="D7" s="10" t="str">
        <f>'Input HVAC Measures'!C10</f>
        <v/>
      </c>
      <c r="E7" s="10" t="str">
        <f>'Input HVAC Measures'!F10</f>
        <v/>
      </c>
      <c r="F7" s="10" t="str">
        <f>IF(ISNUMBER($D7)=TRUE,'Input HVAC Measures'!G10,"")</f>
        <v/>
      </c>
      <c r="G7" s="10" t="str">
        <f>IF(ISNUMBER($D7)=TRUE,'Input HVAC Measures'!S10,"")</f>
        <v/>
      </c>
      <c r="H7" s="96" t="str">
        <f>IF(ISNUMBER($D7)=TRUE,'Input HVAC Measures'!T10,"")</f>
        <v/>
      </c>
      <c r="I7" s="42" t="str">
        <f>IFERROR(N7*MIN(Table_Measure_Caps[[#Totals],[Estimated Raw Incentive Total]], Table_Measure_Caps[[#Totals],[Gross Measure Cost Total]], Value_Project_CAP)/Table_Measure_Caps[[#Totals],[Estimated Raw Incentive Total]], "")</f>
        <v/>
      </c>
      <c r="J7" s="42" t="str">
        <f>IF(ISNUMBER($D7)=TRUE,'Input HVAC Measures'!O10,"")</f>
        <v/>
      </c>
      <c r="K7" s="10" t="str">
        <f>IF(ISNUMBER($D7)=TRUE,'Input HVAC Measures'!P10,"")</f>
        <v/>
      </c>
      <c r="L7" s="27" t="str">
        <f t="shared" si="1"/>
        <v>Version 5.0 - 2025</v>
      </c>
      <c r="M7" s="60" t="str">
        <f>IF(ISNUMBER($D7)=TRUE,'Input HVAC Measures'!E10,"")</f>
        <v/>
      </c>
      <c r="N7" s="39" t="str">
        <f>'Input HVAC Measures'!R10</f>
        <v/>
      </c>
    </row>
    <row r="8" spans="1:14">
      <c r="A8" s="11" t="s">
        <v>267</v>
      </c>
      <c r="B8" s="10">
        <f t="shared" si="0"/>
        <v>0</v>
      </c>
      <c r="C8" s="10">
        <f>'Input HVAC Measures'!B11</f>
        <v>6</v>
      </c>
      <c r="D8" s="10" t="str">
        <f>'Input HVAC Measures'!C11</f>
        <v/>
      </c>
      <c r="E8" s="10" t="str">
        <f>'Input HVAC Measures'!F11</f>
        <v/>
      </c>
      <c r="F8" s="10" t="str">
        <f>IF(ISNUMBER($D8)=TRUE,'Input HVAC Measures'!G11,"")</f>
        <v/>
      </c>
      <c r="G8" s="10" t="str">
        <f>IF(ISNUMBER($D8)=TRUE,'Input HVAC Measures'!S11,"")</f>
        <v/>
      </c>
      <c r="H8" s="96" t="str">
        <f>IF(ISNUMBER($D8)=TRUE,'Input HVAC Measures'!T11,"")</f>
        <v/>
      </c>
      <c r="I8" s="42" t="str">
        <f>IFERROR(N8*MIN(Table_Measure_Caps[[#Totals],[Estimated Raw Incentive Total]], Table_Measure_Caps[[#Totals],[Gross Measure Cost Total]], Value_Project_CAP)/Table_Measure_Caps[[#Totals],[Estimated Raw Incentive Total]], "")</f>
        <v/>
      </c>
      <c r="J8" s="42" t="str">
        <f>IF(ISNUMBER($D8)=TRUE,'Input HVAC Measures'!O11,"")</f>
        <v/>
      </c>
      <c r="K8" s="10" t="str">
        <f>IF(ISNUMBER($D8)=TRUE,'Input HVAC Measures'!P11,"")</f>
        <v/>
      </c>
      <c r="L8" s="27" t="str">
        <f t="shared" si="1"/>
        <v>Version 5.0 - 2025</v>
      </c>
      <c r="M8" s="60" t="str">
        <f>IF(ISNUMBER($D8)=TRUE,'Input HVAC Measures'!E11,"")</f>
        <v/>
      </c>
      <c r="N8" s="39" t="str">
        <f>'Input HVAC Measures'!R11</f>
        <v/>
      </c>
    </row>
    <row r="9" spans="1:14">
      <c r="A9" s="11" t="s">
        <v>267</v>
      </c>
      <c r="B9" s="10">
        <f t="shared" si="0"/>
        <v>0</v>
      </c>
      <c r="C9" s="10">
        <f>'Input HVAC Measures'!B12</f>
        <v>7</v>
      </c>
      <c r="D9" s="10" t="str">
        <f>'Input HVAC Measures'!C12</f>
        <v/>
      </c>
      <c r="E9" s="10" t="str">
        <f>'Input HVAC Measures'!F12</f>
        <v/>
      </c>
      <c r="F9" s="10" t="str">
        <f>IF(ISNUMBER($D9)=TRUE,'Input HVAC Measures'!G12,"")</f>
        <v/>
      </c>
      <c r="G9" s="10" t="str">
        <f>IF(ISNUMBER($D9)=TRUE,'Input HVAC Measures'!S12,"")</f>
        <v/>
      </c>
      <c r="H9" s="96" t="str">
        <f>IF(ISNUMBER($D9)=TRUE,'Input HVAC Measures'!T12,"")</f>
        <v/>
      </c>
      <c r="I9" s="42" t="str">
        <f>IFERROR(N9*MIN(Table_Measure_Caps[[#Totals],[Estimated Raw Incentive Total]], Table_Measure_Caps[[#Totals],[Gross Measure Cost Total]], Value_Project_CAP)/Table_Measure_Caps[[#Totals],[Estimated Raw Incentive Total]], "")</f>
        <v/>
      </c>
      <c r="J9" s="42" t="str">
        <f>IF(ISNUMBER($D9)=TRUE,'Input HVAC Measures'!O12,"")</f>
        <v/>
      </c>
      <c r="K9" s="10" t="str">
        <f>IF(ISNUMBER($D9)=TRUE,'Input HVAC Measures'!P12,"")</f>
        <v/>
      </c>
      <c r="L9" s="27" t="str">
        <f t="shared" si="1"/>
        <v>Version 5.0 - 2025</v>
      </c>
      <c r="M9" s="60" t="str">
        <f>IF(ISNUMBER($D9)=TRUE,'Input HVAC Measures'!E12,"")</f>
        <v/>
      </c>
      <c r="N9" s="39" t="str">
        <f>'Input HVAC Measures'!R12</f>
        <v/>
      </c>
    </row>
    <row r="10" spans="1:14">
      <c r="A10" s="11" t="s">
        <v>267</v>
      </c>
      <c r="B10" s="10">
        <f t="shared" si="0"/>
        <v>0</v>
      </c>
      <c r="C10" s="10">
        <f>'Input HVAC Measures'!B13</f>
        <v>8</v>
      </c>
      <c r="D10" s="10" t="str">
        <f>'Input HVAC Measures'!C13</f>
        <v/>
      </c>
      <c r="E10" s="10" t="str">
        <f>'Input HVAC Measures'!F13</f>
        <v/>
      </c>
      <c r="F10" s="10" t="str">
        <f>IF(ISNUMBER($D10)=TRUE,'Input HVAC Measures'!G13,"")</f>
        <v/>
      </c>
      <c r="G10" s="10" t="str">
        <f>IF(ISNUMBER($D10)=TRUE,'Input HVAC Measures'!S13,"")</f>
        <v/>
      </c>
      <c r="H10" s="96" t="str">
        <f>IF(ISNUMBER($D10)=TRUE,'Input HVAC Measures'!T13,"")</f>
        <v/>
      </c>
      <c r="I10" s="42" t="str">
        <f>IFERROR(N10*MIN(Table_Measure_Caps[[#Totals],[Estimated Raw Incentive Total]], Table_Measure_Caps[[#Totals],[Gross Measure Cost Total]], Value_Project_CAP)/Table_Measure_Caps[[#Totals],[Estimated Raw Incentive Total]], "")</f>
        <v/>
      </c>
      <c r="J10" s="42" t="str">
        <f>IF(ISNUMBER($D10)=TRUE,'Input HVAC Measures'!O13,"")</f>
        <v/>
      </c>
      <c r="K10" s="10" t="str">
        <f>IF(ISNUMBER($D10)=TRUE,'Input HVAC Measures'!P13,"")</f>
        <v/>
      </c>
      <c r="L10" s="27" t="str">
        <f t="shared" si="1"/>
        <v>Version 5.0 - 2025</v>
      </c>
      <c r="M10" s="60" t="str">
        <f>IF(ISNUMBER($D10)=TRUE,'Input HVAC Measures'!E13,"")</f>
        <v/>
      </c>
      <c r="N10" s="39" t="str">
        <f>'Input HVAC Measures'!R13</f>
        <v/>
      </c>
    </row>
    <row r="11" spans="1:14">
      <c r="A11" s="11" t="s">
        <v>267</v>
      </c>
      <c r="B11" s="10">
        <f t="shared" si="0"/>
        <v>0</v>
      </c>
      <c r="C11" s="10">
        <f>'Input HVAC Measures'!B14</f>
        <v>9</v>
      </c>
      <c r="D11" s="10" t="str">
        <f>'Input HVAC Measures'!C14</f>
        <v/>
      </c>
      <c r="E11" s="10" t="str">
        <f>'Input HVAC Measures'!F14</f>
        <v/>
      </c>
      <c r="F11" s="10" t="str">
        <f>IF(ISNUMBER($D11)=TRUE,'Input HVAC Measures'!G14,"")</f>
        <v/>
      </c>
      <c r="G11" s="10" t="str">
        <f>IF(ISNUMBER($D11)=TRUE,'Input HVAC Measures'!S14,"")</f>
        <v/>
      </c>
      <c r="H11" s="96" t="str">
        <f>IF(ISNUMBER($D11)=TRUE,'Input HVAC Measures'!T14,"")</f>
        <v/>
      </c>
      <c r="I11" s="42" t="str">
        <f>IFERROR(N11*MIN(Table_Measure_Caps[[#Totals],[Estimated Raw Incentive Total]], Table_Measure_Caps[[#Totals],[Gross Measure Cost Total]], Value_Project_CAP)/Table_Measure_Caps[[#Totals],[Estimated Raw Incentive Total]], "")</f>
        <v/>
      </c>
      <c r="J11" s="42" t="str">
        <f>IF(ISNUMBER($D11)=TRUE,'Input HVAC Measures'!O14,"")</f>
        <v/>
      </c>
      <c r="K11" s="10" t="str">
        <f>IF(ISNUMBER($D11)=TRUE,'Input HVAC Measures'!P14,"")</f>
        <v/>
      </c>
      <c r="L11" s="27" t="str">
        <f t="shared" si="1"/>
        <v>Version 5.0 - 2025</v>
      </c>
      <c r="M11" s="60" t="str">
        <f>IF(ISNUMBER($D11)=TRUE,'Input HVAC Measures'!E14,"")</f>
        <v/>
      </c>
      <c r="N11" s="39" t="str">
        <f>'Input HVAC Measures'!R14</f>
        <v/>
      </c>
    </row>
    <row r="12" spans="1:14">
      <c r="A12" s="11" t="s">
        <v>267</v>
      </c>
      <c r="B12" s="10">
        <f t="shared" si="0"/>
        <v>0</v>
      </c>
      <c r="C12" s="10">
        <f>'Input HVAC Measures'!B15</f>
        <v>10</v>
      </c>
      <c r="D12" s="10" t="str">
        <f>'Input HVAC Measures'!C15</f>
        <v/>
      </c>
      <c r="E12" s="10" t="str">
        <f>'Input HVAC Measures'!F15</f>
        <v/>
      </c>
      <c r="F12" s="10" t="str">
        <f>IF(ISNUMBER($D12)=TRUE,'Input HVAC Measures'!G15,"")</f>
        <v/>
      </c>
      <c r="G12" s="10" t="str">
        <f>IF(ISNUMBER($D12)=TRUE,'Input HVAC Measures'!S15,"")</f>
        <v/>
      </c>
      <c r="H12" s="96" t="str">
        <f>IF(ISNUMBER($D12)=TRUE,'Input HVAC Measures'!T15,"")</f>
        <v/>
      </c>
      <c r="I12" s="42" t="str">
        <f>IFERROR(N12*MIN(Table_Measure_Caps[[#Totals],[Estimated Raw Incentive Total]], Table_Measure_Caps[[#Totals],[Gross Measure Cost Total]], Value_Project_CAP)/Table_Measure_Caps[[#Totals],[Estimated Raw Incentive Total]], "")</f>
        <v/>
      </c>
      <c r="J12" s="42" t="str">
        <f>IF(ISNUMBER($D12)=TRUE,'Input HVAC Measures'!O15,"")</f>
        <v/>
      </c>
      <c r="K12" s="10" t="str">
        <f>IF(ISNUMBER($D12)=TRUE,'Input HVAC Measures'!P15,"")</f>
        <v/>
      </c>
      <c r="L12" s="27" t="str">
        <f t="shared" si="1"/>
        <v>Version 5.0 - 2025</v>
      </c>
      <c r="M12" s="60" t="str">
        <f>IF(ISNUMBER($D12)=TRUE,'Input HVAC Measures'!E15,"")</f>
        <v/>
      </c>
      <c r="N12" s="39" t="str">
        <f>'Input HVAC Measures'!R15</f>
        <v/>
      </c>
    </row>
    <row r="13" spans="1:14">
      <c r="A13" s="11" t="s">
        <v>267</v>
      </c>
      <c r="B13" s="10">
        <f t="shared" si="0"/>
        <v>0</v>
      </c>
      <c r="C13" s="10">
        <f>'Input HVAC Measures'!B16</f>
        <v>11</v>
      </c>
      <c r="D13" s="10" t="str">
        <f>'Input HVAC Measures'!C16</f>
        <v/>
      </c>
      <c r="E13" s="10" t="str">
        <f>'Input HVAC Measures'!F16</f>
        <v/>
      </c>
      <c r="F13" s="10" t="str">
        <f>IF(ISNUMBER($D13)=TRUE,'Input HVAC Measures'!G16,"")</f>
        <v/>
      </c>
      <c r="G13" s="10" t="str">
        <f>IF(ISNUMBER($D13)=TRUE,'Input HVAC Measures'!S16,"")</f>
        <v/>
      </c>
      <c r="H13" s="96" t="str">
        <f>IF(ISNUMBER($D13)=TRUE,'Input HVAC Measures'!T16,"")</f>
        <v/>
      </c>
      <c r="I13" s="42" t="str">
        <f>IFERROR(N13*MIN(Table_Measure_Caps[[#Totals],[Estimated Raw Incentive Total]], Table_Measure_Caps[[#Totals],[Gross Measure Cost Total]], Value_Project_CAP)/Table_Measure_Caps[[#Totals],[Estimated Raw Incentive Total]], "")</f>
        <v/>
      </c>
      <c r="J13" s="42" t="str">
        <f>IF(ISNUMBER($D13)=TRUE,'Input HVAC Measures'!O16,"")</f>
        <v/>
      </c>
      <c r="K13" s="10" t="str">
        <f>IF(ISNUMBER($D13)=TRUE,'Input HVAC Measures'!P16,"")</f>
        <v/>
      </c>
      <c r="L13" s="27" t="str">
        <f t="shared" si="1"/>
        <v>Version 5.0 - 2025</v>
      </c>
      <c r="M13" s="60" t="str">
        <f>IF(ISNUMBER($D13)=TRUE,'Input HVAC Measures'!E16,"")</f>
        <v/>
      </c>
      <c r="N13" s="39" t="str">
        <f>'Input HVAC Measures'!R16</f>
        <v/>
      </c>
    </row>
    <row r="14" spans="1:14">
      <c r="A14" s="11" t="s">
        <v>267</v>
      </c>
      <c r="B14" s="10">
        <f t="shared" si="0"/>
        <v>0</v>
      </c>
      <c r="C14" s="10">
        <f>'Input HVAC Measures'!B17</f>
        <v>12</v>
      </c>
      <c r="D14" s="10" t="str">
        <f>'Input HVAC Measures'!C17</f>
        <v/>
      </c>
      <c r="E14" s="10" t="str">
        <f>'Input HVAC Measures'!F17</f>
        <v/>
      </c>
      <c r="F14" s="10" t="str">
        <f>IF(ISNUMBER($D14)=TRUE,'Input HVAC Measures'!G17,"")</f>
        <v/>
      </c>
      <c r="G14" s="10" t="str">
        <f>IF(ISNUMBER($D14)=TRUE,'Input HVAC Measures'!S17,"")</f>
        <v/>
      </c>
      <c r="H14" s="96" t="str">
        <f>IF(ISNUMBER($D14)=TRUE,'Input HVAC Measures'!T17,"")</f>
        <v/>
      </c>
      <c r="I14" s="42" t="str">
        <f>IFERROR(N14*MIN(Table_Measure_Caps[[#Totals],[Estimated Raw Incentive Total]], Table_Measure_Caps[[#Totals],[Gross Measure Cost Total]], Value_Project_CAP)/Table_Measure_Caps[[#Totals],[Estimated Raw Incentive Total]], "")</f>
        <v/>
      </c>
      <c r="J14" s="42" t="str">
        <f>IF(ISNUMBER($D14)=TRUE,'Input HVAC Measures'!O17,"")</f>
        <v/>
      </c>
      <c r="K14" s="10" t="str">
        <f>IF(ISNUMBER($D14)=TRUE,'Input HVAC Measures'!P17,"")</f>
        <v/>
      </c>
      <c r="L14" s="27" t="str">
        <f t="shared" si="1"/>
        <v>Version 5.0 - 2025</v>
      </c>
      <c r="M14" s="60" t="str">
        <f>IF(ISNUMBER($D14)=TRUE,'Input HVAC Measures'!E17,"")</f>
        <v/>
      </c>
      <c r="N14" s="39" t="str">
        <f>'Input HVAC Measures'!R17</f>
        <v/>
      </c>
    </row>
    <row r="15" spans="1:14">
      <c r="A15" s="11" t="s">
        <v>267</v>
      </c>
      <c r="B15" s="10">
        <f t="shared" si="0"/>
        <v>0</v>
      </c>
      <c r="C15" s="10">
        <f>'Input HVAC Measures'!B18</f>
        <v>13</v>
      </c>
      <c r="D15" s="10" t="str">
        <f>'Input HVAC Measures'!C18</f>
        <v/>
      </c>
      <c r="E15" s="10" t="str">
        <f>'Input HVAC Measures'!F18</f>
        <v/>
      </c>
      <c r="F15" s="10" t="str">
        <f>IF(ISNUMBER($D15)=TRUE,'Input HVAC Measures'!G18,"")</f>
        <v/>
      </c>
      <c r="G15" s="10" t="str">
        <f>IF(ISNUMBER($D15)=TRUE,'Input HVAC Measures'!S18,"")</f>
        <v/>
      </c>
      <c r="H15" s="96" t="str">
        <f>IF(ISNUMBER($D15)=TRUE,'Input HVAC Measures'!T18,"")</f>
        <v/>
      </c>
      <c r="I15" s="42" t="str">
        <f>IFERROR(N15*MIN(Table_Measure_Caps[[#Totals],[Estimated Raw Incentive Total]], Table_Measure_Caps[[#Totals],[Gross Measure Cost Total]], Value_Project_CAP)/Table_Measure_Caps[[#Totals],[Estimated Raw Incentive Total]], "")</f>
        <v/>
      </c>
      <c r="J15" s="42" t="str">
        <f>IF(ISNUMBER($D15)=TRUE,'Input HVAC Measures'!O18,"")</f>
        <v/>
      </c>
      <c r="K15" s="10" t="str">
        <f>IF(ISNUMBER($D15)=TRUE,'Input HVAC Measures'!P18,"")</f>
        <v/>
      </c>
      <c r="L15" s="27" t="str">
        <f t="shared" si="1"/>
        <v>Version 5.0 - 2025</v>
      </c>
      <c r="M15" s="60" t="str">
        <f>IF(ISNUMBER($D15)=TRUE,'Input HVAC Measures'!E18,"")</f>
        <v/>
      </c>
      <c r="N15" s="39" t="str">
        <f>'Input HVAC Measures'!R18</f>
        <v/>
      </c>
    </row>
    <row r="16" spans="1:14">
      <c r="A16" s="11" t="s">
        <v>267</v>
      </c>
      <c r="B16" s="10">
        <f t="shared" si="0"/>
        <v>0</v>
      </c>
      <c r="C16" s="10">
        <f>'Input HVAC Measures'!B19</f>
        <v>14</v>
      </c>
      <c r="D16" s="10" t="str">
        <f>'Input HVAC Measures'!C19</f>
        <v/>
      </c>
      <c r="E16" s="10" t="str">
        <f>'Input HVAC Measures'!F19</f>
        <v/>
      </c>
      <c r="F16" s="10" t="str">
        <f>IF(ISNUMBER($D16)=TRUE,'Input HVAC Measures'!G19,"")</f>
        <v/>
      </c>
      <c r="G16" s="10" t="str">
        <f>IF(ISNUMBER($D16)=TRUE,'Input HVAC Measures'!S19,"")</f>
        <v/>
      </c>
      <c r="H16" s="96" t="str">
        <f>IF(ISNUMBER($D16)=TRUE,'Input HVAC Measures'!T19,"")</f>
        <v/>
      </c>
      <c r="I16" s="42" t="str">
        <f>IFERROR(N16*MIN(Table_Measure_Caps[[#Totals],[Estimated Raw Incentive Total]], Table_Measure_Caps[[#Totals],[Gross Measure Cost Total]], Value_Project_CAP)/Table_Measure_Caps[[#Totals],[Estimated Raw Incentive Total]], "")</f>
        <v/>
      </c>
      <c r="J16" s="42" t="str">
        <f>IF(ISNUMBER($D16)=TRUE,'Input HVAC Measures'!O19,"")</f>
        <v/>
      </c>
      <c r="K16" s="10" t="str">
        <f>IF(ISNUMBER($D16)=TRUE,'Input HVAC Measures'!P19,"")</f>
        <v/>
      </c>
      <c r="L16" s="27" t="str">
        <f t="shared" si="1"/>
        <v>Version 5.0 - 2025</v>
      </c>
      <c r="M16" s="60" t="str">
        <f>IF(ISNUMBER($D16)=TRUE,'Input HVAC Measures'!E19,"")</f>
        <v/>
      </c>
      <c r="N16" s="39" t="str">
        <f>'Input HVAC Measures'!R19</f>
        <v/>
      </c>
    </row>
    <row r="17" spans="1:14">
      <c r="A17" s="11" t="s">
        <v>267</v>
      </c>
      <c r="B17" s="10">
        <f t="shared" si="0"/>
        <v>0</v>
      </c>
      <c r="C17" s="10">
        <f>'Input HVAC Measures'!B20</f>
        <v>15</v>
      </c>
      <c r="D17" s="10" t="str">
        <f>'Input HVAC Measures'!C20</f>
        <v/>
      </c>
      <c r="E17" s="10" t="str">
        <f>'Input HVAC Measures'!F20</f>
        <v/>
      </c>
      <c r="F17" s="10" t="str">
        <f>IF(ISNUMBER($D17)=TRUE,'Input HVAC Measures'!G20,"")</f>
        <v/>
      </c>
      <c r="G17" s="10" t="str">
        <f>IF(ISNUMBER($D17)=TRUE,'Input HVAC Measures'!S20,"")</f>
        <v/>
      </c>
      <c r="H17" s="96" t="str">
        <f>IF(ISNUMBER($D17)=TRUE,'Input HVAC Measures'!T20,"")</f>
        <v/>
      </c>
      <c r="I17" s="42" t="str">
        <f>IFERROR(N17*MIN(Table_Measure_Caps[[#Totals],[Estimated Raw Incentive Total]], Table_Measure_Caps[[#Totals],[Gross Measure Cost Total]], Value_Project_CAP)/Table_Measure_Caps[[#Totals],[Estimated Raw Incentive Total]], "")</f>
        <v/>
      </c>
      <c r="J17" s="42" t="str">
        <f>IF(ISNUMBER($D17)=TRUE,'Input HVAC Measures'!O20,"")</f>
        <v/>
      </c>
      <c r="K17" s="10" t="str">
        <f>IF(ISNUMBER($D17)=TRUE,'Input HVAC Measures'!P20,"")</f>
        <v/>
      </c>
      <c r="L17" s="27" t="str">
        <f t="shared" si="1"/>
        <v>Version 5.0 - 2025</v>
      </c>
      <c r="M17" s="60" t="str">
        <f>IF(ISNUMBER($D17)=TRUE,'Input HVAC Measures'!E20,"")</f>
        <v/>
      </c>
      <c r="N17" s="39" t="str">
        <f>'Input HVAC Measures'!R20</f>
        <v/>
      </c>
    </row>
    <row r="18" spans="1:14">
      <c r="A18" s="11" t="s">
        <v>267</v>
      </c>
      <c r="B18" s="10">
        <f t="shared" si="0"/>
        <v>0</v>
      </c>
      <c r="C18" s="10">
        <f>'Input HVAC Measures'!B21</f>
        <v>16</v>
      </c>
      <c r="D18" s="10" t="str">
        <f>'Input HVAC Measures'!C21</f>
        <v/>
      </c>
      <c r="E18" s="10" t="str">
        <f>'Input HVAC Measures'!F21</f>
        <v/>
      </c>
      <c r="F18" s="10" t="str">
        <f>IF(ISNUMBER($D18)=TRUE,'Input HVAC Measures'!G21,"")</f>
        <v/>
      </c>
      <c r="G18" s="10" t="str">
        <f>IF(ISNUMBER($D18)=TRUE,'Input HVAC Measures'!S21,"")</f>
        <v/>
      </c>
      <c r="H18" s="96" t="str">
        <f>IF(ISNUMBER($D18)=TRUE,'Input HVAC Measures'!T21,"")</f>
        <v/>
      </c>
      <c r="I18" s="42" t="str">
        <f>IFERROR(N18*MIN(Table_Measure_Caps[[#Totals],[Estimated Raw Incentive Total]], Table_Measure_Caps[[#Totals],[Gross Measure Cost Total]], Value_Project_CAP)/Table_Measure_Caps[[#Totals],[Estimated Raw Incentive Total]], "")</f>
        <v/>
      </c>
      <c r="J18" s="42" t="str">
        <f>IF(ISNUMBER($D18)=TRUE,'Input HVAC Measures'!O21,"")</f>
        <v/>
      </c>
      <c r="K18" s="10" t="str">
        <f>IF(ISNUMBER($D18)=TRUE,'Input HVAC Measures'!P21,"")</f>
        <v/>
      </c>
      <c r="L18" s="27" t="str">
        <f t="shared" si="1"/>
        <v>Version 5.0 - 2025</v>
      </c>
      <c r="M18" s="60" t="str">
        <f>IF(ISNUMBER($D18)=TRUE,'Input HVAC Measures'!E21,"")</f>
        <v/>
      </c>
      <c r="N18" s="39" t="str">
        <f>'Input HVAC Measures'!R21</f>
        <v/>
      </c>
    </row>
    <row r="19" spans="1:14">
      <c r="A19" s="11" t="s">
        <v>267</v>
      </c>
      <c r="B19" s="10">
        <f t="shared" si="0"/>
        <v>0</v>
      </c>
      <c r="C19" s="10">
        <f>'Input HVAC Measures'!B22</f>
        <v>17</v>
      </c>
      <c r="D19" s="10" t="str">
        <f>'Input HVAC Measures'!C22</f>
        <v/>
      </c>
      <c r="E19" s="10" t="str">
        <f>'Input HVAC Measures'!F22</f>
        <v/>
      </c>
      <c r="F19" s="10" t="str">
        <f>IF(ISNUMBER($D19)=TRUE,'Input HVAC Measures'!G22,"")</f>
        <v/>
      </c>
      <c r="G19" s="10" t="str">
        <f>IF(ISNUMBER($D19)=TRUE,'Input HVAC Measures'!S22,"")</f>
        <v/>
      </c>
      <c r="H19" s="96" t="str">
        <f>IF(ISNUMBER($D19)=TRUE,'Input HVAC Measures'!T22,"")</f>
        <v/>
      </c>
      <c r="I19" s="42" t="str">
        <f>IFERROR(N19*MIN(Table_Measure_Caps[[#Totals],[Estimated Raw Incentive Total]], Table_Measure_Caps[[#Totals],[Gross Measure Cost Total]], Value_Project_CAP)/Table_Measure_Caps[[#Totals],[Estimated Raw Incentive Total]], "")</f>
        <v/>
      </c>
      <c r="J19" s="42" t="str">
        <f>IF(ISNUMBER($D19)=TRUE,'Input HVAC Measures'!O22,"")</f>
        <v/>
      </c>
      <c r="K19" s="10" t="str">
        <f>IF(ISNUMBER($D19)=TRUE,'Input HVAC Measures'!P22,"")</f>
        <v/>
      </c>
      <c r="L19" s="27" t="str">
        <f t="shared" si="1"/>
        <v>Version 5.0 - 2025</v>
      </c>
      <c r="M19" s="60" t="str">
        <f>IF(ISNUMBER($D19)=TRUE,'Input HVAC Measures'!E22,"")</f>
        <v/>
      </c>
      <c r="N19" s="39" t="str">
        <f>'Input HVAC Measures'!R22</f>
        <v/>
      </c>
    </row>
    <row r="20" spans="1:14">
      <c r="A20" s="11" t="s">
        <v>267</v>
      </c>
      <c r="B20" s="10">
        <f t="shared" si="0"/>
        <v>0</v>
      </c>
      <c r="C20" s="10">
        <f>'Input HVAC Measures'!B23</f>
        <v>18</v>
      </c>
      <c r="D20" s="10" t="str">
        <f>'Input HVAC Measures'!C23</f>
        <v/>
      </c>
      <c r="E20" s="10" t="str">
        <f>'Input HVAC Measures'!F23</f>
        <v/>
      </c>
      <c r="F20" s="10" t="str">
        <f>IF(ISNUMBER($D20)=TRUE,'Input HVAC Measures'!G23,"")</f>
        <v/>
      </c>
      <c r="G20" s="10" t="str">
        <f>IF(ISNUMBER($D20)=TRUE,'Input HVAC Measures'!S23,"")</f>
        <v/>
      </c>
      <c r="H20" s="96" t="str">
        <f>IF(ISNUMBER($D20)=TRUE,'Input HVAC Measures'!T23,"")</f>
        <v/>
      </c>
      <c r="I20" s="42" t="str">
        <f>IFERROR(N20*MIN(Table_Measure_Caps[[#Totals],[Estimated Raw Incentive Total]], Table_Measure_Caps[[#Totals],[Gross Measure Cost Total]], Value_Project_CAP)/Table_Measure_Caps[[#Totals],[Estimated Raw Incentive Total]], "")</f>
        <v/>
      </c>
      <c r="J20" s="42" t="str">
        <f>IF(ISNUMBER($D20)=TRUE,'Input HVAC Measures'!O23,"")</f>
        <v/>
      </c>
      <c r="K20" s="10" t="str">
        <f>IF(ISNUMBER($D20)=TRUE,'Input HVAC Measures'!P23,"")</f>
        <v/>
      </c>
      <c r="L20" s="27" t="str">
        <f t="shared" si="1"/>
        <v>Version 5.0 - 2025</v>
      </c>
      <c r="M20" s="60" t="str">
        <f>IF(ISNUMBER($D20)=TRUE,'Input HVAC Measures'!E23,"")</f>
        <v/>
      </c>
      <c r="N20" s="39" t="str">
        <f>'Input HVAC Measures'!R23</f>
        <v/>
      </c>
    </row>
    <row r="21" spans="1:14">
      <c r="A21" s="11" t="s">
        <v>267</v>
      </c>
      <c r="B21" s="10">
        <f t="shared" si="0"/>
        <v>0</v>
      </c>
      <c r="C21" s="10">
        <f>'Input HVAC Measures'!B24</f>
        <v>19</v>
      </c>
      <c r="D21" s="10" t="str">
        <f>'Input HVAC Measures'!C24</f>
        <v/>
      </c>
      <c r="E21" s="10" t="str">
        <f>'Input HVAC Measures'!F24</f>
        <v/>
      </c>
      <c r="F21" s="10" t="str">
        <f>IF(ISNUMBER($D21)=TRUE,'Input HVAC Measures'!G24,"")</f>
        <v/>
      </c>
      <c r="G21" s="10" t="str">
        <f>IF(ISNUMBER($D21)=TRUE,'Input HVAC Measures'!S24,"")</f>
        <v/>
      </c>
      <c r="H21" s="96" t="str">
        <f>IF(ISNUMBER($D21)=TRUE,'Input HVAC Measures'!T24,"")</f>
        <v/>
      </c>
      <c r="I21" s="42" t="str">
        <f>IFERROR(N21*MIN(Table_Measure_Caps[[#Totals],[Estimated Raw Incentive Total]], Table_Measure_Caps[[#Totals],[Gross Measure Cost Total]], Value_Project_CAP)/Table_Measure_Caps[[#Totals],[Estimated Raw Incentive Total]], "")</f>
        <v/>
      </c>
      <c r="J21" s="42" t="str">
        <f>IF(ISNUMBER($D21)=TRUE,'Input HVAC Measures'!O24,"")</f>
        <v/>
      </c>
      <c r="K21" s="10" t="str">
        <f>IF(ISNUMBER($D21)=TRUE,'Input HVAC Measures'!P24,"")</f>
        <v/>
      </c>
      <c r="L21" s="27" t="str">
        <f t="shared" si="1"/>
        <v>Version 5.0 - 2025</v>
      </c>
      <c r="M21" s="60" t="str">
        <f>IF(ISNUMBER($D21)=TRUE,'Input HVAC Measures'!E24,"")</f>
        <v/>
      </c>
      <c r="N21" s="39" t="str">
        <f>'Input HVAC Measures'!R24</f>
        <v/>
      </c>
    </row>
    <row r="22" spans="1:14">
      <c r="A22" s="11" t="s">
        <v>267</v>
      </c>
      <c r="B22" s="10">
        <f t="shared" si="0"/>
        <v>0</v>
      </c>
      <c r="C22" s="10">
        <f>'Input HVAC Measures'!B25</f>
        <v>20</v>
      </c>
      <c r="D22" s="10" t="str">
        <f>'Input HVAC Measures'!C25</f>
        <v/>
      </c>
      <c r="E22" s="10" t="str">
        <f>'Input HVAC Measures'!F25</f>
        <v/>
      </c>
      <c r="F22" s="10" t="str">
        <f>IF(ISNUMBER($D22)=TRUE,'Input HVAC Measures'!G25,"")</f>
        <v/>
      </c>
      <c r="G22" s="10" t="str">
        <f>IF(ISNUMBER($D22)=TRUE,'Input HVAC Measures'!S25,"")</f>
        <v/>
      </c>
      <c r="H22" s="96" t="str">
        <f>IF(ISNUMBER($D22)=TRUE,'Input HVAC Measures'!T25,"")</f>
        <v/>
      </c>
      <c r="I22" s="42" t="str">
        <f>IFERROR(N22*MIN(Table_Measure_Caps[[#Totals],[Estimated Raw Incentive Total]], Table_Measure_Caps[[#Totals],[Gross Measure Cost Total]], Value_Project_CAP)/Table_Measure_Caps[[#Totals],[Estimated Raw Incentive Total]], "")</f>
        <v/>
      </c>
      <c r="J22" s="42" t="str">
        <f>IF(ISNUMBER($D22)=TRUE,'Input HVAC Measures'!O25,"")</f>
        <v/>
      </c>
      <c r="K22" s="10" t="str">
        <f>IF(ISNUMBER($D22)=TRUE,'Input HVAC Measures'!P25,"")</f>
        <v/>
      </c>
      <c r="L22" s="27" t="str">
        <f t="shared" si="1"/>
        <v>Version 5.0 - 2025</v>
      </c>
      <c r="M22" s="60" t="str">
        <f>IF(ISNUMBER($D22)=TRUE,'Input HVAC Measures'!E25,"")</f>
        <v/>
      </c>
      <c r="N22" s="39" t="str">
        <f>'Input HVAC Measures'!R25</f>
        <v/>
      </c>
    </row>
    <row r="23" spans="1:14">
      <c r="A23" s="11" t="s">
        <v>267</v>
      </c>
      <c r="B23" s="10">
        <f t="shared" si="0"/>
        <v>0</v>
      </c>
      <c r="C23" s="10">
        <f>'Input HVAC Measures'!B26</f>
        <v>21</v>
      </c>
      <c r="D23" s="10" t="str">
        <f>'Input HVAC Measures'!C26</f>
        <v/>
      </c>
      <c r="E23" s="10" t="str">
        <f>'Input HVAC Measures'!F26</f>
        <v/>
      </c>
      <c r="F23" s="10" t="str">
        <f>IF(ISNUMBER($D23)=TRUE,'Input HVAC Measures'!G26,"")</f>
        <v/>
      </c>
      <c r="G23" s="10" t="str">
        <f>IF(ISNUMBER($D23)=TRUE,'Input HVAC Measures'!S26,"")</f>
        <v/>
      </c>
      <c r="H23" s="96" t="str">
        <f>IF(ISNUMBER($D23)=TRUE,'Input HVAC Measures'!T26,"")</f>
        <v/>
      </c>
      <c r="I23" s="42" t="str">
        <f>IFERROR(N23*MIN(Table_Measure_Caps[[#Totals],[Estimated Raw Incentive Total]], Table_Measure_Caps[[#Totals],[Gross Measure Cost Total]], Value_Project_CAP)/Table_Measure_Caps[[#Totals],[Estimated Raw Incentive Total]], "")</f>
        <v/>
      </c>
      <c r="J23" s="42" t="str">
        <f>IF(ISNUMBER($D23)=TRUE,'Input HVAC Measures'!O26,"")</f>
        <v/>
      </c>
      <c r="K23" s="10" t="str">
        <f>IF(ISNUMBER($D23)=TRUE,'Input HVAC Measures'!P26,"")</f>
        <v/>
      </c>
      <c r="L23" s="27" t="str">
        <f t="shared" si="1"/>
        <v>Version 5.0 - 2025</v>
      </c>
      <c r="M23" s="60" t="str">
        <f>IF(ISNUMBER($D23)=TRUE,'Input HVAC Measures'!E26,"")</f>
        <v/>
      </c>
      <c r="N23" s="39" t="str">
        <f>'Input HVAC Measures'!R26</f>
        <v/>
      </c>
    </row>
    <row r="24" spans="1:14">
      <c r="A24" s="11" t="s">
        <v>267</v>
      </c>
      <c r="B24" s="10">
        <f t="shared" si="0"/>
        <v>0</v>
      </c>
      <c r="C24" s="10">
        <f>'Input HVAC Measures'!B27</f>
        <v>22</v>
      </c>
      <c r="D24" s="10" t="str">
        <f>'Input HVAC Measures'!C27</f>
        <v/>
      </c>
      <c r="E24" s="10" t="str">
        <f>'Input HVAC Measures'!F27</f>
        <v/>
      </c>
      <c r="F24" s="10" t="str">
        <f>IF(ISNUMBER($D24)=TRUE,'Input HVAC Measures'!G27,"")</f>
        <v/>
      </c>
      <c r="G24" s="10" t="str">
        <f>IF(ISNUMBER($D24)=TRUE,'Input HVAC Measures'!S27,"")</f>
        <v/>
      </c>
      <c r="H24" s="96" t="str">
        <f>IF(ISNUMBER($D24)=TRUE,'Input HVAC Measures'!T27,"")</f>
        <v/>
      </c>
      <c r="I24" s="42" t="str">
        <f>IFERROR(N24*MIN(Table_Measure_Caps[[#Totals],[Estimated Raw Incentive Total]], Table_Measure_Caps[[#Totals],[Gross Measure Cost Total]], Value_Project_CAP)/Table_Measure_Caps[[#Totals],[Estimated Raw Incentive Total]], "")</f>
        <v/>
      </c>
      <c r="J24" s="42" t="str">
        <f>IF(ISNUMBER($D24)=TRUE,'Input HVAC Measures'!O27,"")</f>
        <v/>
      </c>
      <c r="K24" s="10" t="str">
        <f>IF(ISNUMBER($D24)=TRUE,'Input HVAC Measures'!P27,"")</f>
        <v/>
      </c>
      <c r="L24" s="27" t="str">
        <f t="shared" si="1"/>
        <v>Version 5.0 - 2025</v>
      </c>
      <c r="M24" s="60" t="str">
        <f>IF(ISNUMBER($D24)=TRUE,'Input HVAC Measures'!E27,"")</f>
        <v/>
      </c>
      <c r="N24" s="39" t="str">
        <f>'Input HVAC Measures'!R27</f>
        <v/>
      </c>
    </row>
    <row r="25" spans="1:14">
      <c r="A25" s="11" t="s">
        <v>267</v>
      </c>
      <c r="B25" s="10">
        <f t="shared" si="0"/>
        <v>0</v>
      </c>
      <c r="C25" s="10">
        <f>'Input HVAC Measures'!B28</f>
        <v>23</v>
      </c>
      <c r="D25" s="10" t="str">
        <f>'Input HVAC Measures'!C28</f>
        <v/>
      </c>
      <c r="E25" s="10" t="str">
        <f>'Input HVAC Measures'!F28</f>
        <v/>
      </c>
      <c r="F25" s="10" t="str">
        <f>IF(ISNUMBER($D25)=TRUE,'Input HVAC Measures'!G28,"")</f>
        <v/>
      </c>
      <c r="G25" s="10" t="str">
        <f>IF(ISNUMBER($D25)=TRUE,'Input HVAC Measures'!S28,"")</f>
        <v/>
      </c>
      <c r="H25" s="96" t="str">
        <f>IF(ISNUMBER($D25)=TRUE,'Input HVAC Measures'!T28,"")</f>
        <v/>
      </c>
      <c r="I25" s="42" t="str">
        <f>IFERROR(N25*MIN(Table_Measure_Caps[[#Totals],[Estimated Raw Incentive Total]], Table_Measure_Caps[[#Totals],[Gross Measure Cost Total]], Value_Project_CAP)/Table_Measure_Caps[[#Totals],[Estimated Raw Incentive Total]], "")</f>
        <v/>
      </c>
      <c r="J25" s="42" t="str">
        <f>IF(ISNUMBER($D25)=TRUE,'Input HVAC Measures'!O28,"")</f>
        <v/>
      </c>
      <c r="K25" s="10" t="str">
        <f>IF(ISNUMBER($D25)=TRUE,'Input HVAC Measures'!P28,"")</f>
        <v/>
      </c>
      <c r="L25" s="27" t="str">
        <f t="shared" si="1"/>
        <v>Version 5.0 - 2025</v>
      </c>
      <c r="M25" s="60" t="str">
        <f>IF(ISNUMBER($D25)=TRUE,'Input HVAC Measures'!E28,"")</f>
        <v/>
      </c>
      <c r="N25" s="39" t="str">
        <f>'Input HVAC Measures'!R28</f>
        <v/>
      </c>
    </row>
    <row r="26" spans="1:14">
      <c r="A26" s="11" t="s">
        <v>267</v>
      </c>
      <c r="B26" s="10">
        <f t="shared" si="0"/>
        <v>0</v>
      </c>
      <c r="C26" s="10">
        <f>'Input HVAC Measures'!B29</f>
        <v>24</v>
      </c>
      <c r="D26" s="10" t="str">
        <f>'Input HVAC Measures'!C29</f>
        <v/>
      </c>
      <c r="E26" s="10" t="str">
        <f>'Input HVAC Measures'!F29</f>
        <v/>
      </c>
      <c r="F26" s="10" t="str">
        <f>IF(ISNUMBER($D26)=TRUE,'Input HVAC Measures'!G29,"")</f>
        <v/>
      </c>
      <c r="G26" s="10" t="str">
        <f>IF(ISNUMBER($D26)=TRUE,'Input HVAC Measures'!S29,"")</f>
        <v/>
      </c>
      <c r="H26" s="96" t="str">
        <f>IF(ISNUMBER($D26)=TRUE,'Input HVAC Measures'!T29,"")</f>
        <v/>
      </c>
      <c r="I26" s="42" t="str">
        <f>IFERROR(N26*MIN(Table_Measure_Caps[[#Totals],[Estimated Raw Incentive Total]], Table_Measure_Caps[[#Totals],[Gross Measure Cost Total]], Value_Project_CAP)/Table_Measure_Caps[[#Totals],[Estimated Raw Incentive Total]], "")</f>
        <v/>
      </c>
      <c r="J26" s="42" t="str">
        <f>IF(ISNUMBER($D26)=TRUE,'Input HVAC Measures'!O29,"")</f>
        <v/>
      </c>
      <c r="K26" s="10" t="str">
        <f>IF(ISNUMBER($D26)=TRUE,'Input HVAC Measures'!P29,"")</f>
        <v/>
      </c>
      <c r="L26" s="27" t="str">
        <f t="shared" si="1"/>
        <v>Version 5.0 - 2025</v>
      </c>
      <c r="M26" s="60" t="str">
        <f>IF(ISNUMBER($D26)=TRUE,'Input HVAC Measures'!E29,"")</f>
        <v/>
      </c>
      <c r="N26" s="39" t="str">
        <f>'Input HVAC Measures'!R29</f>
        <v/>
      </c>
    </row>
    <row r="27" spans="1:14">
      <c r="A27" s="11" t="s">
        <v>267</v>
      </c>
      <c r="B27" s="10">
        <f t="shared" si="0"/>
        <v>0</v>
      </c>
      <c r="C27" s="10">
        <f>'Input HVAC Measures'!B30</f>
        <v>25</v>
      </c>
      <c r="D27" s="10" t="str">
        <f>'Input HVAC Measures'!C30</f>
        <v/>
      </c>
      <c r="E27" s="10" t="str">
        <f>'Input HVAC Measures'!F30</f>
        <v/>
      </c>
      <c r="F27" s="10" t="str">
        <f>IF(ISNUMBER($D27)=TRUE,'Input HVAC Measures'!G30,"")</f>
        <v/>
      </c>
      <c r="G27" s="10" t="str">
        <f>IF(ISNUMBER($D27)=TRUE,'Input HVAC Measures'!S30,"")</f>
        <v/>
      </c>
      <c r="H27" s="96" t="str">
        <f>IF(ISNUMBER($D27)=TRUE,'Input HVAC Measures'!T30,"")</f>
        <v/>
      </c>
      <c r="I27" s="42" t="str">
        <f>IFERROR(N27*MIN(Table_Measure_Caps[[#Totals],[Estimated Raw Incentive Total]], Table_Measure_Caps[[#Totals],[Gross Measure Cost Total]], Value_Project_CAP)/Table_Measure_Caps[[#Totals],[Estimated Raw Incentive Total]], "")</f>
        <v/>
      </c>
      <c r="J27" s="42" t="str">
        <f>IF(ISNUMBER($D27)=TRUE,'Input HVAC Measures'!O30,"")</f>
        <v/>
      </c>
      <c r="K27" s="10" t="str">
        <f>IF(ISNUMBER($D27)=TRUE,'Input HVAC Measures'!P30,"")</f>
        <v/>
      </c>
      <c r="L27" s="27" t="str">
        <f t="shared" si="1"/>
        <v>Version 5.0 - 2025</v>
      </c>
      <c r="M27" s="60" t="str">
        <f>IF(ISNUMBER($D27)=TRUE,'Input HVAC Measures'!E30,"")</f>
        <v/>
      </c>
      <c r="N27" s="39" t="str">
        <f>'Input HVAC Measures'!R30</f>
        <v/>
      </c>
    </row>
    <row r="28" spans="1:14">
      <c r="A28" s="11" t="s">
        <v>267</v>
      </c>
      <c r="B28" s="10">
        <f t="shared" si="0"/>
        <v>0</v>
      </c>
      <c r="C28" s="10">
        <f>'Input HVAC Measures'!B31</f>
        <v>26</v>
      </c>
      <c r="D28" s="10" t="str">
        <f>'Input HVAC Measures'!C31</f>
        <v/>
      </c>
      <c r="E28" s="10" t="str">
        <f>'Input HVAC Measures'!F31</f>
        <v/>
      </c>
      <c r="F28" s="10" t="str">
        <f>IF(ISNUMBER($D28)=TRUE,'Input HVAC Measures'!G31,"")</f>
        <v/>
      </c>
      <c r="G28" s="10" t="str">
        <f>IF(ISNUMBER($D28)=TRUE,'Input HVAC Measures'!S31,"")</f>
        <v/>
      </c>
      <c r="H28" s="96" t="str">
        <f>IF(ISNUMBER($D28)=TRUE,'Input HVAC Measures'!T31,"")</f>
        <v/>
      </c>
      <c r="I28" s="42" t="str">
        <f>IFERROR(N28*MIN(Table_Measure_Caps[[#Totals],[Estimated Raw Incentive Total]], Table_Measure_Caps[[#Totals],[Gross Measure Cost Total]], Value_Project_CAP)/Table_Measure_Caps[[#Totals],[Estimated Raw Incentive Total]], "")</f>
        <v/>
      </c>
      <c r="J28" s="42" t="str">
        <f>IF(ISNUMBER($D28)=TRUE,'Input HVAC Measures'!O31,"")</f>
        <v/>
      </c>
      <c r="K28" s="10" t="str">
        <f>IF(ISNUMBER($D28)=TRUE,'Input HVAC Measures'!P31,"")</f>
        <v/>
      </c>
      <c r="L28" s="27" t="str">
        <f t="shared" si="1"/>
        <v>Version 5.0 - 2025</v>
      </c>
      <c r="M28" s="60" t="str">
        <f>IF(ISNUMBER($D28)=TRUE,'Input HVAC Measures'!E31,"")</f>
        <v/>
      </c>
      <c r="N28" s="39" t="str">
        <f>'Input HVAC Measures'!R31</f>
        <v/>
      </c>
    </row>
    <row r="29" spans="1:14">
      <c r="A29" s="11" t="s">
        <v>267</v>
      </c>
      <c r="B29" s="10">
        <f t="shared" si="0"/>
        <v>0</v>
      </c>
      <c r="C29" s="10">
        <f>'Input HVAC Measures'!B32</f>
        <v>27</v>
      </c>
      <c r="D29" s="10" t="str">
        <f>'Input HVAC Measures'!C32</f>
        <v/>
      </c>
      <c r="E29" s="10" t="str">
        <f>'Input HVAC Measures'!F32</f>
        <v/>
      </c>
      <c r="F29" s="10" t="str">
        <f>IF(ISNUMBER($D29)=TRUE,'Input HVAC Measures'!G32,"")</f>
        <v/>
      </c>
      <c r="G29" s="10" t="str">
        <f>IF(ISNUMBER($D29)=TRUE,'Input HVAC Measures'!S32,"")</f>
        <v/>
      </c>
      <c r="H29" s="96" t="str">
        <f>IF(ISNUMBER($D29)=TRUE,'Input HVAC Measures'!T32,"")</f>
        <v/>
      </c>
      <c r="I29" s="42" t="str">
        <f>IFERROR(N29*MIN(Table_Measure_Caps[[#Totals],[Estimated Raw Incentive Total]], Table_Measure_Caps[[#Totals],[Gross Measure Cost Total]], Value_Project_CAP)/Table_Measure_Caps[[#Totals],[Estimated Raw Incentive Total]], "")</f>
        <v/>
      </c>
      <c r="J29" s="42" t="str">
        <f>IF(ISNUMBER($D29)=TRUE,'Input HVAC Measures'!O32,"")</f>
        <v/>
      </c>
      <c r="K29" s="10" t="str">
        <f>IF(ISNUMBER($D29)=TRUE,'Input HVAC Measures'!P32,"")</f>
        <v/>
      </c>
      <c r="L29" s="27" t="str">
        <f t="shared" si="1"/>
        <v>Version 5.0 - 2025</v>
      </c>
      <c r="M29" s="60" t="str">
        <f>IF(ISNUMBER($D29)=TRUE,'Input HVAC Measures'!E32,"")</f>
        <v/>
      </c>
      <c r="N29" s="39" t="str">
        <f>'Input HVAC Measures'!R32</f>
        <v/>
      </c>
    </row>
    <row r="30" spans="1:14">
      <c r="A30" s="11" t="s">
        <v>267</v>
      </c>
      <c r="B30" s="10">
        <f t="shared" si="0"/>
        <v>0</v>
      </c>
      <c r="C30" s="10">
        <f>'Input HVAC Measures'!B33</f>
        <v>28</v>
      </c>
      <c r="D30" s="10" t="str">
        <f>'Input HVAC Measures'!C33</f>
        <v/>
      </c>
      <c r="E30" s="10" t="str">
        <f>'Input HVAC Measures'!F33</f>
        <v/>
      </c>
      <c r="F30" s="10" t="str">
        <f>IF(ISNUMBER($D30)=TRUE,'Input HVAC Measures'!G33,"")</f>
        <v/>
      </c>
      <c r="G30" s="10" t="str">
        <f>IF(ISNUMBER($D30)=TRUE,'Input HVAC Measures'!S33,"")</f>
        <v/>
      </c>
      <c r="H30" s="96" t="str">
        <f>IF(ISNUMBER($D30)=TRUE,'Input HVAC Measures'!T33,"")</f>
        <v/>
      </c>
      <c r="I30" s="42" t="str">
        <f>IFERROR(N30*MIN(Table_Measure_Caps[[#Totals],[Estimated Raw Incentive Total]], Table_Measure_Caps[[#Totals],[Gross Measure Cost Total]], Value_Project_CAP)/Table_Measure_Caps[[#Totals],[Estimated Raw Incentive Total]], "")</f>
        <v/>
      </c>
      <c r="J30" s="42" t="str">
        <f>IF(ISNUMBER($D30)=TRUE,'Input HVAC Measures'!O33,"")</f>
        <v/>
      </c>
      <c r="K30" s="10" t="str">
        <f>IF(ISNUMBER($D30)=TRUE,'Input HVAC Measures'!P33,"")</f>
        <v/>
      </c>
      <c r="L30" s="27" t="str">
        <f t="shared" si="1"/>
        <v>Version 5.0 - 2025</v>
      </c>
      <c r="M30" s="60" t="str">
        <f>IF(ISNUMBER($D30)=TRUE,'Input HVAC Measures'!E33,"")</f>
        <v/>
      </c>
      <c r="N30" s="39" t="str">
        <f>'Input HVAC Measures'!R33</f>
        <v/>
      </c>
    </row>
    <row r="31" spans="1:14">
      <c r="A31" s="11" t="s">
        <v>267</v>
      </c>
      <c r="B31" s="10">
        <f t="shared" si="0"/>
        <v>0</v>
      </c>
      <c r="C31" s="10">
        <f>'Input HVAC Measures'!B34</f>
        <v>29</v>
      </c>
      <c r="D31" s="10" t="str">
        <f>'Input HVAC Measures'!C34</f>
        <v/>
      </c>
      <c r="E31" s="10" t="str">
        <f>'Input HVAC Measures'!F34</f>
        <v/>
      </c>
      <c r="F31" s="10" t="str">
        <f>IF(ISNUMBER($D31)=TRUE,'Input HVAC Measures'!G34,"")</f>
        <v/>
      </c>
      <c r="G31" s="10" t="str">
        <f>IF(ISNUMBER($D31)=TRUE,'Input HVAC Measures'!S34,"")</f>
        <v/>
      </c>
      <c r="H31" s="96" t="str">
        <f>IF(ISNUMBER($D31)=TRUE,'Input HVAC Measures'!T34,"")</f>
        <v/>
      </c>
      <c r="I31" s="42" t="str">
        <f>IFERROR(N31*MIN(Table_Measure_Caps[[#Totals],[Estimated Raw Incentive Total]], Table_Measure_Caps[[#Totals],[Gross Measure Cost Total]], Value_Project_CAP)/Table_Measure_Caps[[#Totals],[Estimated Raw Incentive Total]], "")</f>
        <v/>
      </c>
      <c r="J31" s="42" t="str">
        <f>IF(ISNUMBER($D31)=TRUE,'Input HVAC Measures'!O34,"")</f>
        <v/>
      </c>
      <c r="K31" s="10" t="str">
        <f>IF(ISNUMBER($D31)=TRUE,'Input HVAC Measures'!P34,"")</f>
        <v/>
      </c>
      <c r="L31" s="27" t="str">
        <f t="shared" si="1"/>
        <v>Version 5.0 - 2025</v>
      </c>
      <c r="M31" s="60" t="str">
        <f>IF(ISNUMBER($D31)=TRUE,'Input HVAC Measures'!E34,"")</f>
        <v/>
      </c>
      <c r="N31" s="39" t="str">
        <f>'Input HVAC Measures'!R34</f>
        <v/>
      </c>
    </row>
    <row r="32" spans="1:14">
      <c r="A32" s="11" t="s">
        <v>267</v>
      </c>
      <c r="B32" s="10">
        <f t="shared" si="0"/>
        <v>0</v>
      </c>
      <c r="C32" s="10">
        <f>'Input HVAC Measures'!B35</f>
        <v>30</v>
      </c>
      <c r="D32" s="10" t="str">
        <f>'Input HVAC Measures'!C35</f>
        <v/>
      </c>
      <c r="E32" s="10" t="str">
        <f>'Input HVAC Measures'!F35</f>
        <v/>
      </c>
      <c r="F32" s="10" t="str">
        <f>IF(ISNUMBER($D32)=TRUE,'Input HVAC Measures'!G35,"")</f>
        <v/>
      </c>
      <c r="G32" s="10" t="str">
        <f>IF(ISNUMBER($D32)=TRUE,'Input HVAC Measures'!S35,"")</f>
        <v/>
      </c>
      <c r="H32" s="96" t="str">
        <f>IF(ISNUMBER($D32)=TRUE,'Input HVAC Measures'!T35,"")</f>
        <v/>
      </c>
      <c r="I32" s="42" t="str">
        <f>IFERROR(N32*MIN(Table_Measure_Caps[[#Totals],[Estimated Raw Incentive Total]], Table_Measure_Caps[[#Totals],[Gross Measure Cost Total]], Value_Project_CAP)/Table_Measure_Caps[[#Totals],[Estimated Raw Incentive Total]], "")</f>
        <v/>
      </c>
      <c r="J32" s="42" t="str">
        <f>IF(ISNUMBER($D32)=TRUE,'Input HVAC Measures'!O35,"")</f>
        <v/>
      </c>
      <c r="K32" s="10" t="str">
        <f>IF(ISNUMBER($D32)=TRUE,'Input HVAC Measures'!P35,"")</f>
        <v/>
      </c>
      <c r="L32" s="27" t="str">
        <f t="shared" si="1"/>
        <v>Version 5.0 - 2025</v>
      </c>
      <c r="M32" s="60" t="str">
        <f>IF(ISNUMBER($D32)=TRUE,'Input HVAC Measures'!E35,"")</f>
        <v/>
      </c>
      <c r="N32" s="39" t="str">
        <f>'Input HVAC Measures'!R35</f>
        <v/>
      </c>
    </row>
    <row r="33" spans="1:14">
      <c r="A33" s="11" t="s">
        <v>267</v>
      </c>
      <c r="B33" s="10">
        <f t="shared" si="0"/>
        <v>0</v>
      </c>
      <c r="C33" s="10">
        <f>'Input HVAC Measures'!B36</f>
        <v>31</v>
      </c>
      <c r="D33" s="10" t="str">
        <f>'Input HVAC Measures'!C36</f>
        <v/>
      </c>
      <c r="E33" s="10" t="str">
        <f>'Input HVAC Measures'!F36</f>
        <v/>
      </c>
      <c r="F33" s="10" t="str">
        <f>IF(ISNUMBER($D33)=TRUE,'Input HVAC Measures'!G36,"")</f>
        <v/>
      </c>
      <c r="G33" s="10" t="str">
        <f>IF(ISNUMBER($D33)=TRUE,'Input HVAC Measures'!S36,"")</f>
        <v/>
      </c>
      <c r="H33" s="96" t="str">
        <f>IF(ISNUMBER($D33)=TRUE,'Input HVAC Measures'!T36,"")</f>
        <v/>
      </c>
      <c r="I33" s="42" t="str">
        <f>IFERROR(N33*MIN(Table_Measure_Caps[[#Totals],[Estimated Raw Incentive Total]], Table_Measure_Caps[[#Totals],[Gross Measure Cost Total]], Value_Project_CAP)/Table_Measure_Caps[[#Totals],[Estimated Raw Incentive Total]], "")</f>
        <v/>
      </c>
      <c r="J33" s="42" t="str">
        <f>IF(ISNUMBER($D33)=TRUE,'Input HVAC Measures'!O36,"")</f>
        <v/>
      </c>
      <c r="K33" s="10" t="str">
        <f>IF(ISNUMBER($D33)=TRUE,'Input HVAC Measures'!P36,"")</f>
        <v/>
      </c>
      <c r="L33" s="27" t="str">
        <f t="shared" si="1"/>
        <v>Version 5.0 - 2025</v>
      </c>
      <c r="M33" s="60" t="str">
        <f>IF(ISNUMBER($D33)=TRUE,'Input HVAC Measures'!E36,"")</f>
        <v/>
      </c>
      <c r="N33" s="39" t="str">
        <f>'Input HVAC Measures'!R36</f>
        <v/>
      </c>
    </row>
    <row r="34" spans="1:14">
      <c r="A34" s="11" t="s">
        <v>267</v>
      </c>
      <c r="B34" s="10">
        <f t="shared" si="0"/>
        <v>0</v>
      </c>
      <c r="C34" s="10">
        <f>'Input HVAC Measures'!B37</f>
        <v>32</v>
      </c>
      <c r="D34" s="10" t="str">
        <f>'Input HVAC Measures'!C37</f>
        <v/>
      </c>
      <c r="E34" s="10" t="str">
        <f>'Input HVAC Measures'!F37</f>
        <v/>
      </c>
      <c r="F34" s="10" t="str">
        <f>IF(ISNUMBER($D34)=TRUE,'Input HVAC Measures'!G37,"")</f>
        <v/>
      </c>
      <c r="G34" s="10" t="str">
        <f>IF(ISNUMBER($D34)=TRUE,'Input HVAC Measures'!S37,"")</f>
        <v/>
      </c>
      <c r="H34" s="96" t="str">
        <f>IF(ISNUMBER($D34)=TRUE,'Input HVAC Measures'!T37,"")</f>
        <v/>
      </c>
      <c r="I34" s="42" t="str">
        <f>IFERROR(N34*MIN(Table_Measure_Caps[[#Totals],[Estimated Raw Incentive Total]], Table_Measure_Caps[[#Totals],[Gross Measure Cost Total]], Value_Project_CAP)/Table_Measure_Caps[[#Totals],[Estimated Raw Incentive Total]], "")</f>
        <v/>
      </c>
      <c r="J34" s="42" t="str">
        <f>IF(ISNUMBER($D34)=TRUE,'Input HVAC Measures'!O37,"")</f>
        <v/>
      </c>
      <c r="K34" s="10" t="str">
        <f>IF(ISNUMBER($D34)=TRUE,'Input HVAC Measures'!P37,"")</f>
        <v/>
      </c>
      <c r="L34" s="27" t="str">
        <f t="shared" si="1"/>
        <v>Version 5.0 - 2025</v>
      </c>
      <c r="M34" s="60" t="str">
        <f>IF(ISNUMBER($D34)=TRUE,'Input HVAC Measures'!E37,"")</f>
        <v/>
      </c>
      <c r="N34" s="39" t="str">
        <f>'Input HVAC Measures'!R37</f>
        <v/>
      </c>
    </row>
    <row r="35" spans="1:14">
      <c r="A35" s="11" t="s">
        <v>267</v>
      </c>
      <c r="B35" s="10">
        <f t="shared" si="0"/>
        <v>0</v>
      </c>
      <c r="C35" s="10">
        <f>'Input HVAC Measures'!B38</f>
        <v>33</v>
      </c>
      <c r="D35" s="10" t="str">
        <f>'Input HVAC Measures'!C38</f>
        <v/>
      </c>
      <c r="E35" s="10" t="str">
        <f>'Input HVAC Measures'!F38</f>
        <v/>
      </c>
      <c r="F35" s="10" t="str">
        <f>IF(ISNUMBER($D35)=TRUE,'Input HVAC Measures'!G38,"")</f>
        <v/>
      </c>
      <c r="G35" s="10" t="str">
        <f>IF(ISNUMBER($D35)=TRUE,'Input HVAC Measures'!S38,"")</f>
        <v/>
      </c>
      <c r="H35" s="96" t="str">
        <f>IF(ISNUMBER($D35)=TRUE,'Input HVAC Measures'!T38,"")</f>
        <v/>
      </c>
      <c r="I35" s="42" t="str">
        <f>IFERROR(N35*MIN(Table_Measure_Caps[[#Totals],[Estimated Raw Incentive Total]], Table_Measure_Caps[[#Totals],[Gross Measure Cost Total]], Value_Project_CAP)/Table_Measure_Caps[[#Totals],[Estimated Raw Incentive Total]], "")</f>
        <v/>
      </c>
      <c r="J35" s="42" t="str">
        <f>IF(ISNUMBER($D35)=TRUE,'Input HVAC Measures'!O38,"")</f>
        <v/>
      </c>
      <c r="K35" s="10" t="str">
        <f>IF(ISNUMBER($D35)=TRUE,'Input HVAC Measures'!P38,"")</f>
        <v/>
      </c>
      <c r="L35" s="27" t="str">
        <f t="shared" si="1"/>
        <v>Version 5.0 - 2025</v>
      </c>
      <c r="M35" s="60" t="str">
        <f>IF(ISNUMBER($D35)=TRUE,'Input HVAC Measures'!E38,"")</f>
        <v/>
      </c>
      <c r="N35" s="39" t="str">
        <f>'Input HVAC Measures'!R38</f>
        <v/>
      </c>
    </row>
    <row r="36" spans="1:14">
      <c r="A36" s="11" t="s">
        <v>267</v>
      </c>
      <c r="B36" s="10">
        <f t="shared" si="0"/>
        <v>0</v>
      </c>
      <c r="C36" s="10">
        <f>'Input HVAC Measures'!B39</f>
        <v>34</v>
      </c>
      <c r="D36" s="10" t="str">
        <f>'Input HVAC Measures'!C39</f>
        <v/>
      </c>
      <c r="E36" s="10" t="str">
        <f>'Input HVAC Measures'!F39</f>
        <v/>
      </c>
      <c r="F36" s="10" t="str">
        <f>IF(ISNUMBER($D36)=TRUE,'Input HVAC Measures'!G39,"")</f>
        <v/>
      </c>
      <c r="G36" s="10" t="str">
        <f>IF(ISNUMBER($D36)=TRUE,'Input HVAC Measures'!S39,"")</f>
        <v/>
      </c>
      <c r="H36" s="96" t="str">
        <f>IF(ISNUMBER($D36)=TRUE,'Input HVAC Measures'!T39,"")</f>
        <v/>
      </c>
      <c r="I36" s="42" t="str">
        <f>IFERROR(N36*MIN(Table_Measure_Caps[[#Totals],[Estimated Raw Incentive Total]], Table_Measure_Caps[[#Totals],[Gross Measure Cost Total]], Value_Project_CAP)/Table_Measure_Caps[[#Totals],[Estimated Raw Incentive Total]], "")</f>
        <v/>
      </c>
      <c r="J36" s="42" t="str">
        <f>IF(ISNUMBER($D36)=TRUE,'Input HVAC Measures'!O39,"")</f>
        <v/>
      </c>
      <c r="K36" s="10" t="str">
        <f>IF(ISNUMBER($D36)=TRUE,'Input HVAC Measures'!P39,"")</f>
        <v/>
      </c>
      <c r="L36" s="27" t="str">
        <f t="shared" si="1"/>
        <v>Version 5.0 - 2025</v>
      </c>
      <c r="M36" s="60" t="str">
        <f>IF(ISNUMBER($D36)=TRUE,'Input HVAC Measures'!E39,"")</f>
        <v/>
      </c>
      <c r="N36" s="39" t="str">
        <f>'Input HVAC Measures'!R39</f>
        <v/>
      </c>
    </row>
    <row r="37" spans="1:14">
      <c r="A37" s="11" t="s">
        <v>267</v>
      </c>
      <c r="B37" s="10">
        <f t="shared" si="0"/>
        <v>0</v>
      </c>
      <c r="C37" s="10">
        <f>'Input HVAC Measures'!B40</f>
        <v>35</v>
      </c>
      <c r="D37" s="10" t="str">
        <f>'Input HVAC Measures'!C40</f>
        <v/>
      </c>
      <c r="E37" s="10" t="str">
        <f>'Input HVAC Measures'!F40</f>
        <v/>
      </c>
      <c r="F37" s="10" t="str">
        <f>IF(ISNUMBER($D37)=TRUE,'Input HVAC Measures'!G40,"")</f>
        <v/>
      </c>
      <c r="G37" s="10" t="str">
        <f>IF(ISNUMBER($D37)=TRUE,'Input HVAC Measures'!S40,"")</f>
        <v/>
      </c>
      <c r="H37" s="96" t="str">
        <f>IF(ISNUMBER($D37)=TRUE,'Input HVAC Measures'!T40,"")</f>
        <v/>
      </c>
      <c r="I37" s="42" t="str">
        <f>IFERROR(N37*MIN(Table_Measure_Caps[[#Totals],[Estimated Raw Incentive Total]], Table_Measure_Caps[[#Totals],[Gross Measure Cost Total]], Value_Project_CAP)/Table_Measure_Caps[[#Totals],[Estimated Raw Incentive Total]], "")</f>
        <v/>
      </c>
      <c r="J37" s="42" t="str">
        <f>IF(ISNUMBER($D37)=TRUE,'Input HVAC Measures'!O40,"")</f>
        <v/>
      </c>
      <c r="K37" s="10" t="str">
        <f>IF(ISNUMBER($D37)=TRUE,'Input HVAC Measures'!P40,"")</f>
        <v/>
      </c>
      <c r="L37" s="27" t="str">
        <f t="shared" si="1"/>
        <v>Version 5.0 - 2025</v>
      </c>
      <c r="M37" s="60" t="str">
        <f>IF(ISNUMBER($D37)=TRUE,'Input HVAC Measures'!E40,"")</f>
        <v/>
      </c>
      <c r="N37" s="39" t="str">
        <f>'Input HVAC Measures'!R40</f>
        <v/>
      </c>
    </row>
    <row r="38" spans="1:14">
      <c r="A38" s="11" t="s">
        <v>267</v>
      </c>
      <c r="B38" s="10">
        <f t="shared" si="0"/>
        <v>0</v>
      </c>
      <c r="C38" s="10">
        <f>'Input HVAC Measures'!B41</f>
        <v>36</v>
      </c>
      <c r="D38" s="10" t="str">
        <f>'Input HVAC Measures'!C41</f>
        <v/>
      </c>
      <c r="E38" s="10" t="str">
        <f>'Input HVAC Measures'!F41</f>
        <v/>
      </c>
      <c r="F38" s="10" t="str">
        <f>IF(ISNUMBER($D38)=TRUE,'Input HVAC Measures'!G41,"")</f>
        <v/>
      </c>
      <c r="G38" s="10" t="str">
        <f>IF(ISNUMBER($D38)=TRUE,'Input HVAC Measures'!S41,"")</f>
        <v/>
      </c>
      <c r="H38" s="96" t="str">
        <f>IF(ISNUMBER($D38)=TRUE,'Input HVAC Measures'!T41,"")</f>
        <v/>
      </c>
      <c r="I38" s="42" t="str">
        <f>IFERROR(N38*MIN(Table_Measure_Caps[[#Totals],[Estimated Raw Incentive Total]], Table_Measure_Caps[[#Totals],[Gross Measure Cost Total]], Value_Project_CAP)/Table_Measure_Caps[[#Totals],[Estimated Raw Incentive Total]], "")</f>
        <v/>
      </c>
      <c r="J38" s="42" t="str">
        <f>IF(ISNUMBER($D38)=TRUE,'Input HVAC Measures'!O41,"")</f>
        <v/>
      </c>
      <c r="K38" s="10" t="str">
        <f>IF(ISNUMBER($D38)=TRUE,'Input HVAC Measures'!P41,"")</f>
        <v/>
      </c>
      <c r="L38" s="27" t="str">
        <f t="shared" si="1"/>
        <v>Version 5.0 - 2025</v>
      </c>
      <c r="M38" s="60" t="str">
        <f>IF(ISNUMBER($D38)=TRUE,'Input HVAC Measures'!E41,"")</f>
        <v/>
      </c>
      <c r="N38" s="39" t="str">
        <f>'Input HVAC Measures'!R41</f>
        <v/>
      </c>
    </row>
    <row r="39" spans="1:14">
      <c r="A39" s="11" t="s">
        <v>267</v>
      </c>
      <c r="B39" s="10">
        <f t="shared" si="0"/>
        <v>0</v>
      </c>
      <c r="C39" s="10">
        <f>'Input HVAC Measures'!B42</f>
        <v>37</v>
      </c>
      <c r="D39" s="10" t="str">
        <f>'Input HVAC Measures'!C42</f>
        <v/>
      </c>
      <c r="E39" s="10" t="str">
        <f>'Input HVAC Measures'!F42</f>
        <v/>
      </c>
      <c r="F39" s="10" t="str">
        <f>IF(ISNUMBER($D39)=TRUE,'Input HVAC Measures'!G42,"")</f>
        <v/>
      </c>
      <c r="G39" s="10" t="str">
        <f>IF(ISNUMBER($D39)=TRUE,'Input HVAC Measures'!S42,"")</f>
        <v/>
      </c>
      <c r="H39" s="96" t="str">
        <f>IF(ISNUMBER($D39)=TRUE,'Input HVAC Measures'!T42,"")</f>
        <v/>
      </c>
      <c r="I39" s="42" t="str">
        <f>IFERROR(N39*MIN(Table_Measure_Caps[[#Totals],[Estimated Raw Incentive Total]], Table_Measure_Caps[[#Totals],[Gross Measure Cost Total]], Value_Project_CAP)/Table_Measure_Caps[[#Totals],[Estimated Raw Incentive Total]], "")</f>
        <v/>
      </c>
      <c r="J39" s="42" t="str">
        <f>IF(ISNUMBER($D39)=TRUE,'Input HVAC Measures'!O42,"")</f>
        <v/>
      </c>
      <c r="K39" s="10" t="str">
        <f>IF(ISNUMBER($D39)=TRUE,'Input HVAC Measures'!P42,"")</f>
        <v/>
      </c>
      <c r="L39" s="27" t="str">
        <f t="shared" si="1"/>
        <v>Version 5.0 - 2025</v>
      </c>
      <c r="M39" s="60" t="str">
        <f>IF(ISNUMBER($D39)=TRUE,'Input HVAC Measures'!E42,"")</f>
        <v/>
      </c>
      <c r="N39" s="39" t="str">
        <f>'Input HVAC Measures'!R42</f>
        <v/>
      </c>
    </row>
    <row r="40" spans="1:14">
      <c r="A40" s="11" t="s">
        <v>267</v>
      </c>
      <c r="B40" s="10">
        <f t="shared" si="0"/>
        <v>0</v>
      </c>
      <c r="C40" s="10">
        <f>'Input HVAC Measures'!B43</f>
        <v>38</v>
      </c>
      <c r="D40" s="10" t="str">
        <f>'Input HVAC Measures'!C43</f>
        <v/>
      </c>
      <c r="E40" s="10" t="str">
        <f>'Input HVAC Measures'!F43</f>
        <v/>
      </c>
      <c r="F40" s="10" t="str">
        <f>IF(ISNUMBER($D40)=TRUE,'Input HVAC Measures'!G43,"")</f>
        <v/>
      </c>
      <c r="G40" s="10" t="str">
        <f>IF(ISNUMBER($D40)=TRUE,'Input HVAC Measures'!S43,"")</f>
        <v/>
      </c>
      <c r="H40" s="96" t="str">
        <f>IF(ISNUMBER($D40)=TRUE,'Input HVAC Measures'!T43,"")</f>
        <v/>
      </c>
      <c r="I40" s="42" t="str">
        <f>IFERROR(N40*MIN(Table_Measure_Caps[[#Totals],[Estimated Raw Incentive Total]], Table_Measure_Caps[[#Totals],[Gross Measure Cost Total]], Value_Project_CAP)/Table_Measure_Caps[[#Totals],[Estimated Raw Incentive Total]], "")</f>
        <v/>
      </c>
      <c r="J40" s="42" t="str">
        <f>IF(ISNUMBER($D40)=TRUE,'Input HVAC Measures'!O43,"")</f>
        <v/>
      </c>
      <c r="K40" s="10" t="str">
        <f>IF(ISNUMBER($D40)=TRUE,'Input HVAC Measures'!P43,"")</f>
        <v/>
      </c>
      <c r="L40" s="27" t="str">
        <f t="shared" si="1"/>
        <v>Version 5.0 - 2025</v>
      </c>
      <c r="M40" s="60" t="str">
        <f>IF(ISNUMBER($D40)=TRUE,'Input HVAC Measures'!E43,"")</f>
        <v/>
      </c>
      <c r="N40" s="39" t="str">
        <f>'Input HVAC Measures'!R43</f>
        <v/>
      </c>
    </row>
    <row r="41" spans="1:14">
      <c r="A41" s="11" t="s">
        <v>267</v>
      </c>
      <c r="B41" s="10">
        <f t="shared" si="0"/>
        <v>0</v>
      </c>
      <c r="C41" s="10">
        <f>'Input HVAC Measures'!B44</f>
        <v>39</v>
      </c>
      <c r="D41" s="10" t="str">
        <f>'Input HVAC Measures'!C44</f>
        <v/>
      </c>
      <c r="E41" s="10" t="str">
        <f>'Input HVAC Measures'!F44</f>
        <v/>
      </c>
      <c r="F41" s="10" t="str">
        <f>IF(ISNUMBER($D41)=TRUE,'Input HVAC Measures'!G44,"")</f>
        <v/>
      </c>
      <c r="G41" s="10" t="str">
        <f>IF(ISNUMBER($D41)=TRUE,'Input HVAC Measures'!S44,"")</f>
        <v/>
      </c>
      <c r="H41" s="96" t="str">
        <f>IF(ISNUMBER($D41)=TRUE,'Input HVAC Measures'!T44,"")</f>
        <v/>
      </c>
      <c r="I41" s="42" t="str">
        <f>IFERROR(N41*MIN(Table_Measure_Caps[[#Totals],[Estimated Raw Incentive Total]], Table_Measure_Caps[[#Totals],[Gross Measure Cost Total]], Value_Project_CAP)/Table_Measure_Caps[[#Totals],[Estimated Raw Incentive Total]], "")</f>
        <v/>
      </c>
      <c r="J41" s="42" t="str">
        <f>IF(ISNUMBER($D41)=TRUE,'Input HVAC Measures'!O44,"")</f>
        <v/>
      </c>
      <c r="K41" s="10" t="str">
        <f>IF(ISNUMBER($D41)=TRUE,'Input HVAC Measures'!P44,"")</f>
        <v/>
      </c>
      <c r="L41" s="27" t="str">
        <f t="shared" si="1"/>
        <v>Version 5.0 - 2025</v>
      </c>
      <c r="M41" s="60" t="str">
        <f>IF(ISNUMBER($D41)=TRUE,'Input HVAC Measures'!E44,"")</f>
        <v/>
      </c>
      <c r="N41" s="39" t="str">
        <f>'Input HVAC Measures'!R44</f>
        <v/>
      </c>
    </row>
    <row r="42" spans="1:14">
      <c r="A42" s="11" t="s">
        <v>267</v>
      </c>
      <c r="B42" s="10">
        <f t="shared" si="0"/>
        <v>0</v>
      </c>
      <c r="C42" s="10">
        <f>'Input HVAC Measures'!B45</f>
        <v>40</v>
      </c>
      <c r="D42" s="10" t="str">
        <f>'Input HVAC Measures'!C45</f>
        <v/>
      </c>
      <c r="E42" s="10" t="str">
        <f>'Input HVAC Measures'!F45</f>
        <v/>
      </c>
      <c r="F42" s="10" t="str">
        <f>IF(ISNUMBER($D42)=TRUE,'Input HVAC Measures'!G45,"")</f>
        <v/>
      </c>
      <c r="G42" s="10" t="str">
        <f>IF(ISNUMBER($D42)=TRUE,'Input HVAC Measures'!S45,"")</f>
        <v/>
      </c>
      <c r="H42" s="96" t="str">
        <f>IF(ISNUMBER($D42)=TRUE,'Input HVAC Measures'!T45,"")</f>
        <v/>
      </c>
      <c r="I42" s="42" t="str">
        <f>IFERROR(N42*MIN(Table_Measure_Caps[[#Totals],[Estimated Raw Incentive Total]], Table_Measure_Caps[[#Totals],[Gross Measure Cost Total]], Value_Project_CAP)/Table_Measure_Caps[[#Totals],[Estimated Raw Incentive Total]], "")</f>
        <v/>
      </c>
      <c r="J42" s="42" t="str">
        <f>IF(ISNUMBER($D42)=TRUE,'Input HVAC Measures'!O45,"")</f>
        <v/>
      </c>
      <c r="K42" s="10" t="str">
        <f>IF(ISNUMBER($D42)=TRUE,'Input HVAC Measures'!P45,"")</f>
        <v/>
      </c>
      <c r="L42" s="27" t="str">
        <f t="shared" si="1"/>
        <v>Version 5.0 - 2025</v>
      </c>
      <c r="M42" s="60" t="str">
        <f>IF(ISNUMBER($D42)=TRUE,'Input HVAC Measures'!E45,"")</f>
        <v/>
      </c>
      <c r="N42" s="39" t="str">
        <f>'Input HVAC Measures'!R45</f>
        <v/>
      </c>
    </row>
    <row r="43" spans="1:14">
      <c r="A43" s="11" t="s">
        <v>267</v>
      </c>
      <c r="B43" s="10">
        <f t="shared" si="0"/>
        <v>0</v>
      </c>
      <c r="C43" s="10">
        <f>'Input HVAC Measures'!B46</f>
        <v>41</v>
      </c>
      <c r="D43" s="10" t="str">
        <f>'Input HVAC Measures'!C46</f>
        <v/>
      </c>
      <c r="E43" s="10" t="str">
        <f>'Input HVAC Measures'!F46</f>
        <v/>
      </c>
      <c r="F43" s="10" t="str">
        <f>IF(ISNUMBER($D43)=TRUE,'Input HVAC Measures'!G46,"")</f>
        <v/>
      </c>
      <c r="G43" s="10" t="str">
        <f>IF(ISNUMBER($D43)=TRUE,'Input HVAC Measures'!S46,"")</f>
        <v/>
      </c>
      <c r="H43" s="96" t="str">
        <f>IF(ISNUMBER($D43)=TRUE,'Input HVAC Measures'!T46,"")</f>
        <v/>
      </c>
      <c r="I43" s="42" t="str">
        <f>IFERROR(N43*MIN(Table_Measure_Caps[[#Totals],[Estimated Raw Incentive Total]], Table_Measure_Caps[[#Totals],[Gross Measure Cost Total]], Value_Project_CAP)/Table_Measure_Caps[[#Totals],[Estimated Raw Incentive Total]], "")</f>
        <v/>
      </c>
      <c r="J43" s="42" t="str">
        <f>IF(ISNUMBER($D43)=TRUE,'Input HVAC Measures'!O46,"")</f>
        <v/>
      </c>
      <c r="K43" s="10" t="str">
        <f>IF(ISNUMBER($D43)=TRUE,'Input HVAC Measures'!P46,"")</f>
        <v/>
      </c>
      <c r="L43" s="27" t="str">
        <f t="shared" si="1"/>
        <v>Version 5.0 - 2025</v>
      </c>
      <c r="M43" s="60" t="str">
        <f>IF(ISNUMBER($D43)=TRUE,'Input HVAC Measures'!E46,"")</f>
        <v/>
      </c>
      <c r="N43" s="39" t="str">
        <f>'Input HVAC Measures'!R46</f>
        <v/>
      </c>
    </row>
    <row r="44" spans="1:14">
      <c r="A44" s="11" t="s">
        <v>267</v>
      </c>
      <c r="B44" s="10">
        <f t="shared" si="0"/>
        <v>0</v>
      </c>
      <c r="C44" s="10">
        <f>'Input HVAC Measures'!B47</f>
        <v>42</v>
      </c>
      <c r="D44" s="10" t="str">
        <f>'Input HVAC Measures'!C47</f>
        <v/>
      </c>
      <c r="E44" s="10" t="str">
        <f>'Input HVAC Measures'!F47</f>
        <v/>
      </c>
      <c r="F44" s="10" t="str">
        <f>IF(ISNUMBER($D44)=TRUE,'Input HVAC Measures'!G47,"")</f>
        <v/>
      </c>
      <c r="G44" s="10" t="str">
        <f>IF(ISNUMBER($D44)=TRUE,'Input HVAC Measures'!S47,"")</f>
        <v/>
      </c>
      <c r="H44" s="96" t="str">
        <f>IF(ISNUMBER($D44)=TRUE,'Input HVAC Measures'!T47,"")</f>
        <v/>
      </c>
      <c r="I44" s="42" t="str">
        <f>IFERROR(N44*MIN(Table_Measure_Caps[[#Totals],[Estimated Raw Incentive Total]], Table_Measure_Caps[[#Totals],[Gross Measure Cost Total]], Value_Project_CAP)/Table_Measure_Caps[[#Totals],[Estimated Raw Incentive Total]], "")</f>
        <v/>
      </c>
      <c r="J44" s="42" t="str">
        <f>IF(ISNUMBER($D44)=TRUE,'Input HVAC Measures'!O47,"")</f>
        <v/>
      </c>
      <c r="K44" s="10" t="str">
        <f>IF(ISNUMBER($D44)=TRUE,'Input HVAC Measures'!P47,"")</f>
        <v/>
      </c>
      <c r="L44" s="27" t="str">
        <f t="shared" si="1"/>
        <v>Version 5.0 - 2025</v>
      </c>
      <c r="M44" s="60" t="str">
        <f>IF(ISNUMBER($D44)=TRUE,'Input HVAC Measures'!E47,"")</f>
        <v/>
      </c>
      <c r="N44" s="39" t="str">
        <f>'Input HVAC Measures'!R47</f>
        <v/>
      </c>
    </row>
    <row r="45" spans="1:14">
      <c r="A45" s="11" t="s">
        <v>267</v>
      </c>
      <c r="B45" s="10">
        <f t="shared" si="0"/>
        <v>0</v>
      </c>
      <c r="C45" s="10">
        <f>'Input HVAC Measures'!B48</f>
        <v>43</v>
      </c>
      <c r="D45" s="10" t="str">
        <f>'Input HVAC Measures'!C48</f>
        <v/>
      </c>
      <c r="E45" s="10" t="str">
        <f>'Input HVAC Measures'!F48</f>
        <v/>
      </c>
      <c r="F45" s="10" t="str">
        <f>IF(ISNUMBER($D45)=TRUE,'Input HVAC Measures'!G48,"")</f>
        <v/>
      </c>
      <c r="G45" s="10" t="str">
        <f>IF(ISNUMBER($D45)=TRUE,'Input HVAC Measures'!S48,"")</f>
        <v/>
      </c>
      <c r="H45" s="96" t="str">
        <f>IF(ISNUMBER($D45)=TRUE,'Input HVAC Measures'!T48,"")</f>
        <v/>
      </c>
      <c r="I45" s="42" t="str">
        <f>IFERROR(N45*MIN(Table_Measure_Caps[[#Totals],[Estimated Raw Incentive Total]], Table_Measure_Caps[[#Totals],[Gross Measure Cost Total]], Value_Project_CAP)/Table_Measure_Caps[[#Totals],[Estimated Raw Incentive Total]], "")</f>
        <v/>
      </c>
      <c r="J45" s="42" t="str">
        <f>IF(ISNUMBER($D45)=TRUE,'Input HVAC Measures'!O48,"")</f>
        <v/>
      </c>
      <c r="K45" s="10" t="str">
        <f>IF(ISNUMBER($D45)=TRUE,'Input HVAC Measures'!P48,"")</f>
        <v/>
      </c>
      <c r="L45" s="27" t="str">
        <f t="shared" si="1"/>
        <v>Version 5.0 - 2025</v>
      </c>
      <c r="M45" s="60" t="str">
        <f>IF(ISNUMBER($D45)=TRUE,'Input HVAC Measures'!E48,"")</f>
        <v/>
      </c>
      <c r="N45" s="39" t="str">
        <f>'Input HVAC Measures'!R48</f>
        <v/>
      </c>
    </row>
    <row r="46" spans="1:14">
      <c r="A46" s="11" t="s">
        <v>267</v>
      </c>
      <c r="B46" s="10">
        <f t="shared" si="0"/>
        <v>0</v>
      </c>
      <c r="C46" s="10">
        <f>'Input HVAC Measures'!B49</f>
        <v>44</v>
      </c>
      <c r="D46" s="10" t="str">
        <f>'Input HVAC Measures'!C49</f>
        <v/>
      </c>
      <c r="E46" s="10" t="str">
        <f>'Input HVAC Measures'!F49</f>
        <v/>
      </c>
      <c r="F46" s="10" t="str">
        <f>IF(ISNUMBER($D46)=TRUE,'Input HVAC Measures'!G49,"")</f>
        <v/>
      </c>
      <c r="G46" s="10" t="str">
        <f>IF(ISNUMBER($D46)=TRUE,'Input HVAC Measures'!S49,"")</f>
        <v/>
      </c>
      <c r="H46" s="96" t="str">
        <f>IF(ISNUMBER($D46)=TRUE,'Input HVAC Measures'!T49,"")</f>
        <v/>
      </c>
      <c r="I46" s="42" t="str">
        <f>IFERROR(N46*MIN(Table_Measure_Caps[[#Totals],[Estimated Raw Incentive Total]], Table_Measure_Caps[[#Totals],[Gross Measure Cost Total]], Value_Project_CAP)/Table_Measure_Caps[[#Totals],[Estimated Raw Incentive Total]], "")</f>
        <v/>
      </c>
      <c r="J46" s="42" t="str">
        <f>IF(ISNUMBER($D46)=TRUE,'Input HVAC Measures'!O49,"")</f>
        <v/>
      </c>
      <c r="K46" s="10" t="str">
        <f>IF(ISNUMBER($D46)=TRUE,'Input HVAC Measures'!P49,"")</f>
        <v/>
      </c>
      <c r="L46" s="27" t="str">
        <f t="shared" si="1"/>
        <v>Version 5.0 - 2025</v>
      </c>
      <c r="M46" s="60" t="str">
        <f>IF(ISNUMBER($D46)=TRUE,'Input HVAC Measures'!E49,"")</f>
        <v/>
      </c>
      <c r="N46" s="39" t="str">
        <f>'Input HVAC Measures'!R49</f>
        <v/>
      </c>
    </row>
    <row r="47" spans="1:14">
      <c r="A47" s="11" t="s">
        <v>267</v>
      </c>
      <c r="B47" s="10">
        <f t="shared" si="0"/>
        <v>0</v>
      </c>
      <c r="C47" s="10">
        <f>'Input HVAC Measures'!B50</f>
        <v>45</v>
      </c>
      <c r="D47" s="10" t="str">
        <f>'Input HVAC Measures'!C50</f>
        <v/>
      </c>
      <c r="E47" s="10" t="str">
        <f>'Input HVAC Measures'!F50</f>
        <v/>
      </c>
      <c r="F47" s="10" t="str">
        <f>IF(ISNUMBER($D47)=TRUE,'Input HVAC Measures'!G50,"")</f>
        <v/>
      </c>
      <c r="G47" s="10" t="str">
        <f>IF(ISNUMBER($D47)=TRUE,'Input HVAC Measures'!S50,"")</f>
        <v/>
      </c>
      <c r="H47" s="96" t="str">
        <f>IF(ISNUMBER($D47)=TRUE,'Input HVAC Measures'!T50,"")</f>
        <v/>
      </c>
      <c r="I47" s="42" t="str">
        <f>IFERROR(N47*MIN(Table_Measure_Caps[[#Totals],[Estimated Raw Incentive Total]], Table_Measure_Caps[[#Totals],[Gross Measure Cost Total]], Value_Project_CAP)/Table_Measure_Caps[[#Totals],[Estimated Raw Incentive Total]], "")</f>
        <v/>
      </c>
      <c r="J47" s="42" t="str">
        <f>IF(ISNUMBER($D47)=TRUE,'Input HVAC Measures'!O50,"")</f>
        <v/>
      </c>
      <c r="K47" s="10" t="str">
        <f>IF(ISNUMBER($D47)=TRUE,'Input HVAC Measures'!P50,"")</f>
        <v/>
      </c>
      <c r="L47" s="27" t="str">
        <f t="shared" si="1"/>
        <v>Version 5.0 - 2025</v>
      </c>
      <c r="M47" s="60" t="str">
        <f>IF(ISNUMBER($D47)=TRUE,'Input HVAC Measures'!E50,"")</f>
        <v/>
      </c>
      <c r="N47" s="39" t="str">
        <f>'Input HVAC Measures'!R50</f>
        <v/>
      </c>
    </row>
    <row r="48" spans="1:14">
      <c r="A48" s="11" t="s">
        <v>267</v>
      </c>
      <c r="B48" s="10">
        <f t="shared" si="0"/>
        <v>0</v>
      </c>
      <c r="C48" s="10">
        <f>'Input HVAC Measures'!B51</f>
        <v>46</v>
      </c>
      <c r="D48" s="10" t="str">
        <f>'Input HVAC Measures'!C51</f>
        <v/>
      </c>
      <c r="E48" s="10" t="str">
        <f>'Input HVAC Measures'!F51</f>
        <v/>
      </c>
      <c r="F48" s="10" t="str">
        <f>IF(ISNUMBER($D48)=TRUE,'Input HVAC Measures'!G51,"")</f>
        <v/>
      </c>
      <c r="G48" s="10" t="str">
        <f>IF(ISNUMBER($D48)=TRUE,'Input HVAC Measures'!S51,"")</f>
        <v/>
      </c>
      <c r="H48" s="96" t="str">
        <f>IF(ISNUMBER($D48)=TRUE,'Input HVAC Measures'!T51,"")</f>
        <v/>
      </c>
      <c r="I48" s="42" t="str">
        <f>IFERROR(N48*MIN(Table_Measure_Caps[[#Totals],[Estimated Raw Incentive Total]], Table_Measure_Caps[[#Totals],[Gross Measure Cost Total]], Value_Project_CAP)/Table_Measure_Caps[[#Totals],[Estimated Raw Incentive Total]], "")</f>
        <v/>
      </c>
      <c r="J48" s="42" t="str">
        <f>IF(ISNUMBER($D48)=TRUE,'Input HVAC Measures'!O51,"")</f>
        <v/>
      </c>
      <c r="K48" s="10" t="str">
        <f>IF(ISNUMBER($D48)=TRUE,'Input HVAC Measures'!P51,"")</f>
        <v/>
      </c>
      <c r="L48" s="27" t="str">
        <f t="shared" si="1"/>
        <v>Version 5.0 - 2025</v>
      </c>
      <c r="M48" s="60" t="str">
        <f>IF(ISNUMBER($D48)=TRUE,'Input HVAC Measures'!E51,"")</f>
        <v/>
      </c>
      <c r="N48" s="39" t="str">
        <f>'Input HVAC Measures'!R51</f>
        <v/>
      </c>
    </row>
    <row r="49" spans="1:14">
      <c r="A49" s="11" t="s">
        <v>267</v>
      </c>
      <c r="B49" s="10">
        <f t="shared" si="0"/>
        <v>0</v>
      </c>
      <c r="C49" s="10">
        <f>'Input HVAC Measures'!B52</f>
        <v>47</v>
      </c>
      <c r="D49" s="10" t="str">
        <f>'Input HVAC Measures'!C52</f>
        <v/>
      </c>
      <c r="E49" s="10" t="str">
        <f>'Input HVAC Measures'!F52</f>
        <v/>
      </c>
      <c r="F49" s="10" t="str">
        <f>IF(ISNUMBER($D49)=TRUE,'Input HVAC Measures'!G52,"")</f>
        <v/>
      </c>
      <c r="G49" s="10" t="str">
        <f>IF(ISNUMBER($D49)=TRUE,'Input HVAC Measures'!S52,"")</f>
        <v/>
      </c>
      <c r="H49" s="96" t="str">
        <f>IF(ISNUMBER($D49)=TRUE,'Input HVAC Measures'!T52,"")</f>
        <v/>
      </c>
      <c r="I49" s="42" t="str">
        <f>IFERROR(N49*MIN(Table_Measure_Caps[[#Totals],[Estimated Raw Incentive Total]], Table_Measure_Caps[[#Totals],[Gross Measure Cost Total]], Value_Project_CAP)/Table_Measure_Caps[[#Totals],[Estimated Raw Incentive Total]], "")</f>
        <v/>
      </c>
      <c r="J49" s="42" t="str">
        <f>IF(ISNUMBER($D49)=TRUE,'Input HVAC Measures'!O52,"")</f>
        <v/>
      </c>
      <c r="K49" s="10" t="str">
        <f>IF(ISNUMBER($D49)=TRUE,'Input HVAC Measures'!P52,"")</f>
        <v/>
      </c>
      <c r="L49" s="27" t="str">
        <f t="shared" si="1"/>
        <v>Version 5.0 - 2025</v>
      </c>
      <c r="M49" s="60" t="str">
        <f>IF(ISNUMBER($D49)=TRUE,'Input HVAC Measures'!E52,"")</f>
        <v/>
      </c>
      <c r="N49" s="39" t="str">
        <f>'Input HVAC Measures'!R52</f>
        <v/>
      </c>
    </row>
    <row r="50" spans="1:14">
      <c r="A50" s="11" t="s">
        <v>267</v>
      </c>
      <c r="B50" s="10">
        <f t="shared" si="0"/>
        <v>0</v>
      </c>
      <c r="C50" s="10">
        <f>'Input HVAC Measures'!B53</f>
        <v>48</v>
      </c>
      <c r="D50" s="10" t="str">
        <f>'Input HVAC Measures'!C53</f>
        <v/>
      </c>
      <c r="E50" s="10" t="str">
        <f>'Input HVAC Measures'!F53</f>
        <v/>
      </c>
      <c r="F50" s="10" t="str">
        <f>IF(ISNUMBER($D50)=TRUE,'Input HVAC Measures'!G53,"")</f>
        <v/>
      </c>
      <c r="G50" s="10" t="str">
        <f>IF(ISNUMBER($D50)=TRUE,'Input HVAC Measures'!S53,"")</f>
        <v/>
      </c>
      <c r="H50" s="96" t="str">
        <f>IF(ISNUMBER($D50)=TRUE,'Input HVAC Measures'!T53,"")</f>
        <v/>
      </c>
      <c r="I50" s="42" t="str">
        <f>IFERROR(N50*MIN(Table_Measure_Caps[[#Totals],[Estimated Raw Incentive Total]], Table_Measure_Caps[[#Totals],[Gross Measure Cost Total]], Value_Project_CAP)/Table_Measure_Caps[[#Totals],[Estimated Raw Incentive Total]], "")</f>
        <v/>
      </c>
      <c r="J50" s="42" t="str">
        <f>IF(ISNUMBER($D50)=TRUE,'Input HVAC Measures'!O53,"")</f>
        <v/>
      </c>
      <c r="K50" s="10" t="str">
        <f>IF(ISNUMBER($D50)=TRUE,'Input HVAC Measures'!P53,"")</f>
        <v/>
      </c>
      <c r="L50" s="27" t="str">
        <f t="shared" si="1"/>
        <v>Version 5.0 - 2025</v>
      </c>
      <c r="M50" s="60" t="str">
        <f>IF(ISNUMBER($D50)=TRUE,'Input HVAC Measures'!E53,"")</f>
        <v/>
      </c>
      <c r="N50" s="39" t="str">
        <f>'Input HVAC Measures'!R53</f>
        <v/>
      </c>
    </row>
    <row r="51" spans="1:14">
      <c r="A51" s="11" t="s">
        <v>267</v>
      </c>
      <c r="B51" s="10">
        <f t="shared" si="0"/>
        <v>0</v>
      </c>
      <c r="C51" s="10">
        <f>'Input HVAC Measures'!B54</f>
        <v>49</v>
      </c>
      <c r="D51" s="10" t="str">
        <f>'Input HVAC Measures'!C54</f>
        <v/>
      </c>
      <c r="E51" s="10" t="str">
        <f>'Input HVAC Measures'!F54</f>
        <v/>
      </c>
      <c r="F51" s="10" t="str">
        <f>IF(ISNUMBER($D51)=TRUE,'Input HVAC Measures'!G54,"")</f>
        <v/>
      </c>
      <c r="G51" s="10" t="str">
        <f>IF(ISNUMBER($D51)=TRUE,'Input HVAC Measures'!S54,"")</f>
        <v/>
      </c>
      <c r="H51" s="96" t="str">
        <f>IF(ISNUMBER($D51)=TRUE,'Input HVAC Measures'!T54,"")</f>
        <v/>
      </c>
      <c r="I51" s="42" t="str">
        <f>IFERROR(N51*MIN(Table_Measure_Caps[[#Totals],[Estimated Raw Incentive Total]], Table_Measure_Caps[[#Totals],[Gross Measure Cost Total]], Value_Project_CAP)/Table_Measure_Caps[[#Totals],[Estimated Raw Incentive Total]], "")</f>
        <v/>
      </c>
      <c r="J51" s="42" t="str">
        <f>IF(ISNUMBER($D51)=TRUE,'Input HVAC Measures'!O54,"")</f>
        <v/>
      </c>
      <c r="K51" s="10" t="str">
        <f>IF(ISNUMBER($D51)=TRUE,'Input HVAC Measures'!P54,"")</f>
        <v/>
      </c>
      <c r="L51" s="27" t="str">
        <f t="shared" si="1"/>
        <v>Version 5.0 - 2025</v>
      </c>
      <c r="M51" s="60" t="str">
        <f>IF(ISNUMBER($D51)=TRUE,'Input HVAC Measures'!E54,"")</f>
        <v/>
      </c>
      <c r="N51" s="39" t="str">
        <f>'Input HVAC Measures'!R54</f>
        <v/>
      </c>
    </row>
    <row r="52" spans="1:14">
      <c r="A52" s="11" t="s">
        <v>267</v>
      </c>
      <c r="B52" s="10">
        <f t="shared" si="0"/>
        <v>0</v>
      </c>
      <c r="C52" s="10">
        <f>'Input HVAC Measures'!B55</f>
        <v>50</v>
      </c>
      <c r="D52" s="10" t="str">
        <f>'Input HVAC Measures'!C55</f>
        <v/>
      </c>
      <c r="E52" s="10" t="str">
        <f>'Input HVAC Measures'!F55</f>
        <v/>
      </c>
      <c r="F52" s="10" t="str">
        <f>IF(ISNUMBER($D52)=TRUE,'Input HVAC Measures'!G55,"")</f>
        <v/>
      </c>
      <c r="G52" s="10" t="str">
        <f>IF(ISNUMBER($D52)=TRUE,'Input HVAC Measures'!S55,"")</f>
        <v/>
      </c>
      <c r="H52" s="96" t="str">
        <f>IF(ISNUMBER($D52)=TRUE,'Input HVAC Measures'!T55,"")</f>
        <v/>
      </c>
      <c r="I52" s="42" t="str">
        <f>IFERROR(N52*MIN(Table_Measure_Caps[[#Totals],[Estimated Raw Incentive Total]], Table_Measure_Caps[[#Totals],[Gross Measure Cost Total]], Value_Project_CAP)/Table_Measure_Caps[[#Totals],[Estimated Raw Incentive Total]], "")</f>
        <v/>
      </c>
      <c r="J52" s="42" t="str">
        <f>IF(ISNUMBER($D52)=TRUE,'Input HVAC Measures'!O55,"")</f>
        <v/>
      </c>
      <c r="K52" s="10" t="str">
        <f>IF(ISNUMBER($D52)=TRUE,'Input HVAC Measures'!P55,"")</f>
        <v/>
      </c>
      <c r="L52" s="27" t="str">
        <f t="shared" si="1"/>
        <v>Version 5.0 - 2025</v>
      </c>
      <c r="M52" s="60" t="str">
        <f>IF(ISNUMBER($D52)=TRUE,'Input HVAC Measures'!E55,"")</f>
        <v/>
      </c>
      <c r="N52" s="39" t="str">
        <f>'Input HVAC Measures'!R55</f>
        <v/>
      </c>
    </row>
    <row r="53" spans="1:14">
      <c r="A53" s="30" t="s">
        <v>429</v>
      </c>
      <c r="B53" s="28">
        <f t="shared" si="0"/>
        <v>0</v>
      </c>
      <c r="C53" s="28">
        <f>'Input Refrigeration Measures'!B6</f>
        <v>1</v>
      </c>
      <c r="D53" s="28" t="str">
        <f>'Input Refrigeration Measures'!C6</f>
        <v/>
      </c>
      <c r="E53" s="28" t="str">
        <f>'Input Refrigeration Measures'!F6</f>
        <v/>
      </c>
      <c r="F53" s="29">
        <f>'Input Refrigeration Measures'!G6</f>
        <v>0</v>
      </c>
      <c r="G53" s="29" t="str">
        <f>'Input Refrigeration Measures'!L6</f>
        <v/>
      </c>
      <c r="H53" s="97" t="str">
        <f>'Input Refrigeration Measures'!M6</f>
        <v/>
      </c>
      <c r="I53" s="43" t="str">
        <f>IFERROR(N53*MIN(Table_Measure_Caps[[#Totals],[Estimated Raw Incentive Total]], Table_Measure_Caps[[#Totals],[Gross Measure Cost Total]], Value_Project_CAP)/Table_Measure_Caps[[#Totals],[Estimated Raw Incentive Total]], "")</f>
        <v/>
      </c>
      <c r="J53" s="43">
        <f>'Input Refrigeration Measures'!H6</f>
        <v>0</v>
      </c>
      <c r="K53" s="28">
        <f>'Input Refrigeration Measures'!I6</f>
        <v>0</v>
      </c>
      <c r="L53" s="27" t="str">
        <f t="shared" si="1"/>
        <v>Version 5.0 - 2025</v>
      </c>
      <c r="M53" s="67">
        <f>'Input Refrigeration Measures'!E6</f>
        <v>0</v>
      </c>
      <c r="N53" s="66" t="str">
        <f>'Input Refrigeration Measures'!K6</f>
        <v/>
      </c>
    </row>
    <row r="54" spans="1:14">
      <c r="A54" s="30" t="s">
        <v>429</v>
      </c>
      <c r="B54" s="28">
        <f t="shared" ref="B54:B102" si="2">Input_ProjectNumber</f>
        <v>0</v>
      </c>
      <c r="C54" s="28">
        <f>'Input Refrigeration Measures'!B7</f>
        <v>2</v>
      </c>
      <c r="D54" s="28" t="str">
        <f>'Input Refrigeration Measures'!C7</f>
        <v/>
      </c>
      <c r="E54" s="28" t="str">
        <f>'Input Refrigeration Measures'!F7</f>
        <v/>
      </c>
      <c r="F54" s="29">
        <f>'Input Refrigeration Measures'!G7</f>
        <v>0</v>
      </c>
      <c r="G54" s="29" t="str">
        <f>'Input Refrigeration Measures'!L7</f>
        <v/>
      </c>
      <c r="H54" s="97" t="str">
        <f>'Input Refrigeration Measures'!M7</f>
        <v/>
      </c>
      <c r="I54" s="43" t="str">
        <f>IFERROR(N54*MIN(Table_Measure_Caps[[#Totals],[Estimated Raw Incentive Total]], Table_Measure_Caps[[#Totals],[Gross Measure Cost Total]], Value_Project_CAP)/Table_Measure_Caps[[#Totals],[Estimated Raw Incentive Total]], "")</f>
        <v/>
      </c>
      <c r="J54" s="43">
        <f>'Input Refrigeration Measures'!H7</f>
        <v>0</v>
      </c>
      <c r="K54" s="28">
        <f>'Input Refrigeration Measures'!I7</f>
        <v>0</v>
      </c>
      <c r="L54" s="27" t="str">
        <f t="shared" si="1"/>
        <v>Version 5.0 - 2025</v>
      </c>
      <c r="M54" s="67">
        <f>'Input Refrigeration Measures'!E7</f>
        <v>0</v>
      </c>
      <c r="N54" s="66" t="str">
        <f>'Input Refrigeration Measures'!K7</f>
        <v/>
      </c>
    </row>
    <row r="55" spans="1:14">
      <c r="A55" s="30" t="s">
        <v>429</v>
      </c>
      <c r="B55" s="28">
        <f t="shared" si="2"/>
        <v>0</v>
      </c>
      <c r="C55" s="28">
        <f>'Input Refrigeration Measures'!B8</f>
        <v>3</v>
      </c>
      <c r="D55" s="28" t="str">
        <f>'Input Refrigeration Measures'!C8</f>
        <v/>
      </c>
      <c r="E55" s="28" t="str">
        <f>'Input Refrigeration Measures'!F8</f>
        <v/>
      </c>
      <c r="F55" s="29">
        <f>'Input Refrigeration Measures'!G8</f>
        <v>0</v>
      </c>
      <c r="G55" s="29" t="str">
        <f>'Input Refrigeration Measures'!L8</f>
        <v/>
      </c>
      <c r="H55" s="97" t="str">
        <f>'Input Refrigeration Measures'!M8</f>
        <v/>
      </c>
      <c r="I55" s="43" t="str">
        <f>IFERROR(N55*MIN(Table_Measure_Caps[[#Totals],[Estimated Raw Incentive Total]], Table_Measure_Caps[[#Totals],[Gross Measure Cost Total]], Value_Project_CAP)/Table_Measure_Caps[[#Totals],[Estimated Raw Incentive Total]], "")</f>
        <v/>
      </c>
      <c r="J55" s="43">
        <f>'Input Refrigeration Measures'!H8</f>
        <v>0</v>
      </c>
      <c r="K55" s="28">
        <f>'Input Refrigeration Measures'!I8</f>
        <v>0</v>
      </c>
      <c r="L55" s="27" t="str">
        <f t="shared" si="1"/>
        <v>Version 5.0 - 2025</v>
      </c>
      <c r="M55" s="67">
        <f>'Input Refrigeration Measures'!E8</f>
        <v>0</v>
      </c>
      <c r="N55" s="66" t="str">
        <f>'Input Refrigeration Measures'!K8</f>
        <v/>
      </c>
    </row>
    <row r="56" spans="1:14">
      <c r="A56" s="30" t="s">
        <v>429</v>
      </c>
      <c r="B56" s="28">
        <f t="shared" si="2"/>
        <v>0</v>
      </c>
      <c r="C56" s="28">
        <f>'Input Refrigeration Measures'!B9</f>
        <v>4</v>
      </c>
      <c r="D56" s="28" t="str">
        <f>'Input Refrigeration Measures'!C9</f>
        <v/>
      </c>
      <c r="E56" s="28" t="str">
        <f>'Input Refrigeration Measures'!F9</f>
        <v/>
      </c>
      <c r="F56" s="29">
        <f>'Input Refrigeration Measures'!G9</f>
        <v>0</v>
      </c>
      <c r="G56" s="29" t="str">
        <f>'Input Refrigeration Measures'!L9</f>
        <v/>
      </c>
      <c r="H56" s="97" t="str">
        <f>'Input Refrigeration Measures'!M9</f>
        <v/>
      </c>
      <c r="I56" s="43" t="str">
        <f>IFERROR(N56*MIN(Table_Measure_Caps[[#Totals],[Estimated Raw Incentive Total]], Table_Measure_Caps[[#Totals],[Gross Measure Cost Total]], Value_Project_CAP)/Table_Measure_Caps[[#Totals],[Estimated Raw Incentive Total]], "")</f>
        <v/>
      </c>
      <c r="J56" s="43">
        <f>'Input Refrigeration Measures'!H9</f>
        <v>0</v>
      </c>
      <c r="K56" s="28">
        <f>'Input Refrigeration Measures'!I9</f>
        <v>0</v>
      </c>
      <c r="L56" s="27" t="str">
        <f t="shared" si="1"/>
        <v>Version 5.0 - 2025</v>
      </c>
      <c r="M56" s="67">
        <f>'Input Refrigeration Measures'!E9</f>
        <v>0</v>
      </c>
      <c r="N56" s="66" t="str">
        <f>'Input Refrigeration Measures'!K9</f>
        <v/>
      </c>
    </row>
    <row r="57" spans="1:14">
      <c r="A57" s="30" t="s">
        <v>429</v>
      </c>
      <c r="B57" s="28">
        <f t="shared" si="2"/>
        <v>0</v>
      </c>
      <c r="C57" s="28">
        <f>'Input Refrigeration Measures'!B10</f>
        <v>5</v>
      </c>
      <c r="D57" s="28" t="str">
        <f>'Input Refrigeration Measures'!C10</f>
        <v/>
      </c>
      <c r="E57" s="28" t="str">
        <f>'Input Refrigeration Measures'!F10</f>
        <v/>
      </c>
      <c r="F57" s="29">
        <f>'Input Refrigeration Measures'!G10</f>
        <v>0</v>
      </c>
      <c r="G57" s="29" t="str">
        <f>'Input Refrigeration Measures'!L10</f>
        <v/>
      </c>
      <c r="H57" s="97" t="str">
        <f>'Input Refrigeration Measures'!M10</f>
        <v/>
      </c>
      <c r="I57" s="43" t="str">
        <f>IFERROR(N57*MIN(Table_Measure_Caps[[#Totals],[Estimated Raw Incentive Total]], Table_Measure_Caps[[#Totals],[Gross Measure Cost Total]], Value_Project_CAP)/Table_Measure_Caps[[#Totals],[Estimated Raw Incentive Total]], "")</f>
        <v/>
      </c>
      <c r="J57" s="43">
        <f>'Input Refrigeration Measures'!H10</f>
        <v>0</v>
      </c>
      <c r="K57" s="28">
        <f>'Input Refrigeration Measures'!I10</f>
        <v>0</v>
      </c>
      <c r="L57" s="27" t="str">
        <f t="shared" si="1"/>
        <v>Version 5.0 - 2025</v>
      </c>
      <c r="M57" s="67">
        <f>'Input Refrigeration Measures'!E10</f>
        <v>0</v>
      </c>
      <c r="N57" s="66" t="str">
        <f>'Input Refrigeration Measures'!K10</f>
        <v/>
      </c>
    </row>
    <row r="58" spans="1:14">
      <c r="A58" s="30" t="s">
        <v>429</v>
      </c>
      <c r="B58" s="28">
        <f t="shared" si="2"/>
        <v>0</v>
      </c>
      <c r="C58" s="28">
        <f>'Input Refrigeration Measures'!B11</f>
        <v>6</v>
      </c>
      <c r="D58" s="28" t="str">
        <f>'Input Refrigeration Measures'!C11</f>
        <v/>
      </c>
      <c r="E58" s="28" t="str">
        <f>'Input Refrigeration Measures'!F11</f>
        <v/>
      </c>
      <c r="F58" s="29">
        <f>'Input Refrigeration Measures'!G11</f>
        <v>0</v>
      </c>
      <c r="G58" s="29" t="str">
        <f>'Input Refrigeration Measures'!L11</f>
        <v/>
      </c>
      <c r="H58" s="97" t="str">
        <f>'Input Refrigeration Measures'!M11</f>
        <v/>
      </c>
      <c r="I58" s="43" t="str">
        <f>IFERROR(N58*MIN(Table_Measure_Caps[[#Totals],[Estimated Raw Incentive Total]], Table_Measure_Caps[[#Totals],[Gross Measure Cost Total]], Value_Project_CAP)/Table_Measure_Caps[[#Totals],[Estimated Raw Incentive Total]], "")</f>
        <v/>
      </c>
      <c r="J58" s="43">
        <f>'Input Refrigeration Measures'!H11</f>
        <v>0</v>
      </c>
      <c r="K58" s="28">
        <f>'Input Refrigeration Measures'!I11</f>
        <v>0</v>
      </c>
      <c r="L58" s="27" t="str">
        <f t="shared" si="1"/>
        <v>Version 5.0 - 2025</v>
      </c>
      <c r="M58" s="67">
        <f>'Input Refrigeration Measures'!E11</f>
        <v>0</v>
      </c>
      <c r="N58" s="66" t="str">
        <f>'Input Refrigeration Measures'!K11</f>
        <v/>
      </c>
    </row>
    <row r="59" spans="1:14">
      <c r="A59" s="30" t="s">
        <v>429</v>
      </c>
      <c r="B59" s="28">
        <f t="shared" si="2"/>
        <v>0</v>
      </c>
      <c r="C59" s="28">
        <f>'Input Refrigeration Measures'!B12</f>
        <v>7</v>
      </c>
      <c r="D59" s="28" t="str">
        <f>'Input Refrigeration Measures'!C12</f>
        <v/>
      </c>
      <c r="E59" s="28" t="str">
        <f>'Input Refrigeration Measures'!F12</f>
        <v/>
      </c>
      <c r="F59" s="29">
        <f>'Input Refrigeration Measures'!G12</f>
        <v>0</v>
      </c>
      <c r="G59" s="29" t="str">
        <f>'Input Refrigeration Measures'!L12</f>
        <v/>
      </c>
      <c r="H59" s="97" t="str">
        <f>'Input Refrigeration Measures'!M12</f>
        <v/>
      </c>
      <c r="I59" s="43" t="str">
        <f>IFERROR(N59*MIN(Table_Measure_Caps[[#Totals],[Estimated Raw Incentive Total]], Table_Measure_Caps[[#Totals],[Gross Measure Cost Total]], Value_Project_CAP)/Table_Measure_Caps[[#Totals],[Estimated Raw Incentive Total]], "")</f>
        <v/>
      </c>
      <c r="J59" s="43">
        <f>'Input Refrigeration Measures'!H12</f>
        <v>0</v>
      </c>
      <c r="K59" s="28">
        <f>'Input Refrigeration Measures'!I12</f>
        <v>0</v>
      </c>
      <c r="L59" s="27" t="str">
        <f t="shared" si="1"/>
        <v>Version 5.0 - 2025</v>
      </c>
      <c r="M59" s="67">
        <f>'Input Refrigeration Measures'!E12</f>
        <v>0</v>
      </c>
      <c r="N59" s="66" t="str">
        <f>'Input Refrigeration Measures'!K12</f>
        <v/>
      </c>
    </row>
    <row r="60" spans="1:14">
      <c r="A60" s="30" t="s">
        <v>429</v>
      </c>
      <c r="B60" s="28">
        <f t="shared" si="2"/>
        <v>0</v>
      </c>
      <c r="C60" s="28">
        <f>'Input Refrigeration Measures'!B13</f>
        <v>8</v>
      </c>
      <c r="D60" s="28" t="str">
        <f>'Input Refrigeration Measures'!C13</f>
        <v/>
      </c>
      <c r="E60" s="28" t="str">
        <f>'Input Refrigeration Measures'!F13</f>
        <v/>
      </c>
      <c r="F60" s="29">
        <f>'Input Refrigeration Measures'!G13</f>
        <v>0</v>
      </c>
      <c r="G60" s="29" t="str">
        <f>'Input Refrigeration Measures'!L13</f>
        <v/>
      </c>
      <c r="H60" s="97" t="str">
        <f>'Input Refrigeration Measures'!M13</f>
        <v/>
      </c>
      <c r="I60" s="43" t="str">
        <f>IFERROR(N60*MIN(Table_Measure_Caps[[#Totals],[Estimated Raw Incentive Total]], Table_Measure_Caps[[#Totals],[Gross Measure Cost Total]], Value_Project_CAP)/Table_Measure_Caps[[#Totals],[Estimated Raw Incentive Total]], "")</f>
        <v/>
      </c>
      <c r="J60" s="43">
        <f>'Input Refrigeration Measures'!H13</f>
        <v>0</v>
      </c>
      <c r="K60" s="28">
        <f>'Input Refrigeration Measures'!I13</f>
        <v>0</v>
      </c>
      <c r="L60" s="27" t="str">
        <f t="shared" si="1"/>
        <v>Version 5.0 - 2025</v>
      </c>
      <c r="M60" s="67">
        <f>'Input Refrigeration Measures'!E13</f>
        <v>0</v>
      </c>
      <c r="N60" s="66" t="str">
        <f>'Input Refrigeration Measures'!K13</f>
        <v/>
      </c>
    </row>
    <row r="61" spans="1:14">
      <c r="A61" s="30" t="s">
        <v>429</v>
      </c>
      <c r="B61" s="28">
        <f t="shared" si="2"/>
        <v>0</v>
      </c>
      <c r="C61" s="28">
        <f>'Input Refrigeration Measures'!B14</f>
        <v>9</v>
      </c>
      <c r="D61" s="28" t="str">
        <f>'Input Refrigeration Measures'!C14</f>
        <v/>
      </c>
      <c r="E61" s="28" t="str">
        <f>'Input Refrigeration Measures'!F14</f>
        <v/>
      </c>
      <c r="F61" s="29">
        <f>'Input Refrigeration Measures'!G14</f>
        <v>0</v>
      </c>
      <c r="G61" s="29" t="str">
        <f>'Input Refrigeration Measures'!L14</f>
        <v/>
      </c>
      <c r="H61" s="97" t="str">
        <f>'Input Refrigeration Measures'!M14</f>
        <v/>
      </c>
      <c r="I61" s="43" t="str">
        <f>IFERROR(N61*MIN(Table_Measure_Caps[[#Totals],[Estimated Raw Incentive Total]], Table_Measure_Caps[[#Totals],[Gross Measure Cost Total]], Value_Project_CAP)/Table_Measure_Caps[[#Totals],[Estimated Raw Incentive Total]], "")</f>
        <v/>
      </c>
      <c r="J61" s="43">
        <f>'Input Refrigeration Measures'!H14</f>
        <v>0</v>
      </c>
      <c r="K61" s="28">
        <f>'Input Refrigeration Measures'!I14</f>
        <v>0</v>
      </c>
      <c r="L61" s="27" t="str">
        <f t="shared" si="1"/>
        <v>Version 5.0 - 2025</v>
      </c>
      <c r="M61" s="67">
        <f>'Input Refrigeration Measures'!E14</f>
        <v>0</v>
      </c>
      <c r="N61" s="66" t="str">
        <f>'Input Refrigeration Measures'!K14</f>
        <v/>
      </c>
    </row>
    <row r="62" spans="1:14">
      <c r="A62" s="30" t="s">
        <v>429</v>
      </c>
      <c r="B62" s="28">
        <f t="shared" si="2"/>
        <v>0</v>
      </c>
      <c r="C62" s="28">
        <f>'Input Refrigeration Measures'!B15</f>
        <v>10</v>
      </c>
      <c r="D62" s="28" t="str">
        <f>'Input Refrigeration Measures'!C15</f>
        <v/>
      </c>
      <c r="E62" s="28" t="str">
        <f>'Input Refrigeration Measures'!F15</f>
        <v/>
      </c>
      <c r="F62" s="29">
        <f>'Input Refrigeration Measures'!G15</f>
        <v>0</v>
      </c>
      <c r="G62" s="29" t="str">
        <f>'Input Refrigeration Measures'!L15</f>
        <v/>
      </c>
      <c r="H62" s="97" t="str">
        <f>'Input Refrigeration Measures'!M15</f>
        <v/>
      </c>
      <c r="I62" s="43" t="str">
        <f>IFERROR(N62*MIN(Table_Measure_Caps[[#Totals],[Estimated Raw Incentive Total]], Table_Measure_Caps[[#Totals],[Gross Measure Cost Total]], Value_Project_CAP)/Table_Measure_Caps[[#Totals],[Estimated Raw Incentive Total]], "")</f>
        <v/>
      </c>
      <c r="J62" s="43">
        <f>'Input Refrigeration Measures'!H15</f>
        <v>0</v>
      </c>
      <c r="K62" s="28">
        <f>'Input Refrigeration Measures'!I15</f>
        <v>0</v>
      </c>
      <c r="L62" s="27" t="str">
        <f t="shared" si="1"/>
        <v>Version 5.0 - 2025</v>
      </c>
      <c r="M62" s="67">
        <f>'Input Refrigeration Measures'!E15</f>
        <v>0</v>
      </c>
      <c r="N62" s="66" t="str">
        <f>'Input Refrigeration Measures'!K15</f>
        <v/>
      </c>
    </row>
    <row r="63" spans="1:14">
      <c r="A63" s="30" t="s">
        <v>429</v>
      </c>
      <c r="B63" s="28">
        <f t="shared" si="2"/>
        <v>0</v>
      </c>
      <c r="C63" s="28">
        <f>'Input Refrigeration Measures'!B16</f>
        <v>11</v>
      </c>
      <c r="D63" s="28" t="str">
        <f>'Input Refrigeration Measures'!C16</f>
        <v/>
      </c>
      <c r="E63" s="28" t="str">
        <f>'Input Refrigeration Measures'!F16</f>
        <v/>
      </c>
      <c r="F63" s="29">
        <f>'Input Refrigeration Measures'!G16</f>
        <v>0</v>
      </c>
      <c r="G63" s="29" t="str">
        <f>'Input Refrigeration Measures'!L16</f>
        <v/>
      </c>
      <c r="H63" s="97" t="str">
        <f>'Input Refrigeration Measures'!M16</f>
        <v/>
      </c>
      <c r="I63" s="43" t="str">
        <f>IFERROR(N63*MIN(Table_Measure_Caps[[#Totals],[Estimated Raw Incentive Total]], Table_Measure_Caps[[#Totals],[Gross Measure Cost Total]], Value_Project_CAP)/Table_Measure_Caps[[#Totals],[Estimated Raw Incentive Total]], "")</f>
        <v/>
      </c>
      <c r="J63" s="43">
        <f>'Input Refrigeration Measures'!H16</f>
        <v>0</v>
      </c>
      <c r="K63" s="28">
        <f>'Input Refrigeration Measures'!I16</f>
        <v>0</v>
      </c>
      <c r="L63" s="27" t="str">
        <f t="shared" si="1"/>
        <v>Version 5.0 - 2025</v>
      </c>
      <c r="M63" s="67">
        <f>'Input Refrigeration Measures'!E16</f>
        <v>0</v>
      </c>
      <c r="N63" s="66" t="str">
        <f>'Input Refrigeration Measures'!K16</f>
        <v/>
      </c>
    </row>
    <row r="64" spans="1:14">
      <c r="A64" s="30" t="s">
        <v>429</v>
      </c>
      <c r="B64" s="28">
        <f t="shared" si="2"/>
        <v>0</v>
      </c>
      <c r="C64" s="28">
        <f>'Input Refrigeration Measures'!B17</f>
        <v>12</v>
      </c>
      <c r="D64" s="28" t="str">
        <f>'Input Refrigeration Measures'!C17</f>
        <v/>
      </c>
      <c r="E64" s="28" t="str">
        <f>'Input Refrigeration Measures'!F17</f>
        <v/>
      </c>
      <c r="F64" s="29">
        <f>'Input Refrigeration Measures'!G17</f>
        <v>0</v>
      </c>
      <c r="G64" s="29" t="str">
        <f>'Input Refrigeration Measures'!L17</f>
        <v/>
      </c>
      <c r="H64" s="97" t="str">
        <f>'Input Refrigeration Measures'!M17</f>
        <v/>
      </c>
      <c r="I64" s="43" t="str">
        <f>IFERROR(N64*MIN(Table_Measure_Caps[[#Totals],[Estimated Raw Incentive Total]], Table_Measure_Caps[[#Totals],[Gross Measure Cost Total]], Value_Project_CAP)/Table_Measure_Caps[[#Totals],[Estimated Raw Incentive Total]], "")</f>
        <v/>
      </c>
      <c r="J64" s="43">
        <f>'Input Refrigeration Measures'!H17</f>
        <v>0</v>
      </c>
      <c r="K64" s="28">
        <f>'Input Refrigeration Measures'!I17</f>
        <v>0</v>
      </c>
      <c r="L64" s="27" t="str">
        <f t="shared" si="1"/>
        <v>Version 5.0 - 2025</v>
      </c>
      <c r="M64" s="67">
        <f>'Input Refrigeration Measures'!E17</f>
        <v>0</v>
      </c>
      <c r="N64" s="66" t="str">
        <f>'Input Refrigeration Measures'!K17</f>
        <v/>
      </c>
    </row>
    <row r="65" spans="1:14">
      <c r="A65" s="30" t="s">
        <v>429</v>
      </c>
      <c r="B65" s="28">
        <f t="shared" si="2"/>
        <v>0</v>
      </c>
      <c r="C65" s="28">
        <f>'Input Refrigeration Measures'!B18</f>
        <v>13</v>
      </c>
      <c r="D65" s="28" t="str">
        <f>'Input Refrigeration Measures'!C18</f>
        <v/>
      </c>
      <c r="E65" s="28" t="str">
        <f>'Input Refrigeration Measures'!F18</f>
        <v/>
      </c>
      <c r="F65" s="29">
        <f>'Input Refrigeration Measures'!G18</f>
        <v>0</v>
      </c>
      <c r="G65" s="29" t="str">
        <f>'Input Refrigeration Measures'!L18</f>
        <v/>
      </c>
      <c r="H65" s="97" t="str">
        <f>'Input Refrigeration Measures'!M18</f>
        <v/>
      </c>
      <c r="I65" s="43" t="str">
        <f>IFERROR(N65*MIN(Table_Measure_Caps[[#Totals],[Estimated Raw Incentive Total]], Table_Measure_Caps[[#Totals],[Gross Measure Cost Total]], Value_Project_CAP)/Table_Measure_Caps[[#Totals],[Estimated Raw Incentive Total]], "")</f>
        <v/>
      </c>
      <c r="J65" s="43">
        <f>'Input Refrigeration Measures'!H18</f>
        <v>0</v>
      </c>
      <c r="K65" s="28">
        <f>'Input Refrigeration Measures'!I18</f>
        <v>0</v>
      </c>
      <c r="L65" s="27" t="str">
        <f t="shared" si="1"/>
        <v>Version 5.0 - 2025</v>
      </c>
      <c r="M65" s="67">
        <f>'Input Refrigeration Measures'!E18</f>
        <v>0</v>
      </c>
      <c r="N65" s="66" t="str">
        <f>'Input Refrigeration Measures'!K18</f>
        <v/>
      </c>
    </row>
    <row r="66" spans="1:14">
      <c r="A66" s="30" t="s">
        <v>429</v>
      </c>
      <c r="B66" s="28">
        <f t="shared" si="2"/>
        <v>0</v>
      </c>
      <c r="C66" s="28">
        <f>'Input Refrigeration Measures'!B19</f>
        <v>14</v>
      </c>
      <c r="D66" s="28" t="str">
        <f>'Input Refrigeration Measures'!C19</f>
        <v/>
      </c>
      <c r="E66" s="28" t="str">
        <f>'Input Refrigeration Measures'!F19</f>
        <v/>
      </c>
      <c r="F66" s="29">
        <f>'Input Refrigeration Measures'!G19</f>
        <v>0</v>
      </c>
      <c r="G66" s="29" t="str">
        <f>'Input Refrigeration Measures'!L19</f>
        <v/>
      </c>
      <c r="H66" s="97" t="str">
        <f>'Input Refrigeration Measures'!M19</f>
        <v/>
      </c>
      <c r="I66" s="43" t="str">
        <f>IFERROR(N66*MIN(Table_Measure_Caps[[#Totals],[Estimated Raw Incentive Total]], Table_Measure_Caps[[#Totals],[Gross Measure Cost Total]], Value_Project_CAP)/Table_Measure_Caps[[#Totals],[Estimated Raw Incentive Total]], "")</f>
        <v/>
      </c>
      <c r="J66" s="43">
        <f>'Input Refrigeration Measures'!H19</f>
        <v>0</v>
      </c>
      <c r="K66" s="28">
        <f>'Input Refrigeration Measures'!I19</f>
        <v>0</v>
      </c>
      <c r="L66" s="27" t="str">
        <f t="shared" ref="L66:L129" si="3">Value_Application_Version</f>
        <v>Version 5.0 - 2025</v>
      </c>
      <c r="M66" s="67">
        <f>'Input Refrigeration Measures'!E19</f>
        <v>0</v>
      </c>
      <c r="N66" s="66" t="str">
        <f>'Input Refrigeration Measures'!K19</f>
        <v/>
      </c>
    </row>
    <row r="67" spans="1:14">
      <c r="A67" s="30" t="s">
        <v>429</v>
      </c>
      <c r="B67" s="28">
        <f t="shared" si="2"/>
        <v>0</v>
      </c>
      <c r="C67" s="28">
        <f>'Input Refrigeration Measures'!B20</f>
        <v>15</v>
      </c>
      <c r="D67" s="28" t="str">
        <f>'Input Refrigeration Measures'!C20</f>
        <v/>
      </c>
      <c r="E67" s="28" t="str">
        <f>'Input Refrigeration Measures'!F20</f>
        <v/>
      </c>
      <c r="F67" s="29">
        <f>'Input Refrigeration Measures'!G20</f>
        <v>0</v>
      </c>
      <c r="G67" s="29" t="str">
        <f>'Input Refrigeration Measures'!L20</f>
        <v/>
      </c>
      <c r="H67" s="97" t="str">
        <f>'Input Refrigeration Measures'!M20</f>
        <v/>
      </c>
      <c r="I67" s="43" t="str">
        <f>IFERROR(N67*MIN(Table_Measure_Caps[[#Totals],[Estimated Raw Incentive Total]], Table_Measure_Caps[[#Totals],[Gross Measure Cost Total]], Value_Project_CAP)/Table_Measure_Caps[[#Totals],[Estimated Raw Incentive Total]], "")</f>
        <v/>
      </c>
      <c r="J67" s="43">
        <f>'Input Refrigeration Measures'!H20</f>
        <v>0</v>
      </c>
      <c r="K67" s="28">
        <f>'Input Refrigeration Measures'!I20</f>
        <v>0</v>
      </c>
      <c r="L67" s="27" t="str">
        <f t="shared" si="3"/>
        <v>Version 5.0 - 2025</v>
      </c>
      <c r="M67" s="67">
        <f>'Input Refrigeration Measures'!E20</f>
        <v>0</v>
      </c>
      <c r="N67" s="66" t="str">
        <f>'Input Refrigeration Measures'!K20</f>
        <v/>
      </c>
    </row>
    <row r="68" spans="1:14">
      <c r="A68" s="30" t="s">
        <v>429</v>
      </c>
      <c r="B68" s="28">
        <f t="shared" si="2"/>
        <v>0</v>
      </c>
      <c r="C68" s="28">
        <f>'Input Refrigeration Measures'!B21</f>
        <v>16</v>
      </c>
      <c r="D68" s="28" t="str">
        <f>'Input Refrigeration Measures'!C21</f>
        <v/>
      </c>
      <c r="E68" s="28" t="str">
        <f>'Input Refrigeration Measures'!F21</f>
        <v/>
      </c>
      <c r="F68" s="29">
        <f>'Input Refrigeration Measures'!G21</f>
        <v>0</v>
      </c>
      <c r="G68" s="29" t="str">
        <f>'Input Refrigeration Measures'!L21</f>
        <v/>
      </c>
      <c r="H68" s="97" t="str">
        <f>'Input Refrigeration Measures'!M21</f>
        <v/>
      </c>
      <c r="I68" s="43" t="str">
        <f>IFERROR(N68*MIN(Table_Measure_Caps[[#Totals],[Estimated Raw Incentive Total]], Table_Measure_Caps[[#Totals],[Gross Measure Cost Total]], Value_Project_CAP)/Table_Measure_Caps[[#Totals],[Estimated Raw Incentive Total]], "")</f>
        <v/>
      </c>
      <c r="J68" s="43">
        <f>'Input Refrigeration Measures'!H21</f>
        <v>0</v>
      </c>
      <c r="K68" s="28">
        <f>'Input Refrigeration Measures'!I21</f>
        <v>0</v>
      </c>
      <c r="L68" s="27" t="str">
        <f t="shared" si="3"/>
        <v>Version 5.0 - 2025</v>
      </c>
      <c r="M68" s="67">
        <f>'Input Refrigeration Measures'!E21</f>
        <v>0</v>
      </c>
      <c r="N68" s="66" t="str">
        <f>'Input Refrigeration Measures'!K21</f>
        <v/>
      </c>
    </row>
    <row r="69" spans="1:14">
      <c r="A69" s="30" t="s">
        <v>429</v>
      </c>
      <c r="B69" s="28">
        <f t="shared" si="2"/>
        <v>0</v>
      </c>
      <c r="C69" s="28">
        <f>'Input Refrigeration Measures'!B22</f>
        <v>17</v>
      </c>
      <c r="D69" s="28" t="str">
        <f>'Input Refrigeration Measures'!C22</f>
        <v/>
      </c>
      <c r="E69" s="28" t="str">
        <f>'Input Refrigeration Measures'!F22</f>
        <v/>
      </c>
      <c r="F69" s="29">
        <f>'Input Refrigeration Measures'!G22</f>
        <v>0</v>
      </c>
      <c r="G69" s="29" t="str">
        <f>'Input Refrigeration Measures'!L22</f>
        <v/>
      </c>
      <c r="H69" s="97" t="str">
        <f>'Input Refrigeration Measures'!M22</f>
        <v/>
      </c>
      <c r="I69" s="43" t="str">
        <f>IFERROR(N69*MIN(Table_Measure_Caps[[#Totals],[Estimated Raw Incentive Total]], Table_Measure_Caps[[#Totals],[Gross Measure Cost Total]], Value_Project_CAP)/Table_Measure_Caps[[#Totals],[Estimated Raw Incentive Total]], "")</f>
        <v/>
      </c>
      <c r="J69" s="43">
        <f>'Input Refrigeration Measures'!H22</f>
        <v>0</v>
      </c>
      <c r="K69" s="28">
        <f>'Input Refrigeration Measures'!I22</f>
        <v>0</v>
      </c>
      <c r="L69" s="27" t="str">
        <f t="shared" si="3"/>
        <v>Version 5.0 - 2025</v>
      </c>
      <c r="M69" s="67">
        <f>'Input Refrigeration Measures'!E22</f>
        <v>0</v>
      </c>
      <c r="N69" s="66" t="str">
        <f>'Input Refrigeration Measures'!K22</f>
        <v/>
      </c>
    </row>
    <row r="70" spans="1:14">
      <c r="A70" s="30" t="s">
        <v>429</v>
      </c>
      <c r="B70" s="28">
        <f t="shared" si="2"/>
        <v>0</v>
      </c>
      <c r="C70" s="28">
        <f>'Input Refrigeration Measures'!B23</f>
        <v>18</v>
      </c>
      <c r="D70" s="28" t="str">
        <f>'Input Refrigeration Measures'!C23</f>
        <v/>
      </c>
      <c r="E70" s="28" t="str">
        <f>'Input Refrigeration Measures'!F23</f>
        <v/>
      </c>
      <c r="F70" s="29">
        <f>'Input Refrigeration Measures'!G23</f>
        <v>0</v>
      </c>
      <c r="G70" s="29" t="str">
        <f>'Input Refrigeration Measures'!L23</f>
        <v/>
      </c>
      <c r="H70" s="97" t="str">
        <f>'Input Refrigeration Measures'!M23</f>
        <v/>
      </c>
      <c r="I70" s="43" t="str">
        <f>IFERROR(N70*MIN(Table_Measure_Caps[[#Totals],[Estimated Raw Incentive Total]], Table_Measure_Caps[[#Totals],[Gross Measure Cost Total]], Value_Project_CAP)/Table_Measure_Caps[[#Totals],[Estimated Raw Incentive Total]], "")</f>
        <v/>
      </c>
      <c r="J70" s="43">
        <f>'Input Refrigeration Measures'!H23</f>
        <v>0</v>
      </c>
      <c r="K70" s="28">
        <f>'Input Refrigeration Measures'!I23</f>
        <v>0</v>
      </c>
      <c r="L70" s="27" t="str">
        <f t="shared" si="3"/>
        <v>Version 5.0 - 2025</v>
      </c>
      <c r="M70" s="67">
        <f>'Input Refrigeration Measures'!E23</f>
        <v>0</v>
      </c>
      <c r="N70" s="66" t="str">
        <f>'Input Refrigeration Measures'!K23</f>
        <v/>
      </c>
    </row>
    <row r="71" spans="1:14">
      <c r="A71" s="30" t="s">
        <v>429</v>
      </c>
      <c r="B71" s="28">
        <f t="shared" si="2"/>
        <v>0</v>
      </c>
      <c r="C71" s="28">
        <f>'Input Refrigeration Measures'!B24</f>
        <v>19</v>
      </c>
      <c r="D71" s="28" t="str">
        <f>'Input Refrigeration Measures'!C24</f>
        <v/>
      </c>
      <c r="E71" s="28" t="str">
        <f>'Input Refrigeration Measures'!F24</f>
        <v/>
      </c>
      <c r="F71" s="29">
        <f>'Input Refrigeration Measures'!G24</f>
        <v>0</v>
      </c>
      <c r="G71" s="29" t="str">
        <f>'Input Refrigeration Measures'!L24</f>
        <v/>
      </c>
      <c r="H71" s="97" t="str">
        <f>'Input Refrigeration Measures'!M24</f>
        <v/>
      </c>
      <c r="I71" s="43" t="str">
        <f>IFERROR(N71*MIN(Table_Measure_Caps[[#Totals],[Estimated Raw Incentive Total]], Table_Measure_Caps[[#Totals],[Gross Measure Cost Total]], Value_Project_CAP)/Table_Measure_Caps[[#Totals],[Estimated Raw Incentive Total]], "")</f>
        <v/>
      </c>
      <c r="J71" s="43">
        <f>'Input Refrigeration Measures'!H24</f>
        <v>0</v>
      </c>
      <c r="K71" s="28">
        <f>'Input Refrigeration Measures'!I24</f>
        <v>0</v>
      </c>
      <c r="L71" s="27" t="str">
        <f t="shared" si="3"/>
        <v>Version 5.0 - 2025</v>
      </c>
      <c r="M71" s="67">
        <f>'Input Refrigeration Measures'!E24</f>
        <v>0</v>
      </c>
      <c r="N71" s="66" t="str">
        <f>'Input Refrigeration Measures'!K24</f>
        <v/>
      </c>
    </row>
    <row r="72" spans="1:14">
      <c r="A72" s="30" t="s">
        <v>429</v>
      </c>
      <c r="B72" s="28">
        <f t="shared" si="2"/>
        <v>0</v>
      </c>
      <c r="C72" s="28">
        <f>'Input Refrigeration Measures'!B25</f>
        <v>20</v>
      </c>
      <c r="D72" s="28" t="str">
        <f>'Input Refrigeration Measures'!C25</f>
        <v/>
      </c>
      <c r="E72" s="28" t="str">
        <f>'Input Refrigeration Measures'!F25</f>
        <v/>
      </c>
      <c r="F72" s="29">
        <f>'Input Refrigeration Measures'!G25</f>
        <v>0</v>
      </c>
      <c r="G72" s="29" t="str">
        <f>'Input Refrigeration Measures'!L25</f>
        <v/>
      </c>
      <c r="H72" s="97" t="str">
        <f>'Input Refrigeration Measures'!M25</f>
        <v/>
      </c>
      <c r="I72" s="43" t="str">
        <f>IFERROR(N72*MIN(Table_Measure_Caps[[#Totals],[Estimated Raw Incentive Total]], Table_Measure_Caps[[#Totals],[Gross Measure Cost Total]], Value_Project_CAP)/Table_Measure_Caps[[#Totals],[Estimated Raw Incentive Total]], "")</f>
        <v/>
      </c>
      <c r="J72" s="43">
        <f>'Input Refrigeration Measures'!H25</f>
        <v>0</v>
      </c>
      <c r="K72" s="28">
        <f>'Input Refrigeration Measures'!I25</f>
        <v>0</v>
      </c>
      <c r="L72" s="27" t="str">
        <f t="shared" si="3"/>
        <v>Version 5.0 - 2025</v>
      </c>
      <c r="M72" s="67">
        <f>'Input Refrigeration Measures'!E25</f>
        <v>0</v>
      </c>
      <c r="N72" s="66" t="str">
        <f>'Input Refrigeration Measures'!K25</f>
        <v/>
      </c>
    </row>
    <row r="73" spans="1:14">
      <c r="A73" s="30" t="s">
        <v>429</v>
      </c>
      <c r="B73" s="28">
        <f t="shared" si="2"/>
        <v>0</v>
      </c>
      <c r="C73" s="28">
        <f>'Input Refrigeration Measures'!B26</f>
        <v>21</v>
      </c>
      <c r="D73" s="28" t="str">
        <f>'Input Refrigeration Measures'!C26</f>
        <v/>
      </c>
      <c r="E73" s="28" t="str">
        <f>'Input Refrigeration Measures'!F26</f>
        <v/>
      </c>
      <c r="F73" s="29">
        <f>'Input Refrigeration Measures'!G26</f>
        <v>0</v>
      </c>
      <c r="G73" s="29" t="str">
        <f>'Input Refrigeration Measures'!L26</f>
        <v/>
      </c>
      <c r="H73" s="97" t="str">
        <f>'Input Refrigeration Measures'!M26</f>
        <v/>
      </c>
      <c r="I73" s="43" t="str">
        <f>IFERROR(N73*MIN(Table_Measure_Caps[[#Totals],[Estimated Raw Incentive Total]], Table_Measure_Caps[[#Totals],[Gross Measure Cost Total]], Value_Project_CAP)/Table_Measure_Caps[[#Totals],[Estimated Raw Incentive Total]], "")</f>
        <v/>
      </c>
      <c r="J73" s="43">
        <f>'Input Refrigeration Measures'!H26</f>
        <v>0</v>
      </c>
      <c r="K73" s="28">
        <f>'Input Refrigeration Measures'!I26</f>
        <v>0</v>
      </c>
      <c r="L73" s="27" t="str">
        <f t="shared" si="3"/>
        <v>Version 5.0 - 2025</v>
      </c>
      <c r="M73" s="67">
        <f>'Input Refrigeration Measures'!E26</f>
        <v>0</v>
      </c>
      <c r="N73" s="66" t="str">
        <f>'Input Refrigeration Measures'!K26</f>
        <v/>
      </c>
    </row>
    <row r="74" spans="1:14">
      <c r="A74" s="30" t="s">
        <v>429</v>
      </c>
      <c r="B74" s="28">
        <f t="shared" si="2"/>
        <v>0</v>
      </c>
      <c r="C74" s="28">
        <f>'Input Refrigeration Measures'!B27</f>
        <v>22</v>
      </c>
      <c r="D74" s="28" t="str">
        <f>'Input Refrigeration Measures'!C27</f>
        <v/>
      </c>
      <c r="E74" s="28" t="str">
        <f>'Input Refrigeration Measures'!F27</f>
        <v/>
      </c>
      <c r="F74" s="29">
        <f>'Input Refrigeration Measures'!G27</f>
        <v>0</v>
      </c>
      <c r="G74" s="29" t="str">
        <f>'Input Refrigeration Measures'!L27</f>
        <v/>
      </c>
      <c r="H74" s="97" t="str">
        <f>'Input Refrigeration Measures'!M27</f>
        <v/>
      </c>
      <c r="I74" s="43" t="str">
        <f>IFERROR(N74*MIN(Table_Measure_Caps[[#Totals],[Estimated Raw Incentive Total]], Table_Measure_Caps[[#Totals],[Gross Measure Cost Total]], Value_Project_CAP)/Table_Measure_Caps[[#Totals],[Estimated Raw Incentive Total]], "")</f>
        <v/>
      </c>
      <c r="J74" s="43">
        <f>'Input Refrigeration Measures'!H27</f>
        <v>0</v>
      </c>
      <c r="K74" s="28">
        <f>'Input Refrigeration Measures'!I27</f>
        <v>0</v>
      </c>
      <c r="L74" s="27" t="str">
        <f t="shared" si="3"/>
        <v>Version 5.0 - 2025</v>
      </c>
      <c r="M74" s="67">
        <f>'Input Refrigeration Measures'!E27</f>
        <v>0</v>
      </c>
      <c r="N74" s="66" t="str">
        <f>'Input Refrigeration Measures'!K27</f>
        <v/>
      </c>
    </row>
    <row r="75" spans="1:14">
      <c r="A75" s="30" t="s">
        <v>429</v>
      </c>
      <c r="B75" s="28">
        <f t="shared" si="2"/>
        <v>0</v>
      </c>
      <c r="C75" s="28">
        <f>'Input Refrigeration Measures'!B28</f>
        <v>23</v>
      </c>
      <c r="D75" s="28" t="str">
        <f>'Input Refrigeration Measures'!C28</f>
        <v/>
      </c>
      <c r="E75" s="28" t="str">
        <f>'Input Refrigeration Measures'!F28</f>
        <v/>
      </c>
      <c r="F75" s="29">
        <f>'Input Refrigeration Measures'!G28</f>
        <v>0</v>
      </c>
      <c r="G75" s="29" t="str">
        <f>'Input Refrigeration Measures'!L28</f>
        <v/>
      </c>
      <c r="H75" s="97" t="str">
        <f>'Input Refrigeration Measures'!M28</f>
        <v/>
      </c>
      <c r="I75" s="43" t="str">
        <f>IFERROR(N75*MIN(Table_Measure_Caps[[#Totals],[Estimated Raw Incentive Total]], Table_Measure_Caps[[#Totals],[Gross Measure Cost Total]], Value_Project_CAP)/Table_Measure_Caps[[#Totals],[Estimated Raw Incentive Total]], "")</f>
        <v/>
      </c>
      <c r="J75" s="43">
        <f>'Input Refrigeration Measures'!H28</f>
        <v>0</v>
      </c>
      <c r="K75" s="28">
        <f>'Input Refrigeration Measures'!I28</f>
        <v>0</v>
      </c>
      <c r="L75" s="27" t="str">
        <f t="shared" si="3"/>
        <v>Version 5.0 - 2025</v>
      </c>
      <c r="M75" s="67">
        <f>'Input Refrigeration Measures'!E28</f>
        <v>0</v>
      </c>
      <c r="N75" s="66" t="str">
        <f>'Input Refrigeration Measures'!K28</f>
        <v/>
      </c>
    </row>
    <row r="76" spans="1:14">
      <c r="A76" s="30" t="s">
        <v>429</v>
      </c>
      <c r="B76" s="28">
        <f t="shared" si="2"/>
        <v>0</v>
      </c>
      <c r="C76" s="28">
        <f>'Input Refrigeration Measures'!B29</f>
        <v>24</v>
      </c>
      <c r="D76" s="28" t="str">
        <f>'Input Refrigeration Measures'!C29</f>
        <v/>
      </c>
      <c r="E76" s="28" t="str">
        <f>'Input Refrigeration Measures'!F29</f>
        <v/>
      </c>
      <c r="F76" s="29">
        <f>'Input Refrigeration Measures'!G29</f>
        <v>0</v>
      </c>
      <c r="G76" s="29" t="str">
        <f>'Input Refrigeration Measures'!L29</f>
        <v/>
      </c>
      <c r="H76" s="97" t="str">
        <f>'Input Refrigeration Measures'!M29</f>
        <v/>
      </c>
      <c r="I76" s="43" t="str">
        <f>IFERROR(N76*MIN(Table_Measure_Caps[[#Totals],[Estimated Raw Incentive Total]], Table_Measure_Caps[[#Totals],[Gross Measure Cost Total]], Value_Project_CAP)/Table_Measure_Caps[[#Totals],[Estimated Raw Incentive Total]], "")</f>
        <v/>
      </c>
      <c r="J76" s="43">
        <f>'Input Refrigeration Measures'!H29</f>
        <v>0</v>
      </c>
      <c r="K76" s="28">
        <f>'Input Refrigeration Measures'!I29</f>
        <v>0</v>
      </c>
      <c r="L76" s="27" t="str">
        <f t="shared" si="3"/>
        <v>Version 5.0 - 2025</v>
      </c>
      <c r="M76" s="67">
        <f>'Input Refrigeration Measures'!E29</f>
        <v>0</v>
      </c>
      <c r="N76" s="66" t="str">
        <f>'Input Refrigeration Measures'!K29</f>
        <v/>
      </c>
    </row>
    <row r="77" spans="1:14">
      <c r="A77" s="30" t="s">
        <v>429</v>
      </c>
      <c r="B77" s="28">
        <f t="shared" si="2"/>
        <v>0</v>
      </c>
      <c r="C77" s="28">
        <f>'Input Refrigeration Measures'!B30</f>
        <v>25</v>
      </c>
      <c r="D77" s="28" t="str">
        <f>'Input Refrigeration Measures'!C30</f>
        <v/>
      </c>
      <c r="E77" s="28" t="str">
        <f>'Input Refrigeration Measures'!F30</f>
        <v/>
      </c>
      <c r="F77" s="29">
        <f>'Input Refrigeration Measures'!G30</f>
        <v>0</v>
      </c>
      <c r="G77" s="29" t="str">
        <f>'Input Refrigeration Measures'!L30</f>
        <v/>
      </c>
      <c r="H77" s="97" t="str">
        <f>'Input Refrigeration Measures'!M30</f>
        <v/>
      </c>
      <c r="I77" s="43" t="str">
        <f>IFERROR(N77*MIN(Table_Measure_Caps[[#Totals],[Estimated Raw Incentive Total]], Table_Measure_Caps[[#Totals],[Gross Measure Cost Total]], Value_Project_CAP)/Table_Measure_Caps[[#Totals],[Estimated Raw Incentive Total]], "")</f>
        <v/>
      </c>
      <c r="J77" s="43">
        <f>'Input Refrigeration Measures'!H30</f>
        <v>0</v>
      </c>
      <c r="K77" s="28">
        <f>'Input Refrigeration Measures'!I30</f>
        <v>0</v>
      </c>
      <c r="L77" s="27" t="str">
        <f t="shared" si="3"/>
        <v>Version 5.0 - 2025</v>
      </c>
      <c r="M77" s="67">
        <f>'Input Refrigeration Measures'!E30</f>
        <v>0</v>
      </c>
      <c r="N77" s="66" t="str">
        <f>'Input Refrigeration Measures'!K30</f>
        <v/>
      </c>
    </row>
    <row r="78" spans="1:14">
      <c r="A78" s="30" t="s">
        <v>429</v>
      </c>
      <c r="B78" s="28">
        <f t="shared" si="2"/>
        <v>0</v>
      </c>
      <c r="C78" s="28">
        <f>'Input Refrigeration Measures'!B31</f>
        <v>26</v>
      </c>
      <c r="D78" s="28" t="str">
        <f>'Input Refrigeration Measures'!C31</f>
        <v/>
      </c>
      <c r="E78" s="28" t="str">
        <f>'Input Refrigeration Measures'!F31</f>
        <v/>
      </c>
      <c r="F78" s="29">
        <f>'Input Refrigeration Measures'!G31</f>
        <v>0</v>
      </c>
      <c r="G78" s="29" t="str">
        <f>'Input Refrigeration Measures'!L31</f>
        <v/>
      </c>
      <c r="H78" s="97" t="str">
        <f>'Input Refrigeration Measures'!M31</f>
        <v/>
      </c>
      <c r="I78" s="43" t="str">
        <f>IFERROR(N78*MIN(Table_Measure_Caps[[#Totals],[Estimated Raw Incentive Total]], Table_Measure_Caps[[#Totals],[Gross Measure Cost Total]], Value_Project_CAP)/Table_Measure_Caps[[#Totals],[Estimated Raw Incentive Total]], "")</f>
        <v/>
      </c>
      <c r="J78" s="43">
        <f>'Input Refrigeration Measures'!H31</f>
        <v>0</v>
      </c>
      <c r="K78" s="28">
        <f>'Input Refrigeration Measures'!I31</f>
        <v>0</v>
      </c>
      <c r="L78" s="27" t="str">
        <f t="shared" si="3"/>
        <v>Version 5.0 - 2025</v>
      </c>
      <c r="M78" s="67">
        <f>'Input Refrigeration Measures'!E31</f>
        <v>0</v>
      </c>
      <c r="N78" s="66" t="str">
        <f>'Input Refrigeration Measures'!K31</f>
        <v/>
      </c>
    </row>
    <row r="79" spans="1:14">
      <c r="A79" s="30" t="s">
        <v>429</v>
      </c>
      <c r="B79" s="28">
        <f t="shared" si="2"/>
        <v>0</v>
      </c>
      <c r="C79" s="28">
        <f>'Input Refrigeration Measures'!B32</f>
        <v>27</v>
      </c>
      <c r="D79" s="28" t="str">
        <f>'Input Refrigeration Measures'!C32</f>
        <v/>
      </c>
      <c r="E79" s="28" t="str">
        <f>'Input Refrigeration Measures'!F32</f>
        <v/>
      </c>
      <c r="F79" s="29">
        <f>'Input Refrigeration Measures'!G32</f>
        <v>0</v>
      </c>
      <c r="G79" s="29" t="str">
        <f>'Input Refrigeration Measures'!L32</f>
        <v/>
      </c>
      <c r="H79" s="97" t="str">
        <f>'Input Refrigeration Measures'!M32</f>
        <v/>
      </c>
      <c r="I79" s="43" t="str">
        <f>IFERROR(N79*MIN(Table_Measure_Caps[[#Totals],[Estimated Raw Incentive Total]], Table_Measure_Caps[[#Totals],[Gross Measure Cost Total]], Value_Project_CAP)/Table_Measure_Caps[[#Totals],[Estimated Raw Incentive Total]], "")</f>
        <v/>
      </c>
      <c r="J79" s="43">
        <f>'Input Refrigeration Measures'!H32</f>
        <v>0</v>
      </c>
      <c r="K79" s="28">
        <f>'Input Refrigeration Measures'!I32</f>
        <v>0</v>
      </c>
      <c r="L79" s="27" t="str">
        <f t="shared" si="3"/>
        <v>Version 5.0 - 2025</v>
      </c>
      <c r="M79" s="67">
        <f>'Input Refrigeration Measures'!E32</f>
        <v>0</v>
      </c>
      <c r="N79" s="66" t="str">
        <f>'Input Refrigeration Measures'!K32</f>
        <v/>
      </c>
    </row>
    <row r="80" spans="1:14">
      <c r="A80" s="30" t="s">
        <v>429</v>
      </c>
      <c r="B80" s="28">
        <f t="shared" si="2"/>
        <v>0</v>
      </c>
      <c r="C80" s="28">
        <f>'Input Refrigeration Measures'!B33</f>
        <v>28</v>
      </c>
      <c r="D80" s="28" t="str">
        <f>'Input Refrigeration Measures'!C33</f>
        <v/>
      </c>
      <c r="E80" s="28" t="str">
        <f>'Input Refrigeration Measures'!F33</f>
        <v/>
      </c>
      <c r="F80" s="29">
        <f>'Input Refrigeration Measures'!G33</f>
        <v>0</v>
      </c>
      <c r="G80" s="29" t="str">
        <f>'Input Refrigeration Measures'!L33</f>
        <v/>
      </c>
      <c r="H80" s="97" t="str">
        <f>'Input Refrigeration Measures'!M33</f>
        <v/>
      </c>
      <c r="I80" s="43" t="str">
        <f>IFERROR(N80*MIN(Table_Measure_Caps[[#Totals],[Estimated Raw Incentive Total]], Table_Measure_Caps[[#Totals],[Gross Measure Cost Total]], Value_Project_CAP)/Table_Measure_Caps[[#Totals],[Estimated Raw Incentive Total]], "")</f>
        <v/>
      </c>
      <c r="J80" s="43">
        <f>'Input Refrigeration Measures'!H33</f>
        <v>0</v>
      </c>
      <c r="K80" s="28">
        <f>'Input Refrigeration Measures'!I33</f>
        <v>0</v>
      </c>
      <c r="L80" s="27" t="str">
        <f t="shared" si="3"/>
        <v>Version 5.0 - 2025</v>
      </c>
      <c r="M80" s="67">
        <f>'Input Refrigeration Measures'!E33</f>
        <v>0</v>
      </c>
      <c r="N80" s="66" t="str">
        <f>'Input Refrigeration Measures'!K33</f>
        <v/>
      </c>
    </row>
    <row r="81" spans="1:14">
      <c r="A81" s="30" t="s">
        <v>429</v>
      </c>
      <c r="B81" s="28">
        <f t="shared" si="2"/>
        <v>0</v>
      </c>
      <c r="C81" s="28">
        <f>'Input Refrigeration Measures'!B34</f>
        <v>29</v>
      </c>
      <c r="D81" s="28" t="str">
        <f>'Input Refrigeration Measures'!C34</f>
        <v/>
      </c>
      <c r="E81" s="28" t="str">
        <f>'Input Refrigeration Measures'!F34</f>
        <v/>
      </c>
      <c r="F81" s="29">
        <f>'Input Refrigeration Measures'!G34</f>
        <v>0</v>
      </c>
      <c r="G81" s="29" t="str">
        <f>'Input Refrigeration Measures'!L34</f>
        <v/>
      </c>
      <c r="H81" s="97" t="str">
        <f>'Input Refrigeration Measures'!M34</f>
        <v/>
      </c>
      <c r="I81" s="43" t="str">
        <f>IFERROR(N81*MIN(Table_Measure_Caps[[#Totals],[Estimated Raw Incentive Total]], Table_Measure_Caps[[#Totals],[Gross Measure Cost Total]], Value_Project_CAP)/Table_Measure_Caps[[#Totals],[Estimated Raw Incentive Total]], "")</f>
        <v/>
      </c>
      <c r="J81" s="43">
        <f>'Input Refrigeration Measures'!H34</f>
        <v>0</v>
      </c>
      <c r="K81" s="28">
        <f>'Input Refrigeration Measures'!I34</f>
        <v>0</v>
      </c>
      <c r="L81" s="27" t="str">
        <f t="shared" si="3"/>
        <v>Version 5.0 - 2025</v>
      </c>
      <c r="M81" s="67">
        <f>'Input Refrigeration Measures'!E34</f>
        <v>0</v>
      </c>
      <c r="N81" s="66" t="str">
        <f>'Input Refrigeration Measures'!K34</f>
        <v/>
      </c>
    </row>
    <row r="82" spans="1:14">
      <c r="A82" s="30" t="s">
        <v>429</v>
      </c>
      <c r="B82" s="28">
        <f t="shared" si="2"/>
        <v>0</v>
      </c>
      <c r="C82" s="28">
        <f>'Input Refrigeration Measures'!B35</f>
        <v>30</v>
      </c>
      <c r="D82" s="28" t="str">
        <f>'Input Refrigeration Measures'!C35</f>
        <v/>
      </c>
      <c r="E82" s="28" t="str">
        <f>'Input Refrigeration Measures'!F35</f>
        <v/>
      </c>
      <c r="F82" s="29">
        <f>'Input Refrigeration Measures'!G35</f>
        <v>0</v>
      </c>
      <c r="G82" s="29" t="str">
        <f>'Input Refrigeration Measures'!L35</f>
        <v/>
      </c>
      <c r="H82" s="97" t="str">
        <f>'Input Refrigeration Measures'!M35</f>
        <v/>
      </c>
      <c r="I82" s="43" t="str">
        <f>IFERROR(N82*MIN(Table_Measure_Caps[[#Totals],[Estimated Raw Incentive Total]], Table_Measure_Caps[[#Totals],[Gross Measure Cost Total]], Value_Project_CAP)/Table_Measure_Caps[[#Totals],[Estimated Raw Incentive Total]], "")</f>
        <v/>
      </c>
      <c r="J82" s="43">
        <f>'Input Refrigeration Measures'!H35</f>
        <v>0</v>
      </c>
      <c r="K82" s="28">
        <f>'Input Refrigeration Measures'!I35</f>
        <v>0</v>
      </c>
      <c r="L82" s="27" t="str">
        <f t="shared" si="3"/>
        <v>Version 5.0 - 2025</v>
      </c>
      <c r="M82" s="67">
        <f>'Input Refrigeration Measures'!E35</f>
        <v>0</v>
      </c>
      <c r="N82" s="66" t="str">
        <f>'Input Refrigeration Measures'!K35</f>
        <v/>
      </c>
    </row>
    <row r="83" spans="1:14">
      <c r="A83" s="30" t="s">
        <v>429</v>
      </c>
      <c r="B83" s="28">
        <f t="shared" si="2"/>
        <v>0</v>
      </c>
      <c r="C83" s="28">
        <f>'Input Refrigeration Measures'!B36</f>
        <v>31</v>
      </c>
      <c r="D83" s="28" t="str">
        <f>'Input Refrigeration Measures'!C36</f>
        <v/>
      </c>
      <c r="E83" s="28" t="str">
        <f>'Input Refrigeration Measures'!F36</f>
        <v/>
      </c>
      <c r="F83" s="29">
        <f>'Input Refrigeration Measures'!G36</f>
        <v>0</v>
      </c>
      <c r="G83" s="29" t="str">
        <f>'Input Refrigeration Measures'!L36</f>
        <v/>
      </c>
      <c r="H83" s="97" t="str">
        <f>'Input Refrigeration Measures'!M36</f>
        <v/>
      </c>
      <c r="I83" s="43" t="str">
        <f>IFERROR(N83*MIN(Table_Measure_Caps[[#Totals],[Estimated Raw Incentive Total]], Table_Measure_Caps[[#Totals],[Gross Measure Cost Total]], Value_Project_CAP)/Table_Measure_Caps[[#Totals],[Estimated Raw Incentive Total]], "")</f>
        <v/>
      </c>
      <c r="J83" s="43">
        <f>'Input Refrigeration Measures'!H36</f>
        <v>0</v>
      </c>
      <c r="K83" s="28">
        <f>'Input Refrigeration Measures'!I36</f>
        <v>0</v>
      </c>
      <c r="L83" s="27" t="str">
        <f t="shared" si="3"/>
        <v>Version 5.0 - 2025</v>
      </c>
      <c r="M83" s="67">
        <f>'Input Refrigeration Measures'!E36</f>
        <v>0</v>
      </c>
      <c r="N83" s="66" t="str">
        <f>'Input Refrigeration Measures'!K36</f>
        <v/>
      </c>
    </row>
    <row r="84" spans="1:14">
      <c r="A84" s="30" t="s">
        <v>429</v>
      </c>
      <c r="B84" s="28">
        <f t="shared" si="2"/>
        <v>0</v>
      </c>
      <c r="C84" s="28">
        <f>'Input Refrigeration Measures'!B37</f>
        <v>32</v>
      </c>
      <c r="D84" s="28" t="str">
        <f>'Input Refrigeration Measures'!C37</f>
        <v/>
      </c>
      <c r="E84" s="28" t="str">
        <f>'Input Refrigeration Measures'!F37</f>
        <v/>
      </c>
      <c r="F84" s="29">
        <f>'Input Refrigeration Measures'!G37</f>
        <v>0</v>
      </c>
      <c r="G84" s="29" t="str">
        <f>'Input Refrigeration Measures'!L37</f>
        <v/>
      </c>
      <c r="H84" s="97" t="str">
        <f>'Input Refrigeration Measures'!M37</f>
        <v/>
      </c>
      <c r="I84" s="43" t="str">
        <f>IFERROR(N84*MIN(Table_Measure_Caps[[#Totals],[Estimated Raw Incentive Total]], Table_Measure_Caps[[#Totals],[Gross Measure Cost Total]], Value_Project_CAP)/Table_Measure_Caps[[#Totals],[Estimated Raw Incentive Total]], "")</f>
        <v/>
      </c>
      <c r="J84" s="43">
        <f>'Input Refrigeration Measures'!H37</f>
        <v>0</v>
      </c>
      <c r="K84" s="28">
        <f>'Input Refrigeration Measures'!I37</f>
        <v>0</v>
      </c>
      <c r="L84" s="27" t="str">
        <f t="shared" si="3"/>
        <v>Version 5.0 - 2025</v>
      </c>
      <c r="M84" s="67">
        <f>'Input Refrigeration Measures'!E37</f>
        <v>0</v>
      </c>
      <c r="N84" s="66" t="str">
        <f>'Input Refrigeration Measures'!K37</f>
        <v/>
      </c>
    </row>
    <row r="85" spans="1:14">
      <c r="A85" s="30" t="s">
        <v>429</v>
      </c>
      <c r="B85" s="28">
        <f t="shared" si="2"/>
        <v>0</v>
      </c>
      <c r="C85" s="28">
        <f>'Input Refrigeration Measures'!B38</f>
        <v>33</v>
      </c>
      <c r="D85" s="28" t="str">
        <f>'Input Refrigeration Measures'!C38</f>
        <v/>
      </c>
      <c r="E85" s="28" t="str">
        <f>'Input Refrigeration Measures'!F38</f>
        <v/>
      </c>
      <c r="F85" s="29">
        <f>'Input Refrigeration Measures'!G38</f>
        <v>0</v>
      </c>
      <c r="G85" s="29" t="str">
        <f>'Input Refrigeration Measures'!L38</f>
        <v/>
      </c>
      <c r="H85" s="97" t="str">
        <f>'Input Refrigeration Measures'!M38</f>
        <v/>
      </c>
      <c r="I85" s="43" t="str">
        <f>IFERROR(N85*MIN(Table_Measure_Caps[[#Totals],[Estimated Raw Incentive Total]], Table_Measure_Caps[[#Totals],[Gross Measure Cost Total]], Value_Project_CAP)/Table_Measure_Caps[[#Totals],[Estimated Raw Incentive Total]], "")</f>
        <v/>
      </c>
      <c r="J85" s="43">
        <f>'Input Refrigeration Measures'!H38</f>
        <v>0</v>
      </c>
      <c r="K85" s="28">
        <f>'Input Refrigeration Measures'!I38</f>
        <v>0</v>
      </c>
      <c r="L85" s="27" t="str">
        <f t="shared" si="3"/>
        <v>Version 5.0 - 2025</v>
      </c>
      <c r="M85" s="67">
        <f>'Input Refrigeration Measures'!E38</f>
        <v>0</v>
      </c>
      <c r="N85" s="66" t="str">
        <f>'Input Refrigeration Measures'!K38</f>
        <v/>
      </c>
    </row>
    <row r="86" spans="1:14">
      <c r="A86" s="30" t="s">
        <v>429</v>
      </c>
      <c r="B86" s="28">
        <f t="shared" si="2"/>
        <v>0</v>
      </c>
      <c r="C86" s="28">
        <f>'Input Refrigeration Measures'!B39</f>
        <v>34</v>
      </c>
      <c r="D86" s="28" t="str">
        <f>'Input Refrigeration Measures'!C39</f>
        <v/>
      </c>
      <c r="E86" s="28" t="str">
        <f>'Input Refrigeration Measures'!F39</f>
        <v/>
      </c>
      <c r="F86" s="29">
        <f>'Input Refrigeration Measures'!G39</f>
        <v>0</v>
      </c>
      <c r="G86" s="29" t="str">
        <f>'Input Refrigeration Measures'!L39</f>
        <v/>
      </c>
      <c r="H86" s="97" t="str">
        <f>'Input Refrigeration Measures'!M39</f>
        <v/>
      </c>
      <c r="I86" s="43" t="str">
        <f>IFERROR(N86*MIN(Table_Measure_Caps[[#Totals],[Estimated Raw Incentive Total]], Table_Measure_Caps[[#Totals],[Gross Measure Cost Total]], Value_Project_CAP)/Table_Measure_Caps[[#Totals],[Estimated Raw Incentive Total]], "")</f>
        <v/>
      </c>
      <c r="J86" s="43">
        <f>'Input Refrigeration Measures'!H39</f>
        <v>0</v>
      </c>
      <c r="K86" s="28">
        <f>'Input Refrigeration Measures'!I39</f>
        <v>0</v>
      </c>
      <c r="L86" s="27" t="str">
        <f t="shared" si="3"/>
        <v>Version 5.0 - 2025</v>
      </c>
      <c r="M86" s="67">
        <f>'Input Refrigeration Measures'!E39</f>
        <v>0</v>
      </c>
      <c r="N86" s="66" t="str">
        <f>'Input Refrigeration Measures'!K39</f>
        <v/>
      </c>
    </row>
    <row r="87" spans="1:14">
      <c r="A87" s="30" t="s">
        <v>429</v>
      </c>
      <c r="B87" s="28">
        <f t="shared" si="2"/>
        <v>0</v>
      </c>
      <c r="C87" s="28">
        <f>'Input Refrigeration Measures'!B40</f>
        <v>35</v>
      </c>
      <c r="D87" s="28" t="str">
        <f>'Input Refrigeration Measures'!C40</f>
        <v/>
      </c>
      <c r="E87" s="28" t="str">
        <f>'Input Refrigeration Measures'!F40</f>
        <v/>
      </c>
      <c r="F87" s="29">
        <f>'Input Refrigeration Measures'!G40</f>
        <v>0</v>
      </c>
      <c r="G87" s="29" t="str">
        <f>'Input Refrigeration Measures'!L40</f>
        <v/>
      </c>
      <c r="H87" s="97" t="str">
        <f>'Input Refrigeration Measures'!M40</f>
        <v/>
      </c>
      <c r="I87" s="43" t="str">
        <f>IFERROR(N87*MIN(Table_Measure_Caps[[#Totals],[Estimated Raw Incentive Total]], Table_Measure_Caps[[#Totals],[Gross Measure Cost Total]], Value_Project_CAP)/Table_Measure_Caps[[#Totals],[Estimated Raw Incentive Total]], "")</f>
        <v/>
      </c>
      <c r="J87" s="43">
        <f>'Input Refrigeration Measures'!H40</f>
        <v>0</v>
      </c>
      <c r="K87" s="28">
        <f>'Input Refrigeration Measures'!I40</f>
        <v>0</v>
      </c>
      <c r="L87" s="27" t="str">
        <f t="shared" si="3"/>
        <v>Version 5.0 - 2025</v>
      </c>
      <c r="M87" s="67">
        <f>'Input Refrigeration Measures'!E40</f>
        <v>0</v>
      </c>
      <c r="N87" s="66" t="str">
        <f>'Input Refrigeration Measures'!K40</f>
        <v/>
      </c>
    </row>
    <row r="88" spans="1:14">
      <c r="A88" s="30" t="s">
        <v>429</v>
      </c>
      <c r="B88" s="28">
        <f t="shared" si="2"/>
        <v>0</v>
      </c>
      <c r="C88" s="28">
        <f>'Input Refrigeration Measures'!B41</f>
        <v>36</v>
      </c>
      <c r="D88" s="28" t="str">
        <f>'Input Refrigeration Measures'!C41</f>
        <v/>
      </c>
      <c r="E88" s="28" t="str">
        <f>'Input Refrigeration Measures'!F41</f>
        <v/>
      </c>
      <c r="F88" s="29">
        <f>'Input Refrigeration Measures'!G41</f>
        <v>0</v>
      </c>
      <c r="G88" s="29" t="str">
        <f>'Input Refrigeration Measures'!L41</f>
        <v/>
      </c>
      <c r="H88" s="97" t="str">
        <f>'Input Refrigeration Measures'!M41</f>
        <v/>
      </c>
      <c r="I88" s="43" t="str">
        <f>IFERROR(N88*MIN(Table_Measure_Caps[[#Totals],[Estimated Raw Incentive Total]], Table_Measure_Caps[[#Totals],[Gross Measure Cost Total]], Value_Project_CAP)/Table_Measure_Caps[[#Totals],[Estimated Raw Incentive Total]], "")</f>
        <v/>
      </c>
      <c r="J88" s="43">
        <f>'Input Refrigeration Measures'!H41</f>
        <v>0</v>
      </c>
      <c r="K88" s="28">
        <f>'Input Refrigeration Measures'!I41</f>
        <v>0</v>
      </c>
      <c r="L88" s="27" t="str">
        <f t="shared" si="3"/>
        <v>Version 5.0 - 2025</v>
      </c>
      <c r="M88" s="67">
        <f>'Input Refrigeration Measures'!E41</f>
        <v>0</v>
      </c>
      <c r="N88" s="66" t="str">
        <f>'Input Refrigeration Measures'!K41</f>
        <v/>
      </c>
    </row>
    <row r="89" spans="1:14">
      <c r="A89" s="30" t="s">
        <v>429</v>
      </c>
      <c r="B89" s="28">
        <f t="shared" si="2"/>
        <v>0</v>
      </c>
      <c r="C89" s="28">
        <f>'Input Refrigeration Measures'!B42</f>
        <v>37</v>
      </c>
      <c r="D89" s="28" t="str">
        <f>'Input Refrigeration Measures'!C42</f>
        <v/>
      </c>
      <c r="E89" s="28" t="str">
        <f>'Input Refrigeration Measures'!F42</f>
        <v/>
      </c>
      <c r="F89" s="29">
        <f>'Input Refrigeration Measures'!G42</f>
        <v>0</v>
      </c>
      <c r="G89" s="29" t="str">
        <f>'Input Refrigeration Measures'!L42</f>
        <v/>
      </c>
      <c r="H89" s="97" t="str">
        <f>'Input Refrigeration Measures'!M42</f>
        <v/>
      </c>
      <c r="I89" s="43" t="str">
        <f>IFERROR(N89*MIN(Table_Measure_Caps[[#Totals],[Estimated Raw Incentive Total]], Table_Measure_Caps[[#Totals],[Gross Measure Cost Total]], Value_Project_CAP)/Table_Measure_Caps[[#Totals],[Estimated Raw Incentive Total]], "")</f>
        <v/>
      </c>
      <c r="J89" s="43">
        <f>'Input Refrigeration Measures'!H42</f>
        <v>0</v>
      </c>
      <c r="K89" s="28">
        <f>'Input Refrigeration Measures'!I42</f>
        <v>0</v>
      </c>
      <c r="L89" s="27" t="str">
        <f t="shared" si="3"/>
        <v>Version 5.0 - 2025</v>
      </c>
      <c r="M89" s="67">
        <f>'Input Refrigeration Measures'!E42</f>
        <v>0</v>
      </c>
      <c r="N89" s="66" t="str">
        <f>'Input Refrigeration Measures'!K42</f>
        <v/>
      </c>
    </row>
    <row r="90" spans="1:14">
      <c r="A90" s="30" t="s">
        <v>429</v>
      </c>
      <c r="B90" s="28">
        <f t="shared" si="2"/>
        <v>0</v>
      </c>
      <c r="C90" s="28">
        <f>'Input Refrigeration Measures'!B43</f>
        <v>38</v>
      </c>
      <c r="D90" s="28" t="str">
        <f>'Input Refrigeration Measures'!C43</f>
        <v/>
      </c>
      <c r="E90" s="28" t="str">
        <f>'Input Refrigeration Measures'!F43</f>
        <v/>
      </c>
      <c r="F90" s="29">
        <f>'Input Refrigeration Measures'!G43</f>
        <v>0</v>
      </c>
      <c r="G90" s="29" t="str">
        <f>'Input Refrigeration Measures'!L43</f>
        <v/>
      </c>
      <c r="H90" s="97" t="str">
        <f>'Input Refrigeration Measures'!M43</f>
        <v/>
      </c>
      <c r="I90" s="43" t="str">
        <f>IFERROR(N90*MIN(Table_Measure_Caps[[#Totals],[Estimated Raw Incentive Total]], Table_Measure_Caps[[#Totals],[Gross Measure Cost Total]], Value_Project_CAP)/Table_Measure_Caps[[#Totals],[Estimated Raw Incentive Total]], "")</f>
        <v/>
      </c>
      <c r="J90" s="43">
        <f>'Input Refrigeration Measures'!H43</f>
        <v>0</v>
      </c>
      <c r="K90" s="28">
        <f>'Input Refrigeration Measures'!I43</f>
        <v>0</v>
      </c>
      <c r="L90" s="27" t="str">
        <f t="shared" si="3"/>
        <v>Version 5.0 - 2025</v>
      </c>
      <c r="M90" s="67">
        <f>'Input Refrigeration Measures'!E43</f>
        <v>0</v>
      </c>
      <c r="N90" s="66" t="str">
        <f>'Input Refrigeration Measures'!K43</f>
        <v/>
      </c>
    </row>
    <row r="91" spans="1:14">
      <c r="A91" s="30" t="s">
        <v>429</v>
      </c>
      <c r="B91" s="28">
        <f t="shared" si="2"/>
        <v>0</v>
      </c>
      <c r="C91" s="28">
        <f>'Input Refrigeration Measures'!B44</f>
        <v>39</v>
      </c>
      <c r="D91" s="28" t="str">
        <f>'Input Refrigeration Measures'!C44</f>
        <v/>
      </c>
      <c r="E91" s="28" t="str">
        <f>'Input Refrigeration Measures'!F44</f>
        <v/>
      </c>
      <c r="F91" s="29">
        <f>'Input Refrigeration Measures'!G44</f>
        <v>0</v>
      </c>
      <c r="G91" s="29" t="str">
        <f>'Input Refrigeration Measures'!L44</f>
        <v/>
      </c>
      <c r="H91" s="97" t="str">
        <f>'Input Refrigeration Measures'!M44</f>
        <v/>
      </c>
      <c r="I91" s="43" t="str">
        <f>IFERROR(N91*MIN(Table_Measure_Caps[[#Totals],[Estimated Raw Incentive Total]], Table_Measure_Caps[[#Totals],[Gross Measure Cost Total]], Value_Project_CAP)/Table_Measure_Caps[[#Totals],[Estimated Raw Incentive Total]], "")</f>
        <v/>
      </c>
      <c r="J91" s="43">
        <f>'Input Refrigeration Measures'!H44</f>
        <v>0</v>
      </c>
      <c r="K91" s="28">
        <f>'Input Refrigeration Measures'!I44</f>
        <v>0</v>
      </c>
      <c r="L91" s="27" t="str">
        <f t="shared" si="3"/>
        <v>Version 5.0 - 2025</v>
      </c>
      <c r="M91" s="67">
        <f>'Input Refrigeration Measures'!E44</f>
        <v>0</v>
      </c>
      <c r="N91" s="66" t="str">
        <f>'Input Refrigeration Measures'!K44</f>
        <v/>
      </c>
    </row>
    <row r="92" spans="1:14">
      <c r="A92" s="30" t="s">
        <v>429</v>
      </c>
      <c r="B92" s="28">
        <f t="shared" si="2"/>
        <v>0</v>
      </c>
      <c r="C92" s="28">
        <f>'Input Refrigeration Measures'!B45</f>
        <v>40</v>
      </c>
      <c r="D92" s="28" t="str">
        <f>'Input Refrigeration Measures'!C45</f>
        <v/>
      </c>
      <c r="E92" s="28" t="str">
        <f>'Input Refrigeration Measures'!F45</f>
        <v/>
      </c>
      <c r="F92" s="29">
        <f>'Input Refrigeration Measures'!G45</f>
        <v>0</v>
      </c>
      <c r="G92" s="29" t="str">
        <f>'Input Refrigeration Measures'!L45</f>
        <v/>
      </c>
      <c r="H92" s="97" t="str">
        <f>'Input Refrigeration Measures'!M45</f>
        <v/>
      </c>
      <c r="I92" s="43" t="str">
        <f>IFERROR(N92*MIN(Table_Measure_Caps[[#Totals],[Estimated Raw Incentive Total]], Table_Measure_Caps[[#Totals],[Gross Measure Cost Total]], Value_Project_CAP)/Table_Measure_Caps[[#Totals],[Estimated Raw Incentive Total]], "")</f>
        <v/>
      </c>
      <c r="J92" s="43">
        <f>'Input Refrigeration Measures'!H45</f>
        <v>0</v>
      </c>
      <c r="K92" s="28">
        <f>'Input Refrigeration Measures'!I45</f>
        <v>0</v>
      </c>
      <c r="L92" s="27" t="str">
        <f t="shared" si="3"/>
        <v>Version 5.0 - 2025</v>
      </c>
      <c r="M92" s="67">
        <f>'Input Refrigeration Measures'!E45</f>
        <v>0</v>
      </c>
      <c r="N92" s="66" t="str">
        <f>'Input Refrigeration Measures'!K45</f>
        <v/>
      </c>
    </row>
    <row r="93" spans="1:14">
      <c r="A93" s="30" t="s">
        <v>429</v>
      </c>
      <c r="B93" s="28">
        <f t="shared" si="2"/>
        <v>0</v>
      </c>
      <c r="C93" s="28">
        <f>'Input Refrigeration Measures'!B46</f>
        <v>41</v>
      </c>
      <c r="D93" s="28" t="str">
        <f>'Input Refrigeration Measures'!C46</f>
        <v/>
      </c>
      <c r="E93" s="28" t="str">
        <f>'Input Refrigeration Measures'!F46</f>
        <v/>
      </c>
      <c r="F93" s="29">
        <f>'Input Refrigeration Measures'!G46</f>
        <v>0</v>
      </c>
      <c r="G93" s="29" t="str">
        <f>'Input Refrigeration Measures'!L46</f>
        <v/>
      </c>
      <c r="H93" s="97" t="str">
        <f>'Input Refrigeration Measures'!M46</f>
        <v/>
      </c>
      <c r="I93" s="43" t="str">
        <f>IFERROR(N93*MIN(Table_Measure_Caps[[#Totals],[Estimated Raw Incentive Total]], Table_Measure_Caps[[#Totals],[Gross Measure Cost Total]], Value_Project_CAP)/Table_Measure_Caps[[#Totals],[Estimated Raw Incentive Total]], "")</f>
        <v/>
      </c>
      <c r="J93" s="43">
        <f>'Input Refrigeration Measures'!H46</f>
        <v>0</v>
      </c>
      <c r="K93" s="28">
        <f>'Input Refrigeration Measures'!I46</f>
        <v>0</v>
      </c>
      <c r="L93" s="27" t="str">
        <f t="shared" si="3"/>
        <v>Version 5.0 - 2025</v>
      </c>
      <c r="M93" s="67">
        <f>'Input Refrigeration Measures'!E46</f>
        <v>0</v>
      </c>
      <c r="N93" s="66" t="str">
        <f>'Input Refrigeration Measures'!K46</f>
        <v/>
      </c>
    </row>
    <row r="94" spans="1:14">
      <c r="A94" s="30" t="s">
        <v>429</v>
      </c>
      <c r="B94" s="28">
        <f t="shared" si="2"/>
        <v>0</v>
      </c>
      <c r="C94" s="28">
        <f>'Input Refrigeration Measures'!B47</f>
        <v>42</v>
      </c>
      <c r="D94" s="28" t="str">
        <f>'Input Refrigeration Measures'!C47</f>
        <v/>
      </c>
      <c r="E94" s="28" t="str">
        <f>'Input Refrigeration Measures'!F47</f>
        <v/>
      </c>
      <c r="F94" s="29">
        <f>'Input Refrigeration Measures'!G47</f>
        <v>0</v>
      </c>
      <c r="G94" s="29" t="str">
        <f>'Input Refrigeration Measures'!L47</f>
        <v/>
      </c>
      <c r="H94" s="97" t="str">
        <f>'Input Refrigeration Measures'!M47</f>
        <v/>
      </c>
      <c r="I94" s="43" t="str">
        <f>IFERROR(N94*MIN(Table_Measure_Caps[[#Totals],[Estimated Raw Incentive Total]], Table_Measure_Caps[[#Totals],[Gross Measure Cost Total]], Value_Project_CAP)/Table_Measure_Caps[[#Totals],[Estimated Raw Incentive Total]], "")</f>
        <v/>
      </c>
      <c r="J94" s="43">
        <f>'Input Refrigeration Measures'!H47</f>
        <v>0</v>
      </c>
      <c r="K94" s="28">
        <f>'Input Refrigeration Measures'!I47</f>
        <v>0</v>
      </c>
      <c r="L94" s="27" t="str">
        <f t="shared" si="3"/>
        <v>Version 5.0 - 2025</v>
      </c>
      <c r="M94" s="67">
        <f>'Input Refrigeration Measures'!E47</f>
        <v>0</v>
      </c>
      <c r="N94" s="66" t="str">
        <f>'Input Refrigeration Measures'!K47</f>
        <v/>
      </c>
    </row>
    <row r="95" spans="1:14">
      <c r="A95" s="30" t="s">
        <v>429</v>
      </c>
      <c r="B95" s="28">
        <f t="shared" si="2"/>
        <v>0</v>
      </c>
      <c r="C95" s="28">
        <f>'Input Refrigeration Measures'!B48</f>
        <v>43</v>
      </c>
      <c r="D95" s="28" t="str">
        <f>'Input Refrigeration Measures'!C48</f>
        <v/>
      </c>
      <c r="E95" s="28" t="str">
        <f>'Input Refrigeration Measures'!F48</f>
        <v/>
      </c>
      <c r="F95" s="29">
        <f>'Input Refrigeration Measures'!G48</f>
        <v>0</v>
      </c>
      <c r="G95" s="29" t="str">
        <f>'Input Refrigeration Measures'!L48</f>
        <v/>
      </c>
      <c r="H95" s="97" t="str">
        <f>'Input Refrigeration Measures'!M48</f>
        <v/>
      </c>
      <c r="I95" s="43" t="str">
        <f>IFERROR(N95*MIN(Table_Measure_Caps[[#Totals],[Estimated Raw Incentive Total]], Table_Measure_Caps[[#Totals],[Gross Measure Cost Total]], Value_Project_CAP)/Table_Measure_Caps[[#Totals],[Estimated Raw Incentive Total]], "")</f>
        <v/>
      </c>
      <c r="J95" s="43">
        <f>'Input Refrigeration Measures'!H48</f>
        <v>0</v>
      </c>
      <c r="K95" s="28">
        <f>'Input Refrigeration Measures'!I48</f>
        <v>0</v>
      </c>
      <c r="L95" s="27" t="str">
        <f t="shared" si="3"/>
        <v>Version 5.0 - 2025</v>
      </c>
      <c r="M95" s="67">
        <f>'Input Refrigeration Measures'!E48</f>
        <v>0</v>
      </c>
      <c r="N95" s="66" t="str">
        <f>'Input Refrigeration Measures'!K48</f>
        <v/>
      </c>
    </row>
    <row r="96" spans="1:14">
      <c r="A96" s="30" t="s">
        <v>429</v>
      </c>
      <c r="B96" s="28">
        <f t="shared" si="2"/>
        <v>0</v>
      </c>
      <c r="C96" s="28">
        <f>'Input Refrigeration Measures'!B49</f>
        <v>44</v>
      </c>
      <c r="D96" s="28" t="str">
        <f>'Input Refrigeration Measures'!C49</f>
        <v/>
      </c>
      <c r="E96" s="28" t="str">
        <f>'Input Refrigeration Measures'!F49</f>
        <v/>
      </c>
      <c r="F96" s="29">
        <f>'Input Refrigeration Measures'!G49</f>
        <v>0</v>
      </c>
      <c r="G96" s="29" t="str">
        <f>'Input Refrigeration Measures'!L49</f>
        <v/>
      </c>
      <c r="H96" s="97" t="str">
        <f>'Input Refrigeration Measures'!M49</f>
        <v/>
      </c>
      <c r="I96" s="43" t="str">
        <f>IFERROR(N96*MIN(Table_Measure_Caps[[#Totals],[Estimated Raw Incentive Total]], Table_Measure_Caps[[#Totals],[Gross Measure Cost Total]], Value_Project_CAP)/Table_Measure_Caps[[#Totals],[Estimated Raw Incentive Total]], "")</f>
        <v/>
      </c>
      <c r="J96" s="43">
        <f>'Input Refrigeration Measures'!H49</f>
        <v>0</v>
      </c>
      <c r="K96" s="28">
        <f>'Input Refrigeration Measures'!I49</f>
        <v>0</v>
      </c>
      <c r="L96" s="27" t="str">
        <f t="shared" si="3"/>
        <v>Version 5.0 - 2025</v>
      </c>
      <c r="M96" s="67">
        <f>'Input Refrigeration Measures'!E49</f>
        <v>0</v>
      </c>
      <c r="N96" s="66" t="str">
        <f>'Input Refrigeration Measures'!K49</f>
        <v/>
      </c>
    </row>
    <row r="97" spans="1:14">
      <c r="A97" s="30" t="s">
        <v>429</v>
      </c>
      <c r="B97" s="28">
        <f t="shared" si="2"/>
        <v>0</v>
      </c>
      <c r="C97" s="28">
        <f>'Input Refrigeration Measures'!B50</f>
        <v>45</v>
      </c>
      <c r="D97" s="28" t="str">
        <f>'Input Refrigeration Measures'!C50</f>
        <v/>
      </c>
      <c r="E97" s="28" t="str">
        <f>'Input Refrigeration Measures'!F50</f>
        <v/>
      </c>
      <c r="F97" s="29">
        <f>'Input Refrigeration Measures'!G50</f>
        <v>0</v>
      </c>
      <c r="G97" s="29" t="str">
        <f>'Input Refrigeration Measures'!L50</f>
        <v/>
      </c>
      <c r="H97" s="97" t="str">
        <f>'Input Refrigeration Measures'!M50</f>
        <v/>
      </c>
      <c r="I97" s="43" t="str">
        <f>IFERROR(N97*MIN(Table_Measure_Caps[[#Totals],[Estimated Raw Incentive Total]], Table_Measure_Caps[[#Totals],[Gross Measure Cost Total]], Value_Project_CAP)/Table_Measure_Caps[[#Totals],[Estimated Raw Incentive Total]], "")</f>
        <v/>
      </c>
      <c r="J97" s="43">
        <f>'Input Refrigeration Measures'!H50</f>
        <v>0</v>
      </c>
      <c r="K97" s="28">
        <f>'Input Refrigeration Measures'!I50</f>
        <v>0</v>
      </c>
      <c r="L97" s="27" t="str">
        <f t="shared" si="3"/>
        <v>Version 5.0 - 2025</v>
      </c>
      <c r="M97" s="67">
        <f>'Input Refrigeration Measures'!E50</f>
        <v>0</v>
      </c>
      <c r="N97" s="66" t="str">
        <f>'Input Refrigeration Measures'!K50</f>
        <v/>
      </c>
    </row>
    <row r="98" spans="1:14">
      <c r="A98" s="30" t="s">
        <v>429</v>
      </c>
      <c r="B98" s="28">
        <f t="shared" si="2"/>
        <v>0</v>
      </c>
      <c r="C98" s="28">
        <f>'Input Refrigeration Measures'!B51</f>
        <v>46</v>
      </c>
      <c r="D98" s="28" t="str">
        <f>'Input Refrigeration Measures'!C51</f>
        <v/>
      </c>
      <c r="E98" s="28" t="str">
        <f>'Input Refrigeration Measures'!F51</f>
        <v/>
      </c>
      <c r="F98" s="29">
        <f>'Input Refrigeration Measures'!G51</f>
        <v>0</v>
      </c>
      <c r="G98" s="29" t="str">
        <f>'Input Refrigeration Measures'!L51</f>
        <v/>
      </c>
      <c r="H98" s="97" t="str">
        <f>'Input Refrigeration Measures'!M51</f>
        <v/>
      </c>
      <c r="I98" s="43" t="str">
        <f>IFERROR(N98*MIN(Table_Measure_Caps[[#Totals],[Estimated Raw Incentive Total]], Table_Measure_Caps[[#Totals],[Gross Measure Cost Total]], Value_Project_CAP)/Table_Measure_Caps[[#Totals],[Estimated Raw Incentive Total]], "")</f>
        <v/>
      </c>
      <c r="J98" s="43">
        <f>'Input Refrigeration Measures'!H51</f>
        <v>0</v>
      </c>
      <c r="K98" s="28">
        <f>'Input Refrigeration Measures'!I51</f>
        <v>0</v>
      </c>
      <c r="L98" s="27" t="str">
        <f t="shared" si="3"/>
        <v>Version 5.0 - 2025</v>
      </c>
      <c r="M98" s="67">
        <f>'Input Refrigeration Measures'!E51</f>
        <v>0</v>
      </c>
      <c r="N98" s="66" t="str">
        <f>'Input Refrigeration Measures'!K51</f>
        <v/>
      </c>
    </row>
    <row r="99" spans="1:14">
      <c r="A99" s="30" t="s">
        <v>429</v>
      </c>
      <c r="B99" s="28">
        <f t="shared" si="2"/>
        <v>0</v>
      </c>
      <c r="C99" s="28">
        <f>'Input Refrigeration Measures'!B52</f>
        <v>47</v>
      </c>
      <c r="D99" s="28" t="str">
        <f>'Input Refrigeration Measures'!C52</f>
        <v/>
      </c>
      <c r="E99" s="28" t="str">
        <f>'Input Refrigeration Measures'!F52</f>
        <v/>
      </c>
      <c r="F99" s="29">
        <f>'Input Refrigeration Measures'!G52</f>
        <v>0</v>
      </c>
      <c r="G99" s="29" t="str">
        <f>'Input Refrigeration Measures'!L52</f>
        <v/>
      </c>
      <c r="H99" s="97" t="str">
        <f>'Input Refrigeration Measures'!M52</f>
        <v/>
      </c>
      <c r="I99" s="43" t="str">
        <f>IFERROR(N99*MIN(Table_Measure_Caps[[#Totals],[Estimated Raw Incentive Total]], Table_Measure_Caps[[#Totals],[Gross Measure Cost Total]], Value_Project_CAP)/Table_Measure_Caps[[#Totals],[Estimated Raw Incentive Total]], "")</f>
        <v/>
      </c>
      <c r="J99" s="43">
        <f>'Input Refrigeration Measures'!H52</f>
        <v>0</v>
      </c>
      <c r="K99" s="28">
        <f>'Input Refrigeration Measures'!I52</f>
        <v>0</v>
      </c>
      <c r="L99" s="27" t="str">
        <f t="shared" si="3"/>
        <v>Version 5.0 - 2025</v>
      </c>
      <c r="M99" s="67">
        <f>'Input Refrigeration Measures'!E52</f>
        <v>0</v>
      </c>
      <c r="N99" s="66" t="str">
        <f>'Input Refrigeration Measures'!K52</f>
        <v/>
      </c>
    </row>
    <row r="100" spans="1:14">
      <c r="A100" s="30" t="s">
        <v>429</v>
      </c>
      <c r="B100" s="28">
        <f t="shared" si="2"/>
        <v>0</v>
      </c>
      <c r="C100" s="28">
        <f>'Input Refrigeration Measures'!B53</f>
        <v>48</v>
      </c>
      <c r="D100" s="28" t="str">
        <f>'Input Refrigeration Measures'!C53</f>
        <v/>
      </c>
      <c r="E100" s="28" t="str">
        <f>'Input Refrigeration Measures'!F53</f>
        <v/>
      </c>
      <c r="F100" s="29">
        <f>'Input Refrigeration Measures'!G53</f>
        <v>0</v>
      </c>
      <c r="G100" s="29" t="str">
        <f>'Input Refrigeration Measures'!L53</f>
        <v/>
      </c>
      <c r="H100" s="97" t="str">
        <f>'Input Refrigeration Measures'!M53</f>
        <v/>
      </c>
      <c r="I100" s="43" t="str">
        <f>IFERROR(N100*MIN(Table_Measure_Caps[[#Totals],[Estimated Raw Incentive Total]], Table_Measure_Caps[[#Totals],[Gross Measure Cost Total]], Value_Project_CAP)/Table_Measure_Caps[[#Totals],[Estimated Raw Incentive Total]], "")</f>
        <v/>
      </c>
      <c r="J100" s="43">
        <f>'Input Refrigeration Measures'!H53</f>
        <v>0</v>
      </c>
      <c r="K100" s="28">
        <f>'Input Refrigeration Measures'!I53</f>
        <v>0</v>
      </c>
      <c r="L100" s="27" t="str">
        <f t="shared" si="3"/>
        <v>Version 5.0 - 2025</v>
      </c>
      <c r="M100" s="67">
        <f>'Input Refrigeration Measures'!E53</f>
        <v>0</v>
      </c>
      <c r="N100" s="66" t="str">
        <f>'Input Refrigeration Measures'!K53</f>
        <v/>
      </c>
    </row>
    <row r="101" spans="1:14">
      <c r="A101" s="30" t="s">
        <v>429</v>
      </c>
      <c r="B101" s="28">
        <f t="shared" si="2"/>
        <v>0</v>
      </c>
      <c r="C101" s="28">
        <f>'Input Refrigeration Measures'!B54</f>
        <v>49</v>
      </c>
      <c r="D101" s="28" t="str">
        <f>'Input Refrigeration Measures'!C54</f>
        <v/>
      </c>
      <c r="E101" s="28" t="str">
        <f>'Input Refrigeration Measures'!F54</f>
        <v/>
      </c>
      <c r="F101" s="29">
        <f>'Input Refrigeration Measures'!G54</f>
        <v>0</v>
      </c>
      <c r="G101" s="29" t="str">
        <f>'Input Refrigeration Measures'!L54</f>
        <v/>
      </c>
      <c r="H101" s="97" t="str">
        <f>'Input Refrigeration Measures'!M54</f>
        <v/>
      </c>
      <c r="I101" s="43" t="str">
        <f>IFERROR(N101*MIN(Table_Measure_Caps[[#Totals],[Estimated Raw Incentive Total]], Table_Measure_Caps[[#Totals],[Gross Measure Cost Total]], Value_Project_CAP)/Table_Measure_Caps[[#Totals],[Estimated Raw Incentive Total]], "")</f>
        <v/>
      </c>
      <c r="J101" s="43">
        <f>'Input Refrigeration Measures'!H54</f>
        <v>0</v>
      </c>
      <c r="K101" s="28">
        <f>'Input Refrigeration Measures'!I54</f>
        <v>0</v>
      </c>
      <c r="L101" s="27" t="str">
        <f t="shared" si="3"/>
        <v>Version 5.0 - 2025</v>
      </c>
      <c r="M101" s="67">
        <f>'Input Refrigeration Measures'!E54</f>
        <v>0</v>
      </c>
      <c r="N101" s="66" t="str">
        <f>'Input Refrigeration Measures'!K54</f>
        <v/>
      </c>
    </row>
    <row r="102" spans="1:14">
      <c r="A102" s="30" t="s">
        <v>429</v>
      </c>
      <c r="B102" s="28">
        <f t="shared" si="2"/>
        <v>0</v>
      </c>
      <c r="C102" s="28">
        <f>'Input Refrigeration Measures'!B55</f>
        <v>50</v>
      </c>
      <c r="D102" s="28" t="str">
        <f>'Input Refrigeration Measures'!C55</f>
        <v/>
      </c>
      <c r="E102" s="28" t="str">
        <f>'Input Refrigeration Measures'!F55</f>
        <v/>
      </c>
      <c r="F102" s="29">
        <f>'Input Refrigeration Measures'!G55</f>
        <v>0</v>
      </c>
      <c r="G102" s="29" t="str">
        <f>'Input Refrigeration Measures'!L55</f>
        <v/>
      </c>
      <c r="H102" s="97" t="str">
        <f>'Input Refrigeration Measures'!M55</f>
        <v/>
      </c>
      <c r="I102" s="43" t="str">
        <f>IFERROR(N102*MIN(Table_Measure_Caps[[#Totals],[Estimated Raw Incentive Total]], Table_Measure_Caps[[#Totals],[Gross Measure Cost Total]], Value_Project_CAP)/Table_Measure_Caps[[#Totals],[Estimated Raw Incentive Total]], "")</f>
        <v/>
      </c>
      <c r="J102" s="43">
        <f>'Input Refrigeration Measures'!H55</f>
        <v>0</v>
      </c>
      <c r="K102" s="28">
        <f>'Input Refrigeration Measures'!I55</f>
        <v>0</v>
      </c>
      <c r="L102" s="27" t="str">
        <f t="shared" si="3"/>
        <v>Version 5.0 - 2025</v>
      </c>
      <c r="M102" s="67">
        <f>'Input Refrigeration Measures'!E55</f>
        <v>0</v>
      </c>
      <c r="N102" s="66" t="str">
        <f>'Input Refrigeration Measures'!K55</f>
        <v/>
      </c>
    </row>
    <row r="103" spans="1:14">
      <c r="A103" s="11" t="s">
        <v>577</v>
      </c>
      <c r="B103" s="10">
        <f t="shared" si="0"/>
        <v>0</v>
      </c>
      <c r="C103" s="10">
        <f>'Input Com Kitchen Measures'!B5</f>
        <v>1</v>
      </c>
      <c r="D103" s="10" t="str">
        <f>'Input Com Kitchen Measures'!C5</f>
        <v/>
      </c>
      <c r="E103" s="10" t="s">
        <v>604</v>
      </c>
      <c r="F103" s="12">
        <f>1</f>
        <v>1</v>
      </c>
      <c r="G103" s="12" t="str">
        <f>'Input Com Kitchen Measures'!L5</f>
        <v/>
      </c>
      <c r="H103" s="96" t="str">
        <f>'Input Com Kitchen Measures'!M5</f>
        <v/>
      </c>
      <c r="I103" s="42" t="str">
        <f>IFERROR(N103*MIN(Table_Measure_Caps[[#Totals],[Estimated Raw Incentive Total]], Table_Measure_Caps[[#Totals],[Gross Measure Cost Total]], Value_Project_CAP)/Table_Measure_Caps[[#Totals],[Estimated Raw Incentive Total]], "")</f>
        <v/>
      </c>
      <c r="J103" s="42">
        <f>'Input Com Kitchen Measures'!H5</f>
        <v>0</v>
      </c>
      <c r="K103" s="10">
        <f>'Input Com Kitchen Measures'!I5</f>
        <v>0</v>
      </c>
      <c r="L103" s="27" t="str">
        <f t="shared" si="3"/>
        <v>Version 5.0 - 2025</v>
      </c>
      <c r="M103" s="60">
        <f>'Input Com Kitchen Measures'!E5</f>
        <v>0</v>
      </c>
      <c r="N103" s="39" t="str">
        <f>'Input Com Kitchen Measures'!K5</f>
        <v/>
      </c>
    </row>
    <row r="104" spans="1:14">
      <c r="A104" s="11" t="s">
        <v>577</v>
      </c>
      <c r="B104" s="10">
        <f t="shared" si="0"/>
        <v>0</v>
      </c>
      <c r="C104" s="10">
        <f>'Input Com Kitchen Measures'!B6</f>
        <v>2</v>
      </c>
      <c r="D104" s="10" t="str">
        <f>'Input Com Kitchen Measures'!C6</f>
        <v/>
      </c>
      <c r="E104" s="10" t="s">
        <v>604</v>
      </c>
      <c r="F104" s="12">
        <f>1</f>
        <v>1</v>
      </c>
      <c r="G104" s="12" t="str">
        <f>'Input Com Kitchen Measures'!L6</f>
        <v/>
      </c>
      <c r="H104" s="96" t="str">
        <f>'Input Com Kitchen Measures'!M6</f>
        <v/>
      </c>
      <c r="I104" s="42" t="str">
        <f>IFERROR(N104*MIN(Table_Measure_Caps[[#Totals],[Estimated Raw Incentive Total]], Table_Measure_Caps[[#Totals],[Gross Measure Cost Total]], Value_Project_CAP)/Table_Measure_Caps[[#Totals],[Estimated Raw Incentive Total]], "")</f>
        <v/>
      </c>
      <c r="J104" s="42">
        <f>'Input Com Kitchen Measures'!H6</f>
        <v>0</v>
      </c>
      <c r="K104" s="10">
        <f>'Input Com Kitchen Measures'!I6</f>
        <v>0</v>
      </c>
      <c r="L104" s="27" t="str">
        <f t="shared" si="3"/>
        <v>Version 5.0 - 2025</v>
      </c>
      <c r="M104" s="60">
        <f>'Input Com Kitchen Measures'!E6</f>
        <v>0</v>
      </c>
      <c r="N104" s="39" t="str">
        <f>'Input Com Kitchen Measures'!K6</f>
        <v/>
      </c>
    </row>
    <row r="105" spans="1:14">
      <c r="A105" s="11" t="s">
        <v>577</v>
      </c>
      <c r="B105" s="10">
        <f t="shared" ref="B105:B132" si="4">Input_ProjectNumber</f>
        <v>0</v>
      </c>
      <c r="C105" s="10">
        <f>'Input Com Kitchen Measures'!B7</f>
        <v>3</v>
      </c>
      <c r="D105" s="10" t="str">
        <f>'Input Com Kitchen Measures'!C7</f>
        <v/>
      </c>
      <c r="E105" s="10" t="s">
        <v>604</v>
      </c>
      <c r="F105" s="12">
        <f>1</f>
        <v>1</v>
      </c>
      <c r="G105" s="12" t="str">
        <f>'Input Com Kitchen Measures'!L7</f>
        <v/>
      </c>
      <c r="H105" s="96" t="str">
        <f>'Input Com Kitchen Measures'!M7</f>
        <v/>
      </c>
      <c r="I105" s="42" t="str">
        <f>IFERROR(N105*MIN(Table_Measure_Caps[[#Totals],[Estimated Raw Incentive Total]], Table_Measure_Caps[[#Totals],[Gross Measure Cost Total]], Value_Project_CAP)/Table_Measure_Caps[[#Totals],[Estimated Raw Incentive Total]], "")</f>
        <v/>
      </c>
      <c r="J105" s="42">
        <f>'Input Com Kitchen Measures'!H7</f>
        <v>0</v>
      </c>
      <c r="K105" s="10">
        <f>'Input Com Kitchen Measures'!I7</f>
        <v>0</v>
      </c>
      <c r="L105" s="27" t="str">
        <f t="shared" si="3"/>
        <v>Version 5.0 - 2025</v>
      </c>
      <c r="M105" s="60">
        <f>'Input Com Kitchen Measures'!E7</f>
        <v>0</v>
      </c>
      <c r="N105" s="39" t="str">
        <f>'Input Com Kitchen Measures'!K7</f>
        <v/>
      </c>
    </row>
    <row r="106" spans="1:14">
      <c r="A106" s="11" t="s">
        <v>577</v>
      </c>
      <c r="B106" s="10">
        <f t="shared" si="4"/>
        <v>0</v>
      </c>
      <c r="C106" s="10">
        <f>'Input Com Kitchen Measures'!B8</f>
        <v>4</v>
      </c>
      <c r="D106" s="10" t="str">
        <f>'Input Com Kitchen Measures'!C8</f>
        <v/>
      </c>
      <c r="E106" s="10" t="s">
        <v>604</v>
      </c>
      <c r="F106" s="12">
        <f>1</f>
        <v>1</v>
      </c>
      <c r="G106" s="12" t="str">
        <f>'Input Com Kitchen Measures'!L8</f>
        <v/>
      </c>
      <c r="H106" s="96" t="str">
        <f>'Input Com Kitchen Measures'!M8</f>
        <v/>
      </c>
      <c r="I106" s="42" t="str">
        <f>IFERROR(N106*MIN(Table_Measure_Caps[[#Totals],[Estimated Raw Incentive Total]], Table_Measure_Caps[[#Totals],[Gross Measure Cost Total]], Value_Project_CAP)/Table_Measure_Caps[[#Totals],[Estimated Raw Incentive Total]], "")</f>
        <v/>
      </c>
      <c r="J106" s="42">
        <f>'Input Com Kitchen Measures'!H8</f>
        <v>0</v>
      </c>
      <c r="K106" s="10">
        <f>'Input Com Kitchen Measures'!I8</f>
        <v>0</v>
      </c>
      <c r="L106" s="27" t="str">
        <f t="shared" si="3"/>
        <v>Version 5.0 - 2025</v>
      </c>
      <c r="M106" s="60">
        <f>'Input Com Kitchen Measures'!E8</f>
        <v>0</v>
      </c>
      <c r="N106" s="39" t="str">
        <f>'Input Com Kitchen Measures'!K8</f>
        <v/>
      </c>
    </row>
    <row r="107" spans="1:14">
      <c r="A107" s="11" t="s">
        <v>577</v>
      </c>
      <c r="B107" s="10">
        <f t="shared" si="4"/>
        <v>0</v>
      </c>
      <c r="C107" s="10">
        <f>'Input Com Kitchen Measures'!B9</f>
        <v>5</v>
      </c>
      <c r="D107" s="10" t="str">
        <f>'Input Com Kitchen Measures'!C9</f>
        <v/>
      </c>
      <c r="E107" s="10" t="s">
        <v>604</v>
      </c>
      <c r="F107" s="12">
        <f>1</f>
        <v>1</v>
      </c>
      <c r="G107" s="12" t="str">
        <f>'Input Com Kitchen Measures'!L9</f>
        <v/>
      </c>
      <c r="H107" s="96" t="str">
        <f>'Input Com Kitchen Measures'!M9</f>
        <v/>
      </c>
      <c r="I107" s="42" t="str">
        <f>IFERROR(N107*MIN(Table_Measure_Caps[[#Totals],[Estimated Raw Incentive Total]], Table_Measure_Caps[[#Totals],[Gross Measure Cost Total]], Value_Project_CAP)/Table_Measure_Caps[[#Totals],[Estimated Raw Incentive Total]], "")</f>
        <v/>
      </c>
      <c r="J107" s="42">
        <f>'Input Com Kitchen Measures'!H9</f>
        <v>0</v>
      </c>
      <c r="K107" s="10">
        <f>'Input Com Kitchen Measures'!I9</f>
        <v>0</v>
      </c>
      <c r="L107" s="27" t="str">
        <f t="shared" si="3"/>
        <v>Version 5.0 - 2025</v>
      </c>
      <c r="M107" s="60">
        <f>'Input Com Kitchen Measures'!E9</f>
        <v>0</v>
      </c>
      <c r="N107" s="39" t="str">
        <f>'Input Com Kitchen Measures'!K9</f>
        <v/>
      </c>
    </row>
    <row r="108" spans="1:14">
      <c r="A108" s="11" t="s">
        <v>577</v>
      </c>
      <c r="B108" s="10">
        <f t="shared" si="4"/>
        <v>0</v>
      </c>
      <c r="C108" s="10">
        <f>'Input Com Kitchen Measures'!B10</f>
        <v>6</v>
      </c>
      <c r="D108" s="10" t="str">
        <f>'Input Com Kitchen Measures'!C10</f>
        <v/>
      </c>
      <c r="E108" s="10" t="s">
        <v>604</v>
      </c>
      <c r="F108" s="12">
        <f>1</f>
        <v>1</v>
      </c>
      <c r="G108" s="12" t="str">
        <f>'Input Com Kitchen Measures'!L10</f>
        <v/>
      </c>
      <c r="H108" s="96" t="str">
        <f>'Input Com Kitchen Measures'!M10</f>
        <v/>
      </c>
      <c r="I108" s="42" t="str">
        <f>IFERROR(N108*MIN(Table_Measure_Caps[[#Totals],[Estimated Raw Incentive Total]], Table_Measure_Caps[[#Totals],[Gross Measure Cost Total]], Value_Project_CAP)/Table_Measure_Caps[[#Totals],[Estimated Raw Incentive Total]], "")</f>
        <v/>
      </c>
      <c r="J108" s="42">
        <f>'Input Com Kitchen Measures'!H10</f>
        <v>0</v>
      </c>
      <c r="K108" s="10">
        <f>'Input Com Kitchen Measures'!I10</f>
        <v>0</v>
      </c>
      <c r="L108" s="27" t="str">
        <f t="shared" si="3"/>
        <v>Version 5.0 - 2025</v>
      </c>
      <c r="M108" s="60">
        <f>'Input Com Kitchen Measures'!E10</f>
        <v>0</v>
      </c>
      <c r="N108" s="39" t="str">
        <f>'Input Com Kitchen Measures'!K10</f>
        <v/>
      </c>
    </row>
    <row r="109" spans="1:14">
      <c r="A109" s="11" t="s">
        <v>577</v>
      </c>
      <c r="B109" s="10">
        <f t="shared" si="4"/>
        <v>0</v>
      </c>
      <c r="C109" s="10">
        <f>'Input Com Kitchen Measures'!B11</f>
        <v>7</v>
      </c>
      <c r="D109" s="10" t="str">
        <f>'Input Com Kitchen Measures'!C11</f>
        <v/>
      </c>
      <c r="E109" s="10" t="s">
        <v>604</v>
      </c>
      <c r="F109" s="12">
        <f>1</f>
        <v>1</v>
      </c>
      <c r="G109" s="12" t="str">
        <f>'Input Com Kitchen Measures'!L11</f>
        <v/>
      </c>
      <c r="H109" s="96" t="str">
        <f>'Input Com Kitchen Measures'!M11</f>
        <v/>
      </c>
      <c r="I109" s="42" t="str">
        <f>IFERROR(N109*MIN(Table_Measure_Caps[[#Totals],[Estimated Raw Incentive Total]], Table_Measure_Caps[[#Totals],[Gross Measure Cost Total]], Value_Project_CAP)/Table_Measure_Caps[[#Totals],[Estimated Raw Incentive Total]], "")</f>
        <v/>
      </c>
      <c r="J109" s="42">
        <f>'Input Com Kitchen Measures'!H11</f>
        <v>0</v>
      </c>
      <c r="K109" s="10">
        <f>'Input Com Kitchen Measures'!I11</f>
        <v>0</v>
      </c>
      <c r="L109" s="27" t="str">
        <f t="shared" si="3"/>
        <v>Version 5.0 - 2025</v>
      </c>
      <c r="M109" s="60">
        <f>'Input Com Kitchen Measures'!E11</f>
        <v>0</v>
      </c>
      <c r="N109" s="39" t="str">
        <f>'Input Com Kitchen Measures'!K11</f>
        <v/>
      </c>
    </row>
    <row r="110" spans="1:14">
      <c r="A110" s="11" t="s">
        <v>577</v>
      </c>
      <c r="B110" s="10">
        <f t="shared" si="4"/>
        <v>0</v>
      </c>
      <c r="C110" s="10">
        <f>'Input Com Kitchen Measures'!B12</f>
        <v>8</v>
      </c>
      <c r="D110" s="10" t="str">
        <f>'Input Com Kitchen Measures'!C12</f>
        <v/>
      </c>
      <c r="E110" s="10" t="s">
        <v>604</v>
      </c>
      <c r="F110" s="12">
        <f>1</f>
        <v>1</v>
      </c>
      <c r="G110" s="12" t="str">
        <f>'Input Com Kitchen Measures'!L12</f>
        <v/>
      </c>
      <c r="H110" s="96" t="str">
        <f>'Input Com Kitchen Measures'!M12</f>
        <v/>
      </c>
      <c r="I110" s="42" t="str">
        <f>IFERROR(N110*MIN(Table_Measure_Caps[[#Totals],[Estimated Raw Incentive Total]], Table_Measure_Caps[[#Totals],[Gross Measure Cost Total]], Value_Project_CAP)/Table_Measure_Caps[[#Totals],[Estimated Raw Incentive Total]], "")</f>
        <v/>
      </c>
      <c r="J110" s="42">
        <f>'Input Com Kitchen Measures'!H12</f>
        <v>0</v>
      </c>
      <c r="K110" s="10">
        <f>'Input Com Kitchen Measures'!I12</f>
        <v>0</v>
      </c>
      <c r="L110" s="27" t="str">
        <f t="shared" si="3"/>
        <v>Version 5.0 - 2025</v>
      </c>
      <c r="M110" s="60">
        <f>'Input Com Kitchen Measures'!E12</f>
        <v>0</v>
      </c>
      <c r="N110" s="39" t="str">
        <f>'Input Com Kitchen Measures'!K12</f>
        <v/>
      </c>
    </row>
    <row r="111" spans="1:14">
      <c r="A111" s="11" t="s">
        <v>577</v>
      </c>
      <c r="B111" s="10">
        <f t="shared" si="4"/>
        <v>0</v>
      </c>
      <c r="C111" s="10">
        <f>'Input Com Kitchen Measures'!B13</f>
        <v>9</v>
      </c>
      <c r="D111" s="10" t="str">
        <f>'Input Com Kitchen Measures'!C13</f>
        <v/>
      </c>
      <c r="E111" s="10" t="s">
        <v>604</v>
      </c>
      <c r="F111" s="12">
        <f>1</f>
        <v>1</v>
      </c>
      <c r="G111" s="12" t="str">
        <f>'Input Com Kitchen Measures'!L13</f>
        <v/>
      </c>
      <c r="H111" s="96" t="str">
        <f>'Input Com Kitchen Measures'!M13</f>
        <v/>
      </c>
      <c r="I111" s="42" t="str">
        <f>IFERROR(N111*MIN(Table_Measure_Caps[[#Totals],[Estimated Raw Incentive Total]], Table_Measure_Caps[[#Totals],[Gross Measure Cost Total]], Value_Project_CAP)/Table_Measure_Caps[[#Totals],[Estimated Raw Incentive Total]], "")</f>
        <v/>
      </c>
      <c r="J111" s="42">
        <f>'Input Com Kitchen Measures'!H13</f>
        <v>0</v>
      </c>
      <c r="K111" s="10">
        <f>'Input Com Kitchen Measures'!I13</f>
        <v>0</v>
      </c>
      <c r="L111" s="27" t="str">
        <f t="shared" si="3"/>
        <v>Version 5.0 - 2025</v>
      </c>
      <c r="M111" s="60">
        <f>'Input Com Kitchen Measures'!E13</f>
        <v>0</v>
      </c>
      <c r="N111" s="39" t="str">
        <f>'Input Com Kitchen Measures'!K13</f>
        <v/>
      </c>
    </row>
    <row r="112" spans="1:14">
      <c r="A112" s="11" t="s">
        <v>577</v>
      </c>
      <c r="B112" s="10">
        <f t="shared" si="4"/>
        <v>0</v>
      </c>
      <c r="C112" s="10">
        <f>'Input Com Kitchen Measures'!B14</f>
        <v>10</v>
      </c>
      <c r="D112" s="10" t="str">
        <f>'Input Com Kitchen Measures'!C14</f>
        <v/>
      </c>
      <c r="E112" s="10" t="s">
        <v>604</v>
      </c>
      <c r="F112" s="12">
        <f>1</f>
        <v>1</v>
      </c>
      <c r="G112" s="12" t="str">
        <f>'Input Com Kitchen Measures'!L14</f>
        <v/>
      </c>
      <c r="H112" s="96" t="str">
        <f>'Input Com Kitchen Measures'!M14</f>
        <v/>
      </c>
      <c r="I112" s="42" t="str">
        <f>IFERROR(N112*MIN(Table_Measure_Caps[[#Totals],[Estimated Raw Incentive Total]], Table_Measure_Caps[[#Totals],[Gross Measure Cost Total]], Value_Project_CAP)/Table_Measure_Caps[[#Totals],[Estimated Raw Incentive Total]], "")</f>
        <v/>
      </c>
      <c r="J112" s="42">
        <f>'Input Com Kitchen Measures'!H14</f>
        <v>0</v>
      </c>
      <c r="K112" s="10">
        <f>'Input Com Kitchen Measures'!I14</f>
        <v>0</v>
      </c>
      <c r="L112" s="27" t="str">
        <f t="shared" si="3"/>
        <v>Version 5.0 - 2025</v>
      </c>
      <c r="M112" s="60">
        <f>'Input Com Kitchen Measures'!E14</f>
        <v>0</v>
      </c>
      <c r="N112" s="39" t="str">
        <f>'Input Com Kitchen Measures'!K14</f>
        <v/>
      </c>
    </row>
    <row r="113" spans="1:14">
      <c r="A113" s="11" t="s">
        <v>577</v>
      </c>
      <c r="B113" s="10">
        <f t="shared" si="4"/>
        <v>0</v>
      </c>
      <c r="C113" s="10">
        <f>'Input Com Kitchen Measures'!B15</f>
        <v>11</v>
      </c>
      <c r="D113" s="10" t="str">
        <f>'Input Com Kitchen Measures'!C15</f>
        <v/>
      </c>
      <c r="E113" s="10" t="s">
        <v>604</v>
      </c>
      <c r="F113" s="12">
        <f>1</f>
        <v>1</v>
      </c>
      <c r="G113" s="12" t="str">
        <f>'Input Com Kitchen Measures'!L15</f>
        <v/>
      </c>
      <c r="H113" s="96" t="str">
        <f>'Input Com Kitchen Measures'!M15</f>
        <v/>
      </c>
      <c r="I113" s="42" t="str">
        <f>IFERROR(N113*MIN(Table_Measure_Caps[[#Totals],[Estimated Raw Incentive Total]], Table_Measure_Caps[[#Totals],[Gross Measure Cost Total]], Value_Project_CAP)/Table_Measure_Caps[[#Totals],[Estimated Raw Incentive Total]], "")</f>
        <v/>
      </c>
      <c r="J113" s="42">
        <f>'Input Com Kitchen Measures'!H15</f>
        <v>0</v>
      </c>
      <c r="K113" s="10">
        <f>'Input Com Kitchen Measures'!I15</f>
        <v>0</v>
      </c>
      <c r="L113" s="27" t="str">
        <f t="shared" si="3"/>
        <v>Version 5.0 - 2025</v>
      </c>
      <c r="M113" s="60">
        <f>'Input Com Kitchen Measures'!E15</f>
        <v>0</v>
      </c>
      <c r="N113" s="39" t="str">
        <f>'Input Com Kitchen Measures'!K15</f>
        <v/>
      </c>
    </row>
    <row r="114" spans="1:14">
      <c r="A114" s="11" t="s">
        <v>577</v>
      </c>
      <c r="B114" s="10">
        <f t="shared" si="4"/>
        <v>0</v>
      </c>
      <c r="C114" s="10">
        <f>'Input Com Kitchen Measures'!B16</f>
        <v>12</v>
      </c>
      <c r="D114" s="10" t="str">
        <f>'Input Com Kitchen Measures'!C16</f>
        <v/>
      </c>
      <c r="E114" s="10" t="s">
        <v>604</v>
      </c>
      <c r="F114" s="12">
        <f>1</f>
        <v>1</v>
      </c>
      <c r="G114" s="12" t="str">
        <f>'Input Com Kitchen Measures'!L16</f>
        <v/>
      </c>
      <c r="H114" s="96" t="str">
        <f>'Input Com Kitchen Measures'!M16</f>
        <v/>
      </c>
      <c r="I114" s="42" t="str">
        <f>IFERROR(N114*MIN(Table_Measure_Caps[[#Totals],[Estimated Raw Incentive Total]], Table_Measure_Caps[[#Totals],[Gross Measure Cost Total]], Value_Project_CAP)/Table_Measure_Caps[[#Totals],[Estimated Raw Incentive Total]], "")</f>
        <v/>
      </c>
      <c r="J114" s="42">
        <f>'Input Com Kitchen Measures'!H16</f>
        <v>0</v>
      </c>
      <c r="K114" s="10">
        <f>'Input Com Kitchen Measures'!I16</f>
        <v>0</v>
      </c>
      <c r="L114" s="27" t="str">
        <f t="shared" si="3"/>
        <v>Version 5.0 - 2025</v>
      </c>
      <c r="M114" s="60">
        <f>'Input Com Kitchen Measures'!E16</f>
        <v>0</v>
      </c>
      <c r="N114" s="39" t="str">
        <f>'Input Com Kitchen Measures'!K16</f>
        <v/>
      </c>
    </row>
    <row r="115" spans="1:14">
      <c r="A115" s="11" t="s">
        <v>577</v>
      </c>
      <c r="B115" s="10">
        <f t="shared" si="4"/>
        <v>0</v>
      </c>
      <c r="C115" s="10">
        <f>'Input Com Kitchen Measures'!B17</f>
        <v>13</v>
      </c>
      <c r="D115" s="10" t="str">
        <f>'Input Com Kitchen Measures'!C17</f>
        <v/>
      </c>
      <c r="E115" s="10" t="s">
        <v>604</v>
      </c>
      <c r="F115" s="12">
        <f>1</f>
        <v>1</v>
      </c>
      <c r="G115" s="12" t="str">
        <f>'Input Com Kitchen Measures'!L17</f>
        <v/>
      </c>
      <c r="H115" s="96" t="str">
        <f>'Input Com Kitchen Measures'!M17</f>
        <v/>
      </c>
      <c r="I115" s="42" t="str">
        <f>IFERROR(N115*MIN(Table_Measure_Caps[[#Totals],[Estimated Raw Incentive Total]], Table_Measure_Caps[[#Totals],[Gross Measure Cost Total]], Value_Project_CAP)/Table_Measure_Caps[[#Totals],[Estimated Raw Incentive Total]], "")</f>
        <v/>
      </c>
      <c r="J115" s="42">
        <f>'Input Com Kitchen Measures'!H17</f>
        <v>0</v>
      </c>
      <c r="K115" s="10">
        <f>'Input Com Kitchen Measures'!I17</f>
        <v>0</v>
      </c>
      <c r="L115" s="27" t="str">
        <f t="shared" si="3"/>
        <v>Version 5.0 - 2025</v>
      </c>
      <c r="M115" s="60">
        <f>'Input Com Kitchen Measures'!E17</f>
        <v>0</v>
      </c>
      <c r="N115" s="39" t="str">
        <f>'Input Com Kitchen Measures'!K17</f>
        <v/>
      </c>
    </row>
    <row r="116" spans="1:14">
      <c r="A116" s="11" t="s">
        <v>577</v>
      </c>
      <c r="B116" s="10">
        <f t="shared" si="4"/>
        <v>0</v>
      </c>
      <c r="C116" s="10">
        <f>'Input Com Kitchen Measures'!B18</f>
        <v>14</v>
      </c>
      <c r="D116" s="10" t="str">
        <f>'Input Com Kitchen Measures'!C18</f>
        <v/>
      </c>
      <c r="E116" s="10" t="s">
        <v>604</v>
      </c>
      <c r="F116" s="12">
        <f>1</f>
        <v>1</v>
      </c>
      <c r="G116" s="12" t="str">
        <f>'Input Com Kitchen Measures'!L18</f>
        <v/>
      </c>
      <c r="H116" s="96" t="str">
        <f>'Input Com Kitchen Measures'!M18</f>
        <v/>
      </c>
      <c r="I116" s="42" t="str">
        <f>IFERROR(N116*MIN(Table_Measure_Caps[[#Totals],[Estimated Raw Incentive Total]], Table_Measure_Caps[[#Totals],[Gross Measure Cost Total]], Value_Project_CAP)/Table_Measure_Caps[[#Totals],[Estimated Raw Incentive Total]], "")</f>
        <v/>
      </c>
      <c r="J116" s="42">
        <f>'Input Com Kitchen Measures'!H18</f>
        <v>0</v>
      </c>
      <c r="K116" s="10">
        <f>'Input Com Kitchen Measures'!I18</f>
        <v>0</v>
      </c>
      <c r="L116" s="27" t="str">
        <f t="shared" si="3"/>
        <v>Version 5.0 - 2025</v>
      </c>
      <c r="M116" s="60">
        <f>'Input Com Kitchen Measures'!E18</f>
        <v>0</v>
      </c>
      <c r="N116" s="39" t="str">
        <f>'Input Com Kitchen Measures'!K18</f>
        <v/>
      </c>
    </row>
    <row r="117" spans="1:14">
      <c r="A117" s="11" t="s">
        <v>577</v>
      </c>
      <c r="B117" s="10">
        <f t="shared" si="4"/>
        <v>0</v>
      </c>
      <c r="C117" s="10">
        <f>'Input Com Kitchen Measures'!B19</f>
        <v>15</v>
      </c>
      <c r="D117" s="10" t="str">
        <f>'Input Com Kitchen Measures'!C19</f>
        <v/>
      </c>
      <c r="E117" s="10" t="s">
        <v>604</v>
      </c>
      <c r="F117" s="12">
        <f>1</f>
        <v>1</v>
      </c>
      <c r="G117" s="12" t="str">
        <f>'Input Com Kitchen Measures'!L19</f>
        <v/>
      </c>
      <c r="H117" s="96" t="str">
        <f>'Input Com Kitchen Measures'!M19</f>
        <v/>
      </c>
      <c r="I117" s="42" t="str">
        <f>IFERROR(N117*MIN(Table_Measure_Caps[[#Totals],[Estimated Raw Incentive Total]], Table_Measure_Caps[[#Totals],[Gross Measure Cost Total]], Value_Project_CAP)/Table_Measure_Caps[[#Totals],[Estimated Raw Incentive Total]], "")</f>
        <v/>
      </c>
      <c r="J117" s="42">
        <f>'Input Com Kitchen Measures'!H19</f>
        <v>0</v>
      </c>
      <c r="K117" s="10">
        <f>'Input Com Kitchen Measures'!I19</f>
        <v>0</v>
      </c>
      <c r="L117" s="27" t="str">
        <f t="shared" si="3"/>
        <v>Version 5.0 - 2025</v>
      </c>
      <c r="M117" s="60">
        <f>'Input Com Kitchen Measures'!E19</f>
        <v>0</v>
      </c>
      <c r="N117" s="39" t="str">
        <f>'Input Com Kitchen Measures'!K19</f>
        <v/>
      </c>
    </row>
    <row r="118" spans="1:14">
      <c r="A118" s="11" t="s">
        <v>577</v>
      </c>
      <c r="B118" s="10">
        <f t="shared" si="4"/>
        <v>0</v>
      </c>
      <c r="C118" s="10">
        <f>'Input Com Kitchen Measures'!B20</f>
        <v>16</v>
      </c>
      <c r="D118" s="10" t="str">
        <f>'Input Com Kitchen Measures'!C20</f>
        <v/>
      </c>
      <c r="E118" s="10" t="s">
        <v>604</v>
      </c>
      <c r="F118" s="12">
        <f>1</f>
        <v>1</v>
      </c>
      <c r="G118" s="12" t="str">
        <f>'Input Com Kitchen Measures'!L20</f>
        <v/>
      </c>
      <c r="H118" s="96" t="str">
        <f>'Input Com Kitchen Measures'!M20</f>
        <v/>
      </c>
      <c r="I118" s="42" t="str">
        <f>IFERROR(N118*MIN(Table_Measure_Caps[[#Totals],[Estimated Raw Incentive Total]], Table_Measure_Caps[[#Totals],[Gross Measure Cost Total]], Value_Project_CAP)/Table_Measure_Caps[[#Totals],[Estimated Raw Incentive Total]], "")</f>
        <v/>
      </c>
      <c r="J118" s="42">
        <f>'Input Com Kitchen Measures'!H20</f>
        <v>0</v>
      </c>
      <c r="K118" s="10">
        <f>'Input Com Kitchen Measures'!I20</f>
        <v>0</v>
      </c>
      <c r="L118" s="27" t="str">
        <f t="shared" si="3"/>
        <v>Version 5.0 - 2025</v>
      </c>
      <c r="M118" s="60">
        <f>'Input Com Kitchen Measures'!E20</f>
        <v>0</v>
      </c>
      <c r="N118" s="39" t="str">
        <f>'Input Com Kitchen Measures'!K20</f>
        <v/>
      </c>
    </row>
    <row r="119" spans="1:14">
      <c r="A119" s="11" t="s">
        <v>577</v>
      </c>
      <c r="B119" s="10">
        <f t="shared" si="4"/>
        <v>0</v>
      </c>
      <c r="C119" s="10">
        <f>'Input Com Kitchen Measures'!B21</f>
        <v>17</v>
      </c>
      <c r="D119" s="10" t="str">
        <f>'Input Com Kitchen Measures'!C21</f>
        <v/>
      </c>
      <c r="E119" s="10" t="s">
        <v>604</v>
      </c>
      <c r="F119" s="12">
        <f>1</f>
        <v>1</v>
      </c>
      <c r="G119" s="12" t="str">
        <f>'Input Com Kitchen Measures'!L21</f>
        <v/>
      </c>
      <c r="H119" s="96" t="str">
        <f>'Input Com Kitchen Measures'!M21</f>
        <v/>
      </c>
      <c r="I119" s="42" t="str">
        <f>IFERROR(N119*MIN(Table_Measure_Caps[[#Totals],[Estimated Raw Incentive Total]], Table_Measure_Caps[[#Totals],[Gross Measure Cost Total]], Value_Project_CAP)/Table_Measure_Caps[[#Totals],[Estimated Raw Incentive Total]], "")</f>
        <v/>
      </c>
      <c r="J119" s="42">
        <f>'Input Com Kitchen Measures'!H21</f>
        <v>0</v>
      </c>
      <c r="K119" s="10">
        <f>'Input Com Kitchen Measures'!I21</f>
        <v>0</v>
      </c>
      <c r="L119" s="27" t="str">
        <f t="shared" si="3"/>
        <v>Version 5.0 - 2025</v>
      </c>
      <c r="M119" s="60">
        <f>'Input Com Kitchen Measures'!E21</f>
        <v>0</v>
      </c>
      <c r="N119" s="39" t="str">
        <f>'Input Com Kitchen Measures'!K21</f>
        <v/>
      </c>
    </row>
    <row r="120" spans="1:14">
      <c r="A120" s="11" t="s">
        <v>577</v>
      </c>
      <c r="B120" s="10">
        <f t="shared" si="4"/>
        <v>0</v>
      </c>
      <c r="C120" s="10">
        <f>'Input Com Kitchen Measures'!B22</f>
        <v>18</v>
      </c>
      <c r="D120" s="10" t="str">
        <f>'Input Com Kitchen Measures'!C22</f>
        <v/>
      </c>
      <c r="E120" s="10" t="s">
        <v>604</v>
      </c>
      <c r="F120" s="12">
        <f>1</f>
        <v>1</v>
      </c>
      <c r="G120" s="12" t="str">
        <f>'Input Com Kitchen Measures'!L22</f>
        <v/>
      </c>
      <c r="H120" s="96" t="str">
        <f>'Input Com Kitchen Measures'!M22</f>
        <v/>
      </c>
      <c r="I120" s="42" t="str">
        <f>IFERROR(N120*MIN(Table_Measure_Caps[[#Totals],[Estimated Raw Incentive Total]], Table_Measure_Caps[[#Totals],[Gross Measure Cost Total]], Value_Project_CAP)/Table_Measure_Caps[[#Totals],[Estimated Raw Incentive Total]], "")</f>
        <v/>
      </c>
      <c r="J120" s="42">
        <f>'Input Com Kitchen Measures'!H22</f>
        <v>0</v>
      </c>
      <c r="K120" s="10">
        <f>'Input Com Kitchen Measures'!I22</f>
        <v>0</v>
      </c>
      <c r="L120" s="27" t="str">
        <f t="shared" si="3"/>
        <v>Version 5.0 - 2025</v>
      </c>
      <c r="M120" s="60">
        <f>'Input Com Kitchen Measures'!E22</f>
        <v>0</v>
      </c>
      <c r="N120" s="39" t="str">
        <f>'Input Com Kitchen Measures'!K22</f>
        <v/>
      </c>
    </row>
    <row r="121" spans="1:14">
      <c r="A121" s="11" t="s">
        <v>577</v>
      </c>
      <c r="B121" s="10">
        <f t="shared" si="4"/>
        <v>0</v>
      </c>
      <c r="C121" s="10">
        <f>'Input Com Kitchen Measures'!B23</f>
        <v>19</v>
      </c>
      <c r="D121" s="10" t="str">
        <f>'Input Com Kitchen Measures'!C23</f>
        <v/>
      </c>
      <c r="E121" s="10" t="s">
        <v>604</v>
      </c>
      <c r="F121" s="12">
        <f>1</f>
        <v>1</v>
      </c>
      <c r="G121" s="12" t="str">
        <f>'Input Com Kitchen Measures'!L23</f>
        <v/>
      </c>
      <c r="H121" s="96" t="str">
        <f>'Input Com Kitchen Measures'!M23</f>
        <v/>
      </c>
      <c r="I121" s="42" t="str">
        <f>IFERROR(N121*MIN(Table_Measure_Caps[[#Totals],[Estimated Raw Incentive Total]], Table_Measure_Caps[[#Totals],[Gross Measure Cost Total]], Value_Project_CAP)/Table_Measure_Caps[[#Totals],[Estimated Raw Incentive Total]], "")</f>
        <v/>
      </c>
      <c r="J121" s="42">
        <f>'Input Com Kitchen Measures'!H23</f>
        <v>0</v>
      </c>
      <c r="K121" s="10">
        <f>'Input Com Kitchen Measures'!I23</f>
        <v>0</v>
      </c>
      <c r="L121" s="27" t="str">
        <f t="shared" si="3"/>
        <v>Version 5.0 - 2025</v>
      </c>
      <c r="M121" s="60">
        <f>'Input Com Kitchen Measures'!E23</f>
        <v>0</v>
      </c>
      <c r="N121" s="39" t="str">
        <f>'Input Com Kitchen Measures'!K23</f>
        <v/>
      </c>
    </row>
    <row r="122" spans="1:14">
      <c r="A122" s="11" t="s">
        <v>577</v>
      </c>
      <c r="B122" s="10">
        <f t="shared" si="4"/>
        <v>0</v>
      </c>
      <c r="C122" s="10">
        <f>'Input Com Kitchen Measures'!B24</f>
        <v>20</v>
      </c>
      <c r="D122" s="10" t="str">
        <f>'Input Com Kitchen Measures'!C24</f>
        <v/>
      </c>
      <c r="E122" s="10" t="s">
        <v>604</v>
      </c>
      <c r="F122" s="12">
        <f>1</f>
        <v>1</v>
      </c>
      <c r="G122" s="12" t="str">
        <f>'Input Com Kitchen Measures'!L24</f>
        <v/>
      </c>
      <c r="H122" s="96" t="str">
        <f>'Input Com Kitchen Measures'!M24</f>
        <v/>
      </c>
      <c r="I122" s="42" t="str">
        <f>IFERROR(N122*MIN(Table_Measure_Caps[[#Totals],[Estimated Raw Incentive Total]], Table_Measure_Caps[[#Totals],[Gross Measure Cost Total]], Value_Project_CAP)/Table_Measure_Caps[[#Totals],[Estimated Raw Incentive Total]], "")</f>
        <v/>
      </c>
      <c r="J122" s="42">
        <f>'Input Com Kitchen Measures'!H24</f>
        <v>0</v>
      </c>
      <c r="K122" s="10">
        <f>'Input Com Kitchen Measures'!I24</f>
        <v>0</v>
      </c>
      <c r="L122" s="27" t="str">
        <f t="shared" si="3"/>
        <v>Version 5.0 - 2025</v>
      </c>
      <c r="M122" s="60">
        <f>'Input Com Kitchen Measures'!E24</f>
        <v>0</v>
      </c>
      <c r="N122" s="39" t="str">
        <f>'Input Com Kitchen Measures'!K24</f>
        <v/>
      </c>
    </row>
    <row r="123" spans="1:14">
      <c r="A123" s="11" t="s">
        <v>577</v>
      </c>
      <c r="B123" s="10">
        <f t="shared" si="4"/>
        <v>0</v>
      </c>
      <c r="C123" s="10">
        <f>'Input Com Kitchen Measures'!B25</f>
        <v>21</v>
      </c>
      <c r="D123" s="10" t="str">
        <f>'Input Com Kitchen Measures'!C25</f>
        <v/>
      </c>
      <c r="E123" s="10" t="s">
        <v>604</v>
      </c>
      <c r="F123" s="12">
        <f>1</f>
        <v>1</v>
      </c>
      <c r="G123" s="12" t="str">
        <f>'Input Com Kitchen Measures'!L25</f>
        <v/>
      </c>
      <c r="H123" s="96" t="str">
        <f>'Input Com Kitchen Measures'!M25</f>
        <v/>
      </c>
      <c r="I123" s="42" t="str">
        <f>IFERROR(N123*MIN(Table_Measure_Caps[[#Totals],[Estimated Raw Incentive Total]], Table_Measure_Caps[[#Totals],[Gross Measure Cost Total]], Value_Project_CAP)/Table_Measure_Caps[[#Totals],[Estimated Raw Incentive Total]], "")</f>
        <v/>
      </c>
      <c r="J123" s="42">
        <f>'Input Com Kitchen Measures'!H25</f>
        <v>0</v>
      </c>
      <c r="K123" s="10">
        <f>'Input Com Kitchen Measures'!I25</f>
        <v>0</v>
      </c>
      <c r="L123" s="27" t="str">
        <f t="shared" si="3"/>
        <v>Version 5.0 - 2025</v>
      </c>
      <c r="M123" s="60">
        <f>'Input Com Kitchen Measures'!E25</f>
        <v>0</v>
      </c>
      <c r="N123" s="39" t="str">
        <f>'Input Com Kitchen Measures'!K25</f>
        <v/>
      </c>
    </row>
    <row r="124" spans="1:14">
      <c r="A124" s="11" t="s">
        <v>577</v>
      </c>
      <c r="B124" s="10">
        <f t="shared" si="4"/>
        <v>0</v>
      </c>
      <c r="C124" s="10">
        <f>'Input Com Kitchen Measures'!B26</f>
        <v>22</v>
      </c>
      <c r="D124" s="10" t="str">
        <f>'Input Com Kitchen Measures'!C26</f>
        <v/>
      </c>
      <c r="E124" s="10" t="s">
        <v>604</v>
      </c>
      <c r="F124" s="12">
        <f>1</f>
        <v>1</v>
      </c>
      <c r="G124" s="12" t="str">
        <f>'Input Com Kitchen Measures'!L26</f>
        <v/>
      </c>
      <c r="H124" s="96" t="str">
        <f>'Input Com Kitchen Measures'!M26</f>
        <v/>
      </c>
      <c r="I124" s="42" t="str">
        <f>IFERROR(N124*MIN(Table_Measure_Caps[[#Totals],[Estimated Raw Incentive Total]], Table_Measure_Caps[[#Totals],[Gross Measure Cost Total]], Value_Project_CAP)/Table_Measure_Caps[[#Totals],[Estimated Raw Incentive Total]], "")</f>
        <v/>
      </c>
      <c r="J124" s="42">
        <f>'Input Com Kitchen Measures'!H26</f>
        <v>0</v>
      </c>
      <c r="K124" s="10">
        <f>'Input Com Kitchen Measures'!I26</f>
        <v>0</v>
      </c>
      <c r="L124" s="27" t="str">
        <f t="shared" si="3"/>
        <v>Version 5.0 - 2025</v>
      </c>
      <c r="M124" s="60">
        <f>'Input Com Kitchen Measures'!E26</f>
        <v>0</v>
      </c>
      <c r="N124" s="39" t="str">
        <f>'Input Com Kitchen Measures'!K26</f>
        <v/>
      </c>
    </row>
    <row r="125" spans="1:14">
      <c r="A125" s="11" t="s">
        <v>577</v>
      </c>
      <c r="B125" s="10">
        <f t="shared" si="4"/>
        <v>0</v>
      </c>
      <c r="C125" s="10">
        <f>'Input Com Kitchen Measures'!B27</f>
        <v>23</v>
      </c>
      <c r="D125" s="10" t="str">
        <f>'Input Com Kitchen Measures'!C27</f>
        <v/>
      </c>
      <c r="E125" s="10" t="s">
        <v>604</v>
      </c>
      <c r="F125" s="12">
        <f>1</f>
        <v>1</v>
      </c>
      <c r="G125" s="12" t="str">
        <f>'Input Com Kitchen Measures'!L27</f>
        <v/>
      </c>
      <c r="H125" s="96" t="str">
        <f>'Input Com Kitchen Measures'!M27</f>
        <v/>
      </c>
      <c r="I125" s="42" t="str">
        <f>IFERROR(N125*MIN(Table_Measure_Caps[[#Totals],[Estimated Raw Incentive Total]], Table_Measure_Caps[[#Totals],[Gross Measure Cost Total]], Value_Project_CAP)/Table_Measure_Caps[[#Totals],[Estimated Raw Incentive Total]], "")</f>
        <v/>
      </c>
      <c r="J125" s="42">
        <f>'Input Com Kitchen Measures'!H27</f>
        <v>0</v>
      </c>
      <c r="K125" s="10">
        <f>'Input Com Kitchen Measures'!I27</f>
        <v>0</v>
      </c>
      <c r="L125" s="27" t="str">
        <f t="shared" si="3"/>
        <v>Version 5.0 - 2025</v>
      </c>
      <c r="M125" s="60">
        <f>'Input Com Kitchen Measures'!E27</f>
        <v>0</v>
      </c>
      <c r="N125" s="39" t="str">
        <f>'Input Com Kitchen Measures'!K27</f>
        <v/>
      </c>
    </row>
    <row r="126" spans="1:14">
      <c r="A126" s="11" t="s">
        <v>577</v>
      </c>
      <c r="B126" s="10">
        <f t="shared" si="4"/>
        <v>0</v>
      </c>
      <c r="C126" s="10">
        <f>'Input Com Kitchen Measures'!B28</f>
        <v>24</v>
      </c>
      <c r="D126" s="10" t="str">
        <f>'Input Com Kitchen Measures'!C28</f>
        <v/>
      </c>
      <c r="E126" s="10" t="s">
        <v>604</v>
      </c>
      <c r="F126" s="12">
        <f>1</f>
        <v>1</v>
      </c>
      <c r="G126" s="12" t="str">
        <f>'Input Com Kitchen Measures'!L28</f>
        <v/>
      </c>
      <c r="H126" s="96" t="str">
        <f>'Input Com Kitchen Measures'!M28</f>
        <v/>
      </c>
      <c r="I126" s="42" t="str">
        <f>IFERROR(N126*MIN(Table_Measure_Caps[[#Totals],[Estimated Raw Incentive Total]], Table_Measure_Caps[[#Totals],[Gross Measure Cost Total]], Value_Project_CAP)/Table_Measure_Caps[[#Totals],[Estimated Raw Incentive Total]], "")</f>
        <v/>
      </c>
      <c r="J126" s="42">
        <f>'Input Com Kitchen Measures'!H28</f>
        <v>0</v>
      </c>
      <c r="K126" s="10">
        <f>'Input Com Kitchen Measures'!I28</f>
        <v>0</v>
      </c>
      <c r="L126" s="27" t="str">
        <f t="shared" si="3"/>
        <v>Version 5.0 - 2025</v>
      </c>
      <c r="M126" s="60">
        <f>'Input Com Kitchen Measures'!E28</f>
        <v>0</v>
      </c>
      <c r="N126" s="39" t="str">
        <f>'Input Com Kitchen Measures'!K28</f>
        <v/>
      </c>
    </row>
    <row r="127" spans="1:14">
      <c r="A127" s="11" t="s">
        <v>577</v>
      </c>
      <c r="B127" s="10">
        <f t="shared" si="4"/>
        <v>0</v>
      </c>
      <c r="C127" s="10">
        <f>'Input Com Kitchen Measures'!B29</f>
        <v>25</v>
      </c>
      <c r="D127" s="10" t="str">
        <f>'Input Com Kitchen Measures'!C29</f>
        <v/>
      </c>
      <c r="E127" s="10" t="s">
        <v>604</v>
      </c>
      <c r="F127" s="12">
        <f>1</f>
        <v>1</v>
      </c>
      <c r="G127" s="12" t="str">
        <f>'Input Com Kitchen Measures'!L29</f>
        <v/>
      </c>
      <c r="H127" s="96" t="str">
        <f>'Input Com Kitchen Measures'!M29</f>
        <v/>
      </c>
      <c r="I127" s="42" t="str">
        <f>IFERROR(N127*MIN(Table_Measure_Caps[[#Totals],[Estimated Raw Incentive Total]], Table_Measure_Caps[[#Totals],[Gross Measure Cost Total]], Value_Project_CAP)/Table_Measure_Caps[[#Totals],[Estimated Raw Incentive Total]], "")</f>
        <v/>
      </c>
      <c r="J127" s="42">
        <f>'Input Com Kitchen Measures'!H29</f>
        <v>0</v>
      </c>
      <c r="K127" s="10">
        <f>'Input Com Kitchen Measures'!I29</f>
        <v>0</v>
      </c>
      <c r="L127" s="27" t="str">
        <f t="shared" si="3"/>
        <v>Version 5.0 - 2025</v>
      </c>
      <c r="M127" s="60">
        <f>'Input Com Kitchen Measures'!E29</f>
        <v>0</v>
      </c>
      <c r="N127" s="39" t="str">
        <f>'Input Com Kitchen Measures'!K29</f>
        <v/>
      </c>
    </row>
    <row r="128" spans="1:14">
      <c r="A128" s="11" t="s">
        <v>577</v>
      </c>
      <c r="B128" s="10">
        <f t="shared" si="4"/>
        <v>0</v>
      </c>
      <c r="C128" s="10">
        <f>'Input Com Kitchen Measures'!B30</f>
        <v>26</v>
      </c>
      <c r="D128" s="10" t="str">
        <f>'Input Com Kitchen Measures'!C30</f>
        <v/>
      </c>
      <c r="E128" s="10" t="s">
        <v>604</v>
      </c>
      <c r="F128" s="12">
        <f>1</f>
        <v>1</v>
      </c>
      <c r="G128" s="12" t="str">
        <f>'Input Com Kitchen Measures'!L30</f>
        <v/>
      </c>
      <c r="H128" s="96" t="str">
        <f>'Input Com Kitchen Measures'!M30</f>
        <v/>
      </c>
      <c r="I128" s="42" t="str">
        <f>IFERROR(N128*MIN(Table_Measure_Caps[[#Totals],[Estimated Raw Incentive Total]], Table_Measure_Caps[[#Totals],[Gross Measure Cost Total]], Value_Project_CAP)/Table_Measure_Caps[[#Totals],[Estimated Raw Incentive Total]], "")</f>
        <v/>
      </c>
      <c r="J128" s="42">
        <f>'Input Com Kitchen Measures'!H30</f>
        <v>0</v>
      </c>
      <c r="K128" s="10">
        <f>'Input Com Kitchen Measures'!I30</f>
        <v>0</v>
      </c>
      <c r="L128" s="27" t="str">
        <f t="shared" si="3"/>
        <v>Version 5.0 - 2025</v>
      </c>
      <c r="M128" s="60">
        <f>'Input Com Kitchen Measures'!E30</f>
        <v>0</v>
      </c>
      <c r="N128" s="39" t="str">
        <f>'Input Com Kitchen Measures'!K30</f>
        <v/>
      </c>
    </row>
    <row r="129" spans="1:14">
      <c r="A129" s="11" t="s">
        <v>577</v>
      </c>
      <c r="B129" s="10">
        <f t="shared" si="4"/>
        <v>0</v>
      </c>
      <c r="C129" s="10">
        <f>'Input Com Kitchen Measures'!B31</f>
        <v>27</v>
      </c>
      <c r="D129" s="10" t="str">
        <f>'Input Com Kitchen Measures'!C31</f>
        <v/>
      </c>
      <c r="E129" s="10" t="s">
        <v>604</v>
      </c>
      <c r="F129" s="12">
        <f>1</f>
        <v>1</v>
      </c>
      <c r="G129" s="12" t="str">
        <f>'Input Com Kitchen Measures'!L31</f>
        <v/>
      </c>
      <c r="H129" s="96" t="str">
        <f>'Input Com Kitchen Measures'!M31</f>
        <v/>
      </c>
      <c r="I129" s="42" t="str">
        <f>IFERROR(N129*MIN(Table_Measure_Caps[[#Totals],[Estimated Raw Incentive Total]], Table_Measure_Caps[[#Totals],[Gross Measure Cost Total]], Value_Project_CAP)/Table_Measure_Caps[[#Totals],[Estimated Raw Incentive Total]], "")</f>
        <v/>
      </c>
      <c r="J129" s="42">
        <f>'Input Com Kitchen Measures'!H31</f>
        <v>0</v>
      </c>
      <c r="K129" s="10">
        <f>'Input Com Kitchen Measures'!I31</f>
        <v>0</v>
      </c>
      <c r="L129" s="27" t="str">
        <f t="shared" si="3"/>
        <v>Version 5.0 - 2025</v>
      </c>
      <c r="M129" s="60">
        <f>'Input Com Kitchen Measures'!E31</f>
        <v>0</v>
      </c>
      <c r="N129" s="39" t="str">
        <f>'Input Com Kitchen Measures'!K31</f>
        <v/>
      </c>
    </row>
    <row r="130" spans="1:14">
      <c r="A130" s="11" t="s">
        <v>577</v>
      </c>
      <c r="B130" s="10">
        <f t="shared" si="4"/>
        <v>0</v>
      </c>
      <c r="C130" s="10">
        <f>'Input Com Kitchen Measures'!B32</f>
        <v>28</v>
      </c>
      <c r="D130" s="10" t="str">
        <f>'Input Com Kitchen Measures'!C32</f>
        <v/>
      </c>
      <c r="E130" s="10" t="s">
        <v>604</v>
      </c>
      <c r="F130" s="12">
        <f>1</f>
        <v>1</v>
      </c>
      <c r="G130" s="12" t="str">
        <f>'Input Com Kitchen Measures'!L32</f>
        <v/>
      </c>
      <c r="H130" s="96" t="str">
        <f>'Input Com Kitchen Measures'!M32</f>
        <v/>
      </c>
      <c r="I130" s="42" t="str">
        <f>IFERROR(N130*MIN(Table_Measure_Caps[[#Totals],[Estimated Raw Incentive Total]], Table_Measure_Caps[[#Totals],[Gross Measure Cost Total]], Value_Project_CAP)/Table_Measure_Caps[[#Totals],[Estimated Raw Incentive Total]], "")</f>
        <v/>
      </c>
      <c r="J130" s="42">
        <f>'Input Com Kitchen Measures'!H32</f>
        <v>0</v>
      </c>
      <c r="K130" s="10">
        <f>'Input Com Kitchen Measures'!I32</f>
        <v>0</v>
      </c>
      <c r="L130" s="27" t="str">
        <f t="shared" ref="L130:L193" si="5">Value_Application_Version</f>
        <v>Version 5.0 - 2025</v>
      </c>
      <c r="M130" s="60">
        <f>'Input Com Kitchen Measures'!E32</f>
        <v>0</v>
      </c>
      <c r="N130" s="39" t="str">
        <f>'Input Com Kitchen Measures'!K32</f>
        <v/>
      </c>
    </row>
    <row r="131" spans="1:14">
      <c r="A131" s="11" t="s">
        <v>577</v>
      </c>
      <c r="B131" s="10">
        <f t="shared" si="4"/>
        <v>0</v>
      </c>
      <c r="C131" s="10">
        <f>'Input Com Kitchen Measures'!B33</f>
        <v>29</v>
      </c>
      <c r="D131" s="10" t="str">
        <f>'Input Com Kitchen Measures'!C33</f>
        <v/>
      </c>
      <c r="E131" s="10" t="s">
        <v>604</v>
      </c>
      <c r="F131" s="12">
        <f>1</f>
        <v>1</v>
      </c>
      <c r="G131" s="12" t="str">
        <f>'Input Com Kitchen Measures'!L33</f>
        <v/>
      </c>
      <c r="H131" s="96" t="str">
        <f>'Input Com Kitchen Measures'!M33</f>
        <v/>
      </c>
      <c r="I131" s="42" t="str">
        <f>IFERROR(N131*MIN(Table_Measure_Caps[[#Totals],[Estimated Raw Incentive Total]], Table_Measure_Caps[[#Totals],[Gross Measure Cost Total]], Value_Project_CAP)/Table_Measure_Caps[[#Totals],[Estimated Raw Incentive Total]], "")</f>
        <v/>
      </c>
      <c r="J131" s="42">
        <f>'Input Com Kitchen Measures'!H33</f>
        <v>0</v>
      </c>
      <c r="K131" s="10">
        <f>'Input Com Kitchen Measures'!I33</f>
        <v>0</v>
      </c>
      <c r="L131" s="27" t="str">
        <f t="shared" si="5"/>
        <v>Version 5.0 - 2025</v>
      </c>
      <c r="M131" s="60">
        <f>'Input Com Kitchen Measures'!E33</f>
        <v>0</v>
      </c>
      <c r="N131" s="39" t="str">
        <f>'Input Com Kitchen Measures'!K33</f>
        <v/>
      </c>
    </row>
    <row r="132" spans="1:14">
      <c r="A132" s="11" t="s">
        <v>577</v>
      </c>
      <c r="B132" s="10">
        <f t="shared" si="4"/>
        <v>0</v>
      </c>
      <c r="C132" s="10">
        <f>'Input Com Kitchen Measures'!B34</f>
        <v>30</v>
      </c>
      <c r="D132" s="10" t="str">
        <f>'Input Com Kitchen Measures'!C34</f>
        <v/>
      </c>
      <c r="E132" s="10" t="s">
        <v>604</v>
      </c>
      <c r="F132" s="12">
        <f>1</f>
        <v>1</v>
      </c>
      <c r="G132" s="12" t="str">
        <f>'Input Com Kitchen Measures'!L34</f>
        <v/>
      </c>
      <c r="H132" s="96" t="str">
        <f>'Input Com Kitchen Measures'!M34</f>
        <v/>
      </c>
      <c r="I132" s="42" t="str">
        <f>IFERROR(N132*MIN(Table_Measure_Caps[[#Totals],[Estimated Raw Incentive Total]], Table_Measure_Caps[[#Totals],[Gross Measure Cost Total]], Value_Project_CAP)/Table_Measure_Caps[[#Totals],[Estimated Raw Incentive Total]], "")</f>
        <v/>
      </c>
      <c r="J132" s="42">
        <f>'Input Com Kitchen Measures'!H34</f>
        <v>0</v>
      </c>
      <c r="K132" s="10">
        <f>'Input Com Kitchen Measures'!I34</f>
        <v>0</v>
      </c>
      <c r="L132" s="27" t="str">
        <f t="shared" si="5"/>
        <v>Version 5.0 - 2025</v>
      </c>
      <c r="M132" s="60">
        <f>'Input Com Kitchen Measures'!E34</f>
        <v>0</v>
      </c>
      <c r="N132" s="39" t="str">
        <f>'Input Com Kitchen Measures'!K34</f>
        <v/>
      </c>
    </row>
    <row r="133" spans="1:14">
      <c r="A133" s="73" t="s">
        <v>492</v>
      </c>
      <c r="B133" s="74">
        <f t="shared" ref="B133:B164" si="6">Input_ProjectNumber</f>
        <v>0</v>
      </c>
      <c r="C133" s="74">
        <v>1</v>
      </c>
      <c r="D133" s="74" t="str">
        <f>'Input Window Film Measures'!C5</f>
        <v/>
      </c>
      <c r="E133" s="74" t="str">
        <f>'Input Window Film Measures'!F5</f>
        <v/>
      </c>
      <c r="F133" s="74">
        <f>'Input Window Film Measures'!H5</f>
        <v>0</v>
      </c>
      <c r="G133" s="75" t="str">
        <f>'Input Window Film Measures'!M5</f>
        <v/>
      </c>
      <c r="H133" s="98" t="str">
        <f>'Input Window Film Measures'!N5</f>
        <v/>
      </c>
      <c r="I133" s="77" t="str">
        <f>IFERROR(N133*MIN(Table_Measure_Caps[[#Totals],[Estimated Raw Incentive Total]], Table_Measure_Caps[[#Totals],[Gross Measure Cost Total]], Value_Project_CAP)/Table_Measure_Caps[[#Totals],[Estimated Raw Incentive Total]], "")</f>
        <v/>
      </c>
      <c r="J133" s="77">
        <f>'Input Window Film Measures'!I5</f>
        <v>0</v>
      </c>
      <c r="K133" s="74">
        <f>'Input Window Film Measures'!J5</f>
        <v>0</v>
      </c>
      <c r="L133" s="78" t="str">
        <f t="shared" si="5"/>
        <v>Version 5.0 - 2025</v>
      </c>
      <c r="M133" s="79">
        <f>'Input Window Film Measures'!E5</f>
        <v>0</v>
      </c>
      <c r="N133" s="76" t="str">
        <f>'Input Window Film Measures'!L5</f>
        <v/>
      </c>
    </row>
    <row r="134" spans="1:14">
      <c r="A134" s="73" t="s">
        <v>492</v>
      </c>
      <c r="B134" s="80">
        <f t="shared" si="6"/>
        <v>0</v>
      </c>
      <c r="C134" s="80">
        <v>2</v>
      </c>
      <c r="D134" s="74" t="str">
        <f>'Input Window Film Measures'!C6</f>
        <v/>
      </c>
      <c r="E134" s="74" t="str">
        <f>'Input Window Film Measures'!F6</f>
        <v/>
      </c>
      <c r="F134" s="74">
        <f>'Input Window Film Measures'!H6</f>
        <v>0</v>
      </c>
      <c r="G134" s="75" t="str">
        <f>'Input Window Film Measures'!M6</f>
        <v/>
      </c>
      <c r="H134" s="98" t="str">
        <f>'Input Window Film Measures'!N6</f>
        <v/>
      </c>
      <c r="I134" s="77" t="str">
        <f>IFERROR(N134*MIN(Table_Measure_Caps[[#Totals],[Estimated Raw Incentive Total]], Table_Measure_Caps[[#Totals],[Gross Measure Cost Total]], Value_Project_CAP)/Table_Measure_Caps[[#Totals],[Estimated Raw Incentive Total]], "")</f>
        <v/>
      </c>
      <c r="J134" s="77">
        <f>'Input Window Film Measures'!I6</f>
        <v>0</v>
      </c>
      <c r="K134" s="74">
        <f>'Input Window Film Measures'!J6</f>
        <v>0</v>
      </c>
      <c r="L134" s="78" t="str">
        <f t="shared" si="5"/>
        <v>Version 5.0 - 2025</v>
      </c>
      <c r="M134" s="79">
        <f>'Input Window Film Measures'!E6</f>
        <v>0</v>
      </c>
      <c r="N134" s="76" t="str">
        <f>'Input Window Film Measures'!L6</f>
        <v/>
      </c>
    </row>
    <row r="135" spans="1:14">
      <c r="A135" s="73" t="s">
        <v>492</v>
      </c>
      <c r="B135" s="74">
        <f t="shared" si="6"/>
        <v>0</v>
      </c>
      <c r="C135" s="74">
        <v>3</v>
      </c>
      <c r="D135" s="74" t="str">
        <f>'Input Window Film Measures'!C7</f>
        <v/>
      </c>
      <c r="E135" s="74" t="str">
        <f>'Input Window Film Measures'!F7</f>
        <v/>
      </c>
      <c r="F135" s="74">
        <f>'Input Window Film Measures'!H7</f>
        <v>0</v>
      </c>
      <c r="G135" s="75" t="str">
        <f>'Input Window Film Measures'!M7</f>
        <v/>
      </c>
      <c r="H135" s="98" t="str">
        <f>'Input Window Film Measures'!N7</f>
        <v/>
      </c>
      <c r="I135" s="77" t="str">
        <f>IFERROR(N135*MIN(Table_Measure_Caps[[#Totals],[Estimated Raw Incentive Total]], Table_Measure_Caps[[#Totals],[Gross Measure Cost Total]], Value_Project_CAP)/Table_Measure_Caps[[#Totals],[Estimated Raw Incentive Total]], "")</f>
        <v/>
      </c>
      <c r="J135" s="77">
        <f>'Input Window Film Measures'!I7</f>
        <v>0</v>
      </c>
      <c r="K135" s="74">
        <f>'Input Window Film Measures'!J7</f>
        <v>0</v>
      </c>
      <c r="L135" s="78" t="str">
        <f t="shared" si="5"/>
        <v>Version 5.0 - 2025</v>
      </c>
      <c r="M135" s="79">
        <f>'Input Window Film Measures'!E7</f>
        <v>0</v>
      </c>
      <c r="N135" s="76" t="str">
        <f>'Input Window Film Measures'!L7</f>
        <v/>
      </c>
    </row>
    <row r="136" spans="1:14">
      <c r="A136" s="73" t="s">
        <v>492</v>
      </c>
      <c r="B136" s="80">
        <f t="shared" si="6"/>
        <v>0</v>
      </c>
      <c r="C136" s="80">
        <v>4</v>
      </c>
      <c r="D136" s="74" t="str">
        <f>'Input Window Film Measures'!C8</f>
        <v/>
      </c>
      <c r="E136" s="74" t="str">
        <f>'Input Window Film Measures'!F8</f>
        <v/>
      </c>
      <c r="F136" s="74">
        <f>'Input Window Film Measures'!H8</f>
        <v>0</v>
      </c>
      <c r="G136" s="75" t="str">
        <f>'Input Window Film Measures'!M8</f>
        <v/>
      </c>
      <c r="H136" s="98" t="str">
        <f>'Input Window Film Measures'!N8</f>
        <v/>
      </c>
      <c r="I136" s="77" t="str">
        <f>IFERROR(N136*MIN(Table_Measure_Caps[[#Totals],[Estimated Raw Incentive Total]], Table_Measure_Caps[[#Totals],[Gross Measure Cost Total]], Value_Project_CAP)/Table_Measure_Caps[[#Totals],[Estimated Raw Incentive Total]], "")</f>
        <v/>
      </c>
      <c r="J136" s="77">
        <f>'Input Window Film Measures'!I8</f>
        <v>0</v>
      </c>
      <c r="K136" s="74">
        <f>'Input Window Film Measures'!J8</f>
        <v>0</v>
      </c>
      <c r="L136" s="78" t="str">
        <f t="shared" si="5"/>
        <v>Version 5.0 - 2025</v>
      </c>
      <c r="M136" s="79">
        <f>'Input Window Film Measures'!E8</f>
        <v>0</v>
      </c>
      <c r="N136" s="76" t="str">
        <f>'Input Window Film Measures'!L8</f>
        <v/>
      </c>
    </row>
    <row r="137" spans="1:14">
      <c r="A137" s="73" t="s">
        <v>492</v>
      </c>
      <c r="B137" s="74">
        <f t="shared" si="6"/>
        <v>0</v>
      </c>
      <c r="C137" s="74">
        <v>5</v>
      </c>
      <c r="D137" s="74" t="str">
        <f>'Input Window Film Measures'!C9</f>
        <v/>
      </c>
      <c r="E137" s="74" t="str">
        <f>'Input Window Film Measures'!F9</f>
        <v/>
      </c>
      <c r="F137" s="74">
        <f>'Input Window Film Measures'!H9</f>
        <v>0</v>
      </c>
      <c r="G137" s="75" t="str">
        <f>'Input Window Film Measures'!M9</f>
        <v/>
      </c>
      <c r="H137" s="98" t="str">
        <f>'Input Window Film Measures'!N9</f>
        <v/>
      </c>
      <c r="I137" s="77" t="str">
        <f>IFERROR(N137*MIN(Table_Measure_Caps[[#Totals],[Estimated Raw Incentive Total]], Table_Measure_Caps[[#Totals],[Gross Measure Cost Total]], Value_Project_CAP)/Table_Measure_Caps[[#Totals],[Estimated Raw Incentive Total]], "")</f>
        <v/>
      </c>
      <c r="J137" s="77">
        <f>'Input Window Film Measures'!I9</f>
        <v>0</v>
      </c>
      <c r="K137" s="74">
        <f>'Input Window Film Measures'!J9</f>
        <v>0</v>
      </c>
      <c r="L137" s="78" t="str">
        <f t="shared" si="5"/>
        <v>Version 5.0 - 2025</v>
      </c>
      <c r="M137" s="79">
        <f>'Input Window Film Measures'!E9</f>
        <v>0</v>
      </c>
      <c r="N137" s="76" t="str">
        <f>'Input Window Film Measures'!L9</f>
        <v/>
      </c>
    </row>
    <row r="138" spans="1:14">
      <c r="A138" s="73" t="s">
        <v>492</v>
      </c>
      <c r="B138" s="80">
        <f t="shared" si="6"/>
        <v>0</v>
      </c>
      <c r="C138" s="80">
        <v>6</v>
      </c>
      <c r="D138" s="74" t="str">
        <f>'Input Window Film Measures'!C10</f>
        <v/>
      </c>
      <c r="E138" s="74" t="str">
        <f>'Input Window Film Measures'!F10</f>
        <v/>
      </c>
      <c r="F138" s="74">
        <f>'Input Window Film Measures'!H10</f>
        <v>0</v>
      </c>
      <c r="G138" s="75" t="str">
        <f>'Input Window Film Measures'!M10</f>
        <v/>
      </c>
      <c r="H138" s="98" t="str">
        <f>'Input Window Film Measures'!N10</f>
        <v/>
      </c>
      <c r="I138" s="77" t="str">
        <f>IFERROR(N138*MIN(Table_Measure_Caps[[#Totals],[Estimated Raw Incentive Total]], Table_Measure_Caps[[#Totals],[Gross Measure Cost Total]], Value_Project_CAP)/Table_Measure_Caps[[#Totals],[Estimated Raw Incentive Total]], "")</f>
        <v/>
      </c>
      <c r="J138" s="77">
        <f>'Input Window Film Measures'!I10</f>
        <v>0</v>
      </c>
      <c r="K138" s="74">
        <f>'Input Window Film Measures'!J10</f>
        <v>0</v>
      </c>
      <c r="L138" s="78" t="str">
        <f t="shared" si="5"/>
        <v>Version 5.0 - 2025</v>
      </c>
      <c r="M138" s="79">
        <f>'Input Window Film Measures'!E10</f>
        <v>0</v>
      </c>
      <c r="N138" s="76" t="str">
        <f>'Input Window Film Measures'!L10</f>
        <v/>
      </c>
    </row>
    <row r="139" spans="1:14">
      <c r="A139" s="73" t="s">
        <v>492</v>
      </c>
      <c r="B139" s="74">
        <f t="shared" si="6"/>
        <v>0</v>
      </c>
      <c r="C139" s="74">
        <v>7</v>
      </c>
      <c r="D139" s="74" t="str">
        <f>'Input Window Film Measures'!C11</f>
        <v/>
      </c>
      <c r="E139" s="74" t="str">
        <f>'Input Window Film Measures'!F11</f>
        <v/>
      </c>
      <c r="F139" s="74">
        <f>'Input Window Film Measures'!H11</f>
        <v>0</v>
      </c>
      <c r="G139" s="75" t="str">
        <f>'Input Window Film Measures'!M11</f>
        <v/>
      </c>
      <c r="H139" s="98" t="str">
        <f>'Input Window Film Measures'!N11</f>
        <v/>
      </c>
      <c r="I139" s="77" t="str">
        <f>IFERROR(N139*MIN(Table_Measure_Caps[[#Totals],[Estimated Raw Incentive Total]], Table_Measure_Caps[[#Totals],[Gross Measure Cost Total]], Value_Project_CAP)/Table_Measure_Caps[[#Totals],[Estimated Raw Incentive Total]], "")</f>
        <v/>
      </c>
      <c r="J139" s="77">
        <f>'Input Window Film Measures'!I11</f>
        <v>0</v>
      </c>
      <c r="K139" s="74">
        <f>'Input Window Film Measures'!J11</f>
        <v>0</v>
      </c>
      <c r="L139" s="78" t="str">
        <f t="shared" si="5"/>
        <v>Version 5.0 - 2025</v>
      </c>
      <c r="M139" s="79">
        <f>'Input Window Film Measures'!E11</f>
        <v>0</v>
      </c>
      <c r="N139" s="76" t="str">
        <f>'Input Window Film Measures'!L11</f>
        <v/>
      </c>
    </row>
    <row r="140" spans="1:14">
      <c r="A140" s="73" t="s">
        <v>492</v>
      </c>
      <c r="B140" s="80">
        <f t="shared" si="6"/>
        <v>0</v>
      </c>
      <c r="C140" s="80">
        <v>8</v>
      </c>
      <c r="D140" s="74" t="str">
        <f>'Input Window Film Measures'!C12</f>
        <v/>
      </c>
      <c r="E140" s="74" t="str">
        <f>'Input Window Film Measures'!F12</f>
        <v/>
      </c>
      <c r="F140" s="74">
        <f>'Input Window Film Measures'!H12</f>
        <v>0</v>
      </c>
      <c r="G140" s="75" t="str">
        <f>'Input Window Film Measures'!M12</f>
        <v/>
      </c>
      <c r="H140" s="98" t="str">
        <f>'Input Window Film Measures'!N12</f>
        <v/>
      </c>
      <c r="I140" s="77" t="str">
        <f>IFERROR(N140*MIN(Table_Measure_Caps[[#Totals],[Estimated Raw Incentive Total]], Table_Measure_Caps[[#Totals],[Gross Measure Cost Total]], Value_Project_CAP)/Table_Measure_Caps[[#Totals],[Estimated Raw Incentive Total]], "")</f>
        <v/>
      </c>
      <c r="J140" s="77">
        <f>'Input Window Film Measures'!I12</f>
        <v>0</v>
      </c>
      <c r="K140" s="74">
        <f>'Input Window Film Measures'!J12</f>
        <v>0</v>
      </c>
      <c r="L140" s="78" t="str">
        <f t="shared" si="5"/>
        <v>Version 5.0 - 2025</v>
      </c>
      <c r="M140" s="79">
        <f>'Input Window Film Measures'!E12</f>
        <v>0</v>
      </c>
      <c r="N140" s="76" t="str">
        <f>'Input Window Film Measures'!L12</f>
        <v/>
      </c>
    </row>
    <row r="141" spans="1:14">
      <c r="A141" s="73" t="s">
        <v>492</v>
      </c>
      <c r="B141" s="74">
        <f t="shared" si="6"/>
        <v>0</v>
      </c>
      <c r="C141" s="74">
        <v>9</v>
      </c>
      <c r="D141" s="74" t="str">
        <f>'Input Window Film Measures'!C13</f>
        <v/>
      </c>
      <c r="E141" s="74" t="str">
        <f>'Input Window Film Measures'!F13</f>
        <v/>
      </c>
      <c r="F141" s="74">
        <f>'Input Window Film Measures'!H13</f>
        <v>0</v>
      </c>
      <c r="G141" s="75" t="str">
        <f>'Input Window Film Measures'!M13</f>
        <v/>
      </c>
      <c r="H141" s="98" t="str">
        <f>'Input Window Film Measures'!N13</f>
        <v/>
      </c>
      <c r="I141" s="77" t="str">
        <f>IFERROR(N141*MIN(Table_Measure_Caps[[#Totals],[Estimated Raw Incentive Total]], Table_Measure_Caps[[#Totals],[Gross Measure Cost Total]], Value_Project_CAP)/Table_Measure_Caps[[#Totals],[Estimated Raw Incentive Total]], "")</f>
        <v/>
      </c>
      <c r="J141" s="77">
        <f>'Input Window Film Measures'!I13</f>
        <v>0</v>
      </c>
      <c r="K141" s="74">
        <f>'Input Window Film Measures'!J13</f>
        <v>0</v>
      </c>
      <c r="L141" s="78" t="str">
        <f t="shared" si="5"/>
        <v>Version 5.0 - 2025</v>
      </c>
      <c r="M141" s="79">
        <f>'Input Window Film Measures'!E13</f>
        <v>0</v>
      </c>
      <c r="N141" s="76" t="str">
        <f>'Input Window Film Measures'!L13</f>
        <v/>
      </c>
    </row>
    <row r="142" spans="1:14">
      <c r="A142" s="73" t="s">
        <v>492</v>
      </c>
      <c r="B142" s="80">
        <f t="shared" si="6"/>
        <v>0</v>
      </c>
      <c r="C142" s="80">
        <v>10</v>
      </c>
      <c r="D142" s="74" t="str">
        <f>'Input Window Film Measures'!C14</f>
        <v/>
      </c>
      <c r="E142" s="74" t="str">
        <f>'Input Window Film Measures'!F14</f>
        <v/>
      </c>
      <c r="F142" s="74">
        <f>'Input Window Film Measures'!H14</f>
        <v>0</v>
      </c>
      <c r="G142" s="75" t="str">
        <f>'Input Window Film Measures'!M14</f>
        <v/>
      </c>
      <c r="H142" s="98" t="str">
        <f>'Input Window Film Measures'!N14</f>
        <v/>
      </c>
      <c r="I142" s="77" t="str">
        <f>IFERROR(N142*MIN(Table_Measure_Caps[[#Totals],[Estimated Raw Incentive Total]], Table_Measure_Caps[[#Totals],[Gross Measure Cost Total]], Value_Project_CAP)/Table_Measure_Caps[[#Totals],[Estimated Raw Incentive Total]], "")</f>
        <v/>
      </c>
      <c r="J142" s="77">
        <f>'Input Window Film Measures'!I14</f>
        <v>0</v>
      </c>
      <c r="K142" s="74">
        <f>'Input Window Film Measures'!J14</f>
        <v>0</v>
      </c>
      <c r="L142" s="78" t="str">
        <f t="shared" si="5"/>
        <v>Version 5.0 - 2025</v>
      </c>
      <c r="M142" s="79">
        <f>'Input Window Film Measures'!E14</f>
        <v>0</v>
      </c>
      <c r="N142" s="76" t="str">
        <f>'Input Window Film Measures'!L14</f>
        <v/>
      </c>
    </row>
    <row r="143" spans="1:14">
      <c r="A143" s="73" t="s">
        <v>492</v>
      </c>
      <c r="B143" s="74">
        <f t="shared" si="6"/>
        <v>0</v>
      </c>
      <c r="C143" s="74">
        <v>11</v>
      </c>
      <c r="D143" s="74" t="str">
        <f>'Input Window Film Measures'!C15</f>
        <v/>
      </c>
      <c r="E143" s="74" t="str">
        <f>'Input Window Film Measures'!F15</f>
        <v/>
      </c>
      <c r="F143" s="74">
        <f>'Input Window Film Measures'!H15</f>
        <v>0</v>
      </c>
      <c r="G143" s="75" t="str">
        <f>'Input Window Film Measures'!M15</f>
        <v/>
      </c>
      <c r="H143" s="98" t="str">
        <f>'Input Window Film Measures'!N15</f>
        <v/>
      </c>
      <c r="I143" s="77" t="str">
        <f>IFERROR(N143*MIN(Table_Measure_Caps[[#Totals],[Estimated Raw Incentive Total]], Table_Measure_Caps[[#Totals],[Gross Measure Cost Total]], Value_Project_CAP)/Table_Measure_Caps[[#Totals],[Estimated Raw Incentive Total]], "")</f>
        <v/>
      </c>
      <c r="J143" s="77">
        <f>'Input Window Film Measures'!I15</f>
        <v>0</v>
      </c>
      <c r="K143" s="74">
        <f>'Input Window Film Measures'!J15</f>
        <v>0</v>
      </c>
      <c r="L143" s="78" t="str">
        <f t="shared" si="5"/>
        <v>Version 5.0 - 2025</v>
      </c>
      <c r="M143" s="79">
        <f>'Input Window Film Measures'!E15</f>
        <v>0</v>
      </c>
      <c r="N143" s="76" t="str">
        <f>'Input Window Film Measures'!L15</f>
        <v/>
      </c>
    </row>
    <row r="144" spans="1:14">
      <c r="A144" s="73" t="s">
        <v>492</v>
      </c>
      <c r="B144" s="80">
        <f t="shared" si="6"/>
        <v>0</v>
      </c>
      <c r="C144" s="80">
        <v>12</v>
      </c>
      <c r="D144" s="74" t="str">
        <f>'Input Window Film Measures'!C16</f>
        <v/>
      </c>
      <c r="E144" s="74" t="str">
        <f>'Input Window Film Measures'!F16</f>
        <v/>
      </c>
      <c r="F144" s="74">
        <f>'Input Window Film Measures'!H16</f>
        <v>0</v>
      </c>
      <c r="G144" s="75" t="str">
        <f>'Input Window Film Measures'!M16</f>
        <v/>
      </c>
      <c r="H144" s="98" t="str">
        <f>'Input Window Film Measures'!N16</f>
        <v/>
      </c>
      <c r="I144" s="77" t="str">
        <f>IFERROR(N144*MIN(Table_Measure_Caps[[#Totals],[Estimated Raw Incentive Total]], Table_Measure_Caps[[#Totals],[Gross Measure Cost Total]], Value_Project_CAP)/Table_Measure_Caps[[#Totals],[Estimated Raw Incentive Total]], "")</f>
        <v/>
      </c>
      <c r="J144" s="77">
        <f>'Input Window Film Measures'!I16</f>
        <v>0</v>
      </c>
      <c r="K144" s="74">
        <f>'Input Window Film Measures'!J16</f>
        <v>0</v>
      </c>
      <c r="L144" s="78" t="str">
        <f t="shared" si="5"/>
        <v>Version 5.0 - 2025</v>
      </c>
      <c r="M144" s="79">
        <f>'Input Window Film Measures'!E16</f>
        <v>0</v>
      </c>
      <c r="N144" s="76" t="str">
        <f>'Input Window Film Measures'!L16</f>
        <v/>
      </c>
    </row>
    <row r="145" spans="1:14">
      <c r="A145" s="73" t="s">
        <v>492</v>
      </c>
      <c r="B145" s="74">
        <f t="shared" si="6"/>
        <v>0</v>
      </c>
      <c r="C145" s="74">
        <v>13</v>
      </c>
      <c r="D145" s="74" t="str">
        <f>'Input Window Film Measures'!C17</f>
        <v/>
      </c>
      <c r="E145" s="74" t="str">
        <f>'Input Window Film Measures'!F17</f>
        <v/>
      </c>
      <c r="F145" s="74">
        <f>'Input Window Film Measures'!H17</f>
        <v>0</v>
      </c>
      <c r="G145" s="75" t="str">
        <f>'Input Window Film Measures'!M17</f>
        <v/>
      </c>
      <c r="H145" s="98" t="str">
        <f>'Input Window Film Measures'!N17</f>
        <v/>
      </c>
      <c r="I145" s="77" t="str">
        <f>IFERROR(N145*MIN(Table_Measure_Caps[[#Totals],[Estimated Raw Incentive Total]], Table_Measure_Caps[[#Totals],[Gross Measure Cost Total]], Value_Project_CAP)/Table_Measure_Caps[[#Totals],[Estimated Raw Incentive Total]], "")</f>
        <v/>
      </c>
      <c r="J145" s="77">
        <f>'Input Window Film Measures'!I17</f>
        <v>0</v>
      </c>
      <c r="K145" s="74">
        <f>'Input Window Film Measures'!J17</f>
        <v>0</v>
      </c>
      <c r="L145" s="78" t="str">
        <f t="shared" si="5"/>
        <v>Version 5.0 - 2025</v>
      </c>
      <c r="M145" s="79">
        <f>'Input Window Film Measures'!E17</f>
        <v>0</v>
      </c>
      <c r="N145" s="76" t="str">
        <f>'Input Window Film Measures'!L17</f>
        <v/>
      </c>
    </row>
    <row r="146" spans="1:14">
      <c r="A146" s="73" t="s">
        <v>492</v>
      </c>
      <c r="B146" s="80">
        <f t="shared" si="6"/>
        <v>0</v>
      </c>
      <c r="C146" s="80">
        <v>14</v>
      </c>
      <c r="D146" s="74" t="str">
        <f>'Input Window Film Measures'!C18</f>
        <v/>
      </c>
      <c r="E146" s="74" t="str">
        <f>'Input Window Film Measures'!F18</f>
        <v/>
      </c>
      <c r="F146" s="74">
        <f>'Input Window Film Measures'!H18</f>
        <v>0</v>
      </c>
      <c r="G146" s="75" t="str">
        <f>'Input Window Film Measures'!M18</f>
        <v/>
      </c>
      <c r="H146" s="98" t="str">
        <f>'Input Window Film Measures'!N18</f>
        <v/>
      </c>
      <c r="I146" s="77" t="str">
        <f>IFERROR(N146*MIN(Table_Measure_Caps[[#Totals],[Estimated Raw Incentive Total]], Table_Measure_Caps[[#Totals],[Gross Measure Cost Total]], Value_Project_CAP)/Table_Measure_Caps[[#Totals],[Estimated Raw Incentive Total]], "")</f>
        <v/>
      </c>
      <c r="J146" s="77">
        <f>'Input Window Film Measures'!I18</f>
        <v>0</v>
      </c>
      <c r="K146" s="74">
        <f>'Input Window Film Measures'!J18</f>
        <v>0</v>
      </c>
      <c r="L146" s="78" t="str">
        <f t="shared" si="5"/>
        <v>Version 5.0 - 2025</v>
      </c>
      <c r="M146" s="79">
        <f>'Input Window Film Measures'!E18</f>
        <v>0</v>
      </c>
      <c r="N146" s="76" t="str">
        <f>'Input Window Film Measures'!L18</f>
        <v/>
      </c>
    </row>
    <row r="147" spans="1:14">
      <c r="A147" s="73" t="s">
        <v>492</v>
      </c>
      <c r="B147" s="74">
        <f t="shared" si="6"/>
        <v>0</v>
      </c>
      <c r="C147" s="74">
        <v>15</v>
      </c>
      <c r="D147" s="74" t="str">
        <f>'Input Window Film Measures'!C19</f>
        <v/>
      </c>
      <c r="E147" s="74" t="str">
        <f>'Input Window Film Measures'!F19</f>
        <v/>
      </c>
      <c r="F147" s="74">
        <f>'Input Window Film Measures'!H19</f>
        <v>0</v>
      </c>
      <c r="G147" s="75" t="str">
        <f>'Input Window Film Measures'!M19</f>
        <v/>
      </c>
      <c r="H147" s="98" t="str">
        <f>'Input Window Film Measures'!N19</f>
        <v/>
      </c>
      <c r="I147" s="77" t="str">
        <f>IFERROR(N147*MIN(Table_Measure_Caps[[#Totals],[Estimated Raw Incentive Total]], Table_Measure_Caps[[#Totals],[Gross Measure Cost Total]], Value_Project_CAP)/Table_Measure_Caps[[#Totals],[Estimated Raw Incentive Total]], "")</f>
        <v/>
      </c>
      <c r="J147" s="77">
        <f>'Input Window Film Measures'!I19</f>
        <v>0</v>
      </c>
      <c r="K147" s="74">
        <f>'Input Window Film Measures'!J19</f>
        <v>0</v>
      </c>
      <c r="L147" s="78" t="str">
        <f t="shared" si="5"/>
        <v>Version 5.0 - 2025</v>
      </c>
      <c r="M147" s="79">
        <f>'Input Window Film Measures'!E19</f>
        <v>0</v>
      </c>
      <c r="N147" s="76" t="str">
        <f>'Input Window Film Measures'!L19</f>
        <v/>
      </c>
    </row>
    <row r="148" spans="1:14">
      <c r="A148" s="73" t="s">
        <v>492</v>
      </c>
      <c r="B148" s="80">
        <f t="shared" si="6"/>
        <v>0</v>
      </c>
      <c r="C148" s="80">
        <v>16</v>
      </c>
      <c r="D148" s="74" t="str">
        <f>'Input Window Film Measures'!C20</f>
        <v/>
      </c>
      <c r="E148" s="74" t="str">
        <f>'Input Window Film Measures'!F20</f>
        <v/>
      </c>
      <c r="F148" s="74">
        <f>'Input Window Film Measures'!H20</f>
        <v>0</v>
      </c>
      <c r="G148" s="75" t="str">
        <f>'Input Window Film Measures'!M20</f>
        <v/>
      </c>
      <c r="H148" s="98" t="str">
        <f>'Input Window Film Measures'!N20</f>
        <v/>
      </c>
      <c r="I148" s="77" t="str">
        <f>IFERROR(N148*MIN(Table_Measure_Caps[[#Totals],[Estimated Raw Incentive Total]], Table_Measure_Caps[[#Totals],[Gross Measure Cost Total]], Value_Project_CAP)/Table_Measure_Caps[[#Totals],[Estimated Raw Incentive Total]], "")</f>
        <v/>
      </c>
      <c r="J148" s="77">
        <f>'Input Window Film Measures'!I20</f>
        <v>0</v>
      </c>
      <c r="K148" s="74">
        <f>'Input Window Film Measures'!J20</f>
        <v>0</v>
      </c>
      <c r="L148" s="78" t="str">
        <f t="shared" si="5"/>
        <v>Version 5.0 - 2025</v>
      </c>
      <c r="M148" s="79">
        <f>'Input Window Film Measures'!E20</f>
        <v>0</v>
      </c>
      <c r="N148" s="76" t="str">
        <f>'Input Window Film Measures'!L20</f>
        <v/>
      </c>
    </row>
    <row r="149" spans="1:14">
      <c r="A149" s="73" t="s">
        <v>492</v>
      </c>
      <c r="B149" s="74">
        <f t="shared" si="6"/>
        <v>0</v>
      </c>
      <c r="C149" s="74">
        <v>17</v>
      </c>
      <c r="D149" s="74" t="str">
        <f>'Input Window Film Measures'!C21</f>
        <v/>
      </c>
      <c r="E149" s="74" t="str">
        <f>'Input Window Film Measures'!F21</f>
        <v/>
      </c>
      <c r="F149" s="74">
        <f>'Input Window Film Measures'!H21</f>
        <v>0</v>
      </c>
      <c r="G149" s="75" t="str">
        <f>'Input Window Film Measures'!M21</f>
        <v/>
      </c>
      <c r="H149" s="98" t="str">
        <f>'Input Window Film Measures'!N21</f>
        <v/>
      </c>
      <c r="I149" s="77" t="str">
        <f>IFERROR(N149*MIN(Table_Measure_Caps[[#Totals],[Estimated Raw Incentive Total]], Table_Measure_Caps[[#Totals],[Gross Measure Cost Total]], Value_Project_CAP)/Table_Measure_Caps[[#Totals],[Estimated Raw Incentive Total]], "")</f>
        <v/>
      </c>
      <c r="J149" s="77">
        <f>'Input Window Film Measures'!I21</f>
        <v>0</v>
      </c>
      <c r="K149" s="74">
        <f>'Input Window Film Measures'!J21</f>
        <v>0</v>
      </c>
      <c r="L149" s="78" t="str">
        <f t="shared" si="5"/>
        <v>Version 5.0 - 2025</v>
      </c>
      <c r="M149" s="79">
        <f>'Input Window Film Measures'!E21</f>
        <v>0</v>
      </c>
      <c r="N149" s="76" t="str">
        <f>'Input Window Film Measures'!L21</f>
        <v/>
      </c>
    </row>
    <row r="150" spans="1:14">
      <c r="A150" s="73" t="s">
        <v>492</v>
      </c>
      <c r="B150" s="80">
        <f t="shared" si="6"/>
        <v>0</v>
      </c>
      <c r="C150" s="80">
        <v>18</v>
      </c>
      <c r="D150" s="74" t="str">
        <f>'Input Window Film Measures'!C22</f>
        <v/>
      </c>
      <c r="E150" s="74" t="str">
        <f>'Input Window Film Measures'!F22</f>
        <v/>
      </c>
      <c r="F150" s="74">
        <f>'Input Window Film Measures'!H22</f>
        <v>0</v>
      </c>
      <c r="G150" s="75" t="str">
        <f>'Input Window Film Measures'!M22</f>
        <v/>
      </c>
      <c r="H150" s="98" t="str">
        <f>'Input Window Film Measures'!N22</f>
        <v/>
      </c>
      <c r="I150" s="77" t="str">
        <f>IFERROR(N150*MIN(Table_Measure_Caps[[#Totals],[Estimated Raw Incentive Total]], Table_Measure_Caps[[#Totals],[Gross Measure Cost Total]], Value_Project_CAP)/Table_Measure_Caps[[#Totals],[Estimated Raw Incentive Total]], "")</f>
        <v/>
      </c>
      <c r="J150" s="77">
        <f>'Input Window Film Measures'!I22</f>
        <v>0</v>
      </c>
      <c r="K150" s="74">
        <f>'Input Window Film Measures'!J22</f>
        <v>0</v>
      </c>
      <c r="L150" s="78" t="str">
        <f t="shared" si="5"/>
        <v>Version 5.0 - 2025</v>
      </c>
      <c r="M150" s="79">
        <f>'Input Window Film Measures'!E22</f>
        <v>0</v>
      </c>
      <c r="N150" s="76" t="str">
        <f>'Input Window Film Measures'!L22</f>
        <v/>
      </c>
    </row>
    <row r="151" spans="1:14">
      <c r="A151" s="73" t="s">
        <v>492</v>
      </c>
      <c r="B151" s="74">
        <f t="shared" si="6"/>
        <v>0</v>
      </c>
      <c r="C151" s="74">
        <v>19</v>
      </c>
      <c r="D151" s="74" t="str">
        <f>'Input Window Film Measures'!C23</f>
        <v/>
      </c>
      <c r="E151" s="74" t="str">
        <f>'Input Window Film Measures'!F23</f>
        <v/>
      </c>
      <c r="F151" s="74">
        <f>'Input Window Film Measures'!H23</f>
        <v>0</v>
      </c>
      <c r="G151" s="75" t="str">
        <f>'Input Window Film Measures'!M23</f>
        <v/>
      </c>
      <c r="H151" s="98" t="str">
        <f>'Input Window Film Measures'!N23</f>
        <v/>
      </c>
      <c r="I151" s="77" t="str">
        <f>IFERROR(N151*MIN(Table_Measure_Caps[[#Totals],[Estimated Raw Incentive Total]], Table_Measure_Caps[[#Totals],[Gross Measure Cost Total]], Value_Project_CAP)/Table_Measure_Caps[[#Totals],[Estimated Raw Incentive Total]], "")</f>
        <v/>
      </c>
      <c r="J151" s="77">
        <f>'Input Window Film Measures'!I23</f>
        <v>0</v>
      </c>
      <c r="K151" s="74">
        <f>'Input Window Film Measures'!J23</f>
        <v>0</v>
      </c>
      <c r="L151" s="78" t="str">
        <f t="shared" si="5"/>
        <v>Version 5.0 - 2025</v>
      </c>
      <c r="M151" s="79">
        <f>'Input Window Film Measures'!E23</f>
        <v>0</v>
      </c>
      <c r="N151" s="76" t="str">
        <f>'Input Window Film Measures'!L23</f>
        <v/>
      </c>
    </row>
    <row r="152" spans="1:14">
      <c r="A152" s="73" t="s">
        <v>492</v>
      </c>
      <c r="B152" s="80">
        <f t="shared" si="6"/>
        <v>0</v>
      </c>
      <c r="C152" s="80">
        <v>20</v>
      </c>
      <c r="D152" s="74" t="str">
        <f>'Input Window Film Measures'!C24</f>
        <v/>
      </c>
      <c r="E152" s="74" t="str">
        <f>'Input Window Film Measures'!F24</f>
        <v/>
      </c>
      <c r="F152" s="74">
        <f>'Input Window Film Measures'!H24</f>
        <v>0</v>
      </c>
      <c r="G152" s="75" t="str">
        <f>'Input Window Film Measures'!M24</f>
        <v/>
      </c>
      <c r="H152" s="98" t="str">
        <f>'Input Window Film Measures'!N24</f>
        <v/>
      </c>
      <c r="I152" s="77" t="str">
        <f>IFERROR(N152*MIN(Table_Measure_Caps[[#Totals],[Estimated Raw Incentive Total]], Table_Measure_Caps[[#Totals],[Gross Measure Cost Total]], Value_Project_CAP)/Table_Measure_Caps[[#Totals],[Estimated Raw Incentive Total]], "")</f>
        <v/>
      </c>
      <c r="J152" s="77">
        <f>'Input Window Film Measures'!I24</f>
        <v>0</v>
      </c>
      <c r="K152" s="74">
        <f>'Input Window Film Measures'!J24</f>
        <v>0</v>
      </c>
      <c r="L152" s="78" t="str">
        <f t="shared" si="5"/>
        <v>Version 5.0 - 2025</v>
      </c>
      <c r="M152" s="79">
        <f>'Input Window Film Measures'!E24</f>
        <v>0</v>
      </c>
      <c r="N152" s="76" t="str">
        <f>'Input Window Film Measures'!L24</f>
        <v/>
      </c>
    </row>
    <row r="153" spans="1:14">
      <c r="A153" s="73" t="s">
        <v>492</v>
      </c>
      <c r="B153" s="74">
        <f t="shared" si="6"/>
        <v>0</v>
      </c>
      <c r="C153" s="74">
        <v>21</v>
      </c>
      <c r="D153" s="74" t="str">
        <f>'Input Window Film Measures'!C25</f>
        <v/>
      </c>
      <c r="E153" s="74" t="str">
        <f>'Input Window Film Measures'!F25</f>
        <v/>
      </c>
      <c r="F153" s="74">
        <f>'Input Window Film Measures'!H25</f>
        <v>0</v>
      </c>
      <c r="G153" s="75" t="str">
        <f>'Input Window Film Measures'!M25</f>
        <v/>
      </c>
      <c r="H153" s="98" t="str">
        <f>'Input Window Film Measures'!N25</f>
        <v/>
      </c>
      <c r="I153" s="77" t="str">
        <f>IFERROR(N153*MIN(Table_Measure_Caps[[#Totals],[Estimated Raw Incentive Total]], Table_Measure_Caps[[#Totals],[Gross Measure Cost Total]], Value_Project_CAP)/Table_Measure_Caps[[#Totals],[Estimated Raw Incentive Total]], "")</f>
        <v/>
      </c>
      <c r="J153" s="77">
        <f>'Input Window Film Measures'!I25</f>
        <v>0</v>
      </c>
      <c r="K153" s="74">
        <f>'Input Window Film Measures'!J25</f>
        <v>0</v>
      </c>
      <c r="L153" s="78" t="str">
        <f t="shared" si="5"/>
        <v>Version 5.0 - 2025</v>
      </c>
      <c r="M153" s="79">
        <f>'Input Window Film Measures'!E25</f>
        <v>0</v>
      </c>
      <c r="N153" s="76" t="str">
        <f>'Input Window Film Measures'!L25</f>
        <v/>
      </c>
    </row>
    <row r="154" spans="1:14">
      <c r="A154" s="73" t="s">
        <v>492</v>
      </c>
      <c r="B154" s="80">
        <f t="shared" si="6"/>
        <v>0</v>
      </c>
      <c r="C154" s="80">
        <v>22</v>
      </c>
      <c r="D154" s="74" t="str">
        <f>'Input Window Film Measures'!C26</f>
        <v/>
      </c>
      <c r="E154" s="74" t="str">
        <f>'Input Window Film Measures'!F26</f>
        <v/>
      </c>
      <c r="F154" s="74">
        <f>'Input Window Film Measures'!H26</f>
        <v>0</v>
      </c>
      <c r="G154" s="75" t="str">
        <f>'Input Window Film Measures'!M26</f>
        <v/>
      </c>
      <c r="H154" s="98" t="str">
        <f>'Input Window Film Measures'!N26</f>
        <v/>
      </c>
      <c r="I154" s="77" t="str">
        <f>IFERROR(N154*MIN(Table_Measure_Caps[[#Totals],[Estimated Raw Incentive Total]], Table_Measure_Caps[[#Totals],[Gross Measure Cost Total]], Value_Project_CAP)/Table_Measure_Caps[[#Totals],[Estimated Raw Incentive Total]], "")</f>
        <v/>
      </c>
      <c r="J154" s="77">
        <f>'Input Window Film Measures'!I26</f>
        <v>0</v>
      </c>
      <c r="K154" s="74">
        <f>'Input Window Film Measures'!J26</f>
        <v>0</v>
      </c>
      <c r="L154" s="78" t="str">
        <f t="shared" si="5"/>
        <v>Version 5.0 - 2025</v>
      </c>
      <c r="M154" s="79">
        <f>'Input Window Film Measures'!E26</f>
        <v>0</v>
      </c>
      <c r="N154" s="76" t="str">
        <f>'Input Window Film Measures'!L26</f>
        <v/>
      </c>
    </row>
    <row r="155" spans="1:14">
      <c r="A155" s="73" t="s">
        <v>492</v>
      </c>
      <c r="B155" s="74">
        <f t="shared" si="6"/>
        <v>0</v>
      </c>
      <c r="C155" s="74">
        <v>23</v>
      </c>
      <c r="D155" s="74" t="str">
        <f>'Input Window Film Measures'!C27</f>
        <v/>
      </c>
      <c r="E155" s="74" t="str">
        <f>'Input Window Film Measures'!F27</f>
        <v/>
      </c>
      <c r="F155" s="74">
        <f>'Input Window Film Measures'!H27</f>
        <v>0</v>
      </c>
      <c r="G155" s="75" t="str">
        <f>'Input Window Film Measures'!M27</f>
        <v/>
      </c>
      <c r="H155" s="98" t="str">
        <f>'Input Window Film Measures'!N27</f>
        <v/>
      </c>
      <c r="I155" s="77" t="str">
        <f>IFERROR(N155*MIN(Table_Measure_Caps[[#Totals],[Estimated Raw Incentive Total]], Table_Measure_Caps[[#Totals],[Gross Measure Cost Total]], Value_Project_CAP)/Table_Measure_Caps[[#Totals],[Estimated Raw Incentive Total]], "")</f>
        <v/>
      </c>
      <c r="J155" s="77">
        <f>'Input Window Film Measures'!I27</f>
        <v>0</v>
      </c>
      <c r="K155" s="74">
        <f>'Input Window Film Measures'!J27</f>
        <v>0</v>
      </c>
      <c r="L155" s="78" t="str">
        <f t="shared" si="5"/>
        <v>Version 5.0 - 2025</v>
      </c>
      <c r="M155" s="79">
        <f>'Input Window Film Measures'!E27</f>
        <v>0</v>
      </c>
      <c r="N155" s="76" t="str">
        <f>'Input Window Film Measures'!L27</f>
        <v/>
      </c>
    </row>
    <row r="156" spans="1:14">
      <c r="A156" s="73" t="s">
        <v>492</v>
      </c>
      <c r="B156" s="80">
        <f t="shared" si="6"/>
        <v>0</v>
      </c>
      <c r="C156" s="80">
        <v>24</v>
      </c>
      <c r="D156" s="74" t="str">
        <f>'Input Window Film Measures'!C28</f>
        <v/>
      </c>
      <c r="E156" s="74" t="str">
        <f>'Input Window Film Measures'!F28</f>
        <v/>
      </c>
      <c r="F156" s="74">
        <f>'Input Window Film Measures'!H28</f>
        <v>0</v>
      </c>
      <c r="G156" s="75" t="str">
        <f>'Input Window Film Measures'!M28</f>
        <v/>
      </c>
      <c r="H156" s="98" t="str">
        <f>'Input Window Film Measures'!N28</f>
        <v/>
      </c>
      <c r="I156" s="77" t="str">
        <f>IFERROR(N156*MIN(Table_Measure_Caps[[#Totals],[Estimated Raw Incentive Total]], Table_Measure_Caps[[#Totals],[Gross Measure Cost Total]], Value_Project_CAP)/Table_Measure_Caps[[#Totals],[Estimated Raw Incentive Total]], "")</f>
        <v/>
      </c>
      <c r="J156" s="77">
        <f>'Input Window Film Measures'!I28</f>
        <v>0</v>
      </c>
      <c r="K156" s="74">
        <f>'Input Window Film Measures'!J28</f>
        <v>0</v>
      </c>
      <c r="L156" s="78" t="str">
        <f t="shared" si="5"/>
        <v>Version 5.0 - 2025</v>
      </c>
      <c r="M156" s="79">
        <f>'Input Window Film Measures'!E28</f>
        <v>0</v>
      </c>
      <c r="N156" s="76" t="str">
        <f>'Input Window Film Measures'!L28</f>
        <v/>
      </c>
    </row>
    <row r="157" spans="1:14">
      <c r="A157" s="73" t="s">
        <v>492</v>
      </c>
      <c r="B157" s="74">
        <f t="shared" si="6"/>
        <v>0</v>
      </c>
      <c r="C157" s="74">
        <v>25</v>
      </c>
      <c r="D157" s="74" t="str">
        <f>'Input Window Film Measures'!C29</f>
        <v/>
      </c>
      <c r="E157" s="74" t="str">
        <f>'Input Window Film Measures'!F29</f>
        <v/>
      </c>
      <c r="F157" s="74">
        <f>'Input Window Film Measures'!H29</f>
        <v>0</v>
      </c>
      <c r="G157" s="75" t="str">
        <f>'Input Window Film Measures'!M29</f>
        <v/>
      </c>
      <c r="H157" s="98" t="str">
        <f>'Input Window Film Measures'!N29</f>
        <v/>
      </c>
      <c r="I157" s="77" t="str">
        <f>IFERROR(N157*MIN(Table_Measure_Caps[[#Totals],[Estimated Raw Incentive Total]], Table_Measure_Caps[[#Totals],[Gross Measure Cost Total]], Value_Project_CAP)/Table_Measure_Caps[[#Totals],[Estimated Raw Incentive Total]], "")</f>
        <v/>
      </c>
      <c r="J157" s="77">
        <f>'Input Window Film Measures'!I29</f>
        <v>0</v>
      </c>
      <c r="K157" s="74">
        <f>'Input Window Film Measures'!J29</f>
        <v>0</v>
      </c>
      <c r="L157" s="78" t="str">
        <f t="shared" si="5"/>
        <v>Version 5.0 - 2025</v>
      </c>
      <c r="M157" s="79">
        <f>'Input Window Film Measures'!E29</f>
        <v>0</v>
      </c>
      <c r="N157" s="76" t="str">
        <f>'Input Window Film Measures'!L29</f>
        <v/>
      </c>
    </row>
    <row r="158" spans="1:14">
      <c r="A158" s="73" t="s">
        <v>492</v>
      </c>
      <c r="B158" s="80">
        <f t="shared" si="6"/>
        <v>0</v>
      </c>
      <c r="C158" s="80">
        <v>26</v>
      </c>
      <c r="D158" s="74" t="str">
        <f>'Input Window Film Measures'!C30</f>
        <v/>
      </c>
      <c r="E158" s="74" t="str">
        <f>'Input Window Film Measures'!F30</f>
        <v/>
      </c>
      <c r="F158" s="74">
        <f>'Input Window Film Measures'!H30</f>
        <v>0</v>
      </c>
      <c r="G158" s="75" t="str">
        <f>'Input Window Film Measures'!M30</f>
        <v/>
      </c>
      <c r="H158" s="98" t="str">
        <f>'Input Window Film Measures'!N30</f>
        <v/>
      </c>
      <c r="I158" s="77" t="str">
        <f>IFERROR(N158*MIN(Table_Measure_Caps[[#Totals],[Estimated Raw Incentive Total]], Table_Measure_Caps[[#Totals],[Gross Measure Cost Total]], Value_Project_CAP)/Table_Measure_Caps[[#Totals],[Estimated Raw Incentive Total]], "")</f>
        <v/>
      </c>
      <c r="J158" s="77">
        <f>'Input Window Film Measures'!I30</f>
        <v>0</v>
      </c>
      <c r="K158" s="74">
        <f>'Input Window Film Measures'!J30</f>
        <v>0</v>
      </c>
      <c r="L158" s="78" t="str">
        <f t="shared" si="5"/>
        <v>Version 5.0 - 2025</v>
      </c>
      <c r="M158" s="79">
        <f>'Input Window Film Measures'!E30</f>
        <v>0</v>
      </c>
      <c r="N158" s="76" t="str">
        <f>'Input Window Film Measures'!L30</f>
        <v/>
      </c>
    </row>
    <row r="159" spans="1:14">
      <c r="A159" s="73" t="s">
        <v>492</v>
      </c>
      <c r="B159" s="74">
        <f t="shared" si="6"/>
        <v>0</v>
      </c>
      <c r="C159" s="74">
        <v>27</v>
      </c>
      <c r="D159" s="74" t="str">
        <f>'Input Window Film Measures'!C31</f>
        <v/>
      </c>
      <c r="E159" s="74" t="str">
        <f>'Input Window Film Measures'!F31</f>
        <v/>
      </c>
      <c r="F159" s="74">
        <f>'Input Window Film Measures'!H31</f>
        <v>0</v>
      </c>
      <c r="G159" s="75" t="str">
        <f>'Input Window Film Measures'!M31</f>
        <v/>
      </c>
      <c r="H159" s="98" t="str">
        <f>'Input Window Film Measures'!N31</f>
        <v/>
      </c>
      <c r="I159" s="77" t="str">
        <f>IFERROR(N159*MIN(Table_Measure_Caps[[#Totals],[Estimated Raw Incentive Total]], Table_Measure_Caps[[#Totals],[Gross Measure Cost Total]], Value_Project_CAP)/Table_Measure_Caps[[#Totals],[Estimated Raw Incentive Total]], "")</f>
        <v/>
      </c>
      <c r="J159" s="77">
        <f>'Input Window Film Measures'!I31</f>
        <v>0</v>
      </c>
      <c r="K159" s="74">
        <f>'Input Window Film Measures'!J31</f>
        <v>0</v>
      </c>
      <c r="L159" s="78" t="str">
        <f t="shared" si="5"/>
        <v>Version 5.0 - 2025</v>
      </c>
      <c r="M159" s="79">
        <f>'Input Window Film Measures'!E31</f>
        <v>0</v>
      </c>
      <c r="N159" s="76" t="str">
        <f>'Input Window Film Measures'!L31</f>
        <v/>
      </c>
    </row>
    <row r="160" spans="1:14">
      <c r="A160" s="73" t="s">
        <v>492</v>
      </c>
      <c r="B160" s="80">
        <f t="shared" si="6"/>
        <v>0</v>
      </c>
      <c r="C160" s="80">
        <v>28</v>
      </c>
      <c r="D160" s="74" t="str">
        <f>'Input Window Film Measures'!C32</f>
        <v/>
      </c>
      <c r="E160" s="74" t="str">
        <f>'Input Window Film Measures'!F32</f>
        <v/>
      </c>
      <c r="F160" s="74">
        <f>'Input Window Film Measures'!H32</f>
        <v>0</v>
      </c>
      <c r="G160" s="75" t="str">
        <f>'Input Window Film Measures'!M32</f>
        <v/>
      </c>
      <c r="H160" s="98" t="str">
        <f>'Input Window Film Measures'!N32</f>
        <v/>
      </c>
      <c r="I160" s="77" t="str">
        <f>IFERROR(N160*MIN(Table_Measure_Caps[[#Totals],[Estimated Raw Incentive Total]], Table_Measure_Caps[[#Totals],[Gross Measure Cost Total]], Value_Project_CAP)/Table_Measure_Caps[[#Totals],[Estimated Raw Incentive Total]], "")</f>
        <v/>
      </c>
      <c r="J160" s="77">
        <f>'Input Window Film Measures'!I32</f>
        <v>0</v>
      </c>
      <c r="K160" s="74">
        <f>'Input Window Film Measures'!J32</f>
        <v>0</v>
      </c>
      <c r="L160" s="78" t="str">
        <f t="shared" si="5"/>
        <v>Version 5.0 - 2025</v>
      </c>
      <c r="M160" s="79">
        <f>'Input Window Film Measures'!E32</f>
        <v>0</v>
      </c>
      <c r="N160" s="76" t="str">
        <f>'Input Window Film Measures'!L32</f>
        <v/>
      </c>
    </row>
    <row r="161" spans="1:14">
      <c r="A161" s="73" t="s">
        <v>492</v>
      </c>
      <c r="B161" s="74">
        <f t="shared" si="6"/>
        <v>0</v>
      </c>
      <c r="C161" s="74">
        <v>29</v>
      </c>
      <c r="D161" s="74" t="str">
        <f>'Input Window Film Measures'!C33</f>
        <v/>
      </c>
      <c r="E161" s="74" t="str">
        <f>'Input Window Film Measures'!F33</f>
        <v/>
      </c>
      <c r="F161" s="74">
        <f>'Input Window Film Measures'!H33</f>
        <v>0</v>
      </c>
      <c r="G161" s="75" t="str">
        <f>'Input Window Film Measures'!M33</f>
        <v/>
      </c>
      <c r="H161" s="98" t="str">
        <f>'Input Window Film Measures'!N33</f>
        <v/>
      </c>
      <c r="I161" s="77" t="str">
        <f>IFERROR(N161*MIN(Table_Measure_Caps[[#Totals],[Estimated Raw Incentive Total]], Table_Measure_Caps[[#Totals],[Gross Measure Cost Total]], Value_Project_CAP)/Table_Measure_Caps[[#Totals],[Estimated Raw Incentive Total]], "")</f>
        <v/>
      </c>
      <c r="J161" s="77">
        <f>'Input Window Film Measures'!I33</f>
        <v>0</v>
      </c>
      <c r="K161" s="74">
        <f>'Input Window Film Measures'!J33</f>
        <v>0</v>
      </c>
      <c r="L161" s="78" t="str">
        <f t="shared" si="5"/>
        <v>Version 5.0 - 2025</v>
      </c>
      <c r="M161" s="79">
        <f>'Input Window Film Measures'!E33</f>
        <v>0</v>
      </c>
      <c r="N161" s="76" t="str">
        <f>'Input Window Film Measures'!L33</f>
        <v/>
      </c>
    </row>
    <row r="162" spans="1:14">
      <c r="A162" s="73" t="s">
        <v>492</v>
      </c>
      <c r="B162" s="80">
        <f t="shared" si="6"/>
        <v>0</v>
      </c>
      <c r="C162" s="80">
        <v>30</v>
      </c>
      <c r="D162" s="74" t="str">
        <f>'Input Window Film Measures'!C34</f>
        <v/>
      </c>
      <c r="E162" s="74" t="str">
        <f>'Input Window Film Measures'!F34</f>
        <v/>
      </c>
      <c r="F162" s="74">
        <f>'Input Window Film Measures'!H34</f>
        <v>0</v>
      </c>
      <c r="G162" s="75" t="str">
        <f>'Input Window Film Measures'!M34</f>
        <v/>
      </c>
      <c r="H162" s="98" t="str">
        <f>'Input Window Film Measures'!N34</f>
        <v/>
      </c>
      <c r="I162" s="77" t="str">
        <f>IFERROR(N162*MIN(Table_Measure_Caps[[#Totals],[Estimated Raw Incentive Total]], Table_Measure_Caps[[#Totals],[Gross Measure Cost Total]], Value_Project_CAP)/Table_Measure_Caps[[#Totals],[Estimated Raw Incentive Total]], "")</f>
        <v/>
      </c>
      <c r="J162" s="77">
        <f>'Input Window Film Measures'!I34</f>
        <v>0</v>
      </c>
      <c r="K162" s="74">
        <f>'Input Window Film Measures'!J34</f>
        <v>0</v>
      </c>
      <c r="L162" s="78" t="str">
        <f t="shared" si="5"/>
        <v>Version 5.0 - 2025</v>
      </c>
      <c r="M162" s="79">
        <f>'Input Window Film Measures'!E34</f>
        <v>0</v>
      </c>
      <c r="N162" s="76" t="str">
        <f>'Input Window Film Measures'!L34</f>
        <v/>
      </c>
    </row>
    <row r="163" spans="1:14">
      <c r="A163" s="81" t="s">
        <v>496</v>
      </c>
      <c r="B163" s="82">
        <f t="shared" si="6"/>
        <v>0</v>
      </c>
      <c r="C163" s="82">
        <v>1</v>
      </c>
      <c r="D163" s="82" t="str">
        <f>'Input Misc Measures'!C5</f>
        <v/>
      </c>
      <c r="E163" s="82" t="str">
        <f>'Input Misc Measures'!F5</f>
        <v/>
      </c>
      <c r="F163" s="82">
        <f>'Input Misc Measures'!G5</f>
        <v>0</v>
      </c>
      <c r="G163" s="83" t="str">
        <f>'Input Misc Measures'!L5</f>
        <v/>
      </c>
      <c r="H163" s="99" t="str">
        <f>'Input Misc Measures'!M5</f>
        <v/>
      </c>
      <c r="I163" s="85" t="str">
        <f>IFERROR(N163*MIN(Table_Measure_Caps[[#Totals],[Estimated Raw Incentive Total]], Table_Measure_Caps[[#Totals],[Gross Measure Cost Total]], Value_Project_CAP)/Table_Measure_Caps[[#Totals],[Estimated Raw Incentive Total]], "")</f>
        <v/>
      </c>
      <c r="J163" s="85">
        <f>'Input Misc Measures'!H5</f>
        <v>0</v>
      </c>
      <c r="K163" s="82">
        <f>'Input Misc Measures'!I5</f>
        <v>0</v>
      </c>
      <c r="L163" s="86" t="str">
        <f t="shared" si="5"/>
        <v>Version 5.0 - 2025</v>
      </c>
      <c r="M163" s="87">
        <f>'Input Misc Measures'!E5</f>
        <v>0</v>
      </c>
      <c r="N163" s="84" t="str">
        <f>'Input Misc Measures'!K5</f>
        <v/>
      </c>
    </row>
    <row r="164" spans="1:14">
      <c r="A164" s="81" t="s">
        <v>496</v>
      </c>
      <c r="B164" s="82">
        <f t="shared" si="6"/>
        <v>0</v>
      </c>
      <c r="C164" s="82">
        <v>2</v>
      </c>
      <c r="D164" s="82" t="str">
        <f>'Input Misc Measures'!C6</f>
        <v/>
      </c>
      <c r="E164" s="82" t="str">
        <f>'Input Misc Measures'!F6</f>
        <v/>
      </c>
      <c r="F164" s="82">
        <f>'Input Misc Measures'!G6</f>
        <v>0</v>
      </c>
      <c r="G164" s="83" t="str">
        <f>'Input Misc Measures'!L6</f>
        <v/>
      </c>
      <c r="H164" s="99" t="str">
        <f>'Input Misc Measures'!M6</f>
        <v/>
      </c>
      <c r="I164" s="85" t="str">
        <f>IFERROR(N164*MIN(Table_Measure_Caps[[#Totals],[Estimated Raw Incentive Total]], Table_Measure_Caps[[#Totals],[Gross Measure Cost Total]], Value_Project_CAP)/Table_Measure_Caps[[#Totals],[Estimated Raw Incentive Total]], "")</f>
        <v/>
      </c>
      <c r="J164" s="85">
        <f>'Input Misc Measures'!H6</f>
        <v>0</v>
      </c>
      <c r="K164" s="82">
        <f>'Input Misc Measures'!I6</f>
        <v>0</v>
      </c>
      <c r="L164" s="86" t="str">
        <f t="shared" si="5"/>
        <v>Version 5.0 - 2025</v>
      </c>
      <c r="M164" s="87">
        <f>'Input Misc Measures'!E6</f>
        <v>0</v>
      </c>
      <c r="N164" s="84" t="str">
        <f>'Input Misc Measures'!K6</f>
        <v/>
      </c>
    </row>
    <row r="165" spans="1:14">
      <c r="A165" s="81" t="s">
        <v>496</v>
      </c>
      <c r="B165" s="82">
        <f t="shared" ref="B165:B196" si="7">Input_ProjectNumber</f>
        <v>0</v>
      </c>
      <c r="C165" s="82">
        <v>3</v>
      </c>
      <c r="D165" s="82" t="str">
        <f>'Input Misc Measures'!C7</f>
        <v/>
      </c>
      <c r="E165" s="82" t="str">
        <f>'Input Misc Measures'!F7</f>
        <v/>
      </c>
      <c r="F165" s="82">
        <f>'Input Misc Measures'!G7</f>
        <v>0</v>
      </c>
      <c r="G165" s="83" t="str">
        <f>'Input Misc Measures'!L7</f>
        <v/>
      </c>
      <c r="H165" s="99" t="str">
        <f>'Input Misc Measures'!M7</f>
        <v/>
      </c>
      <c r="I165" s="85" t="str">
        <f>IFERROR(N165*MIN(Table_Measure_Caps[[#Totals],[Estimated Raw Incentive Total]], Table_Measure_Caps[[#Totals],[Gross Measure Cost Total]], Value_Project_CAP)/Table_Measure_Caps[[#Totals],[Estimated Raw Incentive Total]], "")</f>
        <v/>
      </c>
      <c r="J165" s="85">
        <f>'Input Misc Measures'!H7</f>
        <v>0</v>
      </c>
      <c r="K165" s="82">
        <f>'Input Misc Measures'!I7</f>
        <v>0</v>
      </c>
      <c r="L165" s="86" t="str">
        <f t="shared" si="5"/>
        <v>Version 5.0 - 2025</v>
      </c>
      <c r="M165" s="87">
        <f>'Input Misc Measures'!E7</f>
        <v>0</v>
      </c>
      <c r="N165" s="84" t="str">
        <f>'Input Misc Measures'!K7</f>
        <v/>
      </c>
    </row>
    <row r="166" spans="1:14">
      <c r="A166" s="81" t="s">
        <v>496</v>
      </c>
      <c r="B166" s="82">
        <f t="shared" si="7"/>
        <v>0</v>
      </c>
      <c r="C166" s="82">
        <v>4</v>
      </c>
      <c r="D166" s="82" t="str">
        <f>'Input Misc Measures'!C8</f>
        <v/>
      </c>
      <c r="E166" s="82" t="str">
        <f>'Input Misc Measures'!F8</f>
        <v/>
      </c>
      <c r="F166" s="82">
        <f>'Input Misc Measures'!G8</f>
        <v>0</v>
      </c>
      <c r="G166" s="83" t="str">
        <f>'Input Misc Measures'!L8</f>
        <v/>
      </c>
      <c r="H166" s="99" t="str">
        <f>'Input Misc Measures'!M8</f>
        <v/>
      </c>
      <c r="I166" s="85" t="str">
        <f>IFERROR(N166*MIN(Table_Measure_Caps[[#Totals],[Estimated Raw Incentive Total]], Table_Measure_Caps[[#Totals],[Gross Measure Cost Total]], Value_Project_CAP)/Table_Measure_Caps[[#Totals],[Estimated Raw Incentive Total]], "")</f>
        <v/>
      </c>
      <c r="J166" s="85">
        <f>'Input Misc Measures'!H8</f>
        <v>0</v>
      </c>
      <c r="K166" s="82">
        <f>'Input Misc Measures'!I8</f>
        <v>0</v>
      </c>
      <c r="L166" s="86" t="str">
        <f t="shared" si="5"/>
        <v>Version 5.0 - 2025</v>
      </c>
      <c r="M166" s="87">
        <f>'Input Misc Measures'!E8</f>
        <v>0</v>
      </c>
      <c r="N166" s="84" t="str">
        <f>'Input Misc Measures'!K8</f>
        <v/>
      </c>
    </row>
    <row r="167" spans="1:14">
      <c r="A167" s="81" t="s">
        <v>496</v>
      </c>
      <c r="B167" s="82">
        <f t="shared" si="7"/>
        <v>0</v>
      </c>
      <c r="C167" s="82">
        <v>5</v>
      </c>
      <c r="D167" s="82" t="str">
        <f>'Input Misc Measures'!C9</f>
        <v/>
      </c>
      <c r="E167" s="82" t="str">
        <f>'Input Misc Measures'!F9</f>
        <v/>
      </c>
      <c r="F167" s="82">
        <f>'Input Misc Measures'!G9</f>
        <v>0</v>
      </c>
      <c r="G167" s="83" t="str">
        <f>'Input Misc Measures'!L9</f>
        <v/>
      </c>
      <c r="H167" s="99" t="str">
        <f>'Input Misc Measures'!M9</f>
        <v/>
      </c>
      <c r="I167" s="85" t="str">
        <f>IFERROR(N167*MIN(Table_Measure_Caps[[#Totals],[Estimated Raw Incentive Total]], Table_Measure_Caps[[#Totals],[Gross Measure Cost Total]], Value_Project_CAP)/Table_Measure_Caps[[#Totals],[Estimated Raw Incentive Total]], "")</f>
        <v/>
      </c>
      <c r="J167" s="85">
        <f>'Input Misc Measures'!H9</f>
        <v>0</v>
      </c>
      <c r="K167" s="82">
        <f>'Input Misc Measures'!I9</f>
        <v>0</v>
      </c>
      <c r="L167" s="86" t="str">
        <f t="shared" si="5"/>
        <v>Version 5.0 - 2025</v>
      </c>
      <c r="M167" s="87">
        <f>'Input Misc Measures'!E9</f>
        <v>0</v>
      </c>
      <c r="N167" s="84" t="str">
        <f>'Input Misc Measures'!K9</f>
        <v/>
      </c>
    </row>
    <row r="168" spans="1:14">
      <c r="A168" s="81" t="s">
        <v>496</v>
      </c>
      <c r="B168" s="82">
        <f t="shared" si="7"/>
        <v>0</v>
      </c>
      <c r="C168" s="82">
        <v>6</v>
      </c>
      <c r="D168" s="82" t="str">
        <f>'Input Misc Measures'!C10</f>
        <v/>
      </c>
      <c r="E168" s="82" t="str">
        <f>'Input Misc Measures'!F10</f>
        <v/>
      </c>
      <c r="F168" s="82">
        <f>'Input Misc Measures'!G10</f>
        <v>0</v>
      </c>
      <c r="G168" s="83" t="str">
        <f>'Input Misc Measures'!L10</f>
        <v/>
      </c>
      <c r="H168" s="99" t="str">
        <f>'Input Misc Measures'!M10</f>
        <v/>
      </c>
      <c r="I168" s="85" t="str">
        <f>IFERROR(N168*MIN(Table_Measure_Caps[[#Totals],[Estimated Raw Incentive Total]], Table_Measure_Caps[[#Totals],[Gross Measure Cost Total]], Value_Project_CAP)/Table_Measure_Caps[[#Totals],[Estimated Raw Incentive Total]], "")</f>
        <v/>
      </c>
      <c r="J168" s="85">
        <f>'Input Misc Measures'!H10</f>
        <v>0</v>
      </c>
      <c r="K168" s="82">
        <f>'Input Misc Measures'!I10</f>
        <v>0</v>
      </c>
      <c r="L168" s="86" t="str">
        <f t="shared" si="5"/>
        <v>Version 5.0 - 2025</v>
      </c>
      <c r="M168" s="87">
        <f>'Input Misc Measures'!E10</f>
        <v>0</v>
      </c>
      <c r="N168" s="84" t="str">
        <f>'Input Misc Measures'!K10</f>
        <v/>
      </c>
    </row>
    <row r="169" spans="1:14">
      <c r="A169" s="81" t="s">
        <v>496</v>
      </c>
      <c r="B169" s="82">
        <f t="shared" si="7"/>
        <v>0</v>
      </c>
      <c r="C169" s="82">
        <v>7</v>
      </c>
      <c r="D169" s="82" t="str">
        <f>'Input Misc Measures'!C11</f>
        <v/>
      </c>
      <c r="E169" s="82" t="str">
        <f>'Input Misc Measures'!F11</f>
        <v/>
      </c>
      <c r="F169" s="82">
        <f>'Input Misc Measures'!G11</f>
        <v>0</v>
      </c>
      <c r="G169" s="83" t="str">
        <f>'Input Misc Measures'!L11</f>
        <v/>
      </c>
      <c r="H169" s="99" t="str">
        <f>'Input Misc Measures'!M11</f>
        <v/>
      </c>
      <c r="I169" s="85" t="str">
        <f>IFERROR(N169*MIN(Table_Measure_Caps[[#Totals],[Estimated Raw Incentive Total]], Table_Measure_Caps[[#Totals],[Gross Measure Cost Total]], Value_Project_CAP)/Table_Measure_Caps[[#Totals],[Estimated Raw Incentive Total]], "")</f>
        <v/>
      </c>
      <c r="J169" s="85">
        <f>'Input Misc Measures'!H11</f>
        <v>0</v>
      </c>
      <c r="K169" s="82">
        <f>'Input Misc Measures'!I11</f>
        <v>0</v>
      </c>
      <c r="L169" s="86" t="str">
        <f t="shared" si="5"/>
        <v>Version 5.0 - 2025</v>
      </c>
      <c r="M169" s="87">
        <f>'Input Misc Measures'!E11</f>
        <v>0</v>
      </c>
      <c r="N169" s="84" t="str">
        <f>'Input Misc Measures'!K11</f>
        <v/>
      </c>
    </row>
    <row r="170" spans="1:14">
      <c r="A170" s="81" t="s">
        <v>496</v>
      </c>
      <c r="B170" s="82">
        <f t="shared" si="7"/>
        <v>0</v>
      </c>
      <c r="C170" s="82">
        <v>8</v>
      </c>
      <c r="D170" s="82" t="str">
        <f>'Input Misc Measures'!C12</f>
        <v/>
      </c>
      <c r="E170" s="82" t="str">
        <f>'Input Misc Measures'!F12</f>
        <v/>
      </c>
      <c r="F170" s="82">
        <f>'Input Misc Measures'!G12</f>
        <v>0</v>
      </c>
      <c r="G170" s="83" t="str">
        <f>'Input Misc Measures'!L12</f>
        <v/>
      </c>
      <c r="H170" s="99" t="str">
        <f>'Input Misc Measures'!M12</f>
        <v/>
      </c>
      <c r="I170" s="85" t="str">
        <f>IFERROR(N170*MIN(Table_Measure_Caps[[#Totals],[Estimated Raw Incentive Total]], Table_Measure_Caps[[#Totals],[Gross Measure Cost Total]], Value_Project_CAP)/Table_Measure_Caps[[#Totals],[Estimated Raw Incentive Total]], "")</f>
        <v/>
      </c>
      <c r="J170" s="85">
        <f>'Input Misc Measures'!H12</f>
        <v>0</v>
      </c>
      <c r="K170" s="82">
        <f>'Input Misc Measures'!I12</f>
        <v>0</v>
      </c>
      <c r="L170" s="86" t="str">
        <f t="shared" si="5"/>
        <v>Version 5.0 - 2025</v>
      </c>
      <c r="M170" s="87">
        <f>'Input Misc Measures'!E12</f>
        <v>0</v>
      </c>
      <c r="N170" s="84" t="str">
        <f>'Input Misc Measures'!K12</f>
        <v/>
      </c>
    </row>
    <row r="171" spans="1:14">
      <c r="A171" s="81" t="s">
        <v>496</v>
      </c>
      <c r="B171" s="82">
        <f t="shared" si="7"/>
        <v>0</v>
      </c>
      <c r="C171" s="82">
        <v>9</v>
      </c>
      <c r="D171" s="82" t="str">
        <f>'Input Misc Measures'!C13</f>
        <v/>
      </c>
      <c r="E171" s="82" t="str">
        <f>'Input Misc Measures'!F13</f>
        <v/>
      </c>
      <c r="F171" s="82">
        <f>'Input Misc Measures'!G13</f>
        <v>0</v>
      </c>
      <c r="G171" s="83" t="str">
        <f>'Input Misc Measures'!L13</f>
        <v/>
      </c>
      <c r="H171" s="99" t="str">
        <f>'Input Misc Measures'!M13</f>
        <v/>
      </c>
      <c r="I171" s="85" t="str">
        <f>IFERROR(N171*MIN(Table_Measure_Caps[[#Totals],[Estimated Raw Incentive Total]], Table_Measure_Caps[[#Totals],[Gross Measure Cost Total]], Value_Project_CAP)/Table_Measure_Caps[[#Totals],[Estimated Raw Incentive Total]], "")</f>
        <v/>
      </c>
      <c r="J171" s="85">
        <f>'Input Misc Measures'!H13</f>
        <v>0</v>
      </c>
      <c r="K171" s="82">
        <f>'Input Misc Measures'!I13</f>
        <v>0</v>
      </c>
      <c r="L171" s="86" t="str">
        <f t="shared" si="5"/>
        <v>Version 5.0 - 2025</v>
      </c>
      <c r="M171" s="87">
        <f>'Input Misc Measures'!E13</f>
        <v>0</v>
      </c>
      <c r="N171" s="84" t="str">
        <f>'Input Misc Measures'!K13</f>
        <v/>
      </c>
    </row>
    <row r="172" spans="1:14">
      <c r="A172" s="81" t="s">
        <v>496</v>
      </c>
      <c r="B172" s="82">
        <f t="shared" si="7"/>
        <v>0</v>
      </c>
      <c r="C172" s="82">
        <v>10</v>
      </c>
      <c r="D172" s="82" t="str">
        <f>'Input Misc Measures'!C14</f>
        <v/>
      </c>
      <c r="E172" s="82" t="str">
        <f>'Input Misc Measures'!F14</f>
        <v/>
      </c>
      <c r="F172" s="82">
        <f>'Input Misc Measures'!G14</f>
        <v>0</v>
      </c>
      <c r="G172" s="83" t="str">
        <f>'Input Misc Measures'!L14</f>
        <v/>
      </c>
      <c r="H172" s="99" t="str">
        <f>'Input Misc Measures'!M14</f>
        <v/>
      </c>
      <c r="I172" s="85" t="str">
        <f>IFERROR(N172*MIN(Table_Measure_Caps[[#Totals],[Estimated Raw Incentive Total]], Table_Measure_Caps[[#Totals],[Gross Measure Cost Total]], Value_Project_CAP)/Table_Measure_Caps[[#Totals],[Estimated Raw Incentive Total]], "")</f>
        <v/>
      </c>
      <c r="J172" s="85">
        <f>'Input Misc Measures'!H14</f>
        <v>0</v>
      </c>
      <c r="K172" s="82">
        <f>'Input Misc Measures'!I14</f>
        <v>0</v>
      </c>
      <c r="L172" s="86" t="str">
        <f t="shared" si="5"/>
        <v>Version 5.0 - 2025</v>
      </c>
      <c r="M172" s="87">
        <f>'Input Misc Measures'!E14</f>
        <v>0</v>
      </c>
      <c r="N172" s="84" t="str">
        <f>'Input Misc Measures'!K14</f>
        <v/>
      </c>
    </row>
    <row r="173" spans="1:14">
      <c r="A173" s="81" t="s">
        <v>496</v>
      </c>
      <c r="B173" s="82">
        <f t="shared" si="7"/>
        <v>0</v>
      </c>
      <c r="C173" s="82">
        <v>11</v>
      </c>
      <c r="D173" s="82" t="str">
        <f>'Input Misc Measures'!C15</f>
        <v/>
      </c>
      <c r="E173" s="82" t="str">
        <f>'Input Misc Measures'!F15</f>
        <v/>
      </c>
      <c r="F173" s="82">
        <f>'Input Misc Measures'!G15</f>
        <v>0</v>
      </c>
      <c r="G173" s="83" t="str">
        <f>'Input Misc Measures'!L15</f>
        <v/>
      </c>
      <c r="H173" s="99" t="str">
        <f>'Input Misc Measures'!M15</f>
        <v/>
      </c>
      <c r="I173" s="85" t="str">
        <f>IFERROR(N173*MIN(Table_Measure_Caps[[#Totals],[Estimated Raw Incentive Total]], Table_Measure_Caps[[#Totals],[Gross Measure Cost Total]], Value_Project_CAP)/Table_Measure_Caps[[#Totals],[Estimated Raw Incentive Total]], "")</f>
        <v/>
      </c>
      <c r="J173" s="85">
        <f>'Input Misc Measures'!H15</f>
        <v>0</v>
      </c>
      <c r="K173" s="82">
        <f>'Input Misc Measures'!I15</f>
        <v>0</v>
      </c>
      <c r="L173" s="86" t="str">
        <f t="shared" si="5"/>
        <v>Version 5.0 - 2025</v>
      </c>
      <c r="M173" s="87">
        <f>'Input Misc Measures'!E15</f>
        <v>0</v>
      </c>
      <c r="N173" s="84" t="str">
        <f>'Input Misc Measures'!K15</f>
        <v/>
      </c>
    </row>
    <row r="174" spans="1:14">
      <c r="A174" s="81" t="s">
        <v>496</v>
      </c>
      <c r="B174" s="82">
        <f t="shared" si="7"/>
        <v>0</v>
      </c>
      <c r="C174" s="82">
        <v>12</v>
      </c>
      <c r="D174" s="82" t="str">
        <f>'Input Misc Measures'!C16</f>
        <v/>
      </c>
      <c r="E174" s="82" t="str">
        <f>'Input Misc Measures'!F16</f>
        <v/>
      </c>
      <c r="F174" s="82">
        <f>'Input Misc Measures'!G16</f>
        <v>0</v>
      </c>
      <c r="G174" s="83" t="str">
        <f>'Input Misc Measures'!L16</f>
        <v/>
      </c>
      <c r="H174" s="99" t="str">
        <f>'Input Misc Measures'!M16</f>
        <v/>
      </c>
      <c r="I174" s="85" t="str">
        <f>IFERROR(N174*MIN(Table_Measure_Caps[[#Totals],[Estimated Raw Incentive Total]], Table_Measure_Caps[[#Totals],[Gross Measure Cost Total]], Value_Project_CAP)/Table_Measure_Caps[[#Totals],[Estimated Raw Incentive Total]], "")</f>
        <v/>
      </c>
      <c r="J174" s="85">
        <f>'Input Misc Measures'!H16</f>
        <v>0</v>
      </c>
      <c r="K174" s="82">
        <f>'Input Misc Measures'!I16</f>
        <v>0</v>
      </c>
      <c r="L174" s="86" t="str">
        <f t="shared" si="5"/>
        <v>Version 5.0 - 2025</v>
      </c>
      <c r="M174" s="87">
        <f>'Input Misc Measures'!E16</f>
        <v>0</v>
      </c>
      <c r="N174" s="84" t="str">
        <f>'Input Misc Measures'!K16</f>
        <v/>
      </c>
    </row>
    <row r="175" spans="1:14">
      <c r="A175" s="81" t="s">
        <v>496</v>
      </c>
      <c r="B175" s="82">
        <f t="shared" si="7"/>
        <v>0</v>
      </c>
      <c r="C175" s="82">
        <v>13</v>
      </c>
      <c r="D175" s="82" t="str">
        <f>'Input Misc Measures'!C17</f>
        <v/>
      </c>
      <c r="E175" s="82" t="str">
        <f>'Input Misc Measures'!F17</f>
        <v/>
      </c>
      <c r="F175" s="82">
        <f>'Input Misc Measures'!G17</f>
        <v>0</v>
      </c>
      <c r="G175" s="83" t="str">
        <f>'Input Misc Measures'!L17</f>
        <v/>
      </c>
      <c r="H175" s="99" t="str">
        <f>'Input Misc Measures'!M17</f>
        <v/>
      </c>
      <c r="I175" s="85" t="str">
        <f>IFERROR(N175*MIN(Table_Measure_Caps[[#Totals],[Estimated Raw Incentive Total]], Table_Measure_Caps[[#Totals],[Gross Measure Cost Total]], Value_Project_CAP)/Table_Measure_Caps[[#Totals],[Estimated Raw Incentive Total]], "")</f>
        <v/>
      </c>
      <c r="J175" s="85">
        <f>'Input Misc Measures'!H17</f>
        <v>0</v>
      </c>
      <c r="K175" s="82">
        <f>'Input Misc Measures'!I17</f>
        <v>0</v>
      </c>
      <c r="L175" s="86" t="str">
        <f t="shared" si="5"/>
        <v>Version 5.0 - 2025</v>
      </c>
      <c r="M175" s="87">
        <f>'Input Misc Measures'!E17</f>
        <v>0</v>
      </c>
      <c r="N175" s="84" t="str">
        <f>'Input Misc Measures'!K17</f>
        <v/>
      </c>
    </row>
    <row r="176" spans="1:14">
      <c r="A176" s="81" t="s">
        <v>496</v>
      </c>
      <c r="B176" s="82">
        <f t="shared" si="7"/>
        <v>0</v>
      </c>
      <c r="C176" s="82">
        <v>14</v>
      </c>
      <c r="D176" s="82" t="str">
        <f>'Input Misc Measures'!C18</f>
        <v/>
      </c>
      <c r="E176" s="82" t="str">
        <f>'Input Misc Measures'!F18</f>
        <v/>
      </c>
      <c r="F176" s="82">
        <f>'Input Misc Measures'!G18</f>
        <v>0</v>
      </c>
      <c r="G176" s="83" t="str">
        <f>'Input Misc Measures'!L18</f>
        <v/>
      </c>
      <c r="H176" s="99" t="str">
        <f>'Input Misc Measures'!M18</f>
        <v/>
      </c>
      <c r="I176" s="85" t="str">
        <f>IFERROR(N176*MIN(Table_Measure_Caps[[#Totals],[Estimated Raw Incentive Total]], Table_Measure_Caps[[#Totals],[Gross Measure Cost Total]], Value_Project_CAP)/Table_Measure_Caps[[#Totals],[Estimated Raw Incentive Total]], "")</f>
        <v/>
      </c>
      <c r="J176" s="85">
        <f>'Input Misc Measures'!H18</f>
        <v>0</v>
      </c>
      <c r="K176" s="82">
        <f>'Input Misc Measures'!I18</f>
        <v>0</v>
      </c>
      <c r="L176" s="86" t="str">
        <f t="shared" si="5"/>
        <v>Version 5.0 - 2025</v>
      </c>
      <c r="M176" s="87">
        <f>'Input Misc Measures'!E18</f>
        <v>0</v>
      </c>
      <c r="N176" s="84" t="str">
        <f>'Input Misc Measures'!K18</f>
        <v/>
      </c>
    </row>
    <row r="177" spans="1:14">
      <c r="A177" s="81" t="s">
        <v>496</v>
      </c>
      <c r="B177" s="82">
        <f t="shared" si="7"/>
        <v>0</v>
      </c>
      <c r="C177" s="82">
        <v>15</v>
      </c>
      <c r="D177" s="82" t="str">
        <f>'Input Misc Measures'!C19</f>
        <v/>
      </c>
      <c r="E177" s="82" t="str">
        <f>'Input Misc Measures'!F19</f>
        <v/>
      </c>
      <c r="F177" s="82">
        <f>'Input Misc Measures'!G19</f>
        <v>0</v>
      </c>
      <c r="G177" s="83" t="str">
        <f>'Input Misc Measures'!L19</f>
        <v/>
      </c>
      <c r="H177" s="99" t="str">
        <f>'Input Misc Measures'!M19</f>
        <v/>
      </c>
      <c r="I177" s="85" t="str">
        <f>IFERROR(N177*MIN(Table_Measure_Caps[[#Totals],[Estimated Raw Incentive Total]], Table_Measure_Caps[[#Totals],[Gross Measure Cost Total]], Value_Project_CAP)/Table_Measure_Caps[[#Totals],[Estimated Raw Incentive Total]], "")</f>
        <v/>
      </c>
      <c r="J177" s="85">
        <f>'Input Misc Measures'!H19</f>
        <v>0</v>
      </c>
      <c r="K177" s="82">
        <f>'Input Misc Measures'!I19</f>
        <v>0</v>
      </c>
      <c r="L177" s="86" t="str">
        <f t="shared" si="5"/>
        <v>Version 5.0 - 2025</v>
      </c>
      <c r="M177" s="87">
        <f>'Input Misc Measures'!E19</f>
        <v>0</v>
      </c>
      <c r="N177" s="84" t="str">
        <f>'Input Misc Measures'!K19</f>
        <v/>
      </c>
    </row>
    <row r="178" spans="1:14">
      <c r="A178" s="81" t="s">
        <v>496</v>
      </c>
      <c r="B178" s="82">
        <f t="shared" si="7"/>
        <v>0</v>
      </c>
      <c r="C178" s="82">
        <v>16</v>
      </c>
      <c r="D178" s="82" t="str">
        <f>'Input Misc Measures'!C20</f>
        <v/>
      </c>
      <c r="E178" s="82" t="str">
        <f>'Input Misc Measures'!F20</f>
        <v/>
      </c>
      <c r="F178" s="82">
        <f>'Input Misc Measures'!G20</f>
        <v>0</v>
      </c>
      <c r="G178" s="83" t="str">
        <f>'Input Misc Measures'!L20</f>
        <v/>
      </c>
      <c r="H178" s="99" t="str">
        <f>'Input Misc Measures'!M20</f>
        <v/>
      </c>
      <c r="I178" s="85" t="str">
        <f>IFERROR(N178*MIN(Table_Measure_Caps[[#Totals],[Estimated Raw Incentive Total]], Table_Measure_Caps[[#Totals],[Gross Measure Cost Total]], Value_Project_CAP)/Table_Measure_Caps[[#Totals],[Estimated Raw Incentive Total]], "")</f>
        <v/>
      </c>
      <c r="J178" s="85">
        <f>'Input Misc Measures'!H20</f>
        <v>0</v>
      </c>
      <c r="K178" s="82">
        <f>'Input Misc Measures'!I20</f>
        <v>0</v>
      </c>
      <c r="L178" s="86" t="str">
        <f t="shared" si="5"/>
        <v>Version 5.0 - 2025</v>
      </c>
      <c r="M178" s="87">
        <f>'Input Misc Measures'!E20</f>
        <v>0</v>
      </c>
      <c r="N178" s="84" t="str">
        <f>'Input Misc Measures'!K20</f>
        <v/>
      </c>
    </row>
    <row r="179" spans="1:14">
      <c r="A179" s="81" t="s">
        <v>496</v>
      </c>
      <c r="B179" s="82">
        <f t="shared" si="7"/>
        <v>0</v>
      </c>
      <c r="C179" s="82">
        <v>17</v>
      </c>
      <c r="D179" s="82" t="str">
        <f>'Input Misc Measures'!C21</f>
        <v/>
      </c>
      <c r="E179" s="82" t="str">
        <f>'Input Misc Measures'!F21</f>
        <v/>
      </c>
      <c r="F179" s="82">
        <f>'Input Misc Measures'!G21</f>
        <v>0</v>
      </c>
      <c r="G179" s="83" t="str">
        <f>'Input Misc Measures'!L21</f>
        <v/>
      </c>
      <c r="H179" s="99" t="str">
        <f>'Input Misc Measures'!M21</f>
        <v/>
      </c>
      <c r="I179" s="85" t="str">
        <f>IFERROR(N179*MIN(Table_Measure_Caps[[#Totals],[Estimated Raw Incentive Total]], Table_Measure_Caps[[#Totals],[Gross Measure Cost Total]], Value_Project_CAP)/Table_Measure_Caps[[#Totals],[Estimated Raw Incentive Total]], "")</f>
        <v/>
      </c>
      <c r="J179" s="85">
        <f>'Input Misc Measures'!H21</f>
        <v>0</v>
      </c>
      <c r="K179" s="82">
        <f>'Input Misc Measures'!I21</f>
        <v>0</v>
      </c>
      <c r="L179" s="86" t="str">
        <f t="shared" si="5"/>
        <v>Version 5.0 - 2025</v>
      </c>
      <c r="M179" s="87">
        <f>'Input Misc Measures'!E21</f>
        <v>0</v>
      </c>
      <c r="N179" s="84" t="str">
        <f>'Input Misc Measures'!K21</f>
        <v/>
      </c>
    </row>
    <row r="180" spans="1:14">
      <c r="A180" s="81" t="s">
        <v>496</v>
      </c>
      <c r="B180" s="82">
        <f t="shared" si="7"/>
        <v>0</v>
      </c>
      <c r="C180" s="82">
        <v>18</v>
      </c>
      <c r="D180" s="82" t="str">
        <f>'Input Misc Measures'!C22</f>
        <v/>
      </c>
      <c r="E180" s="82" t="str">
        <f>'Input Misc Measures'!F22</f>
        <v/>
      </c>
      <c r="F180" s="82">
        <f>'Input Misc Measures'!G22</f>
        <v>0</v>
      </c>
      <c r="G180" s="83" t="str">
        <f>'Input Misc Measures'!L22</f>
        <v/>
      </c>
      <c r="H180" s="99" t="str">
        <f>'Input Misc Measures'!M22</f>
        <v/>
      </c>
      <c r="I180" s="85" t="str">
        <f>IFERROR(N180*MIN(Table_Measure_Caps[[#Totals],[Estimated Raw Incentive Total]], Table_Measure_Caps[[#Totals],[Gross Measure Cost Total]], Value_Project_CAP)/Table_Measure_Caps[[#Totals],[Estimated Raw Incentive Total]], "")</f>
        <v/>
      </c>
      <c r="J180" s="85">
        <f>'Input Misc Measures'!H22</f>
        <v>0</v>
      </c>
      <c r="K180" s="82">
        <f>'Input Misc Measures'!I22</f>
        <v>0</v>
      </c>
      <c r="L180" s="86" t="str">
        <f t="shared" si="5"/>
        <v>Version 5.0 - 2025</v>
      </c>
      <c r="M180" s="87">
        <f>'Input Misc Measures'!E22</f>
        <v>0</v>
      </c>
      <c r="N180" s="84" t="str">
        <f>'Input Misc Measures'!K22</f>
        <v/>
      </c>
    </row>
    <row r="181" spans="1:14">
      <c r="A181" s="81" t="s">
        <v>496</v>
      </c>
      <c r="B181" s="82">
        <f t="shared" si="7"/>
        <v>0</v>
      </c>
      <c r="C181" s="82">
        <v>19</v>
      </c>
      <c r="D181" s="82" t="str">
        <f>'Input Misc Measures'!C23</f>
        <v/>
      </c>
      <c r="E181" s="82" t="str">
        <f>'Input Misc Measures'!F23</f>
        <v/>
      </c>
      <c r="F181" s="82">
        <f>'Input Misc Measures'!G23</f>
        <v>0</v>
      </c>
      <c r="G181" s="83" t="str">
        <f>'Input Misc Measures'!L23</f>
        <v/>
      </c>
      <c r="H181" s="99" t="str">
        <f>'Input Misc Measures'!M23</f>
        <v/>
      </c>
      <c r="I181" s="85" t="str">
        <f>IFERROR(N181*MIN(Table_Measure_Caps[[#Totals],[Estimated Raw Incentive Total]], Table_Measure_Caps[[#Totals],[Gross Measure Cost Total]], Value_Project_CAP)/Table_Measure_Caps[[#Totals],[Estimated Raw Incentive Total]], "")</f>
        <v/>
      </c>
      <c r="J181" s="85">
        <f>'Input Misc Measures'!H23</f>
        <v>0</v>
      </c>
      <c r="K181" s="82">
        <f>'Input Misc Measures'!I23</f>
        <v>0</v>
      </c>
      <c r="L181" s="86" t="str">
        <f t="shared" si="5"/>
        <v>Version 5.0 - 2025</v>
      </c>
      <c r="M181" s="87">
        <f>'Input Misc Measures'!E23</f>
        <v>0</v>
      </c>
      <c r="N181" s="84" t="str">
        <f>'Input Misc Measures'!K23</f>
        <v/>
      </c>
    </row>
    <row r="182" spans="1:14">
      <c r="A182" s="81" t="s">
        <v>496</v>
      </c>
      <c r="B182" s="82">
        <f t="shared" si="7"/>
        <v>0</v>
      </c>
      <c r="C182" s="82">
        <v>20</v>
      </c>
      <c r="D182" s="82" t="str">
        <f>'Input Misc Measures'!C24</f>
        <v/>
      </c>
      <c r="E182" s="82" t="str">
        <f>'Input Misc Measures'!F24</f>
        <v/>
      </c>
      <c r="F182" s="82">
        <f>'Input Misc Measures'!G24</f>
        <v>0</v>
      </c>
      <c r="G182" s="83" t="str">
        <f>'Input Misc Measures'!L24</f>
        <v/>
      </c>
      <c r="H182" s="99" t="str">
        <f>'Input Misc Measures'!M24</f>
        <v/>
      </c>
      <c r="I182" s="85" t="str">
        <f>IFERROR(N182*MIN(Table_Measure_Caps[[#Totals],[Estimated Raw Incentive Total]], Table_Measure_Caps[[#Totals],[Gross Measure Cost Total]], Value_Project_CAP)/Table_Measure_Caps[[#Totals],[Estimated Raw Incentive Total]], "")</f>
        <v/>
      </c>
      <c r="J182" s="85">
        <f>'Input Misc Measures'!H24</f>
        <v>0</v>
      </c>
      <c r="K182" s="82">
        <f>'Input Misc Measures'!I24</f>
        <v>0</v>
      </c>
      <c r="L182" s="86" t="str">
        <f t="shared" si="5"/>
        <v>Version 5.0 - 2025</v>
      </c>
      <c r="M182" s="87">
        <f>'Input Misc Measures'!E24</f>
        <v>0</v>
      </c>
      <c r="N182" s="84" t="str">
        <f>'Input Misc Measures'!K24</f>
        <v/>
      </c>
    </row>
    <row r="183" spans="1:14">
      <c r="A183" s="81" t="s">
        <v>496</v>
      </c>
      <c r="B183" s="82">
        <f t="shared" si="7"/>
        <v>0</v>
      </c>
      <c r="C183" s="82">
        <v>21</v>
      </c>
      <c r="D183" s="82" t="str">
        <f>'Input Misc Measures'!C25</f>
        <v/>
      </c>
      <c r="E183" s="82" t="str">
        <f>'Input Misc Measures'!F25</f>
        <v/>
      </c>
      <c r="F183" s="82">
        <f>'Input Misc Measures'!G25</f>
        <v>0</v>
      </c>
      <c r="G183" s="83" t="str">
        <f>'Input Misc Measures'!L25</f>
        <v/>
      </c>
      <c r="H183" s="99" t="str">
        <f>'Input Misc Measures'!M25</f>
        <v/>
      </c>
      <c r="I183" s="85" t="str">
        <f>IFERROR(N183*MIN(Table_Measure_Caps[[#Totals],[Estimated Raw Incentive Total]], Table_Measure_Caps[[#Totals],[Gross Measure Cost Total]], Value_Project_CAP)/Table_Measure_Caps[[#Totals],[Estimated Raw Incentive Total]], "")</f>
        <v/>
      </c>
      <c r="J183" s="85">
        <f>'Input Misc Measures'!H25</f>
        <v>0</v>
      </c>
      <c r="K183" s="82">
        <f>'Input Misc Measures'!I25</f>
        <v>0</v>
      </c>
      <c r="L183" s="86" t="str">
        <f t="shared" si="5"/>
        <v>Version 5.0 - 2025</v>
      </c>
      <c r="M183" s="87">
        <f>'Input Misc Measures'!E25</f>
        <v>0</v>
      </c>
      <c r="N183" s="84" t="str">
        <f>'Input Misc Measures'!K25</f>
        <v/>
      </c>
    </row>
    <row r="184" spans="1:14">
      <c r="A184" s="81" t="s">
        <v>496</v>
      </c>
      <c r="B184" s="82">
        <f t="shared" si="7"/>
        <v>0</v>
      </c>
      <c r="C184" s="82">
        <v>22</v>
      </c>
      <c r="D184" s="82" t="str">
        <f>'Input Misc Measures'!C26</f>
        <v/>
      </c>
      <c r="E184" s="82" t="str">
        <f>'Input Misc Measures'!F26</f>
        <v/>
      </c>
      <c r="F184" s="82">
        <f>'Input Misc Measures'!G26</f>
        <v>0</v>
      </c>
      <c r="G184" s="83" t="str">
        <f>'Input Misc Measures'!L26</f>
        <v/>
      </c>
      <c r="H184" s="99" t="str">
        <f>'Input Misc Measures'!M26</f>
        <v/>
      </c>
      <c r="I184" s="85" t="str">
        <f>IFERROR(N184*MIN(Table_Measure_Caps[[#Totals],[Estimated Raw Incentive Total]], Table_Measure_Caps[[#Totals],[Gross Measure Cost Total]], Value_Project_CAP)/Table_Measure_Caps[[#Totals],[Estimated Raw Incentive Total]], "")</f>
        <v/>
      </c>
      <c r="J184" s="85">
        <f>'Input Misc Measures'!H26</f>
        <v>0</v>
      </c>
      <c r="K184" s="82">
        <f>'Input Misc Measures'!I26</f>
        <v>0</v>
      </c>
      <c r="L184" s="86" t="str">
        <f t="shared" si="5"/>
        <v>Version 5.0 - 2025</v>
      </c>
      <c r="M184" s="87">
        <f>'Input Misc Measures'!E26</f>
        <v>0</v>
      </c>
      <c r="N184" s="84" t="str">
        <f>'Input Misc Measures'!K26</f>
        <v/>
      </c>
    </row>
    <row r="185" spans="1:14">
      <c r="A185" s="81" t="s">
        <v>496</v>
      </c>
      <c r="B185" s="82">
        <f t="shared" si="7"/>
        <v>0</v>
      </c>
      <c r="C185" s="82">
        <v>23</v>
      </c>
      <c r="D185" s="82" t="str">
        <f>'Input Misc Measures'!C27</f>
        <v/>
      </c>
      <c r="E185" s="82" t="str">
        <f>'Input Misc Measures'!F27</f>
        <v/>
      </c>
      <c r="F185" s="82">
        <f>'Input Misc Measures'!G27</f>
        <v>0</v>
      </c>
      <c r="G185" s="83" t="str">
        <f>'Input Misc Measures'!L27</f>
        <v/>
      </c>
      <c r="H185" s="99" t="str">
        <f>'Input Misc Measures'!M27</f>
        <v/>
      </c>
      <c r="I185" s="85" t="str">
        <f>IFERROR(N185*MIN(Table_Measure_Caps[[#Totals],[Estimated Raw Incentive Total]], Table_Measure_Caps[[#Totals],[Gross Measure Cost Total]], Value_Project_CAP)/Table_Measure_Caps[[#Totals],[Estimated Raw Incentive Total]], "")</f>
        <v/>
      </c>
      <c r="J185" s="85">
        <f>'Input Misc Measures'!H27</f>
        <v>0</v>
      </c>
      <c r="K185" s="82">
        <f>'Input Misc Measures'!I27</f>
        <v>0</v>
      </c>
      <c r="L185" s="86" t="str">
        <f t="shared" si="5"/>
        <v>Version 5.0 - 2025</v>
      </c>
      <c r="M185" s="87">
        <f>'Input Misc Measures'!E27</f>
        <v>0</v>
      </c>
      <c r="N185" s="84" t="str">
        <f>'Input Misc Measures'!K27</f>
        <v/>
      </c>
    </row>
    <row r="186" spans="1:14">
      <c r="A186" s="81" t="s">
        <v>496</v>
      </c>
      <c r="B186" s="82">
        <f t="shared" si="7"/>
        <v>0</v>
      </c>
      <c r="C186" s="82">
        <v>24</v>
      </c>
      <c r="D186" s="82" t="str">
        <f>'Input Misc Measures'!C28</f>
        <v/>
      </c>
      <c r="E186" s="82" t="str">
        <f>'Input Misc Measures'!F28</f>
        <v/>
      </c>
      <c r="F186" s="82">
        <f>'Input Misc Measures'!G28</f>
        <v>0</v>
      </c>
      <c r="G186" s="83" t="str">
        <f>'Input Misc Measures'!L28</f>
        <v/>
      </c>
      <c r="H186" s="99" t="str">
        <f>'Input Misc Measures'!M28</f>
        <v/>
      </c>
      <c r="I186" s="85" t="str">
        <f>IFERROR(N186*MIN(Table_Measure_Caps[[#Totals],[Estimated Raw Incentive Total]], Table_Measure_Caps[[#Totals],[Gross Measure Cost Total]], Value_Project_CAP)/Table_Measure_Caps[[#Totals],[Estimated Raw Incentive Total]], "")</f>
        <v/>
      </c>
      <c r="J186" s="85">
        <f>'Input Misc Measures'!H28</f>
        <v>0</v>
      </c>
      <c r="K186" s="82">
        <f>'Input Misc Measures'!I28</f>
        <v>0</v>
      </c>
      <c r="L186" s="86" t="str">
        <f t="shared" si="5"/>
        <v>Version 5.0 - 2025</v>
      </c>
      <c r="M186" s="87">
        <f>'Input Misc Measures'!E28</f>
        <v>0</v>
      </c>
      <c r="N186" s="84" t="str">
        <f>'Input Misc Measures'!K28</f>
        <v/>
      </c>
    </row>
    <row r="187" spans="1:14">
      <c r="A187" s="81" t="s">
        <v>496</v>
      </c>
      <c r="B187" s="82">
        <f t="shared" si="7"/>
        <v>0</v>
      </c>
      <c r="C187" s="82">
        <v>25</v>
      </c>
      <c r="D187" s="82" t="str">
        <f>'Input Misc Measures'!C29</f>
        <v/>
      </c>
      <c r="E187" s="82" t="str">
        <f>'Input Misc Measures'!F29</f>
        <v/>
      </c>
      <c r="F187" s="82">
        <f>'Input Misc Measures'!G29</f>
        <v>0</v>
      </c>
      <c r="G187" s="83" t="str">
        <f>'Input Misc Measures'!L29</f>
        <v/>
      </c>
      <c r="H187" s="99" t="str">
        <f>'Input Misc Measures'!M29</f>
        <v/>
      </c>
      <c r="I187" s="85" t="str">
        <f>IFERROR(N187*MIN(Table_Measure_Caps[[#Totals],[Estimated Raw Incentive Total]], Table_Measure_Caps[[#Totals],[Gross Measure Cost Total]], Value_Project_CAP)/Table_Measure_Caps[[#Totals],[Estimated Raw Incentive Total]], "")</f>
        <v/>
      </c>
      <c r="J187" s="85">
        <f>'Input Misc Measures'!H29</f>
        <v>0</v>
      </c>
      <c r="K187" s="82">
        <f>'Input Misc Measures'!I29</f>
        <v>0</v>
      </c>
      <c r="L187" s="86" t="str">
        <f t="shared" si="5"/>
        <v>Version 5.0 - 2025</v>
      </c>
      <c r="M187" s="87">
        <f>'Input Misc Measures'!E29</f>
        <v>0</v>
      </c>
      <c r="N187" s="84" t="str">
        <f>'Input Misc Measures'!K29</f>
        <v/>
      </c>
    </row>
    <row r="188" spans="1:14">
      <c r="A188" s="81" t="s">
        <v>496</v>
      </c>
      <c r="B188" s="82">
        <f t="shared" si="7"/>
        <v>0</v>
      </c>
      <c r="C188" s="82">
        <v>26</v>
      </c>
      <c r="D188" s="82" t="str">
        <f>'Input Misc Measures'!C30</f>
        <v/>
      </c>
      <c r="E188" s="82" t="str">
        <f>'Input Misc Measures'!F30</f>
        <v/>
      </c>
      <c r="F188" s="82">
        <f>'Input Misc Measures'!G30</f>
        <v>0</v>
      </c>
      <c r="G188" s="83" t="str">
        <f>'Input Misc Measures'!L30</f>
        <v/>
      </c>
      <c r="H188" s="99" t="str">
        <f>'Input Misc Measures'!M30</f>
        <v/>
      </c>
      <c r="I188" s="85" t="str">
        <f>IFERROR(N188*MIN(Table_Measure_Caps[[#Totals],[Estimated Raw Incentive Total]], Table_Measure_Caps[[#Totals],[Gross Measure Cost Total]], Value_Project_CAP)/Table_Measure_Caps[[#Totals],[Estimated Raw Incentive Total]], "")</f>
        <v/>
      </c>
      <c r="J188" s="85">
        <f>'Input Misc Measures'!H30</f>
        <v>0</v>
      </c>
      <c r="K188" s="82">
        <f>'Input Misc Measures'!I30</f>
        <v>0</v>
      </c>
      <c r="L188" s="86" t="str">
        <f t="shared" si="5"/>
        <v>Version 5.0 - 2025</v>
      </c>
      <c r="M188" s="87">
        <f>'Input Misc Measures'!E30</f>
        <v>0</v>
      </c>
      <c r="N188" s="84" t="str">
        <f>'Input Misc Measures'!K30</f>
        <v/>
      </c>
    </row>
    <row r="189" spans="1:14">
      <c r="A189" s="81" t="s">
        <v>496</v>
      </c>
      <c r="B189" s="82">
        <f t="shared" si="7"/>
        <v>0</v>
      </c>
      <c r="C189" s="82">
        <v>27</v>
      </c>
      <c r="D189" s="82" t="str">
        <f>'Input Misc Measures'!C31</f>
        <v/>
      </c>
      <c r="E189" s="82" t="str">
        <f>'Input Misc Measures'!F31</f>
        <v/>
      </c>
      <c r="F189" s="82">
        <f>'Input Misc Measures'!G31</f>
        <v>0</v>
      </c>
      <c r="G189" s="83" t="str">
        <f>'Input Misc Measures'!L31</f>
        <v/>
      </c>
      <c r="H189" s="99" t="str">
        <f>'Input Misc Measures'!M31</f>
        <v/>
      </c>
      <c r="I189" s="85" t="str">
        <f>IFERROR(N189*MIN(Table_Measure_Caps[[#Totals],[Estimated Raw Incentive Total]], Table_Measure_Caps[[#Totals],[Gross Measure Cost Total]], Value_Project_CAP)/Table_Measure_Caps[[#Totals],[Estimated Raw Incentive Total]], "")</f>
        <v/>
      </c>
      <c r="J189" s="85">
        <f>'Input Misc Measures'!H31</f>
        <v>0</v>
      </c>
      <c r="K189" s="82">
        <f>'Input Misc Measures'!I31</f>
        <v>0</v>
      </c>
      <c r="L189" s="86" t="str">
        <f t="shared" si="5"/>
        <v>Version 5.0 - 2025</v>
      </c>
      <c r="M189" s="87">
        <f>'Input Misc Measures'!E31</f>
        <v>0</v>
      </c>
      <c r="N189" s="84" t="str">
        <f>'Input Misc Measures'!K31</f>
        <v/>
      </c>
    </row>
    <row r="190" spans="1:14">
      <c r="A190" s="81" t="s">
        <v>496</v>
      </c>
      <c r="B190" s="82">
        <f t="shared" si="7"/>
        <v>0</v>
      </c>
      <c r="C190" s="82">
        <v>28</v>
      </c>
      <c r="D190" s="82" t="str">
        <f>'Input Misc Measures'!C32</f>
        <v/>
      </c>
      <c r="E190" s="82" t="str">
        <f>'Input Misc Measures'!F32</f>
        <v/>
      </c>
      <c r="F190" s="82">
        <f>'Input Misc Measures'!G32</f>
        <v>0</v>
      </c>
      <c r="G190" s="83" t="str">
        <f>'Input Misc Measures'!L32</f>
        <v/>
      </c>
      <c r="H190" s="99" t="str">
        <f>'Input Misc Measures'!M32</f>
        <v/>
      </c>
      <c r="I190" s="85" t="str">
        <f>IFERROR(N190*MIN(Table_Measure_Caps[[#Totals],[Estimated Raw Incentive Total]], Table_Measure_Caps[[#Totals],[Gross Measure Cost Total]], Value_Project_CAP)/Table_Measure_Caps[[#Totals],[Estimated Raw Incentive Total]], "")</f>
        <v/>
      </c>
      <c r="J190" s="85">
        <f>'Input Misc Measures'!H32</f>
        <v>0</v>
      </c>
      <c r="K190" s="82">
        <f>'Input Misc Measures'!I32</f>
        <v>0</v>
      </c>
      <c r="L190" s="86" t="str">
        <f t="shared" si="5"/>
        <v>Version 5.0 - 2025</v>
      </c>
      <c r="M190" s="87">
        <f>'Input Misc Measures'!E32</f>
        <v>0</v>
      </c>
      <c r="N190" s="84" t="str">
        <f>'Input Misc Measures'!K32</f>
        <v/>
      </c>
    </row>
    <row r="191" spans="1:14">
      <c r="A191" s="81" t="s">
        <v>496</v>
      </c>
      <c r="B191" s="82">
        <f t="shared" si="7"/>
        <v>0</v>
      </c>
      <c r="C191" s="82">
        <v>29</v>
      </c>
      <c r="D191" s="82" t="str">
        <f>'Input Misc Measures'!C33</f>
        <v/>
      </c>
      <c r="E191" s="82" t="str">
        <f>'Input Misc Measures'!F33</f>
        <v/>
      </c>
      <c r="F191" s="82">
        <f>'Input Misc Measures'!G33</f>
        <v>0</v>
      </c>
      <c r="G191" s="83" t="str">
        <f>'Input Misc Measures'!L33</f>
        <v/>
      </c>
      <c r="H191" s="99" t="str">
        <f>'Input Misc Measures'!M33</f>
        <v/>
      </c>
      <c r="I191" s="85" t="str">
        <f>IFERROR(N191*MIN(Table_Measure_Caps[[#Totals],[Estimated Raw Incentive Total]], Table_Measure_Caps[[#Totals],[Gross Measure Cost Total]], Value_Project_CAP)/Table_Measure_Caps[[#Totals],[Estimated Raw Incentive Total]], "")</f>
        <v/>
      </c>
      <c r="J191" s="85">
        <f>'Input Misc Measures'!H33</f>
        <v>0</v>
      </c>
      <c r="K191" s="82">
        <f>'Input Misc Measures'!I33</f>
        <v>0</v>
      </c>
      <c r="L191" s="86" t="str">
        <f t="shared" si="5"/>
        <v>Version 5.0 - 2025</v>
      </c>
      <c r="M191" s="87">
        <f>'Input Misc Measures'!E33</f>
        <v>0</v>
      </c>
      <c r="N191" s="84" t="str">
        <f>'Input Misc Measures'!K33</f>
        <v/>
      </c>
    </row>
    <row r="192" spans="1:14">
      <c r="A192" s="81" t="s">
        <v>496</v>
      </c>
      <c r="B192" s="82">
        <f t="shared" si="7"/>
        <v>0</v>
      </c>
      <c r="C192" s="82">
        <v>30</v>
      </c>
      <c r="D192" s="82" t="str">
        <f>'Input Misc Measures'!C34</f>
        <v/>
      </c>
      <c r="E192" s="82" t="str">
        <f>'Input Misc Measures'!F34</f>
        <v/>
      </c>
      <c r="F192" s="82">
        <f>'Input Misc Measures'!G34</f>
        <v>0</v>
      </c>
      <c r="G192" s="83" t="str">
        <f>'Input Misc Measures'!L34</f>
        <v/>
      </c>
      <c r="H192" s="99" t="str">
        <f>'Input Misc Measures'!M34</f>
        <v/>
      </c>
      <c r="I192" s="85" t="str">
        <f>IFERROR(N192*MIN(Table_Measure_Caps[[#Totals],[Estimated Raw Incentive Total]], Table_Measure_Caps[[#Totals],[Gross Measure Cost Total]], Value_Project_CAP)/Table_Measure_Caps[[#Totals],[Estimated Raw Incentive Total]], "")</f>
        <v/>
      </c>
      <c r="J192" s="85">
        <f>'Input Misc Measures'!H34</f>
        <v>0</v>
      </c>
      <c r="K192" s="82">
        <f>'Input Misc Measures'!I34</f>
        <v>0</v>
      </c>
      <c r="L192" s="86" t="str">
        <f t="shared" si="5"/>
        <v>Version 5.0 - 2025</v>
      </c>
      <c r="M192" s="87">
        <f>'Input Misc Measures'!E34</f>
        <v>0</v>
      </c>
      <c r="N192" s="84" t="str">
        <f>'Input Misc Measures'!K34</f>
        <v/>
      </c>
    </row>
    <row r="193" spans="1:14">
      <c r="A193" s="88" t="s">
        <v>211</v>
      </c>
      <c r="B193" s="89">
        <f t="shared" si="7"/>
        <v>0</v>
      </c>
      <c r="C193" s="89">
        <v>1</v>
      </c>
      <c r="D193" s="89" t="str">
        <f>'Input Custom Measures'!C5</f>
        <v/>
      </c>
      <c r="E193" s="89"/>
      <c r="F193" s="89"/>
      <c r="G193" s="90" t="str">
        <f>'Input Custom Measures'!S5</f>
        <v/>
      </c>
      <c r="H193" s="100" t="str">
        <f>'Input Custom Measures'!T5</f>
        <v/>
      </c>
      <c r="I193" s="92" t="str">
        <f>IFERROR(N193*MIN(Table_Measure_Caps[[#Totals],[Estimated Raw Incentive Total]], Table_Measure_Caps[[#Totals],[Gross Measure Cost Total]], Value_Project_CAP)/Table_Measure_Caps[[#Totals],[Estimated Raw Incentive Total]], "")</f>
        <v/>
      </c>
      <c r="J193" s="92">
        <f>'Input Custom Measures'!P5</f>
        <v>0</v>
      </c>
      <c r="K193" s="89">
        <f>'Input Custom Measures'!Q5</f>
        <v>0</v>
      </c>
      <c r="L193" s="93" t="str">
        <f t="shared" si="5"/>
        <v>Version 5.0 - 2025</v>
      </c>
      <c r="M193" s="94">
        <f>'Input Custom Measures'!G5</f>
        <v>0</v>
      </c>
      <c r="N193" s="91" t="str">
        <f>'Input Custom Measures'!R5</f>
        <v/>
      </c>
    </row>
    <row r="194" spans="1:14">
      <c r="A194" s="88" t="s">
        <v>211</v>
      </c>
      <c r="B194" s="89">
        <f t="shared" si="7"/>
        <v>0</v>
      </c>
      <c r="C194" s="89">
        <v>2</v>
      </c>
      <c r="D194" s="89" t="str">
        <f>'Input Custom Measures'!C6</f>
        <v/>
      </c>
      <c r="E194" s="89"/>
      <c r="F194" s="89"/>
      <c r="G194" s="90" t="str">
        <f>'Input Custom Measures'!S6</f>
        <v/>
      </c>
      <c r="H194" s="100" t="str">
        <f>'Input Custom Measures'!T6</f>
        <v/>
      </c>
      <c r="I194" s="92" t="str">
        <f>IFERROR(N194*MIN(Table_Measure_Caps[[#Totals],[Estimated Raw Incentive Total]], Table_Measure_Caps[[#Totals],[Gross Measure Cost Total]], Value_Project_CAP)/Table_Measure_Caps[[#Totals],[Estimated Raw Incentive Total]], "")</f>
        <v/>
      </c>
      <c r="J194" s="92">
        <f>'Input Custom Measures'!P6</f>
        <v>0</v>
      </c>
      <c r="K194" s="89">
        <f>'Input Custom Measures'!Q6</f>
        <v>0</v>
      </c>
      <c r="L194" s="93" t="str">
        <f t="shared" ref="L194:L212" si="8">Value_Application_Version</f>
        <v>Version 5.0 - 2025</v>
      </c>
      <c r="M194" s="94">
        <f>'Input Custom Measures'!G6</f>
        <v>0</v>
      </c>
      <c r="N194" s="91" t="str">
        <f>'Input Custom Measures'!R6</f>
        <v/>
      </c>
    </row>
    <row r="195" spans="1:14">
      <c r="A195" s="88" t="s">
        <v>211</v>
      </c>
      <c r="B195" s="89">
        <f t="shared" si="7"/>
        <v>0</v>
      </c>
      <c r="C195" s="89">
        <v>3</v>
      </c>
      <c r="D195" s="89" t="str">
        <f>'Input Custom Measures'!C7</f>
        <v/>
      </c>
      <c r="E195" s="89"/>
      <c r="F195" s="89"/>
      <c r="G195" s="90" t="str">
        <f>'Input Custom Measures'!S7</f>
        <v/>
      </c>
      <c r="H195" s="100" t="str">
        <f>'Input Custom Measures'!T7</f>
        <v/>
      </c>
      <c r="I195" s="92" t="str">
        <f>IFERROR(N195*MIN(Table_Measure_Caps[[#Totals],[Estimated Raw Incentive Total]], Table_Measure_Caps[[#Totals],[Gross Measure Cost Total]], Value_Project_CAP)/Table_Measure_Caps[[#Totals],[Estimated Raw Incentive Total]], "")</f>
        <v/>
      </c>
      <c r="J195" s="92">
        <f>'Input Custom Measures'!P7</f>
        <v>0</v>
      </c>
      <c r="K195" s="89">
        <f>'Input Custom Measures'!Q7</f>
        <v>0</v>
      </c>
      <c r="L195" s="93" t="str">
        <f t="shared" si="8"/>
        <v>Version 5.0 - 2025</v>
      </c>
      <c r="M195" s="94">
        <f>'Input Custom Measures'!G7</f>
        <v>0</v>
      </c>
      <c r="N195" s="91" t="str">
        <f>'Input Custom Measures'!R7</f>
        <v/>
      </c>
    </row>
    <row r="196" spans="1:14">
      <c r="A196" s="88" t="s">
        <v>211</v>
      </c>
      <c r="B196" s="89">
        <f t="shared" si="7"/>
        <v>0</v>
      </c>
      <c r="C196" s="89">
        <v>4</v>
      </c>
      <c r="D196" s="89" t="str">
        <f>'Input Custom Measures'!C8</f>
        <v/>
      </c>
      <c r="E196" s="89"/>
      <c r="F196" s="89"/>
      <c r="G196" s="90" t="str">
        <f>'Input Custom Measures'!S8</f>
        <v/>
      </c>
      <c r="H196" s="100" t="str">
        <f>'Input Custom Measures'!T8</f>
        <v/>
      </c>
      <c r="I196" s="92" t="str">
        <f>IFERROR(N196*MIN(Table_Measure_Caps[[#Totals],[Estimated Raw Incentive Total]], Table_Measure_Caps[[#Totals],[Gross Measure Cost Total]], Value_Project_CAP)/Table_Measure_Caps[[#Totals],[Estimated Raw Incentive Total]], "")</f>
        <v/>
      </c>
      <c r="J196" s="92">
        <f>'Input Custom Measures'!P8</f>
        <v>0</v>
      </c>
      <c r="K196" s="89">
        <f>'Input Custom Measures'!Q8</f>
        <v>0</v>
      </c>
      <c r="L196" s="93" t="str">
        <f t="shared" si="8"/>
        <v>Version 5.0 - 2025</v>
      </c>
      <c r="M196" s="94">
        <f>'Input Custom Measures'!G8</f>
        <v>0</v>
      </c>
      <c r="N196" s="91" t="str">
        <f>'Input Custom Measures'!R8</f>
        <v/>
      </c>
    </row>
    <row r="197" spans="1:14">
      <c r="A197" s="88" t="s">
        <v>211</v>
      </c>
      <c r="B197" s="89">
        <f t="shared" ref="B197:B212" si="9">Input_ProjectNumber</f>
        <v>0</v>
      </c>
      <c r="C197" s="89">
        <v>5</v>
      </c>
      <c r="D197" s="89" t="str">
        <f>'Input Custom Measures'!C9</f>
        <v/>
      </c>
      <c r="E197" s="89"/>
      <c r="F197" s="89"/>
      <c r="G197" s="90" t="str">
        <f>'Input Custom Measures'!S9</f>
        <v/>
      </c>
      <c r="H197" s="100" t="str">
        <f>'Input Custom Measures'!T9</f>
        <v/>
      </c>
      <c r="I197" s="92" t="str">
        <f>IFERROR(N197*MIN(Table_Measure_Caps[[#Totals],[Estimated Raw Incentive Total]], Table_Measure_Caps[[#Totals],[Gross Measure Cost Total]], Value_Project_CAP)/Table_Measure_Caps[[#Totals],[Estimated Raw Incentive Total]], "")</f>
        <v/>
      </c>
      <c r="J197" s="92">
        <f>'Input Custom Measures'!P9</f>
        <v>0</v>
      </c>
      <c r="K197" s="89">
        <f>'Input Custom Measures'!Q9</f>
        <v>0</v>
      </c>
      <c r="L197" s="93" t="str">
        <f t="shared" si="8"/>
        <v>Version 5.0 - 2025</v>
      </c>
      <c r="M197" s="94">
        <f>'Input Custom Measures'!G9</f>
        <v>0</v>
      </c>
      <c r="N197" s="91" t="str">
        <f>'Input Custom Measures'!R9</f>
        <v/>
      </c>
    </row>
    <row r="198" spans="1:14">
      <c r="A198" s="88" t="s">
        <v>211</v>
      </c>
      <c r="B198" s="89">
        <f t="shared" si="9"/>
        <v>0</v>
      </c>
      <c r="C198" s="89">
        <v>6</v>
      </c>
      <c r="D198" s="89" t="str">
        <f>'Input Custom Measures'!C10</f>
        <v/>
      </c>
      <c r="E198" s="89"/>
      <c r="F198" s="89"/>
      <c r="G198" s="90" t="str">
        <f>'Input Custom Measures'!S10</f>
        <v/>
      </c>
      <c r="H198" s="100" t="str">
        <f>'Input Custom Measures'!T10</f>
        <v/>
      </c>
      <c r="I198" s="92" t="str">
        <f>IFERROR(N198*MIN(Table_Measure_Caps[[#Totals],[Estimated Raw Incentive Total]], Table_Measure_Caps[[#Totals],[Gross Measure Cost Total]], Value_Project_CAP)/Table_Measure_Caps[[#Totals],[Estimated Raw Incentive Total]], "")</f>
        <v/>
      </c>
      <c r="J198" s="92">
        <f>'Input Custom Measures'!P10</f>
        <v>0</v>
      </c>
      <c r="K198" s="89">
        <f>'Input Custom Measures'!Q10</f>
        <v>0</v>
      </c>
      <c r="L198" s="93" t="str">
        <f t="shared" si="8"/>
        <v>Version 5.0 - 2025</v>
      </c>
      <c r="M198" s="94">
        <f>'Input Custom Measures'!G10</f>
        <v>0</v>
      </c>
      <c r="N198" s="91" t="str">
        <f>'Input Custom Measures'!R10</f>
        <v/>
      </c>
    </row>
    <row r="199" spans="1:14">
      <c r="A199" s="88" t="s">
        <v>211</v>
      </c>
      <c r="B199" s="89">
        <f t="shared" si="9"/>
        <v>0</v>
      </c>
      <c r="C199" s="89">
        <v>7</v>
      </c>
      <c r="D199" s="89" t="str">
        <f>'Input Custom Measures'!C11</f>
        <v/>
      </c>
      <c r="E199" s="89"/>
      <c r="F199" s="89"/>
      <c r="G199" s="90" t="str">
        <f>'Input Custom Measures'!S11</f>
        <v/>
      </c>
      <c r="H199" s="100" t="str">
        <f>'Input Custom Measures'!T11</f>
        <v/>
      </c>
      <c r="I199" s="92" t="str">
        <f>IFERROR(N199*MIN(Table_Measure_Caps[[#Totals],[Estimated Raw Incentive Total]], Table_Measure_Caps[[#Totals],[Gross Measure Cost Total]], Value_Project_CAP)/Table_Measure_Caps[[#Totals],[Estimated Raw Incentive Total]], "")</f>
        <v/>
      </c>
      <c r="J199" s="92">
        <f>'Input Custom Measures'!P11</f>
        <v>0</v>
      </c>
      <c r="K199" s="89">
        <f>'Input Custom Measures'!Q11</f>
        <v>0</v>
      </c>
      <c r="L199" s="93" t="str">
        <f t="shared" si="8"/>
        <v>Version 5.0 - 2025</v>
      </c>
      <c r="M199" s="94">
        <f>'Input Custom Measures'!G11</f>
        <v>0</v>
      </c>
      <c r="N199" s="91" t="str">
        <f>'Input Custom Measures'!R11</f>
        <v/>
      </c>
    </row>
    <row r="200" spans="1:14">
      <c r="A200" s="88" t="s">
        <v>211</v>
      </c>
      <c r="B200" s="89">
        <f t="shared" si="9"/>
        <v>0</v>
      </c>
      <c r="C200" s="89">
        <v>8</v>
      </c>
      <c r="D200" s="89" t="str">
        <f>'Input Custom Measures'!C12</f>
        <v/>
      </c>
      <c r="E200" s="89"/>
      <c r="F200" s="89"/>
      <c r="G200" s="90" t="str">
        <f>'Input Custom Measures'!S12</f>
        <v/>
      </c>
      <c r="H200" s="100" t="str">
        <f>'Input Custom Measures'!T12</f>
        <v/>
      </c>
      <c r="I200" s="92" t="str">
        <f>IFERROR(N200*MIN(Table_Measure_Caps[[#Totals],[Estimated Raw Incentive Total]], Table_Measure_Caps[[#Totals],[Gross Measure Cost Total]], Value_Project_CAP)/Table_Measure_Caps[[#Totals],[Estimated Raw Incentive Total]], "")</f>
        <v/>
      </c>
      <c r="J200" s="92">
        <f>'Input Custom Measures'!P12</f>
        <v>0</v>
      </c>
      <c r="K200" s="89">
        <f>'Input Custom Measures'!Q12</f>
        <v>0</v>
      </c>
      <c r="L200" s="93" t="str">
        <f t="shared" si="8"/>
        <v>Version 5.0 - 2025</v>
      </c>
      <c r="M200" s="94">
        <f>'Input Custom Measures'!G12</f>
        <v>0</v>
      </c>
      <c r="N200" s="91" t="str">
        <f>'Input Custom Measures'!R12</f>
        <v/>
      </c>
    </row>
    <row r="201" spans="1:14">
      <c r="A201" s="88" t="s">
        <v>211</v>
      </c>
      <c r="B201" s="89">
        <f t="shared" si="9"/>
        <v>0</v>
      </c>
      <c r="C201" s="89">
        <v>9</v>
      </c>
      <c r="D201" s="89" t="str">
        <f>'Input Custom Measures'!C13</f>
        <v/>
      </c>
      <c r="E201" s="89"/>
      <c r="F201" s="89"/>
      <c r="G201" s="90" t="str">
        <f>'Input Custom Measures'!S13</f>
        <v/>
      </c>
      <c r="H201" s="100" t="str">
        <f>'Input Custom Measures'!T13</f>
        <v/>
      </c>
      <c r="I201" s="92" t="str">
        <f>IFERROR(N201*MIN(Table_Measure_Caps[[#Totals],[Estimated Raw Incentive Total]], Table_Measure_Caps[[#Totals],[Gross Measure Cost Total]], Value_Project_CAP)/Table_Measure_Caps[[#Totals],[Estimated Raw Incentive Total]], "")</f>
        <v/>
      </c>
      <c r="J201" s="92">
        <f>'Input Custom Measures'!P13</f>
        <v>0</v>
      </c>
      <c r="K201" s="89">
        <f>'Input Custom Measures'!Q13</f>
        <v>0</v>
      </c>
      <c r="L201" s="93" t="str">
        <f t="shared" si="8"/>
        <v>Version 5.0 - 2025</v>
      </c>
      <c r="M201" s="94">
        <f>'Input Custom Measures'!G13</f>
        <v>0</v>
      </c>
      <c r="N201" s="91" t="str">
        <f>'Input Custom Measures'!R13</f>
        <v/>
      </c>
    </row>
    <row r="202" spans="1:14">
      <c r="A202" s="88" t="s">
        <v>211</v>
      </c>
      <c r="B202" s="89">
        <f t="shared" si="9"/>
        <v>0</v>
      </c>
      <c r="C202" s="89">
        <v>10</v>
      </c>
      <c r="D202" s="89" t="str">
        <f>'Input Custom Measures'!C14</f>
        <v/>
      </c>
      <c r="E202" s="89"/>
      <c r="F202" s="89"/>
      <c r="G202" s="90" t="str">
        <f>'Input Custom Measures'!S14</f>
        <v/>
      </c>
      <c r="H202" s="100" t="str">
        <f>'Input Custom Measures'!T14</f>
        <v/>
      </c>
      <c r="I202" s="92" t="str">
        <f>IFERROR(N202*MIN(Table_Measure_Caps[[#Totals],[Estimated Raw Incentive Total]], Table_Measure_Caps[[#Totals],[Gross Measure Cost Total]], Value_Project_CAP)/Table_Measure_Caps[[#Totals],[Estimated Raw Incentive Total]], "")</f>
        <v/>
      </c>
      <c r="J202" s="92">
        <f>'Input Custom Measures'!P14</f>
        <v>0</v>
      </c>
      <c r="K202" s="89">
        <f>'Input Custom Measures'!Q14</f>
        <v>0</v>
      </c>
      <c r="L202" s="93" t="str">
        <f t="shared" si="8"/>
        <v>Version 5.0 - 2025</v>
      </c>
      <c r="M202" s="94">
        <f>'Input Custom Measures'!G14</f>
        <v>0</v>
      </c>
      <c r="N202" s="91" t="str">
        <f>'Input Custom Measures'!R14</f>
        <v/>
      </c>
    </row>
    <row r="203" spans="1:14">
      <c r="A203" s="88" t="s">
        <v>211</v>
      </c>
      <c r="B203" s="89">
        <f t="shared" si="9"/>
        <v>0</v>
      </c>
      <c r="C203" s="89">
        <v>11</v>
      </c>
      <c r="D203" s="89" t="str">
        <f>'Input Custom Measures'!C15</f>
        <v/>
      </c>
      <c r="E203" s="89"/>
      <c r="F203" s="89"/>
      <c r="G203" s="90" t="str">
        <f>'Input Custom Measures'!S15</f>
        <v/>
      </c>
      <c r="H203" s="100" t="str">
        <f>'Input Custom Measures'!T15</f>
        <v/>
      </c>
      <c r="I203" s="92" t="str">
        <f>IFERROR(N203*MIN(Table_Measure_Caps[[#Totals],[Estimated Raw Incentive Total]], Table_Measure_Caps[[#Totals],[Gross Measure Cost Total]], Value_Project_CAP)/Table_Measure_Caps[[#Totals],[Estimated Raw Incentive Total]], "")</f>
        <v/>
      </c>
      <c r="J203" s="92">
        <f>'Input Custom Measures'!P15</f>
        <v>0</v>
      </c>
      <c r="K203" s="89">
        <f>'Input Custom Measures'!Q15</f>
        <v>0</v>
      </c>
      <c r="L203" s="93" t="str">
        <f t="shared" si="8"/>
        <v>Version 5.0 - 2025</v>
      </c>
      <c r="M203" s="94">
        <f>'Input Custom Measures'!G15</f>
        <v>0</v>
      </c>
      <c r="N203" s="91" t="str">
        <f>'Input Custom Measures'!R15</f>
        <v/>
      </c>
    </row>
    <row r="204" spans="1:14">
      <c r="A204" s="88" t="s">
        <v>211</v>
      </c>
      <c r="B204" s="89">
        <f t="shared" si="9"/>
        <v>0</v>
      </c>
      <c r="C204" s="89">
        <v>12</v>
      </c>
      <c r="D204" s="89" t="str">
        <f>'Input Custom Measures'!C16</f>
        <v/>
      </c>
      <c r="E204" s="89"/>
      <c r="F204" s="89"/>
      <c r="G204" s="90" t="str">
        <f>'Input Custom Measures'!S16</f>
        <v/>
      </c>
      <c r="H204" s="100" t="str">
        <f>'Input Custom Measures'!T16</f>
        <v/>
      </c>
      <c r="I204" s="92" t="str">
        <f>IFERROR(N204*MIN(Table_Measure_Caps[[#Totals],[Estimated Raw Incentive Total]], Table_Measure_Caps[[#Totals],[Gross Measure Cost Total]], Value_Project_CAP)/Table_Measure_Caps[[#Totals],[Estimated Raw Incentive Total]], "")</f>
        <v/>
      </c>
      <c r="J204" s="92">
        <f>'Input Custom Measures'!P16</f>
        <v>0</v>
      </c>
      <c r="K204" s="89">
        <f>'Input Custom Measures'!Q16</f>
        <v>0</v>
      </c>
      <c r="L204" s="93" t="str">
        <f t="shared" si="8"/>
        <v>Version 5.0 - 2025</v>
      </c>
      <c r="M204" s="94">
        <f>'Input Custom Measures'!G16</f>
        <v>0</v>
      </c>
      <c r="N204" s="91" t="str">
        <f>'Input Custom Measures'!R16</f>
        <v/>
      </c>
    </row>
    <row r="205" spans="1:14">
      <c r="A205" s="88" t="s">
        <v>211</v>
      </c>
      <c r="B205" s="89">
        <f t="shared" si="9"/>
        <v>0</v>
      </c>
      <c r="C205" s="89">
        <v>13</v>
      </c>
      <c r="D205" s="89" t="str">
        <f>'Input Custom Measures'!C17</f>
        <v/>
      </c>
      <c r="E205" s="89"/>
      <c r="F205" s="89"/>
      <c r="G205" s="90" t="str">
        <f>'Input Custom Measures'!S17</f>
        <v/>
      </c>
      <c r="H205" s="100" t="str">
        <f>'Input Custom Measures'!T17</f>
        <v/>
      </c>
      <c r="I205" s="92" t="str">
        <f>IFERROR(N205*MIN(Table_Measure_Caps[[#Totals],[Estimated Raw Incentive Total]], Table_Measure_Caps[[#Totals],[Gross Measure Cost Total]], Value_Project_CAP)/Table_Measure_Caps[[#Totals],[Estimated Raw Incentive Total]], "")</f>
        <v/>
      </c>
      <c r="J205" s="92">
        <f>'Input Custom Measures'!P17</f>
        <v>0</v>
      </c>
      <c r="K205" s="89">
        <f>'Input Custom Measures'!Q17</f>
        <v>0</v>
      </c>
      <c r="L205" s="93" t="str">
        <f t="shared" si="8"/>
        <v>Version 5.0 - 2025</v>
      </c>
      <c r="M205" s="94">
        <f>'Input Custom Measures'!G17</f>
        <v>0</v>
      </c>
      <c r="N205" s="91" t="str">
        <f>'Input Custom Measures'!R17</f>
        <v/>
      </c>
    </row>
    <row r="206" spans="1:14">
      <c r="A206" s="88" t="s">
        <v>211</v>
      </c>
      <c r="B206" s="89">
        <f t="shared" si="9"/>
        <v>0</v>
      </c>
      <c r="C206" s="89">
        <v>14</v>
      </c>
      <c r="D206" s="89" t="str">
        <f>'Input Custom Measures'!C18</f>
        <v/>
      </c>
      <c r="E206" s="89"/>
      <c r="F206" s="89"/>
      <c r="G206" s="90" t="str">
        <f>'Input Custom Measures'!S18</f>
        <v/>
      </c>
      <c r="H206" s="100" t="str">
        <f>'Input Custom Measures'!T18</f>
        <v/>
      </c>
      <c r="I206" s="92" t="str">
        <f>IFERROR(N206*MIN(Table_Measure_Caps[[#Totals],[Estimated Raw Incentive Total]], Table_Measure_Caps[[#Totals],[Gross Measure Cost Total]], Value_Project_CAP)/Table_Measure_Caps[[#Totals],[Estimated Raw Incentive Total]], "")</f>
        <v/>
      </c>
      <c r="J206" s="92">
        <f>'Input Custom Measures'!P18</f>
        <v>0</v>
      </c>
      <c r="K206" s="89">
        <f>'Input Custom Measures'!Q18</f>
        <v>0</v>
      </c>
      <c r="L206" s="93" t="str">
        <f t="shared" si="8"/>
        <v>Version 5.0 - 2025</v>
      </c>
      <c r="M206" s="94">
        <f>'Input Custom Measures'!G18</f>
        <v>0</v>
      </c>
      <c r="N206" s="91" t="str">
        <f>'Input Custom Measures'!R18</f>
        <v/>
      </c>
    </row>
    <row r="207" spans="1:14">
      <c r="A207" s="88" t="s">
        <v>211</v>
      </c>
      <c r="B207" s="89">
        <f t="shared" si="9"/>
        <v>0</v>
      </c>
      <c r="C207" s="89">
        <v>15</v>
      </c>
      <c r="D207" s="89" t="str">
        <f>'Input Custom Measures'!C19</f>
        <v/>
      </c>
      <c r="E207" s="89"/>
      <c r="F207" s="89"/>
      <c r="G207" s="90" t="str">
        <f>'Input Custom Measures'!S19</f>
        <v/>
      </c>
      <c r="H207" s="100" t="str">
        <f>'Input Custom Measures'!T19</f>
        <v/>
      </c>
      <c r="I207" s="92" t="str">
        <f>IFERROR(N207*MIN(Table_Measure_Caps[[#Totals],[Estimated Raw Incentive Total]], Table_Measure_Caps[[#Totals],[Gross Measure Cost Total]], Value_Project_CAP)/Table_Measure_Caps[[#Totals],[Estimated Raw Incentive Total]], "")</f>
        <v/>
      </c>
      <c r="J207" s="92">
        <f>'Input Custom Measures'!P19</f>
        <v>0</v>
      </c>
      <c r="K207" s="89">
        <f>'Input Custom Measures'!Q19</f>
        <v>0</v>
      </c>
      <c r="L207" s="93" t="str">
        <f t="shared" si="8"/>
        <v>Version 5.0 - 2025</v>
      </c>
      <c r="M207" s="94">
        <f>'Input Custom Measures'!G19</f>
        <v>0</v>
      </c>
      <c r="N207" s="91" t="str">
        <f>'Input Custom Measures'!R19</f>
        <v/>
      </c>
    </row>
    <row r="208" spans="1:14">
      <c r="A208" s="88" t="s">
        <v>211</v>
      </c>
      <c r="B208" s="89">
        <f t="shared" si="9"/>
        <v>0</v>
      </c>
      <c r="C208" s="89">
        <v>16</v>
      </c>
      <c r="D208" s="89" t="str">
        <f>'Input Custom Measures'!C20</f>
        <v/>
      </c>
      <c r="E208" s="89"/>
      <c r="F208" s="89"/>
      <c r="G208" s="90" t="str">
        <f>'Input Custom Measures'!S20</f>
        <v/>
      </c>
      <c r="H208" s="100" t="str">
        <f>'Input Custom Measures'!T20</f>
        <v/>
      </c>
      <c r="I208" s="92" t="str">
        <f>IFERROR(N208*MIN(Table_Measure_Caps[[#Totals],[Estimated Raw Incentive Total]], Table_Measure_Caps[[#Totals],[Gross Measure Cost Total]], Value_Project_CAP)/Table_Measure_Caps[[#Totals],[Estimated Raw Incentive Total]], "")</f>
        <v/>
      </c>
      <c r="J208" s="92">
        <f>'Input Custom Measures'!P20</f>
        <v>0</v>
      </c>
      <c r="K208" s="89">
        <f>'Input Custom Measures'!Q20</f>
        <v>0</v>
      </c>
      <c r="L208" s="93" t="str">
        <f t="shared" si="8"/>
        <v>Version 5.0 - 2025</v>
      </c>
      <c r="M208" s="94">
        <f>'Input Custom Measures'!G20</f>
        <v>0</v>
      </c>
      <c r="N208" s="91" t="str">
        <f>'Input Custom Measures'!R20</f>
        <v/>
      </c>
    </row>
    <row r="209" spans="1:14">
      <c r="A209" s="88" t="s">
        <v>211</v>
      </c>
      <c r="B209" s="89">
        <f t="shared" si="9"/>
        <v>0</v>
      </c>
      <c r="C209" s="89">
        <v>17</v>
      </c>
      <c r="D209" s="89" t="str">
        <f>'Input Custom Measures'!C21</f>
        <v/>
      </c>
      <c r="E209" s="89"/>
      <c r="F209" s="89"/>
      <c r="G209" s="90" t="str">
        <f>'Input Custom Measures'!S21</f>
        <v/>
      </c>
      <c r="H209" s="100" t="str">
        <f>'Input Custom Measures'!T21</f>
        <v/>
      </c>
      <c r="I209" s="92" t="str">
        <f>IFERROR(N209*MIN(Table_Measure_Caps[[#Totals],[Estimated Raw Incentive Total]], Table_Measure_Caps[[#Totals],[Gross Measure Cost Total]], Value_Project_CAP)/Table_Measure_Caps[[#Totals],[Estimated Raw Incentive Total]], "")</f>
        <v/>
      </c>
      <c r="J209" s="92">
        <f>'Input Custom Measures'!P21</f>
        <v>0</v>
      </c>
      <c r="K209" s="89">
        <f>'Input Custom Measures'!Q21</f>
        <v>0</v>
      </c>
      <c r="L209" s="93" t="str">
        <f t="shared" si="8"/>
        <v>Version 5.0 - 2025</v>
      </c>
      <c r="M209" s="94">
        <f>'Input Custom Measures'!G21</f>
        <v>0</v>
      </c>
      <c r="N209" s="91" t="str">
        <f>'Input Custom Measures'!R21</f>
        <v/>
      </c>
    </row>
    <row r="210" spans="1:14">
      <c r="A210" s="88" t="s">
        <v>211</v>
      </c>
      <c r="B210" s="89">
        <f t="shared" si="9"/>
        <v>0</v>
      </c>
      <c r="C210" s="89">
        <v>18</v>
      </c>
      <c r="D210" s="89" t="str">
        <f>'Input Custom Measures'!C22</f>
        <v/>
      </c>
      <c r="E210" s="89"/>
      <c r="F210" s="89"/>
      <c r="G210" s="90" t="str">
        <f>'Input Custom Measures'!S22</f>
        <v/>
      </c>
      <c r="H210" s="100" t="str">
        <f>'Input Custom Measures'!T22</f>
        <v/>
      </c>
      <c r="I210" s="92" t="str">
        <f>IFERROR(N210*MIN(Table_Measure_Caps[[#Totals],[Estimated Raw Incentive Total]], Table_Measure_Caps[[#Totals],[Gross Measure Cost Total]], Value_Project_CAP)/Table_Measure_Caps[[#Totals],[Estimated Raw Incentive Total]], "")</f>
        <v/>
      </c>
      <c r="J210" s="92">
        <f>'Input Custom Measures'!P22</f>
        <v>0</v>
      </c>
      <c r="K210" s="89">
        <f>'Input Custom Measures'!Q22</f>
        <v>0</v>
      </c>
      <c r="L210" s="93" t="str">
        <f t="shared" si="8"/>
        <v>Version 5.0 - 2025</v>
      </c>
      <c r="M210" s="94">
        <f>'Input Custom Measures'!G22</f>
        <v>0</v>
      </c>
      <c r="N210" s="91" t="str">
        <f>'Input Custom Measures'!R22</f>
        <v/>
      </c>
    </row>
    <row r="211" spans="1:14">
      <c r="A211" s="88" t="s">
        <v>211</v>
      </c>
      <c r="B211" s="89">
        <f t="shared" si="9"/>
        <v>0</v>
      </c>
      <c r="C211" s="89">
        <v>19</v>
      </c>
      <c r="D211" s="89" t="str">
        <f>'Input Custom Measures'!C23</f>
        <v/>
      </c>
      <c r="E211" s="89"/>
      <c r="F211" s="89"/>
      <c r="G211" s="90" t="str">
        <f>'Input Custom Measures'!S23</f>
        <v/>
      </c>
      <c r="H211" s="100" t="str">
        <f>'Input Custom Measures'!T23</f>
        <v/>
      </c>
      <c r="I211" s="92" t="str">
        <f>IFERROR(N211*MIN(Table_Measure_Caps[[#Totals],[Estimated Raw Incentive Total]], Table_Measure_Caps[[#Totals],[Gross Measure Cost Total]], Value_Project_CAP)/Table_Measure_Caps[[#Totals],[Estimated Raw Incentive Total]], "")</f>
        <v/>
      </c>
      <c r="J211" s="92">
        <f>'Input Custom Measures'!P23</f>
        <v>0</v>
      </c>
      <c r="K211" s="89">
        <f>'Input Custom Measures'!Q23</f>
        <v>0</v>
      </c>
      <c r="L211" s="93" t="str">
        <f t="shared" si="8"/>
        <v>Version 5.0 - 2025</v>
      </c>
      <c r="M211" s="94">
        <f>'Input Custom Measures'!G23</f>
        <v>0</v>
      </c>
      <c r="N211" s="91" t="str">
        <f>'Input Custom Measures'!R23</f>
        <v/>
      </c>
    </row>
    <row r="212" spans="1:14">
      <c r="A212" s="88" t="s">
        <v>211</v>
      </c>
      <c r="B212" s="89">
        <f t="shared" si="9"/>
        <v>0</v>
      </c>
      <c r="C212" s="89">
        <v>20</v>
      </c>
      <c r="D212" s="89" t="str">
        <f>'Input Custom Measures'!C24</f>
        <v/>
      </c>
      <c r="E212" s="89"/>
      <c r="F212" s="89"/>
      <c r="G212" s="90" t="str">
        <f>'Input Custom Measures'!S24</f>
        <v/>
      </c>
      <c r="H212" s="100" t="str">
        <f>'Input Custom Measures'!T24</f>
        <v/>
      </c>
      <c r="I212" s="92" t="str">
        <f>IFERROR(N212*MIN(Table_Measure_Caps[[#Totals],[Estimated Raw Incentive Total]], Table_Measure_Caps[[#Totals],[Gross Measure Cost Total]], Value_Project_CAP)/Table_Measure_Caps[[#Totals],[Estimated Raw Incentive Total]], "")</f>
        <v/>
      </c>
      <c r="J212" s="92">
        <f>'Input Custom Measures'!P24</f>
        <v>0</v>
      </c>
      <c r="K212" s="89">
        <f>'Input Custom Measures'!Q24</f>
        <v>0</v>
      </c>
      <c r="L212" s="93" t="str">
        <f t="shared" si="8"/>
        <v>Version 5.0 - 2025</v>
      </c>
      <c r="M212" s="94">
        <f>'Input Custom Measures'!G24</f>
        <v>0</v>
      </c>
      <c r="N212" s="91" t="str">
        <f>'Input Custom Measures'!R24</f>
        <v/>
      </c>
    </row>
  </sheetData>
  <conditionalFormatting sqref="A1:H1 J1:N1">
    <cfRule type="containsBlanks" dxfId="19" priority="3">
      <formula>LEN(TRIM(A1))=0</formula>
    </cfRule>
  </conditionalFormatting>
  <conditionalFormatting sqref="I1">
    <cfRule type="containsBlanks" dxfId="18" priority="1">
      <formula>LEN(TRIM(I1))=0</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27DA-435C-43E4-B0B5-C3CA58855D77}">
  <sheetPr>
    <tabColor rgb="FFED1653"/>
  </sheetPr>
  <dimension ref="A1:E26"/>
  <sheetViews>
    <sheetView showGridLines="0" workbookViewId="0">
      <selection activeCell="B5" sqref="B5"/>
    </sheetView>
  </sheetViews>
  <sheetFormatPr defaultColWidth="9.140625" defaultRowHeight="15"/>
  <cols>
    <col min="1" max="1" width="6" style="183" bestFit="1" customWidth="1"/>
    <col min="2" max="2" width="22.42578125" style="183" bestFit="1" customWidth="1"/>
    <col min="3" max="3" width="72.85546875" style="183" bestFit="1" customWidth="1"/>
    <col min="4" max="4" width="10.7109375" style="183" bestFit="1" customWidth="1"/>
    <col min="5" max="5" width="13.28515625" style="183" bestFit="1" customWidth="1"/>
    <col min="6" max="16384" width="9.140625" style="183"/>
  </cols>
  <sheetData>
    <row r="1" spans="1:5">
      <c r="A1" s="182" t="s">
        <v>605</v>
      </c>
      <c r="B1" s="182" t="s">
        <v>606</v>
      </c>
      <c r="C1" s="182" t="s">
        <v>607</v>
      </c>
      <c r="D1" s="182" t="s">
        <v>95</v>
      </c>
      <c r="E1" s="182" t="s">
        <v>608</v>
      </c>
    </row>
    <row r="2" spans="1:5" ht="45">
      <c r="A2" s="184">
        <v>1</v>
      </c>
      <c r="B2" s="185" t="s">
        <v>609</v>
      </c>
      <c r="C2" s="186" t="s">
        <v>610</v>
      </c>
      <c r="D2" s="187">
        <v>45300</v>
      </c>
      <c r="E2" s="184" t="s">
        <v>611</v>
      </c>
    </row>
    <row r="3" spans="1:5">
      <c r="A3" s="184">
        <v>2</v>
      </c>
      <c r="B3" s="278" t="s">
        <v>612</v>
      </c>
      <c r="C3" s="279" t="s">
        <v>613</v>
      </c>
      <c r="D3" s="187">
        <v>45315</v>
      </c>
      <c r="E3" s="280" t="s">
        <v>611</v>
      </c>
    </row>
    <row r="4" spans="1:5">
      <c r="A4" s="184">
        <v>3</v>
      </c>
      <c r="B4" s="278" t="s">
        <v>614</v>
      </c>
      <c r="C4" s="279" t="s">
        <v>615</v>
      </c>
      <c r="D4" s="187">
        <v>45644</v>
      </c>
      <c r="E4" s="280" t="s">
        <v>611</v>
      </c>
    </row>
    <row r="5" spans="1:5">
      <c r="A5" s="184">
        <v>4</v>
      </c>
      <c r="B5" s="185"/>
      <c r="C5" s="186"/>
      <c r="D5" s="187"/>
      <c r="E5" s="184"/>
    </row>
    <row r="6" spans="1:5">
      <c r="A6" s="184">
        <v>5</v>
      </c>
      <c r="B6" s="185"/>
      <c r="C6" s="186"/>
      <c r="D6" s="187"/>
      <c r="E6" s="184"/>
    </row>
    <row r="7" spans="1:5">
      <c r="A7" s="184">
        <v>6</v>
      </c>
      <c r="B7" s="185"/>
      <c r="C7" s="186"/>
      <c r="D7" s="187"/>
      <c r="E7" s="184"/>
    </row>
    <row r="8" spans="1:5">
      <c r="A8" s="184">
        <v>7</v>
      </c>
      <c r="B8" s="185"/>
      <c r="C8" s="186"/>
      <c r="D8" s="187"/>
      <c r="E8" s="184"/>
    </row>
    <row r="9" spans="1:5">
      <c r="A9" s="184">
        <v>8</v>
      </c>
      <c r="B9" s="185"/>
      <c r="C9" s="186"/>
      <c r="D9" s="184"/>
      <c r="E9" s="184"/>
    </row>
    <row r="10" spans="1:5">
      <c r="A10" s="184">
        <v>9</v>
      </c>
      <c r="B10" s="185"/>
      <c r="C10" s="186"/>
      <c r="D10" s="184"/>
      <c r="E10" s="184"/>
    </row>
    <row r="11" spans="1:5">
      <c r="A11" s="184">
        <v>10</v>
      </c>
      <c r="B11" s="185"/>
      <c r="C11" s="186"/>
      <c r="D11" s="184"/>
      <c r="E11" s="184"/>
    </row>
    <row r="12" spans="1:5">
      <c r="A12" s="184">
        <v>11</v>
      </c>
      <c r="B12" s="185"/>
      <c r="C12" s="186"/>
      <c r="D12" s="184"/>
      <c r="E12" s="184"/>
    </row>
    <row r="13" spans="1:5">
      <c r="A13" s="184">
        <v>12</v>
      </c>
      <c r="B13" s="185"/>
      <c r="C13" s="186"/>
      <c r="D13" s="184"/>
      <c r="E13" s="184"/>
    </row>
    <row r="14" spans="1:5">
      <c r="A14" s="184">
        <v>13</v>
      </c>
      <c r="B14" s="185"/>
      <c r="C14" s="186"/>
      <c r="D14" s="184"/>
      <c r="E14" s="184"/>
    </row>
    <row r="15" spans="1:5">
      <c r="A15" s="184">
        <v>14</v>
      </c>
      <c r="B15" s="185"/>
      <c r="C15" s="186"/>
      <c r="D15" s="184"/>
      <c r="E15" s="184"/>
    </row>
    <row r="16" spans="1:5">
      <c r="A16" s="184">
        <v>15</v>
      </c>
      <c r="B16" s="185"/>
      <c r="C16" s="186"/>
      <c r="D16" s="184"/>
      <c r="E16" s="184"/>
    </row>
    <row r="17" spans="1:5">
      <c r="A17" s="184">
        <v>16</v>
      </c>
      <c r="B17" s="185"/>
      <c r="C17" s="186"/>
      <c r="D17" s="184"/>
      <c r="E17" s="184"/>
    </row>
    <row r="18" spans="1:5">
      <c r="A18" s="184">
        <v>17</v>
      </c>
      <c r="B18" s="185"/>
      <c r="C18" s="186"/>
      <c r="D18" s="184"/>
      <c r="E18" s="184"/>
    </row>
    <row r="19" spans="1:5">
      <c r="A19" s="184">
        <v>18</v>
      </c>
      <c r="B19" s="185"/>
      <c r="C19" s="186"/>
      <c r="D19" s="184"/>
      <c r="E19" s="184"/>
    </row>
    <row r="20" spans="1:5">
      <c r="A20" s="184">
        <v>19</v>
      </c>
      <c r="B20" s="185"/>
      <c r="C20" s="186"/>
      <c r="D20" s="184"/>
      <c r="E20" s="184"/>
    </row>
    <row r="21" spans="1:5">
      <c r="A21" s="184">
        <v>20</v>
      </c>
      <c r="B21" s="185"/>
      <c r="C21" s="186"/>
      <c r="D21" s="184"/>
      <c r="E21" s="184"/>
    </row>
    <row r="22" spans="1:5">
      <c r="A22" s="184">
        <v>21</v>
      </c>
      <c r="B22" s="185"/>
      <c r="C22" s="186"/>
      <c r="D22" s="184"/>
      <c r="E22" s="184"/>
    </row>
    <row r="23" spans="1:5">
      <c r="A23" s="184">
        <v>22</v>
      </c>
      <c r="B23" s="185"/>
      <c r="C23" s="186"/>
      <c r="D23" s="184"/>
      <c r="E23" s="184"/>
    </row>
    <row r="24" spans="1:5">
      <c r="A24" s="184">
        <v>23</v>
      </c>
      <c r="B24" s="185"/>
      <c r="C24" s="186"/>
      <c r="D24" s="184"/>
      <c r="E24" s="184"/>
    </row>
    <row r="25" spans="1:5">
      <c r="A25" s="184">
        <v>24</v>
      </c>
      <c r="B25" s="185"/>
      <c r="C25" s="186"/>
      <c r="D25" s="184"/>
      <c r="E25" s="184"/>
    </row>
    <row r="26" spans="1:5">
      <c r="A26" s="184">
        <v>25</v>
      </c>
      <c r="B26" s="185"/>
      <c r="C26" s="186"/>
      <c r="D26" s="184"/>
      <c r="E26" s="1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5"/>
  <sheetViews>
    <sheetView showGridLines="0" showRowColHeaders="0" workbookViewId="0">
      <selection activeCell="C5" sqref="C5"/>
    </sheetView>
  </sheetViews>
  <sheetFormatPr defaultColWidth="9.140625" defaultRowHeight="12.75"/>
  <cols>
    <col min="1" max="1" width="2.28515625" style="197" customWidth="1"/>
    <col min="2" max="2" width="31.85546875" style="204" customWidth="1"/>
    <col min="3" max="3" width="39.140625" style="197" customWidth="1"/>
    <col min="4" max="4" width="1.7109375" style="197" customWidth="1"/>
    <col min="5" max="5" width="31.85546875" style="204" customWidth="1"/>
    <col min="6" max="6" width="39.140625" style="197" customWidth="1"/>
    <col min="7" max="7" width="9.140625" style="197"/>
    <col min="8" max="8" width="45.85546875" style="197" customWidth="1"/>
    <col min="9" max="16384" width="9.140625" style="197"/>
  </cols>
  <sheetData>
    <row r="1" spans="2:8" ht="52.5" customHeight="1"/>
    <row r="2" spans="2:8" ht="33.75" customHeight="1">
      <c r="B2" s="307" t="s">
        <v>39</v>
      </c>
      <c r="C2" s="307"/>
      <c r="D2" s="307"/>
      <c r="E2" s="307"/>
      <c r="F2" s="203"/>
    </row>
    <row r="4" spans="2:8" ht="15.75">
      <c r="B4" s="303" t="s">
        <v>40</v>
      </c>
      <c r="C4" s="303"/>
      <c r="E4" s="303" t="s">
        <v>41</v>
      </c>
      <c r="F4" s="303"/>
      <c r="H4" s="204"/>
    </row>
    <row r="5" spans="2:8" ht="12.75" customHeight="1">
      <c r="B5" s="283" t="s">
        <v>42</v>
      </c>
      <c r="C5" s="199"/>
      <c r="E5" s="348" t="s">
        <v>43</v>
      </c>
      <c r="F5" s="349"/>
      <c r="H5" s="204"/>
    </row>
    <row r="6" spans="2:8">
      <c r="B6" s="283" t="s">
        <v>44</v>
      </c>
      <c r="C6" s="199"/>
      <c r="E6" s="348"/>
      <c r="F6" s="349"/>
    </row>
    <row r="7" spans="2:8" ht="25.5">
      <c r="B7" s="283" t="s">
        <v>45</v>
      </c>
      <c r="C7" s="199"/>
      <c r="E7" s="348"/>
      <c r="F7" s="349"/>
    </row>
    <row r="8" spans="2:8">
      <c r="B8" s="283" t="s">
        <v>46</v>
      </c>
      <c r="C8" s="199"/>
      <c r="E8" s="348"/>
      <c r="F8" s="349"/>
    </row>
    <row r="9" spans="2:8">
      <c r="B9" s="283" t="s">
        <v>47</v>
      </c>
      <c r="C9" s="199"/>
      <c r="E9" s="283" t="s">
        <v>48</v>
      </c>
      <c r="F9" s="206"/>
    </row>
    <row r="10" spans="2:8" ht="25.5">
      <c r="B10" s="283" t="s">
        <v>49</v>
      </c>
      <c r="C10" s="199"/>
      <c r="E10" s="283" t="s">
        <v>50</v>
      </c>
      <c r="F10" s="206"/>
    </row>
    <row r="11" spans="2:8">
      <c r="B11" s="283" t="s">
        <v>51</v>
      </c>
      <c r="C11" s="199"/>
      <c r="E11" s="283" t="s">
        <v>52</v>
      </c>
      <c r="F11" s="199"/>
    </row>
    <row r="12" spans="2:8">
      <c r="B12" s="283" t="s">
        <v>53</v>
      </c>
      <c r="C12" s="199"/>
      <c r="E12" s="283" t="s">
        <v>54</v>
      </c>
      <c r="F12" s="199"/>
    </row>
    <row r="13" spans="2:8" ht="25.5">
      <c r="B13" s="283" t="s">
        <v>55</v>
      </c>
      <c r="C13" s="199"/>
      <c r="E13" s="283" t="s">
        <v>56</v>
      </c>
      <c r="F13" s="199"/>
    </row>
    <row r="14" spans="2:8" ht="25.5">
      <c r="B14" s="283" t="s">
        <v>57</v>
      </c>
      <c r="C14" s="199"/>
      <c r="E14" s="303" t="s">
        <v>58</v>
      </c>
      <c r="F14" s="303"/>
    </row>
    <row r="15" spans="2:8" ht="38.25">
      <c r="B15" s="283" t="s">
        <v>59</v>
      </c>
      <c r="C15" s="199"/>
      <c r="D15" s="33"/>
      <c r="E15" s="283" t="s">
        <v>60</v>
      </c>
      <c r="F15" s="199"/>
    </row>
    <row r="16" spans="2:8" ht="15.75">
      <c r="B16" s="303" t="s">
        <v>61</v>
      </c>
      <c r="C16" s="303"/>
      <c r="D16" s="33"/>
      <c r="E16" s="283" t="s">
        <v>62</v>
      </c>
      <c r="F16" s="199"/>
    </row>
    <row r="17" spans="2:6">
      <c r="B17" s="283" t="s">
        <v>63</v>
      </c>
      <c r="C17" s="199"/>
      <c r="D17" s="33"/>
      <c r="E17" s="283" t="s">
        <v>64</v>
      </c>
      <c r="F17" s="199"/>
    </row>
    <row r="18" spans="2:6">
      <c r="B18" s="283" t="s">
        <v>65</v>
      </c>
      <c r="C18" s="199"/>
      <c r="D18" s="33"/>
      <c r="E18" s="283" t="s">
        <v>46</v>
      </c>
      <c r="F18" s="199"/>
    </row>
    <row r="19" spans="2:6">
      <c r="B19" s="283" t="s">
        <v>66</v>
      </c>
      <c r="C19" s="199"/>
      <c r="D19" s="33"/>
      <c r="E19" s="283" t="s">
        <v>47</v>
      </c>
      <c r="F19" s="199"/>
    </row>
    <row r="20" spans="2:6">
      <c r="B20" s="283" t="s">
        <v>46</v>
      </c>
      <c r="C20" s="199"/>
      <c r="D20" s="33"/>
      <c r="E20" s="283" t="s">
        <v>49</v>
      </c>
      <c r="F20" s="199"/>
    </row>
    <row r="21" spans="2:6">
      <c r="B21" s="283" t="s">
        <v>47</v>
      </c>
      <c r="C21" s="199"/>
      <c r="D21" s="33"/>
      <c r="E21" s="283" t="s">
        <v>51</v>
      </c>
      <c r="F21" s="199"/>
    </row>
    <row r="22" spans="2:6">
      <c r="B22" s="283" t="s">
        <v>49</v>
      </c>
      <c r="C22" s="199"/>
      <c r="D22" s="33"/>
      <c r="E22" s="283" t="s">
        <v>67</v>
      </c>
      <c r="F22" s="199"/>
    </row>
    <row r="23" spans="2:6">
      <c r="B23" s="283" t="s">
        <v>51</v>
      </c>
      <c r="C23" s="199"/>
      <c r="D23" s="33"/>
      <c r="E23" s="283" t="s">
        <v>68</v>
      </c>
      <c r="F23" s="199"/>
    </row>
    <row r="24" spans="2:6">
      <c r="B24" s="283" t="s">
        <v>67</v>
      </c>
      <c r="C24" s="199"/>
      <c r="D24" s="33"/>
      <c r="E24" s="283" t="s">
        <v>69</v>
      </c>
      <c r="F24" s="199"/>
    </row>
    <row r="25" spans="2:6">
      <c r="B25" s="283" t="s">
        <v>70</v>
      </c>
      <c r="C25" s="199"/>
      <c r="D25" s="33"/>
      <c r="E25" s="283" t="s">
        <v>71</v>
      </c>
      <c r="F25" s="199"/>
    </row>
    <row r="26" spans="2:6" ht="15.75">
      <c r="B26" s="303" t="s">
        <v>72</v>
      </c>
      <c r="C26" s="303"/>
      <c r="D26" s="33"/>
      <c r="E26" s="283" t="s">
        <v>73</v>
      </c>
      <c r="F26" s="207"/>
    </row>
    <row r="27" spans="2:6" ht="25.5">
      <c r="B27" s="283" t="s">
        <v>42</v>
      </c>
      <c r="C27" s="199"/>
      <c r="D27" s="33"/>
      <c r="E27" s="283" t="s">
        <v>74</v>
      </c>
      <c r="F27" s="199"/>
    </row>
    <row r="28" spans="2:6">
      <c r="B28" s="283" t="s">
        <v>75</v>
      </c>
      <c r="C28" s="199"/>
      <c r="D28" s="33"/>
      <c r="E28" s="283" t="s">
        <v>76</v>
      </c>
      <c r="F28" s="208"/>
    </row>
    <row r="29" spans="2:6">
      <c r="B29" s="283" t="s">
        <v>66</v>
      </c>
      <c r="C29" s="199"/>
      <c r="D29" s="33"/>
      <c r="E29" s="283" t="s">
        <v>77</v>
      </c>
      <c r="F29" s="199"/>
    </row>
    <row r="30" spans="2:6">
      <c r="B30" s="283" t="s">
        <v>46</v>
      </c>
      <c r="C30" s="199"/>
      <c r="D30" s="33"/>
      <c r="E30" s="283" t="s">
        <v>78</v>
      </c>
      <c r="F30" s="199"/>
    </row>
    <row r="31" spans="2:6">
      <c r="B31" s="283" t="s">
        <v>47</v>
      </c>
      <c r="C31" s="199"/>
      <c r="D31" s="33"/>
      <c r="E31" s="283" t="s">
        <v>79</v>
      </c>
      <c r="F31" s="199"/>
    </row>
    <row r="32" spans="2:6" ht="15.75">
      <c r="B32" s="283" t="s">
        <v>49</v>
      </c>
      <c r="C32" s="199"/>
      <c r="D32" s="33"/>
      <c r="E32" s="308" t="s">
        <v>80</v>
      </c>
      <c r="F32" s="309"/>
    </row>
    <row r="33" spans="2:6">
      <c r="B33" s="283" t="s">
        <v>51</v>
      </c>
      <c r="C33" s="199"/>
      <c r="D33" s="33"/>
      <c r="E33" s="283" t="s">
        <v>81</v>
      </c>
      <c r="F33" s="199"/>
    </row>
    <row r="34" spans="2:6">
      <c r="B34" s="283" t="s">
        <v>67</v>
      </c>
      <c r="C34" s="199"/>
      <c r="D34" s="33"/>
      <c r="E34" s="283" t="s">
        <v>82</v>
      </c>
      <c r="F34" s="199"/>
    </row>
    <row r="35" spans="2:6">
      <c r="B35" s="283" t="s">
        <v>83</v>
      </c>
      <c r="C35" s="199"/>
      <c r="D35" s="33"/>
      <c r="E35" s="283" t="s">
        <v>84</v>
      </c>
      <c r="F35" s="199"/>
    </row>
    <row r="36" spans="2:6" ht="15.75">
      <c r="B36" s="308" t="s">
        <v>85</v>
      </c>
      <c r="C36" s="309"/>
      <c r="D36" s="33"/>
      <c r="E36" s="283" t="s">
        <v>86</v>
      </c>
      <c r="F36" s="199"/>
    </row>
    <row r="37" spans="2:6" ht="25.5">
      <c r="B37" s="283" t="s">
        <v>87</v>
      </c>
      <c r="C37" s="199"/>
      <c r="D37" s="33"/>
      <c r="E37" s="283" t="s">
        <v>88</v>
      </c>
      <c r="F37" s="199"/>
    </row>
    <row r="38" spans="2:6" ht="25.5">
      <c r="B38" s="283" t="s">
        <v>89</v>
      </c>
      <c r="C38" s="199"/>
      <c r="D38" s="33"/>
    </row>
    <row r="39" spans="2:6">
      <c r="D39" s="33"/>
    </row>
    <row r="40" spans="2:6">
      <c r="B40" s="197"/>
      <c r="E40" s="197"/>
    </row>
    <row r="41" spans="2:6">
      <c r="B41" s="197" t="s">
        <v>37</v>
      </c>
      <c r="E41" s="197"/>
    </row>
    <row r="42" spans="2:6">
      <c r="B42" s="197" t="str">
        <f>Value_Application_Version</f>
        <v>Version 5.0 - 2025</v>
      </c>
      <c r="E42" s="197"/>
    </row>
    <row r="43" spans="2:6">
      <c r="B43" s="197"/>
      <c r="E43" s="197"/>
    </row>
    <row r="48" spans="2:6">
      <c r="D48" s="33"/>
    </row>
    <row r="49" spans="4:6">
      <c r="D49" s="33"/>
    </row>
    <row r="50" spans="4:6">
      <c r="D50" s="33"/>
    </row>
    <row r="51" spans="4:6">
      <c r="D51" s="33"/>
    </row>
    <row r="52" spans="4:6">
      <c r="D52" s="33"/>
    </row>
    <row r="55" spans="4:6">
      <c r="E55" s="205"/>
      <c r="F55" s="31"/>
    </row>
  </sheetData>
  <sheetProtection algorithmName="SHA-512" hashValue="dQ8seu/DrHcyVIJDfM2xoIH8GUSCxdwoj95li4JLxj3ygBbKRxjg8B1LyGiliwLejV0Im4hNc4W5+Z2OyUMKtQ==" saltValue="1sfAi+EaJhFXb8UeigbERg=="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References!$AG$4:$AG$5</xm:f>
          </x14:formula1>
          <xm:sqref>F27</xm:sqref>
        </x14:dataValidation>
        <x14:dataValidation type="list" allowBlank="1" showInputMessage="1" showErrorMessage="1" xr:uid="{8DBB6B1A-EC45-4445-AADC-6C9B4FC7FE62}">
          <x14:formula1>
            <xm:f>References!$AC$4:$AC$5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19"/>
  <sheetViews>
    <sheetView showGridLines="0" showRowColHeaders="0" workbookViewId="0">
      <selection activeCell="B15" sqref="B15"/>
    </sheetView>
  </sheetViews>
  <sheetFormatPr defaultColWidth="9.140625" defaultRowHeight="12.75"/>
  <cols>
    <col min="1" max="1" width="1.85546875" style="189" customWidth="1"/>
    <col min="2" max="2" width="56.42578125" style="189" customWidth="1"/>
    <col min="3" max="3" width="6.140625" style="189" customWidth="1"/>
    <col min="4" max="4" width="20.42578125" style="189" customWidth="1"/>
    <col min="5" max="5" width="29.42578125" style="189" customWidth="1"/>
    <col min="6" max="16384" width="9.140625" style="189"/>
  </cols>
  <sheetData>
    <row r="1" spans="2:5" ht="56.25" customHeight="1"/>
    <row r="2" spans="2:5" s="209" customFormat="1" ht="25.5" customHeight="1">
      <c r="B2" s="307" t="s">
        <v>90</v>
      </c>
      <c r="C2" s="307"/>
      <c r="D2" s="307"/>
      <c r="E2" s="307"/>
    </row>
    <row r="4" spans="2:5" ht="20.25" customHeight="1">
      <c r="B4" s="210" t="s">
        <v>91</v>
      </c>
    </row>
    <row r="6" spans="2:5">
      <c r="B6" s="310" t="s">
        <v>92</v>
      </c>
      <c r="C6" s="310"/>
      <c r="D6" s="310"/>
      <c r="E6" s="310"/>
    </row>
    <row r="7" spans="2:5">
      <c r="B7" s="310"/>
      <c r="C7" s="310"/>
      <c r="D7" s="310"/>
      <c r="E7" s="310"/>
    </row>
    <row r="8" spans="2:5">
      <c r="B8" s="310"/>
      <c r="C8" s="310"/>
      <c r="D8" s="310"/>
      <c r="E8" s="310"/>
    </row>
    <row r="9" spans="2:5" ht="26.25" customHeight="1">
      <c r="B9" s="310"/>
      <c r="C9" s="310"/>
      <c r="D9" s="310"/>
      <c r="E9" s="310"/>
    </row>
    <row r="10" spans="2:5">
      <c r="B10" s="211"/>
      <c r="C10" s="211"/>
      <c r="D10" s="211"/>
      <c r="E10" s="211"/>
    </row>
    <row r="11" spans="2:5">
      <c r="B11" s="212" t="s">
        <v>93</v>
      </c>
      <c r="C11" s="211"/>
      <c r="D11" s="211"/>
      <c r="E11" s="211"/>
    </row>
    <row r="12" spans="2:5">
      <c r="B12" s="211"/>
      <c r="C12" s="211"/>
      <c r="D12" s="211"/>
      <c r="E12" s="211"/>
    </row>
    <row r="13" spans="2:5">
      <c r="B13" s="211"/>
      <c r="C13" s="211"/>
      <c r="D13" s="211"/>
      <c r="E13" s="211"/>
    </row>
    <row r="14" spans="2:5">
      <c r="B14" s="210" t="s">
        <v>94</v>
      </c>
      <c r="D14" s="210" t="s">
        <v>95</v>
      </c>
    </row>
    <row r="15" spans="2:5">
      <c r="B15" s="213"/>
      <c r="D15" s="206"/>
    </row>
    <row r="16" spans="2:5" ht="12.75" customHeight="1"/>
    <row r="18" spans="2:2">
      <c r="B18" s="189" t="s">
        <v>37</v>
      </c>
    </row>
    <row r="19" spans="2:2">
      <c r="B19" s="189" t="str">
        <f>Value_Application_Version</f>
        <v>Version 5.0 - 2025</v>
      </c>
    </row>
  </sheetData>
  <sheetProtection algorithmName="SHA-512" hashValue="DTSQREBODPomSnb1M2h5J/kyH7pTfsIRdmmzJx33X1jwfzD70plSsWDdRtVrz8ZF/5wtV0ZqfNRGi3E9p7n01g==" saltValue="6S0/mzoorAkuTjOwW3sPmw==" spinCount="100000" sheet="1" objects="1" scenarios="1"/>
  <mergeCells count="2">
    <mergeCell ref="B2:E2"/>
    <mergeCell ref="B6:E9"/>
  </mergeCells>
  <hyperlinks>
    <hyperlink ref="B11" r:id="rId1" xr:uid="{31F080B0-8E2C-43C0-A77C-93D14170E888}"/>
  </hyperlinks>
  <pageMargins left="0.7" right="0.7" top="0.75" bottom="0.75" header="0.3" footer="0.3"/>
  <pageSetup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5"/>
  <sheetViews>
    <sheetView showGridLines="0" showRowColHeaders="0" topLeftCell="B1" workbookViewId="0">
      <selection activeCell="E4" sqref="E4"/>
    </sheetView>
  </sheetViews>
  <sheetFormatPr defaultColWidth="9.140625" defaultRowHeight="12.75" customHeight="1"/>
  <cols>
    <col min="1" max="1" width="2.140625" style="189" customWidth="1"/>
    <col min="2" max="2" width="5.28515625" style="189" customWidth="1"/>
    <col min="3" max="3" width="9.7109375" style="189" customWidth="1"/>
    <col min="4" max="4" width="19.140625" style="189" bestFit="1" customWidth="1"/>
    <col min="5" max="5" width="20.5703125" style="189" customWidth="1"/>
    <col min="6" max="6" width="19.7109375" style="214" customWidth="1"/>
    <col min="7" max="14" width="11.85546875" style="189" customWidth="1"/>
    <col min="15" max="15" width="12.42578125" style="189" customWidth="1"/>
    <col min="16" max="16" width="11.140625" style="189" bestFit="1" customWidth="1"/>
    <col min="17" max="17" width="10" style="189" customWidth="1"/>
    <col min="18" max="18" width="11" style="189" customWidth="1"/>
    <col min="19" max="19" width="12" style="189" customWidth="1"/>
    <col min="20" max="20" width="11.85546875" style="189" customWidth="1"/>
    <col min="21" max="21" width="10.28515625" style="189" customWidth="1"/>
    <col min="22" max="22" width="12.7109375" style="189" bestFit="1" customWidth="1"/>
    <col min="23" max="23" width="13.42578125" style="189" customWidth="1"/>
    <col min="24" max="24" width="9.5703125" style="189" customWidth="1"/>
    <col min="25" max="16384" width="9.140625" style="189"/>
  </cols>
  <sheetData>
    <row r="1" spans="1:52" ht="59.25" customHeight="1"/>
    <row r="2" spans="1:52" s="209" customFormat="1" ht="37.5" customHeight="1">
      <c r="B2" s="307" t="s">
        <v>96</v>
      </c>
      <c r="C2" s="307"/>
      <c r="D2" s="307"/>
      <c r="E2" s="307"/>
      <c r="F2" s="307"/>
      <c r="G2" s="307"/>
      <c r="H2" s="307"/>
      <c r="I2" s="307"/>
      <c r="J2" s="307"/>
      <c r="K2" s="307"/>
      <c r="L2" s="307"/>
      <c r="M2" s="307"/>
      <c r="N2" s="307"/>
      <c r="O2" s="307"/>
      <c r="P2" s="307"/>
      <c r="Q2" s="307"/>
      <c r="R2" s="307"/>
      <c r="S2" s="307"/>
      <c r="T2" s="307"/>
      <c r="U2" s="307"/>
      <c r="V2" s="240"/>
      <c r="W2" s="240"/>
      <c r="X2" s="240"/>
    </row>
    <row r="3" spans="1:52">
      <c r="F3" s="189"/>
      <c r="R3" s="193"/>
    </row>
    <row r="4" spans="1:52">
      <c r="A4" s="193"/>
      <c r="D4" s="210" t="s">
        <v>97</v>
      </c>
      <c r="E4" s="215"/>
      <c r="G4" s="311" t="s">
        <v>98</v>
      </c>
      <c r="H4" s="311"/>
      <c r="I4" s="311"/>
      <c r="J4" s="311"/>
      <c r="K4" s="311"/>
      <c r="L4" s="311"/>
      <c r="M4" s="311"/>
      <c r="N4" s="311"/>
      <c r="O4" s="311"/>
      <c r="P4" s="311"/>
      <c r="Q4" s="216" t="s">
        <v>99</v>
      </c>
      <c r="R4" s="217">
        <f>SUM(R$6:R$55)</f>
        <v>0</v>
      </c>
      <c r="S4" s="218">
        <f>SUM(S$6:S$55)</f>
        <v>0</v>
      </c>
      <c r="T4" s="219">
        <f>SUM(T$6:T$55)</f>
        <v>0</v>
      </c>
      <c r="U4" s="220">
        <f>SUM(U$6:U$55)</f>
        <v>0</v>
      </c>
      <c r="V4" s="220">
        <f>SUM(Table_PrescriptLights_Input[Gross measure cost])</f>
        <v>0</v>
      </c>
      <c r="W4" s="220">
        <f>SUM(W$6:W$55)</f>
        <v>0</v>
      </c>
      <c r="X4" s="218" t="str">
        <f>IFERROR(W4/U4,"")</f>
        <v/>
      </c>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row>
    <row r="5" spans="1:52" ht="38.25">
      <c r="A5" s="221"/>
      <c r="B5" s="230" t="s">
        <v>100</v>
      </c>
      <c r="C5" s="277" t="s">
        <v>101</v>
      </c>
      <c r="D5" s="232" t="s">
        <v>102</v>
      </c>
      <c r="E5" s="231" t="s">
        <v>103</v>
      </c>
      <c r="F5" s="233" t="s">
        <v>104</v>
      </c>
      <c r="G5" s="234" t="s">
        <v>105</v>
      </c>
      <c r="H5" s="234" t="s">
        <v>106</v>
      </c>
      <c r="I5" s="234" t="s">
        <v>107</v>
      </c>
      <c r="J5" s="234" t="s">
        <v>108</v>
      </c>
      <c r="K5" s="234" t="s">
        <v>109</v>
      </c>
      <c r="L5" s="234" t="s">
        <v>110</v>
      </c>
      <c r="M5" s="234" t="s">
        <v>111</v>
      </c>
      <c r="N5" s="234" t="s">
        <v>112</v>
      </c>
      <c r="O5" s="235" t="s">
        <v>113</v>
      </c>
      <c r="P5" s="235" t="s">
        <v>114</v>
      </c>
      <c r="Q5" s="233" t="s">
        <v>115</v>
      </c>
      <c r="R5" s="233" t="s">
        <v>116</v>
      </c>
      <c r="S5" s="233" t="s">
        <v>117</v>
      </c>
      <c r="T5" s="233" t="s">
        <v>118</v>
      </c>
      <c r="U5" s="233" t="s">
        <v>119</v>
      </c>
      <c r="V5" s="233" t="s">
        <v>120</v>
      </c>
      <c r="W5" s="233" t="s">
        <v>121</v>
      </c>
      <c r="X5" s="233" t="s">
        <v>122</v>
      </c>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row>
    <row r="6" spans="1:52">
      <c r="A6" s="222"/>
      <c r="B6" s="223">
        <v>1</v>
      </c>
      <c r="C6" s="192" t="str">
        <f>IFERROR(INDEX(Table_Prescript_Meas[Measure Number], MATCH(E6, Table_Prescript_Meas[Measure Description], 0)), "")</f>
        <v/>
      </c>
      <c r="D6" s="224"/>
      <c r="E6" s="215"/>
      <c r="F6" s="192" t="str">
        <f>IFERROR(INDEX(Table_Prescript_Meas[Units], MATCH(Table_PrescriptLights_Input[[#This Row],[Measure number]], Table_Prescript_Meas[Measure Number], 0)), "")</f>
        <v/>
      </c>
      <c r="G6" s="225"/>
      <c r="H6" s="257"/>
      <c r="I6" s="225"/>
      <c r="J6" s="282"/>
      <c r="K6" s="282"/>
      <c r="L6" s="282"/>
      <c r="M6" s="281"/>
      <c r="N6" s="281"/>
      <c r="O6" s="259"/>
      <c r="P6" s="259"/>
      <c r="Q6"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6" s="227" t="str">
        <f>IFERROR(Table_PrescriptLights_Input[[#This Row],[Per-unit incentive]]*Table_PrescriptLights_Input[[#This Row],[Number of Units]],"")</f>
        <v/>
      </c>
      <c r="S6" s="228" t="str">
        <f>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6" s="229" t="str">
        <f>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6" s="227" t="str">
        <f>IFERROR(Table_PrescriptLights_Input[[#This Row],[Energy savings (kWh)]]*Input_AvgkWhRate, "")</f>
        <v/>
      </c>
      <c r="V6" s="227" t="str">
        <f>IF(Table_PrescriptLights_Input[[#This Row],[HVAC measure]]="", "",Table_PrescriptLights_Input[[#This Row],[Total equipment cost]]+Table_PrescriptLights_Input[[#This Row],[Total labor cost]])</f>
        <v/>
      </c>
      <c r="W6" s="227" t="str">
        <f>IFERROR(Table_PrescriptLights_Input[[#This Row],[Gross measure cost]]-Table_PrescriptLights_Input[[#This Row],[Estimated incentive]], "")</f>
        <v/>
      </c>
      <c r="X6" s="228" t="str">
        <f t="shared" ref="X6:X55" si="0">IFERROR($W6/$U6,"")</f>
        <v/>
      </c>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row>
    <row r="7" spans="1:52">
      <c r="A7" s="222"/>
      <c r="B7" s="223">
        <v>2</v>
      </c>
      <c r="C7" s="192" t="str">
        <f>IFERROR(INDEX(Table_Prescript_Meas[Measure Number], MATCH(E7, Table_Prescript_Meas[Measure Description], 0)), "")</f>
        <v/>
      </c>
      <c r="D7" s="224"/>
      <c r="E7" s="215"/>
      <c r="F7" s="192" t="str">
        <f>IFERROR(INDEX(Table_Prescript_Meas[Units], MATCH(Table_PrescriptLights_Input[[#This Row],[Measure number]], Table_Prescript_Meas[Measure Number], 0)), "")</f>
        <v/>
      </c>
      <c r="G7" s="225"/>
      <c r="H7" s="257"/>
      <c r="I7" s="225"/>
      <c r="J7" s="282"/>
      <c r="K7" s="282"/>
      <c r="L7" s="282"/>
      <c r="M7" s="281"/>
      <c r="N7" s="281"/>
      <c r="O7" s="259"/>
      <c r="P7" s="259"/>
      <c r="Q7"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7" s="227" t="str">
        <f>IFERROR(Table_PrescriptLights_Input[[#This Row],[Per-unit incentive]]*Table_PrescriptLights_Input[[#This Row],[Number of Units]],"")</f>
        <v/>
      </c>
      <c r="S7" s="228" t="str">
        <f>IF(Table_PrescriptLights_Input[[#This Row],[Measure number]]="","",IF(OR(Table_PrescriptLights_Input[[#This Row],[Measure number]]=References!$F$4,Table_PrescriptLights_Input[[#This Row],[Measure number]]=References!$F$5),Table_PrescriptLights_Input[[#This Row],[Number of Units]]*'HVAC Calcs'!$H4,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7" s="229" t="str">
        <f>IF(Table_PrescriptLights_Input[[#This Row],[Measure number]]="","",IF(OR(Table_PrescriptLights_Input[[#This Row],[Measure number]]=References!$F$4,Table_PrescriptLights_Input[[#This Row],[Measure number]]=References!$F$5),Table_PrescriptLights_Input[[#This Row],[Number of Units]]*'HVAC Calcs'!$I4,IF(OR(Table_PrescriptLights_Input[[#This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7" s="227" t="str">
        <f>IFERROR(Table_PrescriptLights_Input[[#This Row],[Energy savings (kWh)]]*Input_AvgkWhRate, "")</f>
        <v/>
      </c>
      <c r="V7" s="227" t="str">
        <f>IF(Table_PrescriptLights_Input[[#This Row],[HVAC measure]]="", "",Table_PrescriptLights_Input[[#This Row],[Total equipment cost]]+Table_PrescriptLights_Input[[#This Row],[Total labor cost]])</f>
        <v/>
      </c>
      <c r="W7" s="227" t="str">
        <f>IFERROR(Table_PrescriptLights_Input[[#This Row],[Gross measure cost]]-Table_PrescriptLights_Input[[#This Row],[Estimated incentive]], "")</f>
        <v/>
      </c>
      <c r="X7" s="228" t="str">
        <f t="shared" si="0"/>
        <v/>
      </c>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row>
    <row r="8" spans="1:52">
      <c r="A8" s="222"/>
      <c r="B8" s="223">
        <v>3</v>
      </c>
      <c r="C8" s="192" t="str">
        <f>IFERROR(INDEX(Table_Prescript_Meas[Measure Number], MATCH(E8, Table_Prescript_Meas[Measure Description], 0)), "")</f>
        <v/>
      </c>
      <c r="D8" s="224"/>
      <c r="E8" s="215"/>
      <c r="F8" s="192" t="str">
        <f>IFERROR(INDEX(Table_Prescript_Meas[Units], MATCH(Table_PrescriptLights_Input[[#This Row],[Measure number]], Table_Prescript_Meas[Measure Number], 0)), "")</f>
        <v/>
      </c>
      <c r="G8" s="225"/>
      <c r="H8" s="257"/>
      <c r="I8" s="225"/>
      <c r="J8" s="282"/>
      <c r="K8" s="282"/>
      <c r="L8" s="282"/>
      <c r="M8" s="281"/>
      <c r="N8" s="281"/>
      <c r="O8" s="259"/>
      <c r="P8" s="259"/>
      <c r="Q8"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8" s="227" t="str">
        <f>IFERROR(Table_PrescriptLights_Input[[#This Row],[Per-unit incentive]]*Table_PrescriptLights_Input[[#This Row],[Number of Units]],"")</f>
        <v/>
      </c>
      <c r="S8" s="228" t="str">
        <f>IF(Table_PrescriptLights_Input[[#This Row],[Measure number]]="","",IF(OR(Table_PrescriptLights_Input[[#This Row],[Measure number]]=References!$F$4,Table_PrescriptLights_Input[[#This Row],[Measure number]]=References!$F$5),Table_PrescriptLights_Input[[#This Row],[Number of Units]]*'HVAC Calcs'!$H5,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8" s="229" t="str">
        <f>IF(Table_PrescriptLights_Input[[#This Row],[Measure number]]="","",IF(OR(Table_PrescriptLights_Input[[#This Row],[Measure number]]=References!$F$4,Table_PrescriptLights_Input[[#This Row],[Measure number]]=References!$F$5),Table_PrescriptLights_Input[[#This Row],[Number of Units]]*'HVAC Calcs'!$I5,IF(OR(Table_PrescriptLights_Input[[#This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8" s="227" t="str">
        <f>IFERROR(Table_PrescriptLights_Input[[#This Row],[Energy savings (kWh)]]*Input_AvgkWhRate, "")</f>
        <v/>
      </c>
      <c r="V8" s="227" t="str">
        <f>IF(Table_PrescriptLights_Input[[#This Row],[HVAC measure]]="", "",Table_PrescriptLights_Input[[#This Row],[Total equipment cost]]+Table_PrescriptLights_Input[[#This Row],[Total labor cost]])</f>
        <v/>
      </c>
      <c r="W8" s="227" t="str">
        <f>IFERROR(Table_PrescriptLights_Input[[#This Row],[Gross measure cost]]-Table_PrescriptLights_Input[[#This Row],[Estimated incentive]], "")</f>
        <v/>
      </c>
      <c r="X8" s="228" t="str">
        <f t="shared" si="0"/>
        <v/>
      </c>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row>
    <row r="9" spans="1:52">
      <c r="A9" s="222"/>
      <c r="B9" s="223">
        <v>4</v>
      </c>
      <c r="C9" s="192" t="str">
        <f>IFERROR(INDEX(Table_Prescript_Meas[Measure Number], MATCH(E9, Table_Prescript_Meas[Measure Description], 0)), "")</f>
        <v/>
      </c>
      <c r="D9" s="224"/>
      <c r="E9" s="215"/>
      <c r="F9" s="192" t="str">
        <f>IFERROR(INDEX(Table_Prescript_Meas[Units], MATCH(Table_PrescriptLights_Input[[#This Row],[Measure number]], Table_Prescript_Meas[Measure Number], 0)), "")</f>
        <v/>
      </c>
      <c r="G9" s="225"/>
      <c r="H9" s="257"/>
      <c r="I9" s="225"/>
      <c r="J9" s="282"/>
      <c r="K9" s="282"/>
      <c r="L9" s="282"/>
      <c r="M9" s="281"/>
      <c r="N9" s="281"/>
      <c r="O9" s="259"/>
      <c r="P9" s="259"/>
      <c r="Q9"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9" s="227" t="str">
        <f>IFERROR(Table_PrescriptLights_Input[[#This Row],[Per-unit incentive]]*Table_PrescriptLights_Input[[#This Row],[Number of Units]],"")</f>
        <v/>
      </c>
      <c r="S9" s="228" t="str">
        <f>IF(Table_PrescriptLights_Input[[#This Row],[Measure number]]="","",IF(OR(Table_PrescriptLights_Input[[#This Row],[Measure number]]=References!$F$4,Table_PrescriptLights_Input[[#This Row],[Measure number]]=References!$F$5),Table_PrescriptLights_Input[[#This Row],[Number of Units]]*'HVAC Calcs'!$H6,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9" s="229" t="str">
        <f>IF(Table_PrescriptLights_Input[[#This Row],[Measure number]]="","",IF(OR(Table_PrescriptLights_Input[[#This Row],[Measure number]]=References!$F$4,Table_PrescriptLights_Input[[#This Row],[Measure number]]=References!$F$5),Table_PrescriptLights_Input[[#This Row],[Number of Units]]*'HVAC Calcs'!$I6,IF(OR(Table_PrescriptLights_Input[[#This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9" s="227" t="str">
        <f>IFERROR(Table_PrescriptLights_Input[[#This Row],[Energy savings (kWh)]]*Input_AvgkWhRate, "")</f>
        <v/>
      </c>
      <c r="V9" s="227" t="str">
        <f>IF(Table_PrescriptLights_Input[[#This Row],[HVAC measure]]="", "",Table_PrescriptLights_Input[[#This Row],[Total equipment cost]]+Table_PrescriptLights_Input[[#This Row],[Total labor cost]])</f>
        <v/>
      </c>
      <c r="W9" s="227" t="str">
        <f>IFERROR(Table_PrescriptLights_Input[[#This Row],[Gross measure cost]]-Table_PrescriptLights_Input[[#This Row],[Estimated incentive]], "")</f>
        <v/>
      </c>
      <c r="X9" s="228" t="str">
        <f t="shared" si="0"/>
        <v/>
      </c>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row>
    <row r="10" spans="1:52">
      <c r="A10" s="222"/>
      <c r="B10" s="223">
        <v>5</v>
      </c>
      <c r="C10" s="192" t="str">
        <f>IFERROR(INDEX(Table_Prescript_Meas[Measure Number], MATCH(E10, Table_Prescript_Meas[Measure Description], 0)), "")</f>
        <v/>
      </c>
      <c r="D10" s="224"/>
      <c r="E10" s="215"/>
      <c r="F10" s="192" t="str">
        <f>IFERROR(INDEX(Table_Prescript_Meas[Units], MATCH(Table_PrescriptLights_Input[[#This Row],[Measure number]], Table_Prescript_Meas[Measure Number], 0)), "")</f>
        <v/>
      </c>
      <c r="G10" s="225"/>
      <c r="H10" s="257"/>
      <c r="I10" s="225"/>
      <c r="J10" s="282"/>
      <c r="K10" s="282"/>
      <c r="L10" s="282"/>
      <c r="M10" s="281"/>
      <c r="N10" s="281"/>
      <c r="O10" s="259"/>
      <c r="P10" s="259"/>
      <c r="Q10"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0" s="227" t="str">
        <f>IFERROR(Table_PrescriptLights_Input[[#This Row],[Per-unit incentive]]*Table_PrescriptLights_Input[[#This Row],[Number of Units]],"")</f>
        <v/>
      </c>
      <c r="S10" s="228" t="str">
        <f>IF(Table_PrescriptLights_Input[[#This Row],[Measure number]]="","",IF(OR(Table_PrescriptLights_Input[[#This Row],[Measure number]]=References!$F$4,Table_PrescriptLights_Input[[#This Row],[Measure number]]=References!$F$5),Table_PrescriptLights_Input[[#This Row],[Number of Units]]*'HVAC Calcs'!$H7,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0" s="229" t="str">
        <f>IF(Table_PrescriptLights_Input[[#This Row],[Measure number]]="","",IF(OR(Table_PrescriptLights_Input[[#This Row],[Measure number]]=References!$F$4,Table_PrescriptLights_Input[[#This Row],[Measure number]]=References!$F$5),Table_PrescriptLights_Input[[#This Row],[Number of Units]]*'HVAC Calcs'!$I7,IF(OR(Table_PrescriptLights_Input[[#This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0" s="227" t="str">
        <f>IFERROR(Table_PrescriptLights_Input[[#This Row],[Energy savings (kWh)]]*Input_AvgkWhRate, "")</f>
        <v/>
      </c>
      <c r="V10" s="227" t="str">
        <f>IF(Table_PrescriptLights_Input[[#This Row],[HVAC measure]]="", "",Table_PrescriptLights_Input[[#This Row],[Total equipment cost]]+Table_PrescriptLights_Input[[#This Row],[Total labor cost]])</f>
        <v/>
      </c>
      <c r="W10" s="227" t="str">
        <f>IFERROR(Table_PrescriptLights_Input[[#This Row],[Gross measure cost]]-Table_PrescriptLights_Input[[#This Row],[Estimated incentive]], "")</f>
        <v/>
      </c>
      <c r="X10" s="228" t="str">
        <f t="shared" si="0"/>
        <v/>
      </c>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row>
    <row r="11" spans="1:52">
      <c r="A11" s="222"/>
      <c r="B11" s="223">
        <v>6</v>
      </c>
      <c r="C11" s="192" t="str">
        <f>IFERROR(INDEX(Table_Prescript_Meas[Measure Number], MATCH(E11, Table_Prescript_Meas[Measure Description], 0)), "")</f>
        <v/>
      </c>
      <c r="D11" s="224"/>
      <c r="E11" s="215"/>
      <c r="F11" s="192" t="str">
        <f>IFERROR(INDEX(Table_Prescript_Meas[Units], MATCH(Table_PrescriptLights_Input[[#This Row],[Measure number]], Table_Prescript_Meas[Measure Number], 0)), "")</f>
        <v/>
      </c>
      <c r="G11" s="225"/>
      <c r="H11" s="257"/>
      <c r="I11" s="225"/>
      <c r="J11" s="282"/>
      <c r="K11" s="282"/>
      <c r="L11" s="282"/>
      <c r="M11" s="281"/>
      <c r="N11" s="281"/>
      <c r="O11" s="259"/>
      <c r="P11" s="259"/>
      <c r="Q11"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1" s="227" t="str">
        <f>IFERROR(Table_PrescriptLights_Input[[#This Row],[Per-unit incentive]]*Table_PrescriptLights_Input[[#This Row],[Number of Units]],"")</f>
        <v/>
      </c>
      <c r="S11" s="228" t="str">
        <f>IF(Table_PrescriptLights_Input[[#This Row],[Measure number]]="","",IF(OR(Table_PrescriptLights_Input[[#This Row],[Measure number]]=References!$F$4,Table_PrescriptLights_Input[[#This Row],[Measure number]]=References!$F$5),Table_PrescriptLights_Input[[#This Row],[Number of Units]]*'HVAC Calcs'!$H8,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1" s="229" t="str">
        <f>IF(Table_PrescriptLights_Input[[#This Row],[Measure number]]="","",IF(OR(Table_PrescriptLights_Input[[#This Row],[Measure number]]=References!$F$4,Table_PrescriptLights_Input[[#This Row],[Measure number]]=References!$F$5),Table_PrescriptLights_Input[[#This Row],[Number of Units]]*'HVAC Calcs'!$I8,IF(OR(Table_PrescriptLights_Input[[#This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1" s="227" t="str">
        <f>IFERROR(Table_PrescriptLights_Input[[#This Row],[Energy savings (kWh)]]*Input_AvgkWhRate, "")</f>
        <v/>
      </c>
      <c r="V11" s="227" t="str">
        <f>IF(Table_PrescriptLights_Input[[#This Row],[HVAC measure]]="", "",Table_PrescriptLights_Input[[#This Row],[Total equipment cost]]+Table_PrescriptLights_Input[[#This Row],[Total labor cost]])</f>
        <v/>
      </c>
      <c r="W11" s="227" t="str">
        <f>IFERROR(Table_PrescriptLights_Input[[#This Row],[Gross measure cost]]-Table_PrescriptLights_Input[[#This Row],[Estimated incentive]], "")</f>
        <v/>
      </c>
      <c r="X11" s="228" t="str">
        <f t="shared" si="0"/>
        <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row>
    <row r="12" spans="1:52">
      <c r="A12" s="222"/>
      <c r="B12" s="223">
        <v>7</v>
      </c>
      <c r="C12" s="192" t="str">
        <f>IFERROR(INDEX(Table_Prescript_Meas[Measure Number], MATCH(E12, Table_Prescript_Meas[Measure Description], 0)), "")</f>
        <v/>
      </c>
      <c r="D12" s="224"/>
      <c r="E12" s="215"/>
      <c r="F12" s="192" t="str">
        <f>IFERROR(INDEX(Table_Prescript_Meas[Units], MATCH(Table_PrescriptLights_Input[[#This Row],[Measure number]], Table_Prescript_Meas[Measure Number], 0)), "")</f>
        <v/>
      </c>
      <c r="G12" s="225"/>
      <c r="H12" s="257"/>
      <c r="I12" s="225"/>
      <c r="J12" s="282"/>
      <c r="K12" s="282"/>
      <c r="L12" s="282"/>
      <c r="M12" s="281"/>
      <c r="N12" s="281"/>
      <c r="O12" s="259"/>
      <c r="P12" s="259"/>
      <c r="Q12"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2" s="227" t="str">
        <f>IFERROR(Table_PrescriptLights_Input[[#This Row],[Per-unit incentive]]*Table_PrescriptLights_Input[[#This Row],[Number of Units]],"")</f>
        <v/>
      </c>
      <c r="S12" s="228" t="str">
        <f>IF(Table_PrescriptLights_Input[[#This Row],[Measure number]]="","",IF(OR(Table_PrescriptLights_Input[[#This Row],[Measure number]]=References!$F$4,Table_PrescriptLights_Input[[#This Row],[Measure number]]=References!$F$5),Table_PrescriptLights_Input[[#This Row],[Number of Units]]*'HVAC Calcs'!$H9,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2" s="229" t="str">
        <f>IF(Table_PrescriptLights_Input[[#This Row],[Measure number]]="","",IF(OR(Table_PrescriptLights_Input[[#This Row],[Measure number]]=References!$F$4,Table_PrescriptLights_Input[[#This Row],[Measure number]]=References!$F$5),Table_PrescriptLights_Input[[#This Row],[Number of Units]]*'HVAC Calcs'!$I9,IF(OR(Table_PrescriptLights_Input[[#This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2" s="227" t="str">
        <f>IFERROR(Table_PrescriptLights_Input[[#This Row],[Energy savings (kWh)]]*Input_AvgkWhRate, "")</f>
        <v/>
      </c>
      <c r="V12" s="227" t="str">
        <f>IF(Table_PrescriptLights_Input[[#This Row],[HVAC measure]]="", "",Table_PrescriptLights_Input[[#This Row],[Total equipment cost]]+Table_PrescriptLights_Input[[#This Row],[Total labor cost]])</f>
        <v/>
      </c>
      <c r="W12" s="227" t="str">
        <f>IFERROR(Table_PrescriptLights_Input[[#This Row],[Gross measure cost]]-Table_PrescriptLights_Input[[#This Row],[Estimated incentive]], "")</f>
        <v/>
      </c>
      <c r="X12" s="228" t="str">
        <f t="shared" si="0"/>
        <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row>
    <row r="13" spans="1:52">
      <c r="A13" s="222"/>
      <c r="B13" s="223">
        <v>8</v>
      </c>
      <c r="C13" s="192" t="str">
        <f>IFERROR(INDEX(Table_Prescript_Meas[Measure Number], MATCH(E13, Table_Prescript_Meas[Measure Description], 0)), "")</f>
        <v/>
      </c>
      <c r="D13" s="224"/>
      <c r="E13" s="215"/>
      <c r="F13" s="192" t="str">
        <f>IFERROR(INDEX(Table_Prescript_Meas[Units], MATCH(Table_PrescriptLights_Input[[#This Row],[Measure number]], Table_Prescript_Meas[Measure Number], 0)), "")</f>
        <v/>
      </c>
      <c r="G13" s="225"/>
      <c r="H13" s="257"/>
      <c r="I13" s="225"/>
      <c r="J13" s="282"/>
      <c r="K13" s="282"/>
      <c r="L13" s="282"/>
      <c r="M13" s="281"/>
      <c r="N13" s="281"/>
      <c r="O13" s="259"/>
      <c r="P13" s="259"/>
      <c r="Q13"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3" s="227" t="str">
        <f>IFERROR(Table_PrescriptLights_Input[[#This Row],[Per-unit incentive]]*Table_PrescriptLights_Input[[#This Row],[Number of Units]],"")</f>
        <v/>
      </c>
      <c r="S13" s="228" t="str">
        <f>IF(Table_PrescriptLights_Input[[#This Row],[Measure number]]="","",IF(OR(Table_PrescriptLights_Input[[#This Row],[Measure number]]=References!$F$4,Table_PrescriptLights_Input[[#This Row],[Measure number]]=References!$F$5),Table_PrescriptLights_Input[[#This Row],[Number of Units]]*'HVAC Calcs'!$H10,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3" s="229" t="str">
        <f>IF(Table_PrescriptLights_Input[[#This Row],[Measure number]]="","",IF(OR(Table_PrescriptLights_Input[[#This Row],[Measure number]]=References!$F$4,Table_PrescriptLights_Input[[#This Row],[Measure number]]=References!$F$5),Table_PrescriptLights_Input[[#This Row],[Number of Units]]*'HVAC Calcs'!$I10,IF(OR(Table_PrescriptLights_Input[[#This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3" s="227" t="str">
        <f>IFERROR(Table_PrescriptLights_Input[[#This Row],[Energy savings (kWh)]]*Input_AvgkWhRate, "")</f>
        <v/>
      </c>
      <c r="V13" s="227" t="str">
        <f>IF(Table_PrescriptLights_Input[[#This Row],[HVAC measure]]="", "",Table_PrescriptLights_Input[[#This Row],[Total equipment cost]]+Table_PrescriptLights_Input[[#This Row],[Total labor cost]])</f>
        <v/>
      </c>
      <c r="W13" s="227" t="str">
        <f>IFERROR(Table_PrescriptLights_Input[[#This Row],[Gross measure cost]]-Table_PrescriptLights_Input[[#This Row],[Estimated incentive]], "")</f>
        <v/>
      </c>
      <c r="X13" s="228" t="str">
        <f t="shared" si="0"/>
        <v/>
      </c>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row>
    <row r="14" spans="1:52">
      <c r="A14" s="222"/>
      <c r="B14" s="223">
        <v>9</v>
      </c>
      <c r="C14" s="192" t="str">
        <f>IFERROR(INDEX(Table_Prescript_Meas[Measure Number], MATCH(E14, Table_Prescript_Meas[Measure Description], 0)), "")</f>
        <v/>
      </c>
      <c r="D14" s="224"/>
      <c r="E14" s="215"/>
      <c r="F14" s="192" t="str">
        <f>IFERROR(INDEX(Table_Prescript_Meas[Units], MATCH(Table_PrescriptLights_Input[[#This Row],[Measure number]], Table_Prescript_Meas[Measure Number], 0)), "")</f>
        <v/>
      </c>
      <c r="G14" s="225"/>
      <c r="H14" s="257"/>
      <c r="I14" s="225"/>
      <c r="J14" s="282"/>
      <c r="K14" s="282"/>
      <c r="L14" s="282"/>
      <c r="M14" s="281"/>
      <c r="N14" s="281"/>
      <c r="O14" s="259"/>
      <c r="P14" s="259"/>
      <c r="Q14"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4" s="227" t="str">
        <f>IFERROR(Table_PrescriptLights_Input[[#This Row],[Per-unit incentive]]*Table_PrescriptLights_Input[[#This Row],[Number of Units]],"")</f>
        <v/>
      </c>
      <c r="S14" s="228" t="str">
        <f>IF(Table_PrescriptLights_Input[[#This Row],[Measure number]]="","",IF(OR(Table_PrescriptLights_Input[[#This Row],[Measure number]]=References!$F$4,Table_PrescriptLights_Input[[#This Row],[Measure number]]=References!$F$5),Table_PrescriptLights_Input[[#This Row],[Number of Units]]*'HVAC Calcs'!$H11,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4" s="229" t="str">
        <f>IF(Table_PrescriptLights_Input[[#This Row],[Measure number]]="","",IF(OR(Table_PrescriptLights_Input[[#This Row],[Measure number]]=References!$F$4,Table_PrescriptLights_Input[[#This Row],[Measure number]]=References!$F$5),Table_PrescriptLights_Input[[#This Row],[Number of Units]]*'HVAC Calcs'!$I11,IF(OR(Table_PrescriptLights_Input[[#This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4" s="227" t="str">
        <f>IFERROR(Table_PrescriptLights_Input[[#This Row],[Energy savings (kWh)]]*Input_AvgkWhRate, "")</f>
        <v/>
      </c>
      <c r="V14" s="227" t="str">
        <f>IF(Table_PrescriptLights_Input[[#This Row],[HVAC measure]]="", "",Table_PrescriptLights_Input[[#This Row],[Total equipment cost]]+Table_PrescriptLights_Input[[#This Row],[Total labor cost]])</f>
        <v/>
      </c>
      <c r="W14" s="227" t="str">
        <f>IFERROR(Table_PrescriptLights_Input[[#This Row],[Gross measure cost]]-Table_PrescriptLights_Input[[#This Row],[Estimated incentive]], "")</f>
        <v/>
      </c>
      <c r="X14" s="228" t="str">
        <f t="shared" si="0"/>
        <v/>
      </c>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row>
    <row r="15" spans="1:52">
      <c r="A15" s="222"/>
      <c r="B15" s="223">
        <v>10</v>
      </c>
      <c r="C15" s="192" t="str">
        <f>IFERROR(INDEX(Table_Prescript_Meas[Measure Number], MATCH(E15, Table_Prescript_Meas[Measure Description], 0)), "")</f>
        <v/>
      </c>
      <c r="D15" s="224"/>
      <c r="E15" s="215"/>
      <c r="F15" s="192" t="str">
        <f>IFERROR(INDEX(Table_Prescript_Meas[Units], MATCH(Table_PrescriptLights_Input[[#This Row],[Measure number]], Table_Prescript_Meas[Measure Number], 0)), "")</f>
        <v/>
      </c>
      <c r="G15" s="225"/>
      <c r="H15" s="257"/>
      <c r="I15" s="225"/>
      <c r="J15" s="282"/>
      <c r="K15" s="282"/>
      <c r="L15" s="282"/>
      <c r="M15" s="281"/>
      <c r="N15" s="281"/>
      <c r="O15" s="259"/>
      <c r="P15" s="259"/>
      <c r="Q15"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5" s="227" t="str">
        <f>IFERROR(Table_PrescriptLights_Input[[#This Row],[Per-unit incentive]]*Table_PrescriptLights_Input[[#This Row],[Number of Units]],"")</f>
        <v/>
      </c>
      <c r="S15" s="228" t="str">
        <f>IF(Table_PrescriptLights_Input[[#This Row],[Measure number]]="","",IF(OR(Table_PrescriptLights_Input[[#This Row],[Measure number]]=References!$F$4,Table_PrescriptLights_Input[[#This Row],[Measure number]]=References!$F$5),Table_PrescriptLights_Input[[#This Row],[Number of Units]]*'HVAC Calcs'!$H12,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5" s="229" t="str">
        <f>IF(Table_PrescriptLights_Input[[#This Row],[Measure number]]="","",IF(OR(Table_PrescriptLights_Input[[#This Row],[Measure number]]=References!$F$4,Table_PrescriptLights_Input[[#This Row],[Measure number]]=References!$F$5),Table_PrescriptLights_Input[[#This Row],[Number of Units]]*'HVAC Calcs'!$I12,IF(OR(Table_PrescriptLights_Input[[#This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5" s="227" t="str">
        <f>IFERROR(Table_PrescriptLights_Input[[#This Row],[Energy savings (kWh)]]*Input_AvgkWhRate, "")</f>
        <v/>
      </c>
      <c r="V15" s="227" t="str">
        <f>IF(Table_PrescriptLights_Input[[#This Row],[HVAC measure]]="", "",Table_PrescriptLights_Input[[#This Row],[Total equipment cost]]+Table_PrescriptLights_Input[[#This Row],[Total labor cost]])</f>
        <v/>
      </c>
      <c r="W15" s="227" t="str">
        <f>IFERROR(Table_PrescriptLights_Input[[#This Row],[Gross measure cost]]-Table_PrescriptLights_Input[[#This Row],[Estimated incentive]], "")</f>
        <v/>
      </c>
      <c r="X15" s="228" t="str">
        <f t="shared" si="0"/>
        <v/>
      </c>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row>
    <row r="16" spans="1:52">
      <c r="A16" s="222"/>
      <c r="B16" s="223">
        <v>11</v>
      </c>
      <c r="C16" s="192" t="str">
        <f>IFERROR(INDEX(Table_Prescript_Meas[Measure Number], MATCH(E16, Table_Prescript_Meas[Measure Description], 0)), "")</f>
        <v/>
      </c>
      <c r="D16" s="224"/>
      <c r="E16" s="215"/>
      <c r="F16" s="192" t="str">
        <f>IFERROR(INDEX(Table_Prescript_Meas[Units], MATCH(Table_PrescriptLights_Input[[#This Row],[Measure number]], Table_Prescript_Meas[Measure Number], 0)), "")</f>
        <v/>
      </c>
      <c r="G16" s="225"/>
      <c r="H16" s="257"/>
      <c r="I16" s="225"/>
      <c r="J16" s="282"/>
      <c r="K16" s="282"/>
      <c r="L16" s="282"/>
      <c r="M16" s="281"/>
      <c r="N16" s="281"/>
      <c r="O16" s="259"/>
      <c r="P16" s="259"/>
      <c r="Q16"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6" s="227" t="str">
        <f>IFERROR(Table_PrescriptLights_Input[[#This Row],[Per-unit incentive]]*Table_PrescriptLights_Input[[#This Row],[Number of Units]],"")</f>
        <v/>
      </c>
      <c r="S16" s="228" t="str">
        <f>IF(Table_PrescriptLights_Input[[#This Row],[Measure number]]="","",IF(OR(Table_PrescriptLights_Input[[#This Row],[Measure number]]=References!$F$4,Table_PrescriptLights_Input[[#This Row],[Measure number]]=References!$F$5),Table_PrescriptLights_Input[[#This Row],[Number of Units]]*'HVAC Calcs'!$H13,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6" s="229" t="str">
        <f>IF(Table_PrescriptLights_Input[[#This Row],[Measure number]]="","",IF(OR(Table_PrescriptLights_Input[[#This Row],[Measure number]]=References!$F$4,Table_PrescriptLights_Input[[#This Row],[Measure number]]=References!$F$5),Table_PrescriptLights_Input[[#This Row],[Number of Units]]*'HVAC Calcs'!$I13,IF(OR(Table_PrescriptLights_Input[[#This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6" s="227" t="str">
        <f>IFERROR(Table_PrescriptLights_Input[[#This Row],[Energy savings (kWh)]]*Input_AvgkWhRate, "")</f>
        <v/>
      </c>
      <c r="V16" s="227" t="str">
        <f>IF(Table_PrescriptLights_Input[[#This Row],[HVAC measure]]="", "",Table_PrescriptLights_Input[[#This Row],[Total equipment cost]]+Table_PrescriptLights_Input[[#This Row],[Total labor cost]])</f>
        <v/>
      </c>
      <c r="W16" s="227" t="str">
        <f>IFERROR(Table_PrescriptLights_Input[[#This Row],[Gross measure cost]]-Table_PrescriptLights_Input[[#This Row],[Estimated incentive]], "")</f>
        <v/>
      </c>
      <c r="X16" s="228" t="str">
        <f t="shared" si="0"/>
        <v/>
      </c>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row>
    <row r="17" spans="1:52">
      <c r="A17" s="222"/>
      <c r="B17" s="223">
        <v>12</v>
      </c>
      <c r="C17" s="192" t="str">
        <f>IFERROR(INDEX(Table_Prescript_Meas[Measure Number], MATCH(E17, Table_Prescript_Meas[Measure Description], 0)), "")</f>
        <v/>
      </c>
      <c r="D17" s="224"/>
      <c r="E17" s="215"/>
      <c r="F17" s="192" t="str">
        <f>IFERROR(INDEX(Table_Prescript_Meas[Units], MATCH(Table_PrescriptLights_Input[[#This Row],[Measure number]], Table_Prescript_Meas[Measure Number], 0)), "")</f>
        <v/>
      </c>
      <c r="G17" s="225"/>
      <c r="H17" s="257"/>
      <c r="I17" s="225"/>
      <c r="J17" s="282"/>
      <c r="K17" s="282"/>
      <c r="L17" s="282"/>
      <c r="M17" s="281"/>
      <c r="N17" s="281"/>
      <c r="O17" s="259"/>
      <c r="P17" s="259"/>
      <c r="Q17"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7" s="227" t="str">
        <f>IFERROR(Table_PrescriptLights_Input[[#This Row],[Per-unit incentive]]*Table_PrescriptLights_Input[[#This Row],[Number of Units]],"")</f>
        <v/>
      </c>
      <c r="S17" s="228" t="str">
        <f>IF(Table_PrescriptLights_Input[[#This Row],[Measure number]]="","",IF(OR(Table_PrescriptLights_Input[[#This Row],[Measure number]]=References!$F$4,Table_PrescriptLights_Input[[#This Row],[Measure number]]=References!$F$5),Table_PrescriptLights_Input[[#This Row],[Number of Units]]*'HVAC Calcs'!$H14,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7" s="229" t="str">
        <f>IF(Table_PrescriptLights_Input[[#This Row],[Measure number]]="","",IF(OR(Table_PrescriptLights_Input[[#This Row],[Measure number]]=References!$F$4,Table_PrescriptLights_Input[[#This Row],[Measure number]]=References!$F$5),Table_PrescriptLights_Input[[#This Row],[Number of Units]]*'HVAC Calcs'!$I14,IF(OR(Table_PrescriptLights_Input[[#This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7" s="227" t="str">
        <f>IFERROR(Table_PrescriptLights_Input[[#This Row],[Energy savings (kWh)]]*Input_AvgkWhRate, "")</f>
        <v/>
      </c>
      <c r="V17" s="227" t="str">
        <f>IF(Table_PrescriptLights_Input[[#This Row],[HVAC measure]]="", "",Table_PrescriptLights_Input[[#This Row],[Total equipment cost]]+Table_PrescriptLights_Input[[#This Row],[Total labor cost]])</f>
        <v/>
      </c>
      <c r="W17" s="227" t="str">
        <f>IFERROR(Table_PrescriptLights_Input[[#This Row],[Gross measure cost]]-Table_PrescriptLights_Input[[#This Row],[Estimated incentive]], "")</f>
        <v/>
      </c>
      <c r="X17" s="228" t="str">
        <f t="shared" si="0"/>
        <v/>
      </c>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row>
    <row r="18" spans="1:52">
      <c r="A18" s="222"/>
      <c r="B18" s="223">
        <v>13</v>
      </c>
      <c r="C18" s="192" t="str">
        <f>IFERROR(INDEX(Table_Prescript_Meas[Measure Number], MATCH(E18, Table_Prescript_Meas[Measure Description], 0)), "")</f>
        <v/>
      </c>
      <c r="D18" s="224"/>
      <c r="E18" s="215"/>
      <c r="F18" s="192" t="str">
        <f>IFERROR(INDEX(Table_Prescript_Meas[Units], MATCH(Table_PrescriptLights_Input[[#This Row],[Measure number]], Table_Prescript_Meas[Measure Number], 0)), "")</f>
        <v/>
      </c>
      <c r="G18" s="225"/>
      <c r="H18" s="257"/>
      <c r="I18" s="225"/>
      <c r="J18" s="282"/>
      <c r="K18" s="282"/>
      <c r="L18" s="282"/>
      <c r="M18" s="281"/>
      <c r="N18" s="281"/>
      <c r="O18" s="259"/>
      <c r="P18" s="259"/>
      <c r="Q18"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8" s="227" t="str">
        <f>IFERROR(Table_PrescriptLights_Input[[#This Row],[Per-unit incentive]]*Table_PrescriptLights_Input[[#This Row],[Number of Units]],"")</f>
        <v/>
      </c>
      <c r="S18" s="228" t="str">
        <f>IF(Table_PrescriptLights_Input[[#This Row],[Measure number]]="","",IF(OR(Table_PrescriptLights_Input[[#This Row],[Measure number]]=References!$F$4,Table_PrescriptLights_Input[[#This Row],[Measure number]]=References!$F$5),Table_PrescriptLights_Input[[#This Row],[Number of Units]]*'HVAC Calcs'!$H15,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8" s="229" t="str">
        <f>IF(Table_PrescriptLights_Input[[#This Row],[Measure number]]="","",IF(OR(Table_PrescriptLights_Input[[#This Row],[Measure number]]=References!$F$4,Table_PrescriptLights_Input[[#This Row],[Measure number]]=References!$F$5),Table_PrescriptLights_Input[[#This Row],[Number of Units]]*'HVAC Calcs'!$I15,IF(OR(Table_PrescriptLights_Input[[#This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8" s="227" t="str">
        <f>IFERROR(Table_PrescriptLights_Input[[#This Row],[Energy savings (kWh)]]*Input_AvgkWhRate, "")</f>
        <v/>
      </c>
      <c r="V18" s="227" t="str">
        <f>IF(Table_PrescriptLights_Input[[#This Row],[HVAC measure]]="", "",Table_PrescriptLights_Input[[#This Row],[Total equipment cost]]+Table_PrescriptLights_Input[[#This Row],[Total labor cost]])</f>
        <v/>
      </c>
      <c r="W18" s="227" t="str">
        <f>IFERROR(Table_PrescriptLights_Input[[#This Row],[Gross measure cost]]-Table_PrescriptLights_Input[[#This Row],[Estimated incentive]], "")</f>
        <v/>
      </c>
      <c r="X18" s="228" t="str">
        <f t="shared" si="0"/>
        <v/>
      </c>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row>
    <row r="19" spans="1:52">
      <c r="A19" s="222"/>
      <c r="B19" s="223">
        <v>14</v>
      </c>
      <c r="C19" s="192" t="str">
        <f>IFERROR(INDEX(Table_Prescript_Meas[Measure Number], MATCH(E19, Table_Prescript_Meas[Measure Description], 0)), "")</f>
        <v/>
      </c>
      <c r="D19" s="224"/>
      <c r="E19" s="215"/>
      <c r="F19" s="192" t="str">
        <f>IFERROR(INDEX(Table_Prescript_Meas[Units], MATCH(Table_PrescriptLights_Input[[#This Row],[Measure number]], Table_Prescript_Meas[Measure Number], 0)), "")</f>
        <v/>
      </c>
      <c r="G19" s="225"/>
      <c r="H19" s="257"/>
      <c r="I19" s="225"/>
      <c r="J19" s="282"/>
      <c r="K19" s="282"/>
      <c r="L19" s="282"/>
      <c r="M19" s="281"/>
      <c r="N19" s="281"/>
      <c r="O19" s="259"/>
      <c r="P19" s="259"/>
      <c r="Q19"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9" s="227" t="str">
        <f>IFERROR(Table_PrescriptLights_Input[[#This Row],[Per-unit incentive]]*Table_PrescriptLights_Input[[#This Row],[Number of Units]],"")</f>
        <v/>
      </c>
      <c r="S19" s="228" t="str">
        <f>IF(Table_PrescriptLights_Input[[#This Row],[Measure number]]="","",IF(OR(Table_PrescriptLights_Input[[#This Row],[Measure number]]=References!$F$4,Table_PrescriptLights_Input[[#This Row],[Measure number]]=References!$F$5),Table_PrescriptLights_Input[[#This Row],[Number of Units]]*'HVAC Calcs'!$H16,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9" s="229" t="str">
        <f>IF(Table_PrescriptLights_Input[[#This Row],[Measure number]]="","",IF(OR(Table_PrescriptLights_Input[[#This Row],[Measure number]]=References!$F$4,Table_PrescriptLights_Input[[#This Row],[Measure number]]=References!$F$5),Table_PrescriptLights_Input[[#This Row],[Number of Units]]*'HVAC Calcs'!$I16,IF(OR(Table_PrescriptLights_Input[[#This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9" s="227" t="str">
        <f>IFERROR(Table_PrescriptLights_Input[[#This Row],[Energy savings (kWh)]]*Input_AvgkWhRate, "")</f>
        <v/>
      </c>
      <c r="V19" s="227" t="str">
        <f>IF(Table_PrescriptLights_Input[[#This Row],[HVAC measure]]="", "",Table_PrescriptLights_Input[[#This Row],[Total equipment cost]]+Table_PrescriptLights_Input[[#This Row],[Total labor cost]])</f>
        <v/>
      </c>
      <c r="W19" s="227" t="str">
        <f>IFERROR(Table_PrescriptLights_Input[[#This Row],[Gross measure cost]]-Table_PrescriptLights_Input[[#This Row],[Estimated incentive]], "")</f>
        <v/>
      </c>
      <c r="X19" s="228" t="str">
        <f t="shared" si="0"/>
        <v/>
      </c>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row>
    <row r="20" spans="1:52">
      <c r="A20" s="222"/>
      <c r="B20" s="223">
        <v>15</v>
      </c>
      <c r="C20" s="192" t="str">
        <f>IFERROR(INDEX(Table_Prescript_Meas[Measure Number], MATCH(E20, Table_Prescript_Meas[Measure Description], 0)), "")</f>
        <v/>
      </c>
      <c r="D20" s="224"/>
      <c r="E20" s="215"/>
      <c r="F20" s="192" t="str">
        <f>IFERROR(INDEX(Table_Prescript_Meas[Units], MATCH(Table_PrescriptLights_Input[[#This Row],[Measure number]], Table_Prescript_Meas[Measure Number], 0)), "")</f>
        <v/>
      </c>
      <c r="G20" s="225"/>
      <c r="H20" s="257"/>
      <c r="I20" s="225"/>
      <c r="J20" s="282"/>
      <c r="K20" s="282"/>
      <c r="L20" s="282"/>
      <c r="M20" s="281"/>
      <c r="N20" s="281"/>
      <c r="O20" s="259"/>
      <c r="P20" s="259"/>
      <c r="Q20"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0" s="227" t="str">
        <f>IFERROR(Table_PrescriptLights_Input[[#This Row],[Per-unit incentive]]*Table_PrescriptLights_Input[[#This Row],[Number of Units]],"")</f>
        <v/>
      </c>
      <c r="S20" s="228" t="str">
        <f>IF(Table_PrescriptLights_Input[[#This Row],[Measure number]]="","",IF(OR(Table_PrescriptLights_Input[[#This Row],[Measure number]]=References!$F$4,Table_PrescriptLights_Input[[#This Row],[Measure number]]=References!$F$5),Table_PrescriptLights_Input[[#This Row],[Number of Units]]*'HVAC Calcs'!$H17,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0" s="229" t="str">
        <f>IF(Table_PrescriptLights_Input[[#This Row],[Measure number]]="","",IF(OR(Table_PrescriptLights_Input[[#This Row],[Measure number]]=References!$F$4,Table_PrescriptLights_Input[[#This Row],[Measure number]]=References!$F$5),Table_PrescriptLights_Input[[#This Row],[Number of Units]]*'HVAC Calcs'!$I17,IF(OR(Table_PrescriptLights_Input[[#This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0" s="227" t="str">
        <f>IFERROR(Table_PrescriptLights_Input[[#This Row],[Energy savings (kWh)]]*Input_AvgkWhRate, "")</f>
        <v/>
      </c>
      <c r="V20" s="227" t="str">
        <f>IF(Table_PrescriptLights_Input[[#This Row],[HVAC measure]]="", "",Table_PrescriptLights_Input[[#This Row],[Total equipment cost]]+Table_PrescriptLights_Input[[#This Row],[Total labor cost]])</f>
        <v/>
      </c>
      <c r="W20" s="227" t="str">
        <f>IFERROR(Table_PrescriptLights_Input[[#This Row],[Gross measure cost]]-Table_PrescriptLights_Input[[#This Row],[Estimated incentive]], "")</f>
        <v/>
      </c>
      <c r="X20" s="228" t="str">
        <f t="shared" si="0"/>
        <v/>
      </c>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row>
    <row r="21" spans="1:52">
      <c r="A21" s="222"/>
      <c r="B21" s="223">
        <v>16</v>
      </c>
      <c r="C21" s="192" t="str">
        <f>IFERROR(INDEX(Table_Prescript_Meas[Measure Number], MATCH(E21, Table_Prescript_Meas[Measure Description], 0)), "")</f>
        <v/>
      </c>
      <c r="D21" s="224"/>
      <c r="E21" s="215"/>
      <c r="F21" s="192" t="str">
        <f>IFERROR(INDEX(Table_Prescript_Meas[Units], MATCH(Table_PrescriptLights_Input[[#This Row],[Measure number]], Table_Prescript_Meas[Measure Number], 0)), "")</f>
        <v/>
      </c>
      <c r="G21" s="225"/>
      <c r="H21" s="257"/>
      <c r="I21" s="225"/>
      <c r="J21" s="282"/>
      <c r="K21" s="282"/>
      <c r="L21" s="282"/>
      <c r="M21" s="281"/>
      <c r="N21" s="281"/>
      <c r="O21" s="259"/>
      <c r="P21" s="259"/>
      <c r="Q21"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1" s="227" t="str">
        <f>IFERROR(Table_PrescriptLights_Input[[#This Row],[Per-unit incentive]]*Table_PrescriptLights_Input[[#This Row],[Number of Units]],"")</f>
        <v/>
      </c>
      <c r="S21" s="228" t="str">
        <f>IF(Table_PrescriptLights_Input[[#This Row],[Measure number]]="","",IF(OR(Table_PrescriptLights_Input[[#This Row],[Measure number]]=References!$F$4,Table_PrescriptLights_Input[[#This Row],[Measure number]]=References!$F$5),Table_PrescriptLights_Input[[#This Row],[Number of Units]]*'HVAC Calcs'!$H18,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1" s="229" t="str">
        <f>IF(Table_PrescriptLights_Input[[#This Row],[Measure number]]="","",IF(OR(Table_PrescriptLights_Input[[#This Row],[Measure number]]=References!$F$4,Table_PrescriptLights_Input[[#This Row],[Measure number]]=References!$F$5),Table_PrescriptLights_Input[[#This Row],[Number of Units]]*'HVAC Calcs'!$I18,IF(OR(Table_PrescriptLights_Input[[#This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1" s="227" t="str">
        <f>IFERROR(Table_PrescriptLights_Input[[#This Row],[Energy savings (kWh)]]*Input_AvgkWhRate, "")</f>
        <v/>
      </c>
      <c r="V21" s="227" t="str">
        <f>IF(Table_PrescriptLights_Input[[#This Row],[HVAC measure]]="", "",Table_PrescriptLights_Input[[#This Row],[Total equipment cost]]+Table_PrescriptLights_Input[[#This Row],[Total labor cost]])</f>
        <v/>
      </c>
      <c r="W21" s="227" t="str">
        <f>IFERROR(Table_PrescriptLights_Input[[#This Row],[Gross measure cost]]-Table_PrescriptLights_Input[[#This Row],[Estimated incentive]], "")</f>
        <v/>
      </c>
      <c r="X21" s="228" t="str">
        <f t="shared" si="0"/>
        <v/>
      </c>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row>
    <row r="22" spans="1:52">
      <c r="A22" s="222"/>
      <c r="B22" s="223">
        <v>17</v>
      </c>
      <c r="C22" s="192" t="str">
        <f>IFERROR(INDEX(Table_Prescript_Meas[Measure Number], MATCH(E22, Table_Prescript_Meas[Measure Description], 0)), "")</f>
        <v/>
      </c>
      <c r="D22" s="224"/>
      <c r="E22" s="215"/>
      <c r="F22" s="192" t="str">
        <f>IFERROR(INDEX(Table_Prescript_Meas[Units], MATCH(Table_PrescriptLights_Input[[#This Row],[Measure number]], Table_Prescript_Meas[Measure Number], 0)), "")</f>
        <v/>
      </c>
      <c r="G22" s="225"/>
      <c r="H22" s="257"/>
      <c r="I22" s="225"/>
      <c r="J22" s="282"/>
      <c r="K22" s="282"/>
      <c r="L22" s="282"/>
      <c r="M22" s="281"/>
      <c r="N22" s="281"/>
      <c r="O22" s="259"/>
      <c r="P22" s="259"/>
      <c r="Q22"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2" s="227" t="str">
        <f>IFERROR(Table_PrescriptLights_Input[[#This Row],[Per-unit incentive]]*Table_PrescriptLights_Input[[#This Row],[Number of Units]],"")</f>
        <v/>
      </c>
      <c r="S22" s="228" t="str">
        <f>IF(Table_PrescriptLights_Input[[#This Row],[Measure number]]="","",IF(OR(Table_PrescriptLights_Input[[#This Row],[Measure number]]=References!$F$4,Table_PrescriptLights_Input[[#This Row],[Measure number]]=References!$F$5),Table_PrescriptLights_Input[[#This Row],[Number of Units]]*'HVAC Calcs'!$H19,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2" s="229" t="str">
        <f>IF(Table_PrescriptLights_Input[[#This Row],[Measure number]]="","",IF(OR(Table_PrescriptLights_Input[[#This Row],[Measure number]]=References!$F$4,Table_PrescriptLights_Input[[#This Row],[Measure number]]=References!$F$5),Table_PrescriptLights_Input[[#This Row],[Number of Units]]*'HVAC Calcs'!$I19,IF(OR(Table_PrescriptLights_Input[[#This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2" s="227" t="str">
        <f>IFERROR(Table_PrescriptLights_Input[[#This Row],[Energy savings (kWh)]]*Input_AvgkWhRate, "")</f>
        <v/>
      </c>
      <c r="V22" s="227" t="str">
        <f>IF(Table_PrescriptLights_Input[[#This Row],[HVAC measure]]="", "",Table_PrescriptLights_Input[[#This Row],[Total equipment cost]]+Table_PrescriptLights_Input[[#This Row],[Total labor cost]])</f>
        <v/>
      </c>
      <c r="W22" s="227" t="str">
        <f>IFERROR(Table_PrescriptLights_Input[[#This Row],[Gross measure cost]]-Table_PrescriptLights_Input[[#This Row],[Estimated incentive]], "")</f>
        <v/>
      </c>
      <c r="X22" s="228" t="str">
        <f t="shared" si="0"/>
        <v/>
      </c>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row>
    <row r="23" spans="1:52">
      <c r="A23" s="222"/>
      <c r="B23" s="223">
        <v>18</v>
      </c>
      <c r="C23" s="192" t="str">
        <f>IFERROR(INDEX(Table_Prescript_Meas[Measure Number], MATCH(E23, Table_Prescript_Meas[Measure Description], 0)), "")</f>
        <v/>
      </c>
      <c r="D23" s="224"/>
      <c r="E23" s="215"/>
      <c r="F23" s="192" t="str">
        <f>IFERROR(INDEX(Table_Prescript_Meas[Units], MATCH(Table_PrescriptLights_Input[[#This Row],[Measure number]], Table_Prescript_Meas[Measure Number], 0)), "")</f>
        <v/>
      </c>
      <c r="G23" s="225"/>
      <c r="H23" s="257"/>
      <c r="I23" s="225"/>
      <c r="J23" s="282"/>
      <c r="K23" s="282"/>
      <c r="L23" s="282"/>
      <c r="M23" s="281"/>
      <c r="N23" s="281"/>
      <c r="O23" s="259"/>
      <c r="P23" s="259"/>
      <c r="Q23"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3" s="227" t="str">
        <f>IFERROR(Table_PrescriptLights_Input[[#This Row],[Per-unit incentive]]*Table_PrescriptLights_Input[[#This Row],[Number of Units]],"")</f>
        <v/>
      </c>
      <c r="S23" s="228" t="str">
        <f>IF(Table_PrescriptLights_Input[[#This Row],[Measure number]]="","",IF(OR(Table_PrescriptLights_Input[[#This Row],[Measure number]]=References!$F$4,Table_PrescriptLights_Input[[#This Row],[Measure number]]=References!$F$5),Table_PrescriptLights_Input[[#This Row],[Number of Units]]*'HVAC Calcs'!$H20,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3" s="229" t="str">
        <f>IF(Table_PrescriptLights_Input[[#This Row],[Measure number]]="","",IF(OR(Table_PrescriptLights_Input[[#This Row],[Measure number]]=References!$F$4,Table_PrescriptLights_Input[[#This Row],[Measure number]]=References!$F$5),Table_PrescriptLights_Input[[#This Row],[Number of Units]]*'HVAC Calcs'!$I20,IF(OR(Table_PrescriptLights_Input[[#This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3" s="227" t="str">
        <f>IFERROR(Table_PrescriptLights_Input[[#This Row],[Energy savings (kWh)]]*Input_AvgkWhRate, "")</f>
        <v/>
      </c>
      <c r="V23" s="227" t="str">
        <f>IF(Table_PrescriptLights_Input[[#This Row],[HVAC measure]]="", "",Table_PrescriptLights_Input[[#This Row],[Total equipment cost]]+Table_PrescriptLights_Input[[#This Row],[Total labor cost]])</f>
        <v/>
      </c>
      <c r="W23" s="227" t="str">
        <f>IFERROR(Table_PrescriptLights_Input[[#This Row],[Gross measure cost]]-Table_PrescriptLights_Input[[#This Row],[Estimated incentive]], "")</f>
        <v/>
      </c>
      <c r="X23" s="228" t="str">
        <f t="shared" si="0"/>
        <v/>
      </c>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row>
    <row r="24" spans="1:52">
      <c r="A24" s="222"/>
      <c r="B24" s="223">
        <v>19</v>
      </c>
      <c r="C24" s="192" t="str">
        <f>IFERROR(INDEX(Table_Prescript_Meas[Measure Number], MATCH(E24, Table_Prescript_Meas[Measure Description], 0)), "")</f>
        <v/>
      </c>
      <c r="D24" s="224"/>
      <c r="E24" s="215"/>
      <c r="F24" s="192" t="str">
        <f>IFERROR(INDEX(Table_Prescript_Meas[Units], MATCH(Table_PrescriptLights_Input[[#This Row],[Measure number]], Table_Prescript_Meas[Measure Number], 0)), "")</f>
        <v/>
      </c>
      <c r="G24" s="225"/>
      <c r="H24" s="257"/>
      <c r="I24" s="225"/>
      <c r="J24" s="282"/>
      <c r="K24" s="282"/>
      <c r="L24" s="282"/>
      <c r="M24" s="281"/>
      <c r="N24" s="281"/>
      <c r="O24" s="259"/>
      <c r="P24" s="259"/>
      <c r="Q24"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4" s="227" t="str">
        <f>IFERROR(Table_PrescriptLights_Input[[#This Row],[Per-unit incentive]]*Table_PrescriptLights_Input[[#This Row],[Number of Units]],"")</f>
        <v/>
      </c>
      <c r="S24" s="228" t="str">
        <f>IF(Table_PrescriptLights_Input[[#This Row],[Measure number]]="","",IF(OR(Table_PrescriptLights_Input[[#This Row],[Measure number]]=References!$F$4,Table_PrescriptLights_Input[[#This Row],[Measure number]]=References!$F$5),Table_PrescriptLights_Input[[#This Row],[Number of Units]]*'HVAC Calcs'!$H21,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4" s="229" t="str">
        <f>IF(Table_PrescriptLights_Input[[#This Row],[Measure number]]="","",IF(OR(Table_PrescriptLights_Input[[#This Row],[Measure number]]=References!$F$4,Table_PrescriptLights_Input[[#This Row],[Measure number]]=References!$F$5),Table_PrescriptLights_Input[[#This Row],[Number of Units]]*'HVAC Calcs'!$I21,IF(OR(Table_PrescriptLights_Input[[#This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4" s="227" t="str">
        <f>IFERROR(Table_PrescriptLights_Input[[#This Row],[Energy savings (kWh)]]*Input_AvgkWhRate, "")</f>
        <v/>
      </c>
      <c r="V24" s="227" t="str">
        <f>IF(Table_PrescriptLights_Input[[#This Row],[HVAC measure]]="", "",Table_PrescriptLights_Input[[#This Row],[Total equipment cost]]+Table_PrescriptLights_Input[[#This Row],[Total labor cost]])</f>
        <v/>
      </c>
      <c r="W24" s="227" t="str">
        <f>IFERROR(Table_PrescriptLights_Input[[#This Row],[Gross measure cost]]-Table_PrescriptLights_Input[[#This Row],[Estimated incentive]], "")</f>
        <v/>
      </c>
      <c r="X24" s="228" t="str">
        <f t="shared" si="0"/>
        <v/>
      </c>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row>
    <row r="25" spans="1:52">
      <c r="A25" s="222"/>
      <c r="B25" s="223">
        <v>20</v>
      </c>
      <c r="C25" s="192" t="str">
        <f>IFERROR(INDEX(Table_Prescript_Meas[Measure Number], MATCH(E25, Table_Prescript_Meas[Measure Description], 0)), "")</f>
        <v/>
      </c>
      <c r="D25" s="224"/>
      <c r="E25" s="215"/>
      <c r="F25" s="192" t="str">
        <f>IFERROR(INDEX(Table_Prescript_Meas[Units], MATCH(Table_PrescriptLights_Input[[#This Row],[Measure number]], Table_Prescript_Meas[Measure Number], 0)), "")</f>
        <v/>
      </c>
      <c r="G25" s="225"/>
      <c r="H25" s="257"/>
      <c r="I25" s="225"/>
      <c r="J25" s="282"/>
      <c r="K25" s="282"/>
      <c r="L25" s="282"/>
      <c r="M25" s="281"/>
      <c r="N25" s="281"/>
      <c r="O25" s="259"/>
      <c r="P25" s="259"/>
      <c r="Q25"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5" s="227" t="str">
        <f>IFERROR(Table_PrescriptLights_Input[[#This Row],[Per-unit incentive]]*Table_PrescriptLights_Input[[#This Row],[Number of Units]],"")</f>
        <v/>
      </c>
      <c r="S25" s="228" t="str">
        <f>IF(Table_PrescriptLights_Input[[#This Row],[Measure number]]="","",IF(OR(Table_PrescriptLights_Input[[#This Row],[Measure number]]=References!$F$4,Table_PrescriptLights_Input[[#This Row],[Measure number]]=References!$F$5),Table_PrescriptLights_Input[[#This Row],[Number of Units]]*'HVAC Calcs'!$H22,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5" s="229" t="str">
        <f>IF(Table_PrescriptLights_Input[[#This Row],[Measure number]]="","",IF(OR(Table_PrescriptLights_Input[[#This Row],[Measure number]]=References!$F$4,Table_PrescriptLights_Input[[#This Row],[Measure number]]=References!$F$5),Table_PrescriptLights_Input[[#This Row],[Number of Units]]*'HVAC Calcs'!$I22,IF(OR(Table_PrescriptLights_Input[[#This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5" s="227" t="str">
        <f>IFERROR(Table_PrescriptLights_Input[[#This Row],[Energy savings (kWh)]]*Input_AvgkWhRate, "")</f>
        <v/>
      </c>
      <c r="V25" s="227" t="str">
        <f>IF(Table_PrescriptLights_Input[[#This Row],[HVAC measure]]="", "",Table_PrescriptLights_Input[[#This Row],[Total equipment cost]]+Table_PrescriptLights_Input[[#This Row],[Total labor cost]])</f>
        <v/>
      </c>
      <c r="W25" s="227" t="str">
        <f>IFERROR(Table_PrescriptLights_Input[[#This Row],[Gross measure cost]]-Table_PrescriptLights_Input[[#This Row],[Estimated incentive]], "")</f>
        <v/>
      </c>
      <c r="X25" s="228" t="str">
        <f t="shared" si="0"/>
        <v/>
      </c>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row>
    <row r="26" spans="1:52">
      <c r="A26" s="222"/>
      <c r="B26" s="223">
        <v>21</v>
      </c>
      <c r="C26" s="192" t="str">
        <f>IFERROR(INDEX(Table_Prescript_Meas[Measure Number], MATCH(E26, Table_Prescript_Meas[Measure Description], 0)), "")</f>
        <v/>
      </c>
      <c r="D26" s="224"/>
      <c r="E26" s="215"/>
      <c r="F26" s="192" t="str">
        <f>IFERROR(INDEX(Table_Prescript_Meas[Units], MATCH(Table_PrescriptLights_Input[[#This Row],[Measure number]], Table_Prescript_Meas[Measure Number], 0)), "")</f>
        <v/>
      </c>
      <c r="G26" s="225"/>
      <c r="H26" s="257"/>
      <c r="I26" s="225"/>
      <c r="J26" s="282"/>
      <c r="K26" s="282"/>
      <c r="L26" s="282"/>
      <c r="M26" s="281"/>
      <c r="N26" s="281"/>
      <c r="O26" s="259"/>
      <c r="P26" s="259"/>
      <c r="Q26"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6" s="227" t="str">
        <f>IFERROR(Table_PrescriptLights_Input[[#This Row],[Per-unit incentive]]*Table_PrescriptLights_Input[[#This Row],[Number of Units]],"")</f>
        <v/>
      </c>
      <c r="S26" s="228" t="str">
        <f>IF(Table_PrescriptLights_Input[[#This Row],[Measure number]]="","",IF(OR(Table_PrescriptLights_Input[[#This Row],[Measure number]]=References!$F$4,Table_PrescriptLights_Input[[#This Row],[Measure number]]=References!$F$5),Table_PrescriptLights_Input[[#This Row],[Number of Units]]*'HVAC Calcs'!$H23,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6" s="229" t="str">
        <f>IF(Table_PrescriptLights_Input[[#This Row],[Measure number]]="","",IF(OR(Table_PrescriptLights_Input[[#This Row],[Measure number]]=References!$F$4,Table_PrescriptLights_Input[[#This Row],[Measure number]]=References!$F$5),Table_PrescriptLights_Input[[#This Row],[Number of Units]]*'HVAC Calcs'!$I23,IF(OR(Table_PrescriptLights_Input[[#This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6" s="227" t="str">
        <f>IFERROR(Table_PrescriptLights_Input[[#This Row],[Energy savings (kWh)]]*Input_AvgkWhRate, "")</f>
        <v/>
      </c>
      <c r="V26" s="227" t="str">
        <f>IF(Table_PrescriptLights_Input[[#This Row],[HVAC measure]]="", "",Table_PrescriptLights_Input[[#This Row],[Total equipment cost]]+Table_PrescriptLights_Input[[#This Row],[Total labor cost]])</f>
        <v/>
      </c>
      <c r="W26" s="227" t="str">
        <f>IFERROR(Table_PrescriptLights_Input[[#This Row],[Gross measure cost]]-Table_PrescriptLights_Input[[#This Row],[Estimated incentive]], "")</f>
        <v/>
      </c>
      <c r="X26" s="228" t="str">
        <f t="shared" si="0"/>
        <v/>
      </c>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row>
    <row r="27" spans="1:52">
      <c r="A27" s="222"/>
      <c r="B27" s="223">
        <v>22</v>
      </c>
      <c r="C27" s="192" t="str">
        <f>IFERROR(INDEX(Table_Prescript_Meas[Measure Number], MATCH(E27, Table_Prescript_Meas[Measure Description], 0)), "")</f>
        <v/>
      </c>
      <c r="D27" s="224"/>
      <c r="E27" s="215"/>
      <c r="F27" s="192" t="str">
        <f>IFERROR(INDEX(Table_Prescript_Meas[Units], MATCH(Table_PrescriptLights_Input[[#This Row],[Measure number]], Table_Prescript_Meas[Measure Number], 0)), "")</f>
        <v/>
      </c>
      <c r="G27" s="225"/>
      <c r="H27" s="257"/>
      <c r="I27" s="225"/>
      <c r="J27" s="282"/>
      <c r="K27" s="282"/>
      <c r="L27" s="282"/>
      <c r="M27" s="281"/>
      <c r="N27" s="281"/>
      <c r="O27" s="259"/>
      <c r="P27" s="259"/>
      <c r="Q27"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7" s="227" t="str">
        <f>IFERROR(Table_PrescriptLights_Input[[#This Row],[Per-unit incentive]]*Table_PrescriptLights_Input[[#This Row],[Number of Units]],"")</f>
        <v/>
      </c>
      <c r="S27" s="228" t="str">
        <f>IF(Table_PrescriptLights_Input[[#This Row],[Measure number]]="","",IF(OR(Table_PrescriptLights_Input[[#This Row],[Measure number]]=References!$F$4,Table_PrescriptLights_Input[[#This Row],[Measure number]]=References!$F$5),Table_PrescriptLights_Input[[#This Row],[Number of Units]]*'HVAC Calcs'!$H24,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7" s="229" t="str">
        <f>IF(Table_PrescriptLights_Input[[#This Row],[Measure number]]="","",IF(OR(Table_PrescriptLights_Input[[#This Row],[Measure number]]=References!$F$4,Table_PrescriptLights_Input[[#This Row],[Measure number]]=References!$F$5),Table_PrescriptLights_Input[[#This Row],[Number of Units]]*'HVAC Calcs'!$I24,IF(OR(Table_PrescriptLights_Input[[#This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7" s="227" t="str">
        <f>IFERROR(Table_PrescriptLights_Input[[#This Row],[Energy savings (kWh)]]*Input_AvgkWhRate, "")</f>
        <v/>
      </c>
      <c r="V27" s="227" t="str">
        <f>IF(Table_PrescriptLights_Input[[#This Row],[HVAC measure]]="", "",Table_PrescriptLights_Input[[#This Row],[Total equipment cost]]+Table_PrescriptLights_Input[[#This Row],[Total labor cost]])</f>
        <v/>
      </c>
      <c r="W27" s="227" t="str">
        <f>IFERROR(Table_PrescriptLights_Input[[#This Row],[Gross measure cost]]-Table_PrescriptLights_Input[[#This Row],[Estimated incentive]], "")</f>
        <v/>
      </c>
      <c r="X27" s="228" t="str">
        <f t="shared" si="0"/>
        <v/>
      </c>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row>
    <row r="28" spans="1:52">
      <c r="A28" s="222"/>
      <c r="B28" s="223">
        <v>23</v>
      </c>
      <c r="C28" s="192" t="str">
        <f>IFERROR(INDEX(Table_Prescript_Meas[Measure Number], MATCH(E28, Table_Prescript_Meas[Measure Description], 0)), "")</f>
        <v/>
      </c>
      <c r="D28" s="224"/>
      <c r="E28" s="215"/>
      <c r="F28" s="192" t="str">
        <f>IFERROR(INDEX(Table_Prescript_Meas[Units], MATCH(Table_PrescriptLights_Input[[#This Row],[Measure number]], Table_Prescript_Meas[Measure Number], 0)), "")</f>
        <v/>
      </c>
      <c r="G28" s="225"/>
      <c r="H28" s="257"/>
      <c r="I28" s="225"/>
      <c r="J28" s="282"/>
      <c r="K28" s="282"/>
      <c r="L28" s="282"/>
      <c r="M28" s="281"/>
      <c r="N28" s="281"/>
      <c r="O28" s="259"/>
      <c r="P28" s="259"/>
      <c r="Q28"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8" s="227" t="str">
        <f>IFERROR(Table_PrescriptLights_Input[[#This Row],[Per-unit incentive]]*Table_PrescriptLights_Input[[#This Row],[Number of Units]],"")</f>
        <v/>
      </c>
      <c r="S28" s="228" t="str">
        <f>IF(Table_PrescriptLights_Input[[#This Row],[Measure number]]="","",IF(OR(Table_PrescriptLights_Input[[#This Row],[Measure number]]=References!$F$4,Table_PrescriptLights_Input[[#This Row],[Measure number]]=References!$F$5),Table_PrescriptLights_Input[[#This Row],[Number of Units]]*'HVAC Calcs'!$H25,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8" s="229" t="str">
        <f>IF(Table_PrescriptLights_Input[[#This Row],[Measure number]]="","",IF(OR(Table_PrescriptLights_Input[[#This Row],[Measure number]]=References!$F$4,Table_PrescriptLights_Input[[#This Row],[Measure number]]=References!$F$5),Table_PrescriptLights_Input[[#This Row],[Number of Units]]*'HVAC Calcs'!$I25,IF(OR(Table_PrescriptLights_Input[[#This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8" s="227" t="str">
        <f>IFERROR(Table_PrescriptLights_Input[[#This Row],[Energy savings (kWh)]]*Input_AvgkWhRate, "")</f>
        <v/>
      </c>
      <c r="V28" s="227" t="str">
        <f>IF(Table_PrescriptLights_Input[[#This Row],[HVAC measure]]="", "",Table_PrescriptLights_Input[[#This Row],[Total equipment cost]]+Table_PrescriptLights_Input[[#This Row],[Total labor cost]])</f>
        <v/>
      </c>
      <c r="W28" s="227" t="str">
        <f>IFERROR(Table_PrescriptLights_Input[[#This Row],[Gross measure cost]]-Table_PrescriptLights_Input[[#This Row],[Estimated incentive]], "")</f>
        <v/>
      </c>
      <c r="X28" s="228" t="str">
        <f t="shared" si="0"/>
        <v/>
      </c>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row>
    <row r="29" spans="1:52">
      <c r="A29" s="222"/>
      <c r="B29" s="223">
        <v>24</v>
      </c>
      <c r="C29" s="192" t="str">
        <f>IFERROR(INDEX(Table_Prescript_Meas[Measure Number], MATCH(E29, Table_Prescript_Meas[Measure Description], 0)), "")</f>
        <v/>
      </c>
      <c r="D29" s="224"/>
      <c r="E29" s="215"/>
      <c r="F29" s="192" t="str">
        <f>IFERROR(INDEX(Table_Prescript_Meas[Units], MATCH(Table_PrescriptLights_Input[[#This Row],[Measure number]], Table_Prescript_Meas[Measure Number], 0)), "")</f>
        <v/>
      </c>
      <c r="G29" s="225"/>
      <c r="H29" s="257"/>
      <c r="I29" s="225"/>
      <c r="J29" s="282"/>
      <c r="K29" s="282"/>
      <c r="L29" s="282"/>
      <c r="M29" s="281"/>
      <c r="N29" s="281"/>
      <c r="O29" s="259"/>
      <c r="P29" s="259"/>
      <c r="Q29"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9" s="227" t="str">
        <f>IFERROR(Table_PrescriptLights_Input[[#This Row],[Per-unit incentive]]*Table_PrescriptLights_Input[[#This Row],[Number of Units]],"")</f>
        <v/>
      </c>
      <c r="S29" s="228" t="str">
        <f>IF(Table_PrescriptLights_Input[[#This Row],[Measure number]]="","",IF(OR(Table_PrescriptLights_Input[[#This Row],[Measure number]]=References!$F$4,Table_PrescriptLights_Input[[#This Row],[Measure number]]=References!$F$5),Table_PrescriptLights_Input[[#This Row],[Number of Units]]*'HVAC Calcs'!$H26,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9" s="229" t="str">
        <f>IF(Table_PrescriptLights_Input[[#This Row],[Measure number]]="","",IF(OR(Table_PrescriptLights_Input[[#This Row],[Measure number]]=References!$F$4,Table_PrescriptLights_Input[[#This Row],[Measure number]]=References!$F$5),Table_PrescriptLights_Input[[#This Row],[Number of Units]]*'HVAC Calcs'!$I26,IF(OR(Table_PrescriptLights_Input[[#This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9" s="227" t="str">
        <f>IFERROR(Table_PrescriptLights_Input[[#This Row],[Energy savings (kWh)]]*Input_AvgkWhRate, "")</f>
        <v/>
      </c>
      <c r="V29" s="227" t="str">
        <f>IF(Table_PrescriptLights_Input[[#This Row],[HVAC measure]]="", "",Table_PrescriptLights_Input[[#This Row],[Total equipment cost]]+Table_PrescriptLights_Input[[#This Row],[Total labor cost]])</f>
        <v/>
      </c>
      <c r="W29" s="227" t="str">
        <f>IFERROR(Table_PrescriptLights_Input[[#This Row],[Gross measure cost]]-Table_PrescriptLights_Input[[#This Row],[Estimated incentive]], "")</f>
        <v/>
      </c>
      <c r="X29" s="228" t="str">
        <f t="shared" si="0"/>
        <v/>
      </c>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row>
    <row r="30" spans="1:52">
      <c r="A30" s="222"/>
      <c r="B30" s="223">
        <v>25</v>
      </c>
      <c r="C30" s="192" t="str">
        <f>IFERROR(INDEX(Table_Prescript_Meas[Measure Number], MATCH(E30, Table_Prescript_Meas[Measure Description], 0)), "")</f>
        <v/>
      </c>
      <c r="D30" s="224"/>
      <c r="E30" s="215"/>
      <c r="F30" s="192" t="str">
        <f>IFERROR(INDEX(Table_Prescript_Meas[Units], MATCH(Table_PrescriptLights_Input[[#This Row],[Measure number]], Table_Prescript_Meas[Measure Number], 0)), "")</f>
        <v/>
      </c>
      <c r="G30" s="225"/>
      <c r="H30" s="257"/>
      <c r="I30" s="225"/>
      <c r="J30" s="282"/>
      <c r="K30" s="282"/>
      <c r="L30" s="282"/>
      <c r="M30" s="281"/>
      <c r="N30" s="281"/>
      <c r="O30" s="259"/>
      <c r="P30" s="259"/>
      <c r="Q30"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0" s="227" t="str">
        <f>IFERROR(Table_PrescriptLights_Input[[#This Row],[Per-unit incentive]]*Table_PrescriptLights_Input[[#This Row],[Number of Units]],"")</f>
        <v/>
      </c>
      <c r="S30" s="228" t="str">
        <f>IF(Table_PrescriptLights_Input[[#This Row],[Measure number]]="","",IF(OR(Table_PrescriptLights_Input[[#This Row],[Measure number]]=References!$F$4,Table_PrescriptLights_Input[[#This Row],[Measure number]]=References!$F$5),Table_PrescriptLights_Input[[#This Row],[Number of Units]]*'HVAC Calcs'!$H27,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0" s="229" t="str">
        <f>IF(Table_PrescriptLights_Input[[#This Row],[Measure number]]="","",IF(OR(Table_PrescriptLights_Input[[#This Row],[Measure number]]=References!$F$4,Table_PrescriptLights_Input[[#This Row],[Measure number]]=References!$F$5),Table_PrescriptLights_Input[[#This Row],[Number of Units]]*'HVAC Calcs'!$I27,IF(OR(Table_PrescriptLights_Input[[#This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0" s="227" t="str">
        <f>IFERROR(Table_PrescriptLights_Input[[#This Row],[Energy savings (kWh)]]*Input_AvgkWhRate, "")</f>
        <v/>
      </c>
      <c r="V30" s="227" t="str">
        <f>IF(Table_PrescriptLights_Input[[#This Row],[HVAC measure]]="", "",Table_PrescriptLights_Input[[#This Row],[Total equipment cost]]+Table_PrescriptLights_Input[[#This Row],[Total labor cost]])</f>
        <v/>
      </c>
      <c r="W30" s="227" t="str">
        <f>IFERROR(Table_PrescriptLights_Input[[#This Row],[Gross measure cost]]-Table_PrescriptLights_Input[[#This Row],[Estimated incentive]], "")</f>
        <v/>
      </c>
      <c r="X30" s="228" t="str">
        <f t="shared" si="0"/>
        <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row>
    <row r="31" spans="1:52">
      <c r="A31" s="222"/>
      <c r="B31" s="223">
        <v>26</v>
      </c>
      <c r="C31" s="192" t="str">
        <f>IFERROR(INDEX(Table_Prescript_Meas[Measure Number], MATCH(E31, Table_Prescript_Meas[Measure Description], 0)), "")</f>
        <v/>
      </c>
      <c r="D31" s="224"/>
      <c r="E31" s="215"/>
      <c r="F31" s="192" t="str">
        <f>IFERROR(INDEX(Table_Prescript_Meas[Units], MATCH(Table_PrescriptLights_Input[[#This Row],[Measure number]], Table_Prescript_Meas[Measure Number], 0)), "")</f>
        <v/>
      </c>
      <c r="G31" s="225"/>
      <c r="H31" s="257"/>
      <c r="I31" s="225"/>
      <c r="J31" s="282"/>
      <c r="K31" s="282"/>
      <c r="L31" s="282"/>
      <c r="M31" s="281"/>
      <c r="N31" s="281"/>
      <c r="O31" s="259"/>
      <c r="P31" s="259"/>
      <c r="Q31"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1" s="227" t="str">
        <f>IFERROR(Table_PrescriptLights_Input[[#This Row],[Per-unit incentive]]*Table_PrescriptLights_Input[[#This Row],[Number of Units]],"")</f>
        <v/>
      </c>
      <c r="S31" s="228" t="str">
        <f>IF(Table_PrescriptLights_Input[[#This Row],[Measure number]]="","",IF(OR(Table_PrescriptLights_Input[[#This Row],[Measure number]]=References!$F$4,Table_PrescriptLights_Input[[#This Row],[Measure number]]=References!$F$5),Table_PrescriptLights_Input[[#This Row],[Number of Units]]*'HVAC Calcs'!$H28,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1" s="229" t="str">
        <f>IF(Table_PrescriptLights_Input[[#This Row],[Measure number]]="","",IF(OR(Table_PrescriptLights_Input[[#This Row],[Measure number]]=References!$F$4,Table_PrescriptLights_Input[[#This Row],[Measure number]]=References!$F$5),Table_PrescriptLights_Input[[#This Row],[Number of Units]]*'HVAC Calcs'!$I28,IF(OR(Table_PrescriptLights_Input[[#This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1" s="227" t="str">
        <f>IFERROR(Table_PrescriptLights_Input[[#This Row],[Energy savings (kWh)]]*Input_AvgkWhRate, "")</f>
        <v/>
      </c>
      <c r="V31" s="227" t="str">
        <f>IF(Table_PrescriptLights_Input[[#This Row],[HVAC measure]]="", "",Table_PrescriptLights_Input[[#This Row],[Total equipment cost]]+Table_PrescriptLights_Input[[#This Row],[Total labor cost]])</f>
        <v/>
      </c>
      <c r="W31" s="227" t="str">
        <f>IFERROR(Table_PrescriptLights_Input[[#This Row],[Gross measure cost]]-Table_PrescriptLights_Input[[#This Row],[Estimated incentive]], "")</f>
        <v/>
      </c>
      <c r="X31" s="228" t="str">
        <f t="shared" si="0"/>
        <v/>
      </c>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row>
    <row r="32" spans="1:52">
      <c r="A32" s="193"/>
      <c r="B32" s="223">
        <v>27</v>
      </c>
      <c r="C32" s="192" t="str">
        <f>IFERROR(INDEX(Table_Prescript_Meas[Measure Number], MATCH(E32, Table_Prescript_Meas[Measure Description], 0)), "")</f>
        <v/>
      </c>
      <c r="D32" s="224"/>
      <c r="E32" s="215"/>
      <c r="F32" s="192" t="str">
        <f>IFERROR(INDEX(Table_Prescript_Meas[Units], MATCH(Table_PrescriptLights_Input[[#This Row],[Measure number]], Table_Prescript_Meas[Measure Number], 0)), "")</f>
        <v/>
      </c>
      <c r="G32" s="225"/>
      <c r="H32" s="257"/>
      <c r="I32" s="225"/>
      <c r="J32" s="282"/>
      <c r="K32" s="282"/>
      <c r="L32" s="282"/>
      <c r="M32" s="281"/>
      <c r="N32" s="281"/>
      <c r="O32" s="259"/>
      <c r="P32" s="259"/>
      <c r="Q32"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2" s="227" t="str">
        <f>IFERROR(Table_PrescriptLights_Input[[#This Row],[Per-unit incentive]]*Table_PrescriptLights_Input[[#This Row],[Number of Units]],"")</f>
        <v/>
      </c>
      <c r="S32" s="228" t="str">
        <f>IF(Table_PrescriptLights_Input[[#This Row],[Measure number]]="","",IF(OR(Table_PrescriptLights_Input[[#This Row],[Measure number]]=References!$F$4,Table_PrescriptLights_Input[[#This Row],[Measure number]]=References!$F$5),Table_PrescriptLights_Input[[#This Row],[Number of Units]]*'HVAC Calcs'!$H29,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2" s="229" t="str">
        <f>IF(Table_PrescriptLights_Input[[#This Row],[Measure number]]="","",IF(OR(Table_PrescriptLights_Input[[#This Row],[Measure number]]=References!$F$4,Table_PrescriptLights_Input[[#This Row],[Measure number]]=References!$F$5),Table_PrescriptLights_Input[[#This Row],[Number of Units]]*'HVAC Calcs'!$I29,IF(OR(Table_PrescriptLights_Input[[#This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2" s="227" t="str">
        <f>IFERROR(Table_PrescriptLights_Input[[#This Row],[Energy savings (kWh)]]*Input_AvgkWhRate, "")</f>
        <v/>
      </c>
      <c r="V32" s="227" t="str">
        <f>IF(Table_PrescriptLights_Input[[#This Row],[HVAC measure]]="", "",Table_PrescriptLights_Input[[#This Row],[Total equipment cost]]+Table_PrescriptLights_Input[[#This Row],[Total labor cost]])</f>
        <v/>
      </c>
      <c r="W32" s="227" t="str">
        <f>IFERROR(Table_PrescriptLights_Input[[#This Row],[Gross measure cost]]-Table_PrescriptLights_Input[[#This Row],[Estimated incentive]], "")</f>
        <v/>
      </c>
      <c r="X32" s="228" t="str">
        <f t="shared" si="0"/>
        <v/>
      </c>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row>
    <row r="33" spans="1:52">
      <c r="A33" s="193"/>
      <c r="B33" s="223">
        <v>28</v>
      </c>
      <c r="C33" s="192" t="str">
        <f>IFERROR(INDEX(Table_Prescript_Meas[Measure Number], MATCH(E33, Table_Prescript_Meas[Measure Description], 0)), "")</f>
        <v/>
      </c>
      <c r="D33" s="224"/>
      <c r="E33" s="215"/>
      <c r="F33" s="192" t="str">
        <f>IFERROR(INDEX(Table_Prescript_Meas[Units], MATCH(Table_PrescriptLights_Input[[#This Row],[Measure number]], Table_Prescript_Meas[Measure Number], 0)), "")</f>
        <v/>
      </c>
      <c r="G33" s="225"/>
      <c r="H33" s="257"/>
      <c r="I33" s="225"/>
      <c r="J33" s="282"/>
      <c r="K33" s="282"/>
      <c r="L33" s="282"/>
      <c r="M33" s="281"/>
      <c r="N33" s="281"/>
      <c r="O33" s="259"/>
      <c r="P33" s="259"/>
      <c r="Q33"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3" s="227" t="str">
        <f>IFERROR(Table_PrescriptLights_Input[[#This Row],[Per-unit incentive]]*Table_PrescriptLights_Input[[#This Row],[Number of Units]],"")</f>
        <v/>
      </c>
      <c r="S33" s="228" t="str">
        <f>IF(Table_PrescriptLights_Input[[#This Row],[Measure number]]="","",IF(OR(Table_PrescriptLights_Input[[#This Row],[Measure number]]=References!$F$4,Table_PrescriptLights_Input[[#This Row],[Measure number]]=References!$F$5),Table_PrescriptLights_Input[[#This Row],[Number of Units]]*'HVAC Calcs'!$H30,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3" s="229" t="str">
        <f>IF(Table_PrescriptLights_Input[[#This Row],[Measure number]]="","",IF(OR(Table_PrescriptLights_Input[[#This Row],[Measure number]]=References!$F$4,Table_PrescriptLights_Input[[#This Row],[Measure number]]=References!$F$5),Table_PrescriptLights_Input[[#This Row],[Number of Units]]*'HVAC Calcs'!$I30,IF(OR(Table_PrescriptLights_Input[[#This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3" s="227" t="str">
        <f>IFERROR(Table_PrescriptLights_Input[[#This Row],[Energy savings (kWh)]]*Input_AvgkWhRate, "")</f>
        <v/>
      </c>
      <c r="V33" s="227" t="str">
        <f>IF(Table_PrescriptLights_Input[[#This Row],[HVAC measure]]="", "",Table_PrescriptLights_Input[[#This Row],[Total equipment cost]]+Table_PrescriptLights_Input[[#This Row],[Total labor cost]])</f>
        <v/>
      </c>
      <c r="W33" s="227" t="str">
        <f>IFERROR(Table_PrescriptLights_Input[[#This Row],[Gross measure cost]]-Table_PrescriptLights_Input[[#This Row],[Estimated incentive]], "")</f>
        <v/>
      </c>
      <c r="X33" s="228" t="str">
        <f t="shared" si="0"/>
        <v/>
      </c>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row>
    <row r="34" spans="1:52">
      <c r="A34" s="193"/>
      <c r="B34" s="223">
        <v>29</v>
      </c>
      <c r="C34" s="192" t="str">
        <f>IFERROR(INDEX(Table_Prescript_Meas[Measure Number], MATCH(E34, Table_Prescript_Meas[Measure Description], 0)), "")</f>
        <v/>
      </c>
      <c r="D34" s="224"/>
      <c r="E34" s="215"/>
      <c r="F34" s="192" t="str">
        <f>IFERROR(INDEX(Table_Prescript_Meas[Units], MATCH(Table_PrescriptLights_Input[[#This Row],[Measure number]], Table_Prescript_Meas[Measure Number], 0)), "")</f>
        <v/>
      </c>
      <c r="G34" s="225"/>
      <c r="H34" s="257"/>
      <c r="I34" s="225"/>
      <c r="J34" s="282"/>
      <c r="K34" s="282"/>
      <c r="L34" s="282"/>
      <c r="M34" s="281"/>
      <c r="N34" s="281"/>
      <c r="O34" s="259"/>
      <c r="P34" s="259"/>
      <c r="Q34"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4" s="227" t="str">
        <f>IFERROR(Table_PrescriptLights_Input[[#This Row],[Per-unit incentive]]*Table_PrescriptLights_Input[[#This Row],[Number of Units]],"")</f>
        <v/>
      </c>
      <c r="S34" s="228" t="str">
        <f>IF(Table_PrescriptLights_Input[[#This Row],[Measure number]]="","",IF(OR(Table_PrescriptLights_Input[[#This Row],[Measure number]]=References!$F$4,Table_PrescriptLights_Input[[#This Row],[Measure number]]=References!$F$5),Table_PrescriptLights_Input[[#This Row],[Number of Units]]*'HVAC Calcs'!$H31,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4" s="229" t="str">
        <f>IF(Table_PrescriptLights_Input[[#This Row],[Measure number]]="","",IF(OR(Table_PrescriptLights_Input[[#This Row],[Measure number]]=References!$F$4,Table_PrescriptLights_Input[[#This Row],[Measure number]]=References!$F$5),Table_PrescriptLights_Input[[#This Row],[Number of Units]]*'HVAC Calcs'!$I31,IF(OR(Table_PrescriptLights_Input[[#This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4" s="227" t="str">
        <f>IFERROR(Table_PrescriptLights_Input[[#This Row],[Energy savings (kWh)]]*Input_AvgkWhRate, "")</f>
        <v/>
      </c>
      <c r="V34" s="227" t="str">
        <f>IF(Table_PrescriptLights_Input[[#This Row],[HVAC measure]]="", "",Table_PrescriptLights_Input[[#This Row],[Total equipment cost]]+Table_PrescriptLights_Input[[#This Row],[Total labor cost]])</f>
        <v/>
      </c>
      <c r="W34" s="227" t="str">
        <f>IFERROR(Table_PrescriptLights_Input[[#This Row],[Gross measure cost]]-Table_PrescriptLights_Input[[#This Row],[Estimated incentive]], "")</f>
        <v/>
      </c>
      <c r="X34" s="228" t="str">
        <f t="shared" si="0"/>
        <v/>
      </c>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row>
    <row r="35" spans="1:52">
      <c r="A35" s="193"/>
      <c r="B35" s="223">
        <v>30</v>
      </c>
      <c r="C35" s="192" t="str">
        <f>IFERROR(INDEX(Table_Prescript_Meas[Measure Number], MATCH(E35, Table_Prescript_Meas[Measure Description], 0)), "")</f>
        <v/>
      </c>
      <c r="D35" s="224"/>
      <c r="E35" s="215"/>
      <c r="F35" s="192" t="str">
        <f>IFERROR(INDEX(Table_Prescript_Meas[Units], MATCH(Table_PrescriptLights_Input[[#This Row],[Measure number]], Table_Prescript_Meas[Measure Number], 0)), "")</f>
        <v/>
      </c>
      <c r="G35" s="225"/>
      <c r="H35" s="257"/>
      <c r="I35" s="225"/>
      <c r="J35" s="282"/>
      <c r="K35" s="282"/>
      <c r="L35" s="282"/>
      <c r="M35" s="281"/>
      <c r="N35" s="281"/>
      <c r="O35" s="259"/>
      <c r="P35" s="259"/>
      <c r="Q35"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5" s="227" t="str">
        <f>IFERROR(Table_PrescriptLights_Input[[#This Row],[Per-unit incentive]]*Table_PrescriptLights_Input[[#This Row],[Number of Units]],"")</f>
        <v/>
      </c>
      <c r="S35" s="228" t="str">
        <f>IF(Table_PrescriptLights_Input[[#This Row],[Measure number]]="","",IF(OR(Table_PrescriptLights_Input[[#This Row],[Measure number]]=References!$F$4,Table_PrescriptLights_Input[[#This Row],[Measure number]]=References!$F$5),Table_PrescriptLights_Input[[#This Row],[Number of Units]]*'HVAC Calcs'!$H32,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5" s="229" t="str">
        <f>IF(Table_PrescriptLights_Input[[#This Row],[Measure number]]="","",IF(OR(Table_PrescriptLights_Input[[#This Row],[Measure number]]=References!$F$4,Table_PrescriptLights_Input[[#This Row],[Measure number]]=References!$F$5),Table_PrescriptLights_Input[[#This Row],[Number of Units]]*'HVAC Calcs'!$I32,IF(OR(Table_PrescriptLights_Input[[#This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5" s="227" t="str">
        <f>IFERROR(Table_PrescriptLights_Input[[#This Row],[Energy savings (kWh)]]*Input_AvgkWhRate, "")</f>
        <v/>
      </c>
      <c r="V35" s="227" t="str">
        <f>IF(Table_PrescriptLights_Input[[#This Row],[HVAC measure]]="", "",Table_PrescriptLights_Input[[#This Row],[Total equipment cost]]+Table_PrescriptLights_Input[[#This Row],[Total labor cost]])</f>
        <v/>
      </c>
      <c r="W35" s="227" t="str">
        <f>IFERROR(Table_PrescriptLights_Input[[#This Row],[Gross measure cost]]-Table_PrescriptLights_Input[[#This Row],[Estimated incentive]], "")</f>
        <v/>
      </c>
      <c r="X35" s="228" t="str">
        <f t="shared" si="0"/>
        <v/>
      </c>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row>
    <row r="36" spans="1:52">
      <c r="A36" s="193"/>
      <c r="B36" s="223">
        <v>31</v>
      </c>
      <c r="C36" s="192" t="str">
        <f>IFERROR(INDEX(Table_Prescript_Meas[Measure Number], MATCH(E36, Table_Prescript_Meas[Measure Description], 0)), "")</f>
        <v/>
      </c>
      <c r="D36" s="224"/>
      <c r="E36" s="215"/>
      <c r="F36" s="192" t="str">
        <f>IFERROR(INDEX(Table_Prescript_Meas[Units], MATCH(Table_PrescriptLights_Input[[#This Row],[Measure number]], Table_Prescript_Meas[Measure Number], 0)), "")</f>
        <v/>
      </c>
      <c r="G36" s="225"/>
      <c r="H36" s="257"/>
      <c r="I36" s="225"/>
      <c r="J36" s="282"/>
      <c r="K36" s="282"/>
      <c r="L36" s="282"/>
      <c r="M36" s="281"/>
      <c r="N36" s="281"/>
      <c r="O36" s="259"/>
      <c r="P36" s="259"/>
      <c r="Q36"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6" s="227" t="str">
        <f>IFERROR(Table_PrescriptLights_Input[[#This Row],[Per-unit incentive]]*Table_PrescriptLights_Input[[#This Row],[Number of Units]],"")</f>
        <v/>
      </c>
      <c r="S36" s="228" t="str">
        <f>IF(Table_PrescriptLights_Input[[#This Row],[Measure number]]="","",IF(OR(Table_PrescriptLights_Input[[#This Row],[Measure number]]=References!$F$4,Table_PrescriptLights_Input[[#This Row],[Measure number]]=References!$F$5),Table_PrescriptLights_Input[[#This Row],[Number of Units]]*'HVAC Calcs'!$H33,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6" s="229" t="str">
        <f>IF(Table_PrescriptLights_Input[[#This Row],[Measure number]]="","",IF(OR(Table_PrescriptLights_Input[[#This Row],[Measure number]]=References!$F$4,Table_PrescriptLights_Input[[#This Row],[Measure number]]=References!$F$5),Table_PrescriptLights_Input[[#This Row],[Number of Units]]*'HVAC Calcs'!$I33,IF(OR(Table_PrescriptLights_Input[[#This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6" s="227" t="str">
        <f>IFERROR(Table_PrescriptLights_Input[[#This Row],[Energy savings (kWh)]]*Input_AvgkWhRate, "")</f>
        <v/>
      </c>
      <c r="V36" s="227" t="str">
        <f>IF(Table_PrescriptLights_Input[[#This Row],[HVAC measure]]="", "",Table_PrescriptLights_Input[[#This Row],[Total equipment cost]]+Table_PrescriptLights_Input[[#This Row],[Total labor cost]])</f>
        <v/>
      </c>
      <c r="W36" s="227" t="str">
        <f>IFERROR(Table_PrescriptLights_Input[[#This Row],[Gross measure cost]]-Table_PrescriptLights_Input[[#This Row],[Estimated incentive]], "")</f>
        <v/>
      </c>
      <c r="X36" s="228" t="str">
        <f t="shared" si="0"/>
        <v/>
      </c>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row>
    <row r="37" spans="1:52">
      <c r="A37" s="193"/>
      <c r="B37" s="223">
        <v>32</v>
      </c>
      <c r="C37" s="192" t="str">
        <f>IFERROR(INDEX(Table_Prescript_Meas[Measure Number], MATCH(E37, Table_Prescript_Meas[Measure Description], 0)), "")</f>
        <v/>
      </c>
      <c r="D37" s="224"/>
      <c r="E37" s="215"/>
      <c r="F37" s="192" t="str">
        <f>IFERROR(INDEX(Table_Prescript_Meas[Units], MATCH(Table_PrescriptLights_Input[[#This Row],[Measure number]], Table_Prescript_Meas[Measure Number], 0)), "")</f>
        <v/>
      </c>
      <c r="G37" s="225"/>
      <c r="H37" s="257"/>
      <c r="I37" s="225"/>
      <c r="J37" s="282"/>
      <c r="K37" s="282"/>
      <c r="L37" s="282"/>
      <c r="M37" s="281"/>
      <c r="N37" s="281"/>
      <c r="O37" s="259"/>
      <c r="P37" s="259"/>
      <c r="Q37"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7" s="227" t="str">
        <f>IFERROR(Table_PrescriptLights_Input[[#This Row],[Per-unit incentive]]*Table_PrescriptLights_Input[[#This Row],[Number of Units]],"")</f>
        <v/>
      </c>
      <c r="S37" s="228" t="str">
        <f>IF(Table_PrescriptLights_Input[[#This Row],[Measure number]]="","",IF(OR(Table_PrescriptLights_Input[[#This Row],[Measure number]]=References!$F$4,Table_PrescriptLights_Input[[#This Row],[Measure number]]=References!$F$5),Table_PrescriptLights_Input[[#This Row],[Number of Units]]*'HVAC Calcs'!$H34,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7" s="229" t="str">
        <f>IF(Table_PrescriptLights_Input[[#This Row],[Measure number]]="","",IF(OR(Table_PrescriptLights_Input[[#This Row],[Measure number]]=References!$F$4,Table_PrescriptLights_Input[[#This Row],[Measure number]]=References!$F$5),Table_PrescriptLights_Input[[#This Row],[Number of Units]]*'HVAC Calcs'!$I34,IF(OR(Table_PrescriptLights_Input[[#This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7" s="227" t="str">
        <f>IFERROR(Table_PrescriptLights_Input[[#This Row],[Energy savings (kWh)]]*Input_AvgkWhRate, "")</f>
        <v/>
      </c>
      <c r="V37" s="227" t="str">
        <f>IF(Table_PrescriptLights_Input[[#This Row],[HVAC measure]]="", "",Table_PrescriptLights_Input[[#This Row],[Total equipment cost]]+Table_PrescriptLights_Input[[#This Row],[Total labor cost]])</f>
        <v/>
      </c>
      <c r="W37" s="227" t="str">
        <f>IFERROR(Table_PrescriptLights_Input[[#This Row],[Gross measure cost]]-Table_PrescriptLights_Input[[#This Row],[Estimated incentive]], "")</f>
        <v/>
      </c>
      <c r="X37" s="228" t="str">
        <f t="shared" si="0"/>
        <v/>
      </c>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row>
    <row r="38" spans="1:52">
      <c r="A38" s="193"/>
      <c r="B38" s="223">
        <v>33</v>
      </c>
      <c r="C38" s="192" t="str">
        <f>IFERROR(INDEX(Table_Prescript_Meas[Measure Number], MATCH(E38, Table_Prescript_Meas[Measure Description], 0)), "")</f>
        <v/>
      </c>
      <c r="D38" s="224"/>
      <c r="E38" s="215"/>
      <c r="F38" s="192" t="str">
        <f>IFERROR(INDEX(Table_Prescript_Meas[Units], MATCH(Table_PrescriptLights_Input[[#This Row],[Measure number]], Table_Prescript_Meas[Measure Number], 0)), "")</f>
        <v/>
      </c>
      <c r="G38" s="225"/>
      <c r="H38" s="257"/>
      <c r="I38" s="225"/>
      <c r="J38" s="282"/>
      <c r="K38" s="282"/>
      <c r="L38" s="282"/>
      <c r="M38" s="281"/>
      <c r="N38" s="281"/>
      <c r="O38" s="259"/>
      <c r="P38" s="259"/>
      <c r="Q38"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8" s="227" t="str">
        <f>IFERROR(Table_PrescriptLights_Input[[#This Row],[Per-unit incentive]]*Table_PrescriptLights_Input[[#This Row],[Number of Units]],"")</f>
        <v/>
      </c>
      <c r="S38" s="228" t="str">
        <f>IF(Table_PrescriptLights_Input[[#This Row],[Measure number]]="","",IF(OR(Table_PrescriptLights_Input[[#This Row],[Measure number]]=References!$F$4,Table_PrescriptLights_Input[[#This Row],[Measure number]]=References!$F$5),Table_PrescriptLights_Input[[#This Row],[Number of Units]]*'HVAC Calcs'!$H35,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8" s="229" t="str">
        <f>IF(Table_PrescriptLights_Input[[#This Row],[Measure number]]="","",IF(OR(Table_PrescriptLights_Input[[#This Row],[Measure number]]=References!$F$4,Table_PrescriptLights_Input[[#This Row],[Measure number]]=References!$F$5),Table_PrescriptLights_Input[[#This Row],[Number of Units]]*'HVAC Calcs'!$I35,IF(OR(Table_PrescriptLights_Input[[#This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8" s="227" t="str">
        <f>IFERROR(Table_PrescriptLights_Input[[#This Row],[Energy savings (kWh)]]*Input_AvgkWhRate, "")</f>
        <v/>
      </c>
      <c r="V38" s="227" t="str">
        <f>IF(Table_PrescriptLights_Input[[#This Row],[HVAC measure]]="", "",Table_PrescriptLights_Input[[#This Row],[Total equipment cost]]+Table_PrescriptLights_Input[[#This Row],[Total labor cost]])</f>
        <v/>
      </c>
      <c r="W38" s="227" t="str">
        <f>IFERROR(Table_PrescriptLights_Input[[#This Row],[Gross measure cost]]-Table_PrescriptLights_Input[[#This Row],[Estimated incentive]], "")</f>
        <v/>
      </c>
      <c r="X38" s="228" t="str">
        <f t="shared" si="0"/>
        <v/>
      </c>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row>
    <row r="39" spans="1:52">
      <c r="A39" s="193"/>
      <c r="B39" s="223">
        <v>34</v>
      </c>
      <c r="C39" s="192" t="str">
        <f>IFERROR(INDEX(Table_Prescript_Meas[Measure Number], MATCH(E39, Table_Prescript_Meas[Measure Description], 0)), "")</f>
        <v/>
      </c>
      <c r="D39" s="224"/>
      <c r="E39" s="215"/>
      <c r="F39" s="192" t="str">
        <f>IFERROR(INDEX(Table_Prescript_Meas[Units], MATCH(Table_PrescriptLights_Input[[#This Row],[Measure number]], Table_Prescript_Meas[Measure Number], 0)), "")</f>
        <v/>
      </c>
      <c r="G39" s="225"/>
      <c r="H39" s="257"/>
      <c r="I39" s="225"/>
      <c r="J39" s="282"/>
      <c r="K39" s="282"/>
      <c r="L39" s="282"/>
      <c r="M39" s="281"/>
      <c r="N39" s="281"/>
      <c r="O39" s="259"/>
      <c r="P39" s="259"/>
      <c r="Q39"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9" s="227" t="str">
        <f>IFERROR(Table_PrescriptLights_Input[[#This Row],[Per-unit incentive]]*Table_PrescriptLights_Input[[#This Row],[Number of Units]],"")</f>
        <v/>
      </c>
      <c r="S39" s="228" t="str">
        <f>IF(Table_PrescriptLights_Input[[#This Row],[Measure number]]="","",IF(OR(Table_PrescriptLights_Input[[#This Row],[Measure number]]=References!$F$4,Table_PrescriptLights_Input[[#This Row],[Measure number]]=References!$F$5),Table_PrescriptLights_Input[[#This Row],[Number of Units]]*'HVAC Calcs'!$H36,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9" s="229" t="str">
        <f>IF(Table_PrescriptLights_Input[[#This Row],[Measure number]]="","",IF(OR(Table_PrescriptLights_Input[[#This Row],[Measure number]]=References!$F$4,Table_PrescriptLights_Input[[#This Row],[Measure number]]=References!$F$5),Table_PrescriptLights_Input[[#This Row],[Number of Units]]*'HVAC Calcs'!$I36,IF(OR(Table_PrescriptLights_Input[[#This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9" s="227" t="str">
        <f>IFERROR(Table_PrescriptLights_Input[[#This Row],[Energy savings (kWh)]]*Input_AvgkWhRate, "")</f>
        <v/>
      </c>
      <c r="V39" s="227" t="str">
        <f>IF(Table_PrescriptLights_Input[[#This Row],[HVAC measure]]="", "",Table_PrescriptLights_Input[[#This Row],[Total equipment cost]]+Table_PrescriptLights_Input[[#This Row],[Total labor cost]])</f>
        <v/>
      </c>
      <c r="W39" s="227" t="str">
        <f>IFERROR(Table_PrescriptLights_Input[[#This Row],[Gross measure cost]]-Table_PrescriptLights_Input[[#This Row],[Estimated incentive]], "")</f>
        <v/>
      </c>
      <c r="X39" s="228" t="str">
        <f t="shared" si="0"/>
        <v/>
      </c>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row>
    <row r="40" spans="1:52">
      <c r="A40" s="193"/>
      <c r="B40" s="223">
        <v>35</v>
      </c>
      <c r="C40" s="192" t="str">
        <f>IFERROR(INDEX(Table_Prescript_Meas[Measure Number], MATCH(E40, Table_Prescript_Meas[Measure Description], 0)), "")</f>
        <v/>
      </c>
      <c r="D40" s="224"/>
      <c r="E40" s="215"/>
      <c r="F40" s="192" t="str">
        <f>IFERROR(INDEX(Table_Prescript_Meas[Units], MATCH(Table_PrescriptLights_Input[[#This Row],[Measure number]], Table_Prescript_Meas[Measure Number], 0)), "")</f>
        <v/>
      </c>
      <c r="G40" s="225"/>
      <c r="H40" s="257"/>
      <c r="I40" s="225"/>
      <c r="J40" s="282"/>
      <c r="K40" s="282"/>
      <c r="L40" s="282"/>
      <c r="M40" s="281"/>
      <c r="N40" s="281"/>
      <c r="O40" s="259"/>
      <c r="P40" s="259"/>
      <c r="Q40"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0" s="227" t="str">
        <f>IFERROR(Table_PrescriptLights_Input[[#This Row],[Per-unit incentive]]*Table_PrescriptLights_Input[[#This Row],[Number of Units]],"")</f>
        <v/>
      </c>
      <c r="S40" s="228" t="str">
        <f>IF(Table_PrescriptLights_Input[[#This Row],[Measure number]]="","",IF(OR(Table_PrescriptLights_Input[[#This Row],[Measure number]]=References!$F$4,Table_PrescriptLights_Input[[#This Row],[Measure number]]=References!$F$5),Table_PrescriptLights_Input[[#This Row],[Number of Units]]*'HVAC Calcs'!$H37,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0" s="229" t="str">
        <f>IF(Table_PrescriptLights_Input[[#This Row],[Measure number]]="","",IF(OR(Table_PrescriptLights_Input[[#This Row],[Measure number]]=References!$F$4,Table_PrescriptLights_Input[[#This Row],[Measure number]]=References!$F$5),Table_PrescriptLights_Input[[#This Row],[Number of Units]]*'HVAC Calcs'!$I37,IF(OR(Table_PrescriptLights_Input[[#This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0" s="227" t="str">
        <f>IFERROR(Table_PrescriptLights_Input[[#This Row],[Energy savings (kWh)]]*Input_AvgkWhRate, "")</f>
        <v/>
      </c>
      <c r="V40" s="227" t="str">
        <f>IF(Table_PrescriptLights_Input[[#This Row],[HVAC measure]]="", "",Table_PrescriptLights_Input[[#This Row],[Total equipment cost]]+Table_PrescriptLights_Input[[#This Row],[Total labor cost]])</f>
        <v/>
      </c>
      <c r="W40" s="227" t="str">
        <f>IFERROR(Table_PrescriptLights_Input[[#This Row],[Gross measure cost]]-Table_PrescriptLights_Input[[#This Row],[Estimated incentive]], "")</f>
        <v/>
      </c>
      <c r="X40" s="228" t="str">
        <f t="shared" si="0"/>
        <v/>
      </c>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row>
    <row r="41" spans="1:52">
      <c r="A41" s="193"/>
      <c r="B41" s="223">
        <v>36</v>
      </c>
      <c r="C41" s="192" t="str">
        <f>IFERROR(INDEX(Table_Prescript_Meas[Measure Number], MATCH(E41, Table_Prescript_Meas[Measure Description], 0)), "")</f>
        <v/>
      </c>
      <c r="D41" s="224"/>
      <c r="E41" s="215"/>
      <c r="F41" s="192" t="str">
        <f>IFERROR(INDEX(Table_Prescript_Meas[Units], MATCH(Table_PrescriptLights_Input[[#This Row],[Measure number]], Table_Prescript_Meas[Measure Number], 0)), "")</f>
        <v/>
      </c>
      <c r="G41" s="225"/>
      <c r="H41" s="257"/>
      <c r="I41" s="225"/>
      <c r="J41" s="282"/>
      <c r="K41" s="282"/>
      <c r="L41" s="282"/>
      <c r="M41" s="281"/>
      <c r="N41" s="281"/>
      <c r="O41" s="259"/>
      <c r="P41" s="259"/>
      <c r="Q41"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1" s="227" t="str">
        <f>IFERROR(Table_PrescriptLights_Input[[#This Row],[Per-unit incentive]]*Table_PrescriptLights_Input[[#This Row],[Number of Units]],"")</f>
        <v/>
      </c>
      <c r="S41" s="228" t="str">
        <f>IF(Table_PrescriptLights_Input[[#This Row],[Measure number]]="","",IF(OR(Table_PrescriptLights_Input[[#This Row],[Measure number]]=References!$F$4,Table_PrescriptLights_Input[[#This Row],[Measure number]]=References!$F$5),Table_PrescriptLights_Input[[#This Row],[Number of Units]]*'HVAC Calcs'!$H38,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1" s="229" t="str">
        <f>IF(Table_PrescriptLights_Input[[#This Row],[Measure number]]="","",IF(OR(Table_PrescriptLights_Input[[#This Row],[Measure number]]=References!$F$4,Table_PrescriptLights_Input[[#This Row],[Measure number]]=References!$F$5),Table_PrescriptLights_Input[[#This Row],[Number of Units]]*'HVAC Calcs'!$I38,IF(OR(Table_PrescriptLights_Input[[#This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1" s="227" t="str">
        <f>IFERROR(Table_PrescriptLights_Input[[#This Row],[Energy savings (kWh)]]*Input_AvgkWhRate, "")</f>
        <v/>
      </c>
      <c r="V41" s="227" t="str">
        <f>IF(Table_PrescriptLights_Input[[#This Row],[HVAC measure]]="", "",Table_PrescriptLights_Input[[#This Row],[Total equipment cost]]+Table_PrescriptLights_Input[[#This Row],[Total labor cost]])</f>
        <v/>
      </c>
      <c r="W41" s="227" t="str">
        <f>IFERROR(Table_PrescriptLights_Input[[#This Row],[Gross measure cost]]-Table_PrescriptLights_Input[[#This Row],[Estimated incentive]], "")</f>
        <v/>
      </c>
      <c r="X41" s="228" t="str">
        <f t="shared" si="0"/>
        <v/>
      </c>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row>
    <row r="42" spans="1:52">
      <c r="A42" s="193"/>
      <c r="B42" s="223">
        <v>37</v>
      </c>
      <c r="C42" s="192" t="str">
        <f>IFERROR(INDEX(Table_Prescript_Meas[Measure Number], MATCH(E42, Table_Prescript_Meas[Measure Description], 0)), "")</f>
        <v/>
      </c>
      <c r="D42" s="224"/>
      <c r="E42" s="215"/>
      <c r="F42" s="192" t="str">
        <f>IFERROR(INDEX(Table_Prescript_Meas[Units], MATCH(Table_PrescriptLights_Input[[#This Row],[Measure number]], Table_Prescript_Meas[Measure Number], 0)), "")</f>
        <v/>
      </c>
      <c r="G42" s="225"/>
      <c r="H42" s="257"/>
      <c r="I42" s="225"/>
      <c r="J42" s="282"/>
      <c r="K42" s="282"/>
      <c r="L42" s="282"/>
      <c r="M42" s="281"/>
      <c r="N42" s="281"/>
      <c r="O42" s="259"/>
      <c r="P42" s="259"/>
      <c r="Q42"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2" s="227" t="str">
        <f>IFERROR(Table_PrescriptLights_Input[[#This Row],[Per-unit incentive]]*Table_PrescriptLights_Input[[#This Row],[Number of Units]],"")</f>
        <v/>
      </c>
      <c r="S42" s="228" t="str">
        <f>IF(Table_PrescriptLights_Input[[#This Row],[Measure number]]="","",IF(OR(Table_PrescriptLights_Input[[#This Row],[Measure number]]=References!$F$4,Table_PrescriptLights_Input[[#This Row],[Measure number]]=References!$F$5),Table_PrescriptLights_Input[[#This Row],[Number of Units]]*'HVAC Calcs'!$H39,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2" s="229" t="str">
        <f>IF(Table_PrescriptLights_Input[[#This Row],[Measure number]]="","",IF(OR(Table_PrescriptLights_Input[[#This Row],[Measure number]]=References!$F$4,Table_PrescriptLights_Input[[#This Row],[Measure number]]=References!$F$5),Table_PrescriptLights_Input[[#This Row],[Number of Units]]*'HVAC Calcs'!$I39,IF(OR(Table_PrescriptLights_Input[[#This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2" s="227" t="str">
        <f>IFERROR(Table_PrescriptLights_Input[[#This Row],[Energy savings (kWh)]]*Input_AvgkWhRate, "")</f>
        <v/>
      </c>
      <c r="V42" s="227" t="str">
        <f>IF(Table_PrescriptLights_Input[[#This Row],[HVAC measure]]="", "",Table_PrescriptLights_Input[[#This Row],[Total equipment cost]]+Table_PrescriptLights_Input[[#This Row],[Total labor cost]])</f>
        <v/>
      </c>
      <c r="W42" s="227" t="str">
        <f>IFERROR(Table_PrescriptLights_Input[[#This Row],[Gross measure cost]]-Table_PrescriptLights_Input[[#This Row],[Estimated incentive]], "")</f>
        <v/>
      </c>
      <c r="X42" s="228" t="str">
        <f t="shared" si="0"/>
        <v/>
      </c>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row>
    <row r="43" spans="1:52">
      <c r="A43" s="193"/>
      <c r="B43" s="223">
        <v>38</v>
      </c>
      <c r="C43" s="192" t="str">
        <f>IFERROR(INDEX(Table_Prescript_Meas[Measure Number], MATCH(E43, Table_Prescript_Meas[Measure Description], 0)), "")</f>
        <v/>
      </c>
      <c r="D43" s="224"/>
      <c r="E43" s="215"/>
      <c r="F43" s="192" t="str">
        <f>IFERROR(INDEX(Table_Prescript_Meas[Units], MATCH(Table_PrescriptLights_Input[[#This Row],[Measure number]], Table_Prescript_Meas[Measure Number], 0)), "")</f>
        <v/>
      </c>
      <c r="G43" s="225"/>
      <c r="H43" s="257"/>
      <c r="I43" s="225"/>
      <c r="J43" s="282"/>
      <c r="K43" s="282"/>
      <c r="L43" s="282"/>
      <c r="M43" s="281"/>
      <c r="N43" s="281"/>
      <c r="O43" s="259"/>
      <c r="P43" s="259"/>
      <c r="Q43"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3" s="227" t="str">
        <f>IFERROR(Table_PrescriptLights_Input[[#This Row],[Per-unit incentive]]*Table_PrescriptLights_Input[[#This Row],[Number of Units]],"")</f>
        <v/>
      </c>
      <c r="S43" s="228" t="str">
        <f>IF(Table_PrescriptLights_Input[[#This Row],[Measure number]]="","",IF(OR(Table_PrescriptLights_Input[[#This Row],[Measure number]]=References!$F$4,Table_PrescriptLights_Input[[#This Row],[Measure number]]=References!$F$5),Table_PrescriptLights_Input[[#This Row],[Number of Units]]*'HVAC Calcs'!$H40,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3" s="229" t="str">
        <f>IF(Table_PrescriptLights_Input[[#This Row],[Measure number]]="","",IF(OR(Table_PrescriptLights_Input[[#This Row],[Measure number]]=References!$F$4,Table_PrescriptLights_Input[[#This Row],[Measure number]]=References!$F$5),Table_PrescriptLights_Input[[#This Row],[Number of Units]]*'HVAC Calcs'!$I40,IF(OR(Table_PrescriptLights_Input[[#This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3" s="227" t="str">
        <f>IFERROR(Table_PrescriptLights_Input[[#This Row],[Energy savings (kWh)]]*Input_AvgkWhRate, "")</f>
        <v/>
      </c>
      <c r="V43" s="227" t="str">
        <f>IF(Table_PrescriptLights_Input[[#This Row],[HVAC measure]]="", "",Table_PrescriptLights_Input[[#This Row],[Total equipment cost]]+Table_PrescriptLights_Input[[#This Row],[Total labor cost]])</f>
        <v/>
      </c>
      <c r="W43" s="227" t="str">
        <f>IFERROR(Table_PrescriptLights_Input[[#This Row],[Gross measure cost]]-Table_PrescriptLights_Input[[#This Row],[Estimated incentive]], "")</f>
        <v/>
      </c>
      <c r="X43" s="228" t="str">
        <f t="shared" si="0"/>
        <v/>
      </c>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row>
    <row r="44" spans="1:52">
      <c r="A44" s="193"/>
      <c r="B44" s="223">
        <v>39</v>
      </c>
      <c r="C44" s="192" t="str">
        <f>IFERROR(INDEX(Table_Prescript_Meas[Measure Number], MATCH(E44, Table_Prescript_Meas[Measure Description], 0)), "")</f>
        <v/>
      </c>
      <c r="D44" s="224"/>
      <c r="E44" s="215"/>
      <c r="F44" s="192" t="str">
        <f>IFERROR(INDEX(Table_Prescript_Meas[Units], MATCH(Table_PrescriptLights_Input[[#This Row],[Measure number]], Table_Prescript_Meas[Measure Number], 0)), "")</f>
        <v/>
      </c>
      <c r="G44" s="225"/>
      <c r="H44" s="257"/>
      <c r="I44" s="225"/>
      <c r="J44" s="282"/>
      <c r="K44" s="282"/>
      <c r="L44" s="282"/>
      <c r="M44" s="281"/>
      <c r="N44" s="281"/>
      <c r="O44" s="259"/>
      <c r="P44" s="259"/>
      <c r="Q44"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4" s="227" t="str">
        <f>IFERROR(Table_PrescriptLights_Input[[#This Row],[Per-unit incentive]]*Table_PrescriptLights_Input[[#This Row],[Number of Units]],"")</f>
        <v/>
      </c>
      <c r="S44" s="228" t="str">
        <f>IF(Table_PrescriptLights_Input[[#This Row],[Measure number]]="","",IF(OR(Table_PrescriptLights_Input[[#This Row],[Measure number]]=References!$F$4,Table_PrescriptLights_Input[[#This Row],[Measure number]]=References!$F$5),Table_PrescriptLights_Input[[#This Row],[Number of Units]]*'HVAC Calcs'!$H41,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4" s="229" t="str">
        <f>IF(Table_PrescriptLights_Input[[#This Row],[Measure number]]="","",IF(OR(Table_PrescriptLights_Input[[#This Row],[Measure number]]=References!$F$4,Table_PrescriptLights_Input[[#This Row],[Measure number]]=References!$F$5),Table_PrescriptLights_Input[[#This Row],[Number of Units]]*'HVAC Calcs'!$I41,IF(OR(Table_PrescriptLights_Input[[#This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4" s="227" t="str">
        <f>IFERROR(Table_PrescriptLights_Input[[#This Row],[Energy savings (kWh)]]*Input_AvgkWhRate, "")</f>
        <v/>
      </c>
      <c r="V44" s="227" t="str">
        <f>IF(Table_PrescriptLights_Input[[#This Row],[HVAC measure]]="", "",Table_PrescriptLights_Input[[#This Row],[Total equipment cost]]+Table_PrescriptLights_Input[[#This Row],[Total labor cost]])</f>
        <v/>
      </c>
      <c r="W44" s="227" t="str">
        <f>IFERROR(Table_PrescriptLights_Input[[#This Row],[Gross measure cost]]-Table_PrescriptLights_Input[[#This Row],[Estimated incentive]], "")</f>
        <v/>
      </c>
      <c r="X44" s="228" t="str">
        <f t="shared" si="0"/>
        <v/>
      </c>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row>
    <row r="45" spans="1:52">
      <c r="A45" s="193"/>
      <c r="B45" s="223">
        <v>40</v>
      </c>
      <c r="C45" s="192" t="str">
        <f>IFERROR(INDEX(Table_Prescript_Meas[Measure Number], MATCH(E45, Table_Prescript_Meas[Measure Description], 0)), "")</f>
        <v/>
      </c>
      <c r="D45" s="224"/>
      <c r="E45" s="215"/>
      <c r="F45" s="192" t="str">
        <f>IFERROR(INDEX(Table_Prescript_Meas[Units], MATCH(Table_PrescriptLights_Input[[#This Row],[Measure number]], Table_Prescript_Meas[Measure Number], 0)), "")</f>
        <v/>
      </c>
      <c r="G45" s="225"/>
      <c r="H45" s="257"/>
      <c r="I45" s="225"/>
      <c r="J45" s="282"/>
      <c r="K45" s="282"/>
      <c r="L45" s="282"/>
      <c r="M45" s="281"/>
      <c r="N45" s="281"/>
      <c r="O45" s="259"/>
      <c r="P45" s="259"/>
      <c r="Q45"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5" s="227" t="str">
        <f>IFERROR(Table_PrescriptLights_Input[[#This Row],[Per-unit incentive]]*Table_PrescriptLights_Input[[#This Row],[Number of Units]],"")</f>
        <v/>
      </c>
      <c r="S45" s="228" t="str">
        <f>IF(Table_PrescriptLights_Input[[#This Row],[Measure number]]="","",IF(OR(Table_PrescriptLights_Input[[#This Row],[Measure number]]=References!$F$4,Table_PrescriptLights_Input[[#This Row],[Measure number]]=References!$F$5),Table_PrescriptLights_Input[[#This Row],[Number of Units]]*'HVAC Calcs'!$H42,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5" s="229" t="str">
        <f>IF(Table_PrescriptLights_Input[[#This Row],[Measure number]]="","",IF(OR(Table_PrescriptLights_Input[[#This Row],[Measure number]]=References!$F$4,Table_PrescriptLights_Input[[#This Row],[Measure number]]=References!$F$5),Table_PrescriptLights_Input[[#This Row],[Number of Units]]*'HVAC Calcs'!$I42,IF(OR(Table_PrescriptLights_Input[[#This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5" s="227" t="str">
        <f>IFERROR(Table_PrescriptLights_Input[[#This Row],[Energy savings (kWh)]]*Input_AvgkWhRate, "")</f>
        <v/>
      </c>
      <c r="V45" s="227" t="str">
        <f>IF(Table_PrescriptLights_Input[[#This Row],[HVAC measure]]="", "",Table_PrescriptLights_Input[[#This Row],[Total equipment cost]]+Table_PrescriptLights_Input[[#This Row],[Total labor cost]])</f>
        <v/>
      </c>
      <c r="W45" s="227" t="str">
        <f>IFERROR(Table_PrescriptLights_Input[[#This Row],[Gross measure cost]]-Table_PrescriptLights_Input[[#This Row],[Estimated incentive]], "")</f>
        <v/>
      </c>
      <c r="X45" s="228" t="str">
        <f t="shared" si="0"/>
        <v/>
      </c>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row>
    <row r="46" spans="1:52">
      <c r="A46" s="193"/>
      <c r="B46" s="223">
        <v>41</v>
      </c>
      <c r="C46" s="192" t="str">
        <f>IFERROR(INDEX(Table_Prescript_Meas[Measure Number], MATCH(E46, Table_Prescript_Meas[Measure Description], 0)), "")</f>
        <v/>
      </c>
      <c r="D46" s="224"/>
      <c r="E46" s="215"/>
      <c r="F46" s="192" t="str">
        <f>IFERROR(INDEX(Table_Prescript_Meas[Units], MATCH(Table_PrescriptLights_Input[[#This Row],[Measure number]], Table_Prescript_Meas[Measure Number], 0)), "")</f>
        <v/>
      </c>
      <c r="G46" s="225"/>
      <c r="H46" s="257"/>
      <c r="I46" s="225"/>
      <c r="J46" s="282"/>
      <c r="K46" s="282"/>
      <c r="L46" s="282"/>
      <c r="M46" s="281"/>
      <c r="N46" s="281"/>
      <c r="O46" s="259"/>
      <c r="P46" s="259"/>
      <c r="Q46"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6" s="227" t="str">
        <f>IFERROR(Table_PrescriptLights_Input[[#This Row],[Per-unit incentive]]*Table_PrescriptLights_Input[[#This Row],[Number of Units]],"")</f>
        <v/>
      </c>
      <c r="S46" s="228" t="str">
        <f>IF(Table_PrescriptLights_Input[[#This Row],[Measure number]]="","",IF(OR(Table_PrescriptLights_Input[[#This Row],[Measure number]]=References!$F$4,Table_PrescriptLights_Input[[#This Row],[Measure number]]=References!$F$5),Table_PrescriptLights_Input[[#This Row],[Number of Units]]*'HVAC Calcs'!$H43,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6" s="229" t="str">
        <f>IF(Table_PrescriptLights_Input[[#This Row],[Measure number]]="","",IF(OR(Table_PrescriptLights_Input[[#This Row],[Measure number]]=References!$F$4,Table_PrescriptLights_Input[[#This Row],[Measure number]]=References!$F$5),Table_PrescriptLights_Input[[#This Row],[Number of Units]]*'HVAC Calcs'!$I43,IF(OR(Table_PrescriptLights_Input[[#This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6" s="227" t="str">
        <f>IFERROR(Table_PrescriptLights_Input[[#This Row],[Energy savings (kWh)]]*Input_AvgkWhRate, "")</f>
        <v/>
      </c>
      <c r="V46" s="227" t="str">
        <f>IF(Table_PrescriptLights_Input[[#This Row],[HVAC measure]]="", "",Table_PrescriptLights_Input[[#This Row],[Total equipment cost]]+Table_PrescriptLights_Input[[#This Row],[Total labor cost]])</f>
        <v/>
      </c>
      <c r="W46" s="227" t="str">
        <f>IFERROR(Table_PrescriptLights_Input[[#This Row],[Gross measure cost]]-Table_PrescriptLights_Input[[#This Row],[Estimated incentive]], "")</f>
        <v/>
      </c>
      <c r="X46" s="228" t="str">
        <f t="shared" si="0"/>
        <v/>
      </c>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row>
    <row r="47" spans="1:52">
      <c r="A47" s="193"/>
      <c r="B47" s="223">
        <v>42</v>
      </c>
      <c r="C47" s="192" t="str">
        <f>IFERROR(INDEX(Table_Prescript_Meas[Measure Number], MATCH(E47, Table_Prescript_Meas[Measure Description], 0)), "")</f>
        <v/>
      </c>
      <c r="D47" s="224"/>
      <c r="E47" s="215"/>
      <c r="F47" s="192" t="str">
        <f>IFERROR(INDEX(Table_Prescript_Meas[Units], MATCH(Table_PrescriptLights_Input[[#This Row],[Measure number]], Table_Prescript_Meas[Measure Number], 0)), "")</f>
        <v/>
      </c>
      <c r="G47" s="225"/>
      <c r="H47" s="257"/>
      <c r="I47" s="225"/>
      <c r="J47" s="282"/>
      <c r="K47" s="282"/>
      <c r="L47" s="282"/>
      <c r="M47" s="281"/>
      <c r="N47" s="281"/>
      <c r="O47" s="259"/>
      <c r="P47" s="259"/>
      <c r="Q47"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7" s="227" t="str">
        <f>IFERROR(Table_PrescriptLights_Input[[#This Row],[Per-unit incentive]]*Table_PrescriptLights_Input[[#This Row],[Number of Units]],"")</f>
        <v/>
      </c>
      <c r="S47" s="228" t="str">
        <f>IF(Table_PrescriptLights_Input[[#This Row],[Measure number]]="","",IF(OR(Table_PrescriptLights_Input[[#This Row],[Measure number]]=References!$F$4,Table_PrescriptLights_Input[[#This Row],[Measure number]]=References!$F$5),Table_PrescriptLights_Input[[#This Row],[Number of Units]]*'HVAC Calcs'!$H44,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7" s="229" t="str">
        <f>IF(Table_PrescriptLights_Input[[#This Row],[Measure number]]="","",IF(OR(Table_PrescriptLights_Input[[#This Row],[Measure number]]=References!$F$4,Table_PrescriptLights_Input[[#This Row],[Measure number]]=References!$F$5),Table_PrescriptLights_Input[[#This Row],[Number of Units]]*'HVAC Calcs'!$I44,IF(OR(Table_PrescriptLights_Input[[#This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7" s="227" t="str">
        <f>IFERROR(Table_PrescriptLights_Input[[#This Row],[Energy savings (kWh)]]*Input_AvgkWhRate, "")</f>
        <v/>
      </c>
      <c r="V47" s="227" t="str">
        <f>IF(Table_PrescriptLights_Input[[#This Row],[HVAC measure]]="", "",Table_PrescriptLights_Input[[#This Row],[Total equipment cost]]+Table_PrescriptLights_Input[[#This Row],[Total labor cost]])</f>
        <v/>
      </c>
      <c r="W47" s="227" t="str">
        <f>IFERROR(Table_PrescriptLights_Input[[#This Row],[Gross measure cost]]-Table_PrescriptLights_Input[[#This Row],[Estimated incentive]], "")</f>
        <v/>
      </c>
      <c r="X47" s="228" t="str">
        <f t="shared" si="0"/>
        <v/>
      </c>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row>
    <row r="48" spans="1:52">
      <c r="A48" s="193"/>
      <c r="B48" s="223">
        <v>43</v>
      </c>
      <c r="C48" s="192" t="str">
        <f>IFERROR(INDEX(Table_Prescript_Meas[Measure Number], MATCH(E48, Table_Prescript_Meas[Measure Description], 0)), "")</f>
        <v/>
      </c>
      <c r="D48" s="224"/>
      <c r="E48" s="215"/>
      <c r="F48" s="192" t="str">
        <f>IFERROR(INDEX(Table_Prescript_Meas[Units], MATCH(Table_PrescriptLights_Input[[#This Row],[Measure number]], Table_Prescript_Meas[Measure Number], 0)), "")</f>
        <v/>
      </c>
      <c r="G48" s="225"/>
      <c r="H48" s="257"/>
      <c r="I48" s="225"/>
      <c r="J48" s="282"/>
      <c r="K48" s="282"/>
      <c r="L48" s="282"/>
      <c r="M48" s="281"/>
      <c r="N48" s="281"/>
      <c r="O48" s="259"/>
      <c r="P48" s="259"/>
      <c r="Q48"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8" s="227" t="str">
        <f>IFERROR(Table_PrescriptLights_Input[[#This Row],[Per-unit incentive]]*Table_PrescriptLights_Input[[#This Row],[Number of Units]],"")</f>
        <v/>
      </c>
      <c r="S48" s="228" t="str">
        <f>IF(Table_PrescriptLights_Input[[#This Row],[Measure number]]="","",IF(OR(Table_PrescriptLights_Input[[#This Row],[Measure number]]=References!$F$4,Table_PrescriptLights_Input[[#This Row],[Measure number]]=References!$F$5),Table_PrescriptLights_Input[[#This Row],[Number of Units]]*'HVAC Calcs'!$H45,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8" s="229" t="str">
        <f>IF(Table_PrescriptLights_Input[[#This Row],[Measure number]]="","",IF(OR(Table_PrescriptLights_Input[[#This Row],[Measure number]]=References!$F$4,Table_PrescriptLights_Input[[#This Row],[Measure number]]=References!$F$5),Table_PrescriptLights_Input[[#This Row],[Number of Units]]*'HVAC Calcs'!$I45,IF(OR(Table_PrescriptLights_Input[[#This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8" s="227" t="str">
        <f>IFERROR(Table_PrescriptLights_Input[[#This Row],[Energy savings (kWh)]]*Input_AvgkWhRate, "")</f>
        <v/>
      </c>
      <c r="V48" s="227" t="str">
        <f>IF(Table_PrescriptLights_Input[[#This Row],[HVAC measure]]="", "",Table_PrescriptLights_Input[[#This Row],[Total equipment cost]]+Table_PrescriptLights_Input[[#This Row],[Total labor cost]])</f>
        <v/>
      </c>
      <c r="W48" s="227" t="str">
        <f>IFERROR(Table_PrescriptLights_Input[[#This Row],[Gross measure cost]]-Table_PrescriptLights_Input[[#This Row],[Estimated incentive]], "")</f>
        <v/>
      </c>
      <c r="X48" s="228" t="str">
        <f t="shared" si="0"/>
        <v/>
      </c>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row>
    <row r="49" spans="1:52">
      <c r="A49" s="193"/>
      <c r="B49" s="223">
        <v>44</v>
      </c>
      <c r="C49" s="192" t="str">
        <f>IFERROR(INDEX(Table_Prescript_Meas[Measure Number], MATCH(E49, Table_Prescript_Meas[Measure Description], 0)), "")</f>
        <v/>
      </c>
      <c r="D49" s="224"/>
      <c r="E49" s="215"/>
      <c r="F49" s="192" t="str">
        <f>IFERROR(INDEX(Table_Prescript_Meas[Units], MATCH(Table_PrescriptLights_Input[[#This Row],[Measure number]], Table_Prescript_Meas[Measure Number], 0)), "")</f>
        <v/>
      </c>
      <c r="G49" s="225"/>
      <c r="H49" s="257"/>
      <c r="I49" s="225"/>
      <c r="J49" s="282"/>
      <c r="K49" s="282"/>
      <c r="L49" s="282"/>
      <c r="M49" s="281"/>
      <c r="N49" s="281"/>
      <c r="O49" s="259"/>
      <c r="P49" s="259"/>
      <c r="Q49"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9" s="227" t="str">
        <f>IFERROR(Table_PrescriptLights_Input[[#This Row],[Per-unit incentive]]*Table_PrescriptLights_Input[[#This Row],[Number of Units]],"")</f>
        <v/>
      </c>
      <c r="S49" s="228" t="str">
        <f>IF(Table_PrescriptLights_Input[[#This Row],[Measure number]]="","",IF(OR(Table_PrescriptLights_Input[[#This Row],[Measure number]]=References!$F$4,Table_PrescriptLights_Input[[#This Row],[Measure number]]=References!$F$5),Table_PrescriptLights_Input[[#This Row],[Number of Units]]*'HVAC Calcs'!$H46,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9" s="229" t="str">
        <f>IF(Table_PrescriptLights_Input[[#This Row],[Measure number]]="","",IF(OR(Table_PrescriptLights_Input[[#This Row],[Measure number]]=References!$F$4,Table_PrescriptLights_Input[[#This Row],[Measure number]]=References!$F$5),Table_PrescriptLights_Input[[#This Row],[Number of Units]]*'HVAC Calcs'!$I46,IF(OR(Table_PrescriptLights_Input[[#This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9" s="227" t="str">
        <f>IFERROR(Table_PrescriptLights_Input[[#This Row],[Energy savings (kWh)]]*Input_AvgkWhRate, "")</f>
        <v/>
      </c>
      <c r="V49" s="227" t="str">
        <f>IF(Table_PrescriptLights_Input[[#This Row],[HVAC measure]]="", "",Table_PrescriptLights_Input[[#This Row],[Total equipment cost]]+Table_PrescriptLights_Input[[#This Row],[Total labor cost]])</f>
        <v/>
      </c>
      <c r="W49" s="227" t="str">
        <f>IFERROR(Table_PrescriptLights_Input[[#This Row],[Gross measure cost]]-Table_PrescriptLights_Input[[#This Row],[Estimated incentive]], "")</f>
        <v/>
      </c>
      <c r="X49" s="228" t="str">
        <f t="shared" si="0"/>
        <v/>
      </c>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row>
    <row r="50" spans="1:52">
      <c r="A50" s="193"/>
      <c r="B50" s="223">
        <v>45</v>
      </c>
      <c r="C50" s="192" t="str">
        <f>IFERROR(INDEX(Table_Prescript_Meas[Measure Number], MATCH(E50, Table_Prescript_Meas[Measure Description], 0)), "")</f>
        <v/>
      </c>
      <c r="D50" s="224"/>
      <c r="E50" s="215"/>
      <c r="F50" s="192" t="str">
        <f>IFERROR(INDEX(Table_Prescript_Meas[Units], MATCH(Table_PrescriptLights_Input[[#This Row],[Measure number]], Table_Prescript_Meas[Measure Number], 0)), "")</f>
        <v/>
      </c>
      <c r="G50" s="225"/>
      <c r="H50" s="257"/>
      <c r="I50" s="225"/>
      <c r="J50" s="282"/>
      <c r="K50" s="282"/>
      <c r="L50" s="282"/>
      <c r="M50" s="281"/>
      <c r="N50" s="281"/>
      <c r="O50" s="259"/>
      <c r="P50" s="259"/>
      <c r="Q50"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0" s="227" t="str">
        <f>IFERROR(Table_PrescriptLights_Input[[#This Row],[Per-unit incentive]]*Table_PrescriptLights_Input[[#This Row],[Number of Units]],"")</f>
        <v/>
      </c>
      <c r="S50" s="228" t="str">
        <f>IF(Table_PrescriptLights_Input[[#This Row],[Measure number]]="","",IF(OR(Table_PrescriptLights_Input[[#This Row],[Measure number]]=References!$F$4,Table_PrescriptLights_Input[[#This Row],[Measure number]]=References!$F$5),Table_PrescriptLights_Input[[#This Row],[Number of Units]]*'HVAC Calcs'!$H47,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0" s="229" t="str">
        <f>IF(Table_PrescriptLights_Input[[#This Row],[Measure number]]="","",IF(OR(Table_PrescriptLights_Input[[#This Row],[Measure number]]=References!$F$4,Table_PrescriptLights_Input[[#This Row],[Measure number]]=References!$F$5),Table_PrescriptLights_Input[[#This Row],[Number of Units]]*'HVAC Calcs'!$I47,IF(OR(Table_PrescriptLights_Input[[#This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0" s="227" t="str">
        <f>IFERROR(Table_PrescriptLights_Input[[#This Row],[Energy savings (kWh)]]*Input_AvgkWhRate, "")</f>
        <v/>
      </c>
      <c r="V50" s="227" t="str">
        <f>IF(Table_PrescriptLights_Input[[#This Row],[HVAC measure]]="", "",Table_PrescriptLights_Input[[#This Row],[Total equipment cost]]+Table_PrescriptLights_Input[[#This Row],[Total labor cost]])</f>
        <v/>
      </c>
      <c r="W50" s="227" t="str">
        <f>IFERROR(Table_PrescriptLights_Input[[#This Row],[Gross measure cost]]-Table_PrescriptLights_Input[[#This Row],[Estimated incentive]], "")</f>
        <v/>
      </c>
      <c r="X50" s="228" t="str">
        <f t="shared" si="0"/>
        <v/>
      </c>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row>
    <row r="51" spans="1:52">
      <c r="A51" s="193"/>
      <c r="B51" s="223">
        <v>46</v>
      </c>
      <c r="C51" s="192" t="str">
        <f>IFERROR(INDEX(Table_Prescript_Meas[Measure Number], MATCH(E51, Table_Prescript_Meas[Measure Description], 0)), "")</f>
        <v/>
      </c>
      <c r="D51" s="224"/>
      <c r="E51" s="215"/>
      <c r="F51" s="192" t="str">
        <f>IFERROR(INDEX(Table_Prescript_Meas[Units], MATCH(Table_PrescriptLights_Input[[#This Row],[Measure number]], Table_Prescript_Meas[Measure Number], 0)), "")</f>
        <v/>
      </c>
      <c r="G51" s="225"/>
      <c r="H51" s="257"/>
      <c r="I51" s="225"/>
      <c r="J51" s="282"/>
      <c r="K51" s="282"/>
      <c r="L51" s="282"/>
      <c r="M51" s="281"/>
      <c r="N51" s="281"/>
      <c r="O51" s="259"/>
      <c r="P51" s="259"/>
      <c r="Q51"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1" s="227" t="str">
        <f>IFERROR(Table_PrescriptLights_Input[[#This Row],[Per-unit incentive]]*Table_PrescriptLights_Input[[#This Row],[Number of Units]],"")</f>
        <v/>
      </c>
      <c r="S51" s="228" t="str">
        <f>IF(Table_PrescriptLights_Input[[#This Row],[Measure number]]="","",IF(OR(Table_PrescriptLights_Input[[#This Row],[Measure number]]=References!$F$4,Table_PrescriptLights_Input[[#This Row],[Measure number]]=References!$F$5),Table_PrescriptLights_Input[[#This Row],[Number of Units]]*'HVAC Calcs'!$H48,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1" s="229" t="str">
        <f>IF(Table_PrescriptLights_Input[[#This Row],[Measure number]]="","",IF(OR(Table_PrescriptLights_Input[[#This Row],[Measure number]]=References!$F$4,Table_PrescriptLights_Input[[#This Row],[Measure number]]=References!$F$5),Table_PrescriptLights_Input[[#This Row],[Number of Units]]*'HVAC Calcs'!$I48,IF(OR(Table_PrescriptLights_Input[[#This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1" s="227" t="str">
        <f>IFERROR(Table_PrescriptLights_Input[[#This Row],[Energy savings (kWh)]]*Input_AvgkWhRate, "")</f>
        <v/>
      </c>
      <c r="V51" s="227" t="str">
        <f>IF(Table_PrescriptLights_Input[[#This Row],[HVAC measure]]="", "",Table_PrescriptLights_Input[[#This Row],[Total equipment cost]]+Table_PrescriptLights_Input[[#This Row],[Total labor cost]])</f>
        <v/>
      </c>
      <c r="W51" s="227" t="str">
        <f>IFERROR(Table_PrescriptLights_Input[[#This Row],[Gross measure cost]]-Table_PrescriptLights_Input[[#This Row],[Estimated incentive]], "")</f>
        <v/>
      </c>
      <c r="X51" s="228" t="str">
        <f t="shared" si="0"/>
        <v/>
      </c>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row>
    <row r="52" spans="1:52">
      <c r="A52" s="193"/>
      <c r="B52" s="223">
        <v>47</v>
      </c>
      <c r="C52" s="192" t="str">
        <f>IFERROR(INDEX(Table_Prescript_Meas[Measure Number], MATCH(E52, Table_Prescript_Meas[Measure Description], 0)), "")</f>
        <v/>
      </c>
      <c r="D52" s="224"/>
      <c r="E52" s="215"/>
      <c r="F52" s="192" t="str">
        <f>IFERROR(INDEX(Table_Prescript_Meas[Units], MATCH(Table_PrescriptLights_Input[[#This Row],[Measure number]], Table_Prescript_Meas[Measure Number], 0)), "")</f>
        <v/>
      </c>
      <c r="G52" s="225"/>
      <c r="H52" s="257"/>
      <c r="I52" s="225"/>
      <c r="J52" s="282"/>
      <c r="K52" s="282"/>
      <c r="L52" s="282"/>
      <c r="M52" s="281"/>
      <c r="N52" s="281"/>
      <c r="O52" s="259"/>
      <c r="P52" s="259"/>
      <c r="Q52"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2" s="227" t="str">
        <f>IFERROR(Table_PrescriptLights_Input[[#This Row],[Per-unit incentive]]*Table_PrescriptLights_Input[[#This Row],[Number of Units]],"")</f>
        <v/>
      </c>
      <c r="S52" s="228" t="str">
        <f>IF(Table_PrescriptLights_Input[[#This Row],[Measure number]]="","",IF(OR(Table_PrescriptLights_Input[[#This Row],[Measure number]]=References!$F$4,Table_PrescriptLights_Input[[#This Row],[Measure number]]=References!$F$5),Table_PrescriptLights_Input[[#This Row],[Number of Units]]*'HVAC Calcs'!$H49,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2" s="229" t="str">
        <f>IF(Table_PrescriptLights_Input[[#This Row],[Measure number]]="","",IF(OR(Table_PrescriptLights_Input[[#This Row],[Measure number]]=References!$F$4,Table_PrescriptLights_Input[[#This Row],[Measure number]]=References!$F$5),Table_PrescriptLights_Input[[#This Row],[Number of Units]]*'HVAC Calcs'!$I49,IF(OR(Table_PrescriptLights_Input[[#This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2" s="227" t="str">
        <f>IFERROR(Table_PrescriptLights_Input[[#This Row],[Energy savings (kWh)]]*Input_AvgkWhRate, "")</f>
        <v/>
      </c>
      <c r="V52" s="227" t="str">
        <f>IF(Table_PrescriptLights_Input[[#This Row],[HVAC measure]]="", "",Table_PrescriptLights_Input[[#This Row],[Total equipment cost]]+Table_PrescriptLights_Input[[#This Row],[Total labor cost]])</f>
        <v/>
      </c>
      <c r="W52" s="227" t="str">
        <f>IFERROR(Table_PrescriptLights_Input[[#This Row],[Gross measure cost]]-Table_PrescriptLights_Input[[#This Row],[Estimated incentive]], "")</f>
        <v/>
      </c>
      <c r="X52" s="228" t="str">
        <f t="shared" si="0"/>
        <v/>
      </c>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row>
    <row r="53" spans="1:52">
      <c r="A53" s="193"/>
      <c r="B53" s="223">
        <v>48</v>
      </c>
      <c r="C53" s="192" t="str">
        <f>IFERROR(INDEX(Table_Prescript_Meas[Measure Number], MATCH(E53, Table_Prescript_Meas[Measure Description], 0)), "")</f>
        <v/>
      </c>
      <c r="D53" s="224"/>
      <c r="E53" s="215"/>
      <c r="F53" s="192" t="str">
        <f>IFERROR(INDEX(Table_Prescript_Meas[Units], MATCH(Table_PrescriptLights_Input[[#This Row],[Measure number]], Table_Prescript_Meas[Measure Number], 0)), "")</f>
        <v/>
      </c>
      <c r="G53" s="225"/>
      <c r="H53" s="257"/>
      <c r="I53" s="225"/>
      <c r="J53" s="282"/>
      <c r="K53" s="282"/>
      <c r="L53" s="282"/>
      <c r="M53" s="281"/>
      <c r="N53" s="281"/>
      <c r="O53" s="259"/>
      <c r="P53" s="259"/>
      <c r="Q53"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3" s="227" t="str">
        <f>IFERROR(Table_PrescriptLights_Input[[#This Row],[Per-unit incentive]]*Table_PrescriptLights_Input[[#This Row],[Number of Units]],"")</f>
        <v/>
      </c>
      <c r="S53" s="228" t="str">
        <f>IF(Table_PrescriptLights_Input[[#This Row],[Measure number]]="","",IF(OR(Table_PrescriptLights_Input[[#This Row],[Measure number]]=References!$F$4,Table_PrescriptLights_Input[[#This Row],[Measure number]]=References!$F$5),Table_PrescriptLights_Input[[#This Row],[Number of Units]]*'HVAC Calcs'!$H50,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3" s="229" t="str">
        <f>IF(Table_PrescriptLights_Input[[#This Row],[Measure number]]="","",IF(OR(Table_PrescriptLights_Input[[#This Row],[Measure number]]=References!$F$4,Table_PrescriptLights_Input[[#This Row],[Measure number]]=References!$F$5),Table_PrescriptLights_Input[[#This Row],[Number of Units]]*'HVAC Calcs'!$I50,IF(OR(Table_PrescriptLights_Input[[#This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3" s="227" t="str">
        <f>IFERROR(Table_PrescriptLights_Input[[#This Row],[Energy savings (kWh)]]*Input_AvgkWhRate, "")</f>
        <v/>
      </c>
      <c r="V53" s="227" t="str">
        <f>IF(Table_PrescriptLights_Input[[#This Row],[HVAC measure]]="", "",Table_PrescriptLights_Input[[#This Row],[Total equipment cost]]+Table_PrescriptLights_Input[[#This Row],[Total labor cost]])</f>
        <v/>
      </c>
      <c r="W53" s="227" t="str">
        <f>IFERROR(Table_PrescriptLights_Input[[#This Row],[Gross measure cost]]-Table_PrescriptLights_Input[[#This Row],[Estimated incentive]], "")</f>
        <v/>
      </c>
      <c r="X53" s="228" t="str">
        <f t="shared" si="0"/>
        <v/>
      </c>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row>
    <row r="54" spans="1:52">
      <c r="A54" s="193"/>
      <c r="B54" s="223">
        <v>49</v>
      </c>
      <c r="C54" s="192" t="str">
        <f>IFERROR(INDEX(Table_Prescript_Meas[Measure Number], MATCH(E54, Table_Prescript_Meas[Measure Description], 0)), "")</f>
        <v/>
      </c>
      <c r="D54" s="224"/>
      <c r="E54" s="215"/>
      <c r="F54" s="192" t="str">
        <f>IFERROR(INDEX(Table_Prescript_Meas[Units], MATCH(Table_PrescriptLights_Input[[#This Row],[Measure number]], Table_Prescript_Meas[Measure Number], 0)), "")</f>
        <v/>
      </c>
      <c r="G54" s="225"/>
      <c r="H54" s="257"/>
      <c r="I54" s="225"/>
      <c r="J54" s="282"/>
      <c r="K54" s="282"/>
      <c r="L54" s="282"/>
      <c r="M54" s="281"/>
      <c r="N54" s="281"/>
      <c r="O54" s="259"/>
      <c r="P54" s="259"/>
      <c r="Q54"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4" s="227" t="str">
        <f>IFERROR(Table_PrescriptLights_Input[[#This Row],[Per-unit incentive]]*Table_PrescriptLights_Input[[#This Row],[Number of Units]],"")</f>
        <v/>
      </c>
      <c r="S54" s="228" t="str">
        <f>IF(Table_PrescriptLights_Input[[#This Row],[Measure number]]="","",IF(OR(Table_PrescriptLights_Input[[#This Row],[Measure number]]=References!$F$4,Table_PrescriptLights_Input[[#This Row],[Measure number]]=References!$F$5),Table_PrescriptLights_Input[[#This Row],[Number of Units]]*'HVAC Calcs'!$H51,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4" s="229" t="str">
        <f>IF(Table_PrescriptLights_Input[[#This Row],[Measure number]]="","",IF(OR(Table_PrescriptLights_Input[[#This Row],[Measure number]]=References!$F$4,Table_PrescriptLights_Input[[#This Row],[Measure number]]=References!$F$5),Table_PrescriptLights_Input[[#This Row],[Number of Units]]*'HVAC Calcs'!$I51,IF(OR(Table_PrescriptLights_Input[[#This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4" s="227" t="str">
        <f>IFERROR(Table_PrescriptLights_Input[[#This Row],[Energy savings (kWh)]]*Input_AvgkWhRate, "")</f>
        <v/>
      </c>
      <c r="V54" s="227" t="str">
        <f>IF(Table_PrescriptLights_Input[[#This Row],[HVAC measure]]="", "",Table_PrescriptLights_Input[[#This Row],[Total equipment cost]]+Table_PrescriptLights_Input[[#This Row],[Total labor cost]])</f>
        <v/>
      </c>
      <c r="W54" s="227" t="str">
        <f>IFERROR(Table_PrescriptLights_Input[[#This Row],[Gross measure cost]]-Table_PrescriptLights_Input[[#This Row],[Estimated incentive]], "")</f>
        <v/>
      </c>
      <c r="X54" s="228" t="str">
        <f t="shared" si="0"/>
        <v/>
      </c>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row>
    <row r="55" spans="1:52">
      <c r="A55" s="193"/>
      <c r="B55" s="223">
        <v>50</v>
      </c>
      <c r="C55" s="192" t="str">
        <f>IFERROR(INDEX(Table_Prescript_Meas[Measure Number], MATCH(E55, Table_Prescript_Meas[Measure Description], 0)), "")</f>
        <v/>
      </c>
      <c r="D55" s="224"/>
      <c r="E55" s="215"/>
      <c r="F55" s="192" t="str">
        <f>IFERROR(INDEX(Table_Prescript_Meas[Units], MATCH(Table_PrescriptLights_Input[[#This Row],[Measure number]], Table_Prescript_Meas[Measure Number], 0)), "")</f>
        <v/>
      </c>
      <c r="G55" s="225"/>
      <c r="H55" s="257"/>
      <c r="I55" s="225"/>
      <c r="J55" s="282"/>
      <c r="K55" s="282"/>
      <c r="L55" s="282"/>
      <c r="M55" s="281"/>
      <c r="N55" s="281"/>
      <c r="O55" s="259"/>
      <c r="P55" s="259"/>
      <c r="Q55" s="227"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5" s="227" t="str">
        <f>IFERROR(Table_PrescriptLights_Input[[#This Row],[Per-unit incentive]]*Table_PrescriptLights_Input[[#This Row],[Number of Units]],"")</f>
        <v/>
      </c>
      <c r="S55" s="228" t="str">
        <f>IF(Table_PrescriptLights_Input[[#This Row],[Measure number]]="","",IF(OR(Table_PrescriptLights_Input[[#This Row],[Measure number]]=References!$F$4,Table_PrescriptLights_Input[[#This Row],[Measure number]]=References!$F$5),Table_PrescriptLights_Input[[#This Row],[Number of Units]]*'HVAC Calcs'!$H52,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5" s="229" t="str">
        <f>IF(Table_PrescriptLights_Input[[#This Row],[Measure number]]="","",IF(OR(Table_PrescriptLights_Input[[#This Row],[Measure number]]=References!$F$4,Table_PrescriptLights_Input[[#This Row],[Measure number]]=References!$F$5),Table_PrescriptLights_Input[[#This Row],[Number of Units]]*'HVAC Calcs'!$I52,IF(OR(Table_PrescriptLights_Input[[#This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5" s="227" t="str">
        <f>IFERROR(Table_PrescriptLights_Input[[#This Row],[Energy savings (kWh)]]*Input_AvgkWhRate, "")</f>
        <v/>
      </c>
      <c r="V55" s="227" t="str">
        <f>IF(Table_PrescriptLights_Input[[#This Row],[HVAC measure]]="", "",Table_PrescriptLights_Input[[#This Row],[Total equipment cost]]+Table_PrescriptLights_Input[[#This Row],[Total labor cost]])</f>
        <v/>
      </c>
      <c r="W55" s="227" t="str">
        <f>IFERROR(Table_PrescriptLights_Input[[#This Row],[Gross measure cost]]-Table_PrescriptLights_Input[[#This Row],[Estimated incentive]], "")</f>
        <v/>
      </c>
      <c r="X55" s="228" t="str">
        <f t="shared" si="0"/>
        <v/>
      </c>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row>
    <row r="56" spans="1:52">
      <c r="A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row>
    <row r="57" spans="1:52">
      <c r="F57" s="189"/>
    </row>
    <row r="58" spans="1:52">
      <c r="B58" s="189" t="s">
        <v>37</v>
      </c>
      <c r="F58" s="189"/>
    </row>
    <row r="59" spans="1:52">
      <c r="B59" s="189" t="str">
        <f>Value_Application_Version</f>
        <v>Version 5.0 - 2025</v>
      </c>
      <c r="F59" s="189"/>
    </row>
    <row r="60" spans="1:52">
      <c r="F60" s="189"/>
    </row>
    <row r="61" spans="1:52">
      <c r="A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row>
    <row r="62" spans="1:52">
      <c r="A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row>
    <row r="63" spans="1:52">
      <c r="A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row>
    <row r="64" spans="1:52">
      <c r="A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row>
    <row r="65" spans="1:52">
      <c r="A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row>
    <row r="66" spans="1:52">
      <c r="A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row>
    <row r="67" spans="1:52">
      <c r="A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row>
    <row r="68" spans="1:52">
      <c r="A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row>
    <row r="69" spans="1:52">
      <c r="A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row>
    <row r="70" spans="1:52">
      <c r="A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row>
    <row r="71" spans="1:52">
      <c r="A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row>
    <row r="72" spans="1:52">
      <c r="A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row>
    <row r="73" spans="1:52">
      <c r="A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row>
    <row r="74" spans="1:52">
      <c r="A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row>
    <row r="75" spans="1:52">
      <c r="A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row>
    <row r="76" spans="1:52">
      <c r="A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row>
    <row r="77" spans="1:52">
      <c r="A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row>
    <row r="78" spans="1:52">
      <c r="A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row>
    <row r="79" spans="1:52">
      <c r="A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row>
    <row r="80" spans="1:52">
      <c r="A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row>
    <row r="81" spans="1:52">
      <c r="A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row>
    <row r="82" spans="1:52">
      <c r="A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row>
    <row r="83" spans="1:52">
      <c r="A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row>
    <row r="84" spans="1:52">
      <c r="A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row>
    <row r="85" spans="1:52">
      <c r="A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row>
    <row r="86" spans="1:52">
      <c r="A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row>
    <row r="87" spans="1:52">
      <c r="A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c r="AZ87" s="193"/>
    </row>
    <row r="88" spans="1:52">
      <c r="A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row>
    <row r="89" spans="1:52">
      <c r="A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row>
    <row r="90" spans="1:52">
      <c r="A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93"/>
      <c r="AZ90" s="193"/>
    </row>
    <row r="91" spans="1:52">
      <c r="A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row>
    <row r="92" spans="1:52">
      <c r="A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row>
    <row r="93" spans="1:52">
      <c r="A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3"/>
      <c r="AZ93" s="193"/>
    </row>
    <row r="94" spans="1:52">
      <c r="A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c r="AY94" s="193"/>
      <c r="AZ94" s="193"/>
    </row>
    <row r="95" spans="1:52">
      <c r="A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93"/>
    </row>
    <row r="96" spans="1:52">
      <c r="A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row>
    <row r="97" spans="1:52">
      <c r="A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c r="AY97" s="193"/>
      <c r="AZ97" s="193"/>
    </row>
    <row r="98" spans="1:52">
      <c r="A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row>
    <row r="99" spans="1:52">
      <c r="A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row>
    <row r="100" spans="1:52">
      <c r="A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c r="AY100" s="193"/>
      <c r="AZ100" s="193"/>
    </row>
    <row r="101" spans="1:52">
      <c r="A101" s="193"/>
      <c r="Y101" s="193"/>
      <c r="Z101" s="193"/>
      <c r="AA101" s="193"/>
      <c r="AB101" s="193"/>
      <c r="AC101" s="193"/>
      <c r="AD101" s="193"/>
      <c r="AE101" s="193"/>
      <c r="AF101" s="193"/>
      <c r="AG101" s="193"/>
      <c r="AH101" s="193"/>
      <c r="AI101" s="193"/>
      <c r="AJ101" s="193"/>
      <c r="AK101" s="193"/>
      <c r="AL101" s="193"/>
      <c r="AM101" s="193"/>
      <c r="AN101" s="193"/>
      <c r="AO101" s="193"/>
      <c r="AP101" s="193"/>
      <c r="AQ101" s="193"/>
      <c r="AR101" s="193"/>
      <c r="AS101" s="193"/>
      <c r="AT101" s="193"/>
      <c r="AU101" s="193"/>
      <c r="AV101" s="193"/>
      <c r="AW101" s="193"/>
      <c r="AX101" s="193"/>
      <c r="AY101" s="193"/>
      <c r="AZ101" s="193"/>
    </row>
    <row r="102" spans="1:52">
      <c r="A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3"/>
      <c r="AY102" s="193"/>
      <c r="AZ102" s="193"/>
    </row>
    <row r="103" spans="1:52">
      <c r="A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c r="AY103" s="193"/>
      <c r="AZ103" s="193"/>
    </row>
    <row r="104" spans="1:52">
      <c r="A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c r="AY104" s="193"/>
      <c r="AZ104" s="193"/>
    </row>
    <row r="105" spans="1:52">
      <c r="A105" s="193"/>
      <c r="Y105" s="193"/>
      <c r="Z105" s="193"/>
      <c r="AA105" s="193"/>
      <c r="AB105" s="193"/>
      <c r="AC105" s="193"/>
      <c r="AD105" s="193"/>
      <c r="AE105" s="193"/>
      <c r="AF105" s="193"/>
      <c r="AG105" s="193"/>
      <c r="AH105" s="193"/>
      <c r="AI105" s="193"/>
      <c r="AJ105" s="193"/>
      <c r="AK105" s="193"/>
      <c r="AL105" s="193"/>
      <c r="AM105" s="193"/>
      <c r="AN105" s="193"/>
      <c r="AO105" s="193"/>
      <c r="AP105" s="193"/>
      <c r="AQ105" s="193"/>
      <c r="AR105" s="193"/>
      <c r="AS105" s="193"/>
      <c r="AT105" s="193"/>
      <c r="AU105" s="193"/>
      <c r="AV105" s="193"/>
      <c r="AW105" s="193"/>
      <c r="AX105" s="193"/>
      <c r="AY105" s="193"/>
      <c r="AZ105" s="193"/>
    </row>
    <row r="106" spans="1:52">
      <c r="A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row>
    <row r="107" spans="1:52">
      <c r="A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c r="AY107" s="193"/>
      <c r="AZ107" s="193"/>
    </row>
    <row r="108" spans="1:52">
      <c r="A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c r="AY108" s="193"/>
      <c r="AZ108" s="193"/>
    </row>
    <row r="109" spans="1:52">
      <c r="A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row>
    <row r="110" spans="1:52">
      <c r="A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c r="AX110" s="193"/>
      <c r="AY110" s="193"/>
      <c r="AZ110" s="193"/>
    </row>
    <row r="111" spans="1:52">
      <c r="A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3"/>
      <c r="AY111" s="193"/>
      <c r="AZ111" s="193"/>
    </row>
    <row r="112" spans="1:52">
      <c r="A112" s="193"/>
      <c r="Y112" s="193"/>
      <c r="Z112" s="193"/>
      <c r="AA112" s="193"/>
      <c r="AB112" s="193"/>
      <c r="AC112" s="193"/>
      <c r="AD112" s="193"/>
      <c r="AE112" s="193"/>
      <c r="AF112" s="193"/>
      <c r="AG112" s="193"/>
      <c r="AH112" s="193"/>
      <c r="AI112" s="193"/>
      <c r="AJ112" s="193"/>
      <c r="AK112" s="193"/>
      <c r="AL112" s="193"/>
      <c r="AM112" s="193"/>
      <c r="AN112" s="193"/>
      <c r="AO112" s="193"/>
      <c r="AP112" s="193"/>
      <c r="AQ112" s="193"/>
      <c r="AR112" s="193"/>
      <c r="AS112" s="193"/>
      <c r="AT112" s="193"/>
      <c r="AU112" s="193"/>
      <c r="AV112" s="193"/>
      <c r="AW112" s="193"/>
      <c r="AX112" s="193"/>
      <c r="AY112" s="193"/>
      <c r="AZ112" s="193"/>
    </row>
    <row r="113" spans="1:52">
      <c r="A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c r="AY113" s="193"/>
      <c r="AZ113" s="193"/>
    </row>
    <row r="114" spans="1:52">
      <c r="A114" s="193"/>
      <c r="Y114" s="193"/>
      <c r="Z114" s="193"/>
      <c r="AA114" s="193"/>
      <c r="AB114" s="193"/>
      <c r="AC114" s="193"/>
      <c r="AD114" s="193"/>
      <c r="AE114" s="193"/>
      <c r="AF114" s="193"/>
      <c r="AG114" s="193"/>
      <c r="AH114" s="193"/>
      <c r="AI114" s="193"/>
      <c r="AJ114" s="193"/>
      <c r="AK114" s="193"/>
      <c r="AL114" s="193"/>
      <c r="AM114" s="193"/>
      <c r="AN114" s="193"/>
      <c r="AO114" s="193"/>
      <c r="AP114" s="193"/>
      <c r="AQ114" s="193"/>
      <c r="AR114" s="193"/>
      <c r="AS114" s="193"/>
      <c r="AT114" s="193"/>
      <c r="AU114" s="193"/>
      <c r="AV114" s="193"/>
      <c r="AW114" s="193"/>
      <c r="AX114" s="193"/>
      <c r="AY114" s="193"/>
      <c r="AZ114" s="193"/>
    </row>
    <row r="115" spans="1:52">
      <c r="A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3"/>
      <c r="AY115" s="193"/>
      <c r="AZ115" s="193"/>
    </row>
    <row r="116" spans="1:52">
      <c r="A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c r="AY116" s="193"/>
      <c r="AZ116" s="193"/>
    </row>
    <row r="117" spans="1:52">
      <c r="A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c r="AX117" s="193"/>
      <c r="AY117" s="193"/>
      <c r="AZ117" s="193"/>
    </row>
    <row r="118" spans="1:52">
      <c r="A118" s="193"/>
      <c r="Y118" s="193"/>
      <c r="Z118" s="193"/>
      <c r="AA118" s="193"/>
      <c r="AB118" s="193"/>
      <c r="AC118" s="193"/>
      <c r="AD118" s="193"/>
      <c r="AE118" s="193"/>
      <c r="AF118" s="193"/>
      <c r="AG118" s="193"/>
      <c r="AH118" s="193"/>
      <c r="AI118" s="193"/>
      <c r="AJ118" s="193"/>
      <c r="AK118" s="193"/>
      <c r="AL118" s="193"/>
      <c r="AM118" s="193"/>
      <c r="AN118" s="193"/>
      <c r="AO118" s="193"/>
      <c r="AP118" s="193"/>
      <c r="AQ118" s="193"/>
      <c r="AR118" s="193"/>
      <c r="AS118" s="193"/>
      <c r="AT118" s="193"/>
      <c r="AU118" s="193"/>
      <c r="AV118" s="193"/>
      <c r="AW118" s="193"/>
      <c r="AX118" s="193"/>
      <c r="AY118" s="193"/>
      <c r="AZ118" s="193"/>
    </row>
    <row r="119" spans="1:52">
      <c r="A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c r="AX119" s="193"/>
      <c r="AY119" s="193"/>
      <c r="AZ119" s="193"/>
    </row>
    <row r="120" spans="1:52">
      <c r="A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c r="AS120" s="193"/>
      <c r="AT120" s="193"/>
      <c r="AU120" s="193"/>
      <c r="AV120" s="193"/>
      <c r="AW120" s="193"/>
      <c r="AX120" s="193"/>
      <c r="AY120" s="193"/>
      <c r="AZ120" s="193"/>
    </row>
    <row r="121" spans="1:52">
      <c r="A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c r="AY121" s="193"/>
      <c r="AZ121" s="193"/>
    </row>
    <row r="122" spans="1:52">
      <c r="A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c r="AX122" s="193"/>
      <c r="AY122" s="193"/>
      <c r="AZ122" s="193"/>
    </row>
    <row r="123" spans="1:52">
      <c r="A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c r="AY123" s="193"/>
      <c r="AZ123" s="193"/>
    </row>
    <row r="124" spans="1:52">
      <c r="A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c r="AS124" s="193"/>
      <c r="AT124" s="193"/>
      <c r="AU124" s="193"/>
      <c r="AV124" s="193"/>
      <c r="AW124" s="193"/>
      <c r="AX124" s="193"/>
      <c r="AY124" s="193"/>
      <c r="AZ124" s="193"/>
    </row>
    <row r="125" spans="1:52">
      <c r="A125" s="193"/>
      <c r="Y125" s="193"/>
      <c r="Z125" s="193"/>
      <c r="AA125" s="193"/>
      <c r="AB125" s="193"/>
      <c r="AC125" s="193"/>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c r="AX125" s="193"/>
      <c r="AY125" s="193"/>
      <c r="AZ125" s="193"/>
    </row>
    <row r="126" spans="1:52">
      <c r="A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3"/>
      <c r="AZ126" s="193"/>
    </row>
    <row r="127" spans="1:52">
      <c r="A127" s="193"/>
      <c r="Y127" s="193"/>
      <c r="Z127" s="193"/>
      <c r="AA127" s="193"/>
      <c r="AB127" s="193"/>
      <c r="AC127" s="193"/>
      <c r="AD127" s="193"/>
      <c r="AE127" s="193"/>
      <c r="AF127" s="193"/>
      <c r="AG127" s="193"/>
      <c r="AH127" s="193"/>
      <c r="AI127" s="193"/>
      <c r="AJ127" s="193"/>
      <c r="AK127" s="193"/>
      <c r="AL127" s="193"/>
      <c r="AM127" s="193"/>
      <c r="AN127" s="193"/>
      <c r="AO127" s="193"/>
      <c r="AP127" s="193"/>
      <c r="AQ127" s="193"/>
      <c r="AR127" s="193"/>
      <c r="AS127" s="193"/>
      <c r="AT127" s="193"/>
      <c r="AU127" s="193"/>
      <c r="AV127" s="193"/>
      <c r="AW127" s="193"/>
      <c r="AX127" s="193"/>
      <c r="AY127" s="193"/>
      <c r="AZ127" s="193"/>
    </row>
    <row r="128" spans="1:52">
      <c r="A128" s="193"/>
      <c r="Y128" s="193"/>
      <c r="Z128" s="193"/>
      <c r="AA128" s="193"/>
      <c r="AB128" s="193"/>
      <c r="AC128" s="193"/>
      <c r="AD128" s="193"/>
      <c r="AE128" s="193"/>
      <c r="AF128" s="193"/>
      <c r="AG128" s="193"/>
      <c r="AH128" s="193"/>
      <c r="AI128" s="193"/>
      <c r="AJ128" s="193"/>
      <c r="AK128" s="193"/>
      <c r="AL128" s="193"/>
      <c r="AM128" s="193"/>
      <c r="AN128" s="193"/>
      <c r="AO128" s="193"/>
      <c r="AP128" s="193"/>
      <c r="AQ128" s="193"/>
      <c r="AR128" s="193"/>
      <c r="AS128" s="193"/>
      <c r="AT128" s="193"/>
      <c r="AU128" s="193"/>
      <c r="AV128" s="193"/>
      <c r="AW128" s="193"/>
      <c r="AX128" s="193"/>
      <c r="AY128" s="193"/>
      <c r="AZ128" s="193"/>
    </row>
    <row r="129" spans="1:52">
      <c r="A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c r="AS129" s="193"/>
      <c r="AT129" s="193"/>
      <c r="AU129" s="193"/>
      <c r="AV129" s="193"/>
      <c r="AW129" s="193"/>
      <c r="AX129" s="193"/>
      <c r="AY129" s="193"/>
      <c r="AZ129" s="193"/>
    </row>
    <row r="130" spans="1:52">
      <c r="A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c r="AT130" s="193"/>
      <c r="AU130" s="193"/>
      <c r="AV130" s="193"/>
      <c r="AW130" s="193"/>
      <c r="AX130" s="193"/>
      <c r="AY130" s="193"/>
      <c r="AZ130" s="193"/>
    </row>
    <row r="131" spans="1:52">
      <c r="A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93"/>
    </row>
    <row r="132" spans="1:52">
      <c r="A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row>
    <row r="133" spans="1:52">
      <c r="A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c r="AY133" s="193"/>
      <c r="AZ133" s="193"/>
    </row>
    <row r="134" spans="1:52">
      <c r="A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c r="AY134" s="193"/>
      <c r="AZ134" s="193"/>
    </row>
    <row r="135" spans="1:52">
      <c r="A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c r="AY135" s="193"/>
      <c r="AZ135" s="193"/>
    </row>
    <row r="136" spans="1:52">
      <c r="A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3"/>
      <c r="AZ136" s="193"/>
    </row>
    <row r="137" spans="1:52">
      <c r="A137" s="193"/>
      <c r="Y137" s="193"/>
      <c r="Z137" s="193"/>
      <c r="AA137" s="193"/>
      <c r="AB137" s="193"/>
      <c r="AC137" s="193"/>
      <c r="AD137" s="193"/>
      <c r="AE137" s="193"/>
      <c r="AF137" s="193"/>
      <c r="AG137" s="193"/>
      <c r="AH137" s="193"/>
      <c r="AI137" s="193"/>
      <c r="AJ137" s="193"/>
      <c r="AK137" s="193"/>
      <c r="AL137" s="193"/>
      <c r="AM137" s="193"/>
      <c r="AN137" s="193"/>
      <c r="AO137" s="193"/>
      <c r="AP137" s="193"/>
      <c r="AQ137" s="193"/>
      <c r="AR137" s="193"/>
      <c r="AS137" s="193"/>
      <c r="AT137" s="193"/>
      <c r="AU137" s="193"/>
      <c r="AV137" s="193"/>
      <c r="AW137" s="193"/>
      <c r="AX137" s="193"/>
      <c r="AY137" s="193"/>
      <c r="AZ137" s="193"/>
    </row>
    <row r="138" spans="1:52">
      <c r="A138" s="193"/>
      <c r="Y138" s="193"/>
      <c r="Z138" s="193"/>
      <c r="AA138" s="193"/>
      <c r="AB138" s="193"/>
      <c r="AC138" s="193"/>
      <c r="AD138" s="193"/>
      <c r="AE138" s="193"/>
      <c r="AF138" s="193"/>
      <c r="AG138" s="193"/>
      <c r="AH138" s="193"/>
      <c r="AI138" s="193"/>
      <c r="AJ138" s="193"/>
      <c r="AK138" s="193"/>
      <c r="AL138" s="193"/>
      <c r="AM138" s="193"/>
      <c r="AN138" s="193"/>
      <c r="AO138" s="193"/>
      <c r="AP138" s="193"/>
      <c r="AQ138" s="193"/>
      <c r="AR138" s="193"/>
      <c r="AS138" s="193"/>
      <c r="AT138" s="193"/>
      <c r="AU138" s="193"/>
      <c r="AV138" s="193"/>
      <c r="AW138" s="193"/>
      <c r="AX138" s="193"/>
      <c r="AY138" s="193"/>
      <c r="AZ138" s="193"/>
    </row>
    <row r="139" spans="1:52">
      <c r="A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c r="AY139" s="193"/>
      <c r="AZ139" s="193"/>
    </row>
    <row r="140" spans="1:52">
      <c r="A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c r="AS140" s="193"/>
      <c r="AT140" s="193"/>
      <c r="AU140" s="193"/>
      <c r="AV140" s="193"/>
      <c r="AW140" s="193"/>
      <c r="AX140" s="193"/>
      <c r="AY140" s="193"/>
      <c r="AZ140" s="193"/>
    </row>
    <row r="141" spans="1:52">
      <c r="A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c r="AY141" s="193"/>
      <c r="AZ141" s="193"/>
    </row>
    <row r="142" spans="1:52">
      <c r="A142" s="193"/>
      <c r="Y142" s="193"/>
      <c r="Z142" s="193"/>
      <c r="AA142" s="193"/>
      <c r="AB142" s="193"/>
      <c r="AC142" s="193"/>
      <c r="AD142" s="193"/>
      <c r="AE142" s="193"/>
      <c r="AF142" s="193"/>
      <c r="AG142" s="193"/>
      <c r="AH142" s="193"/>
      <c r="AI142" s="193"/>
      <c r="AJ142" s="193"/>
      <c r="AK142" s="193"/>
      <c r="AL142" s="193"/>
      <c r="AM142" s="193"/>
      <c r="AN142" s="193"/>
      <c r="AO142" s="193"/>
      <c r="AP142" s="193"/>
      <c r="AQ142" s="193"/>
      <c r="AR142" s="193"/>
      <c r="AS142" s="193"/>
      <c r="AT142" s="193"/>
      <c r="AU142" s="193"/>
      <c r="AV142" s="193"/>
      <c r="AW142" s="193"/>
      <c r="AX142" s="193"/>
      <c r="AY142" s="193"/>
      <c r="AZ142" s="193"/>
    </row>
    <row r="143" spans="1:52">
      <c r="A143" s="193"/>
      <c r="Y143" s="193"/>
      <c r="Z143" s="193"/>
      <c r="AA143" s="193"/>
      <c r="AB143" s="193"/>
      <c r="AC143" s="193"/>
      <c r="AD143" s="193"/>
      <c r="AE143" s="193"/>
      <c r="AF143" s="193"/>
      <c r="AG143" s="193"/>
      <c r="AH143" s="193"/>
      <c r="AI143" s="193"/>
      <c r="AJ143" s="193"/>
      <c r="AK143" s="193"/>
      <c r="AL143" s="193"/>
      <c r="AM143" s="193"/>
      <c r="AN143" s="193"/>
      <c r="AO143" s="193"/>
      <c r="AP143" s="193"/>
      <c r="AQ143" s="193"/>
      <c r="AR143" s="193"/>
      <c r="AS143" s="193"/>
      <c r="AT143" s="193"/>
      <c r="AU143" s="193"/>
      <c r="AV143" s="193"/>
      <c r="AW143" s="193"/>
      <c r="AX143" s="193"/>
      <c r="AY143" s="193"/>
      <c r="AZ143" s="193"/>
    </row>
    <row r="144" spans="1:52">
      <c r="A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row>
    <row r="145" spans="1:52">
      <c r="A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3"/>
      <c r="AY145" s="193"/>
      <c r="AZ145" s="193"/>
    </row>
    <row r="146" spans="1:52">
      <c r="A146" s="193"/>
      <c r="Y146" s="193"/>
      <c r="Z146" s="193"/>
      <c r="AA146" s="193"/>
      <c r="AB146" s="193"/>
      <c r="AC146" s="193"/>
      <c r="AD146" s="193"/>
      <c r="AE146" s="193"/>
      <c r="AF146" s="193"/>
      <c r="AG146" s="193"/>
      <c r="AH146" s="193"/>
      <c r="AI146" s="193"/>
      <c r="AJ146" s="193"/>
      <c r="AK146" s="193"/>
      <c r="AL146" s="193"/>
      <c r="AM146" s="193"/>
      <c r="AN146" s="193"/>
      <c r="AO146" s="193"/>
      <c r="AP146" s="193"/>
      <c r="AQ146" s="193"/>
      <c r="AR146" s="193"/>
      <c r="AS146" s="193"/>
      <c r="AT146" s="193"/>
      <c r="AU146" s="193"/>
      <c r="AV146" s="193"/>
      <c r="AW146" s="193"/>
      <c r="AX146" s="193"/>
      <c r="AY146" s="193"/>
      <c r="AZ146" s="193"/>
    </row>
    <row r="147" spans="1:52">
      <c r="A147" s="193"/>
      <c r="Y147" s="193"/>
      <c r="Z147" s="193"/>
      <c r="AA147" s="193"/>
      <c r="AB147" s="193"/>
      <c r="AC147" s="193"/>
      <c r="AD147" s="193"/>
      <c r="AE147" s="193"/>
      <c r="AF147" s="193"/>
      <c r="AG147" s="193"/>
      <c r="AH147" s="193"/>
      <c r="AI147" s="193"/>
      <c r="AJ147" s="193"/>
      <c r="AK147" s="193"/>
      <c r="AL147" s="193"/>
      <c r="AM147" s="193"/>
      <c r="AN147" s="193"/>
      <c r="AO147" s="193"/>
      <c r="AP147" s="193"/>
      <c r="AQ147" s="193"/>
      <c r="AR147" s="193"/>
      <c r="AS147" s="193"/>
      <c r="AT147" s="193"/>
      <c r="AU147" s="193"/>
      <c r="AV147" s="193"/>
      <c r="AW147" s="193"/>
      <c r="AX147" s="193"/>
      <c r="AY147" s="193"/>
      <c r="AZ147" s="193"/>
    </row>
    <row r="148" spans="1:52">
      <c r="A148" s="193"/>
      <c r="Y148" s="193"/>
      <c r="Z148" s="193"/>
      <c r="AA148" s="193"/>
      <c r="AB148" s="193"/>
      <c r="AC148" s="193"/>
      <c r="AD148" s="193"/>
      <c r="AE148" s="193"/>
      <c r="AF148" s="193"/>
      <c r="AG148" s="193"/>
      <c r="AH148" s="193"/>
      <c r="AI148" s="193"/>
      <c r="AJ148" s="193"/>
      <c r="AK148" s="193"/>
      <c r="AL148" s="193"/>
      <c r="AM148" s="193"/>
      <c r="AN148" s="193"/>
      <c r="AO148" s="193"/>
      <c r="AP148" s="193"/>
      <c r="AQ148" s="193"/>
      <c r="AR148" s="193"/>
      <c r="AS148" s="193"/>
      <c r="AT148" s="193"/>
      <c r="AU148" s="193"/>
      <c r="AV148" s="193"/>
      <c r="AW148" s="193"/>
      <c r="AX148" s="193"/>
      <c r="AY148" s="193"/>
      <c r="AZ148" s="193"/>
    </row>
    <row r="149" spans="1:52">
      <c r="A149" s="193"/>
      <c r="Y149" s="193"/>
      <c r="Z149" s="193"/>
      <c r="AA149" s="193"/>
      <c r="AB149" s="193"/>
      <c r="AC149" s="193"/>
      <c r="AD149" s="193"/>
      <c r="AE149" s="193"/>
      <c r="AF149" s="193"/>
      <c r="AG149" s="193"/>
      <c r="AH149" s="193"/>
      <c r="AI149" s="193"/>
      <c r="AJ149" s="193"/>
      <c r="AK149" s="193"/>
      <c r="AL149" s="193"/>
      <c r="AM149" s="193"/>
      <c r="AN149" s="193"/>
      <c r="AO149" s="193"/>
      <c r="AP149" s="193"/>
      <c r="AQ149" s="193"/>
      <c r="AR149" s="193"/>
      <c r="AS149" s="193"/>
      <c r="AT149" s="193"/>
      <c r="AU149" s="193"/>
      <c r="AV149" s="193"/>
      <c r="AW149" s="193"/>
      <c r="AX149" s="193"/>
      <c r="AY149" s="193"/>
      <c r="AZ149" s="193"/>
    </row>
    <row r="150" spans="1:52">
      <c r="A150" s="193"/>
      <c r="Y150" s="193"/>
      <c r="Z150" s="193"/>
      <c r="AA150" s="193"/>
      <c r="AB150" s="193"/>
      <c r="AC150" s="193"/>
      <c r="AD150" s="193"/>
      <c r="AE150" s="193"/>
      <c r="AF150" s="193"/>
      <c r="AG150" s="193"/>
      <c r="AH150" s="193"/>
      <c r="AI150" s="193"/>
      <c r="AJ150" s="193"/>
      <c r="AK150" s="193"/>
      <c r="AL150" s="193"/>
      <c r="AM150" s="193"/>
      <c r="AN150" s="193"/>
      <c r="AO150" s="193"/>
      <c r="AP150" s="193"/>
      <c r="AQ150" s="193"/>
      <c r="AR150" s="193"/>
      <c r="AS150" s="193"/>
      <c r="AT150" s="193"/>
      <c r="AU150" s="193"/>
      <c r="AV150" s="193"/>
      <c r="AW150" s="193"/>
      <c r="AX150" s="193"/>
      <c r="AY150" s="193"/>
      <c r="AZ150" s="193"/>
    </row>
    <row r="151" spans="1:52">
      <c r="A151" s="193"/>
      <c r="Y151" s="193"/>
      <c r="Z151" s="193"/>
      <c r="AA151" s="193"/>
      <c r="AB151" s="193"/>
      <c r="AC151" s="193"/>
      <c r="AD151" s="193"/>
      <c r="AE151" s="193"/>
      <c r="AF151" s="193"/>
      <c r="AG151" s="193"/>
      <c r="AH151" s="193"/>
      <c r="AI151" s="193"/>
      <c r="AJ151" s="193"/>
      <c r="AK151" s="193"/>
      <c r="AL151" s="193"/>
      <c r="AM151" s="193"/>
      <c r="AN151" s="193"/>
      <c r="AO151" s="193"/>
      <c r="AP151" s="193"/>
      <c r="AQ151" s="193"/>
      <c r="AR151" s="193"/>
      <c r="AS151" s="193"/>
      <c r="AT151" s="193"/>
      <c r="AU151" s="193"/>
      <c r="AV151" s="193"/>
      <c r="AW151" s="193"/>
      <c r="AX151" s="193"/>
      <c r="AY151" s="193"/>
      <c r="AZ151" s="193"/>
    </row>
    <row r="152" spans="1:52">
      <c r="A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c r="AS152" s="193"/>
      <c r="AT152" s="193"/>
      <c r="AU152" s="193"/>
      <c r="AV152" s="193"/>
      <c r="AW152" s="193"/>
      <c r="AX152" s="193"/>
      <c r="AY152" s="193"/>
      <c r="AZ152" s="193"/>
    </row>
    <row r="153" spans="1:52">
      <c r="A153" s="193"/>
      <c r="Y153" s="193"/>
      <c r="Z153" s="193"/>
      <c r="AA153" s="193"/>
      <c r="AB153" s="193"/>
      <c r="AC153" s="193"/>
      <c r="AD153" s="193"/>
      <c r="AE153" s="193"/>
      <c r="AF153" s="193"/>
      <c r="AG153" s="193"/>
      <c r="AH153" s="193"/>
      <c r="AI153" s="193"/>
      <c r="AJ153" s="193"/>
      <c r="AK153" s="193"/>
      <c r="AL153" s="193"/>
      <c r="AM153" s="193"/>
      <c r="AN153" s="193"/>
      <c r="AO153" s="193"/>
      <c r="AP153" s="193"/>
      <c r="AQ153" s="193"/>
      <c r="AR153" s="193"/>
      <c r="AS153" s="193"/>
      <c r="AT153" s="193"/>
      <c r="AU153" s="193"/>
      <c r="AV153" s="193"/>
      <c r="AW153" s="193"/>
      <c r="AX153" s="193"/>
      <c r="AY153" s="193"/>
      <c r="AZ153" s="193"/>
    </row>
    <row r="154" spans="1:52">
      <c r="A154" s="193"/>
      <c r="Y154" s="193"/>
      <c r="Z154" s="193"/>
      <c r="AA154" s="193"/>
      <c r="AB154" s="193"/>
      <c r="AC154" s="193"/>
      <c r="AD154" s="193"/>
      <c r="AE154" s="193"/>
      <c r="AF154" s="193"/>
      <c r="AG154" s="193"/>
      <c r="AH154" s="193"/>
      <c r="AI154" s="193"/>
      <c r="AJ154" s="193"/>
      <c r="AK154" s="193"/>
      <c r="AL154" s="193"/>
      <c r="AM154" s="193"/>
      <c r="AN154" s="193"/>
      <c r="AO154" s="193"/>
      <c r="AP154" s="193"/>
      <c r="AQ154" s="193"/>
      <c r="AR154" s="193"/>
      <c r="AS154" s="193"/>
      <c r="AT154" s="193"/>
      <c r="AU154" s="193"/>
      <c r="AV154" s="193"/>
      <c r="AW154" s="193"/>
      <c r="AX154" s="193"/>
      <c r="AY154" s="193"/>
      <c r="AZ154" s="193"/>
    </row>
    <row r="155" spans="1:52">
      <c r="A155" s="193"/>
      <c r="Y155" s="193"/>
      <c r="Z155" s="193"/>
      <c r="AA155" s="193"/>
      <c r="AB155" s="193"/>
      <c r="AC155" s="193"/>
      <c r="AD155" s="193"/>
      <c r="AE155" s="193"/>
      <c r="AF155" s="193"/>
      <c r="AG155" s="193"/>
      <c r="AH155" s="193"/>
      <c r="AI155" s="193"/>
      <c r="AJ155" s="193"/>
      <c r="AK155" s="193"/>
      <c r="AL155" s="193"/>
      <c r="AM155" s="193"/>
      <c r="AN155" s="193"/>
      <c r="AO155" s="193"/>
      <c r="AP155" s="193"/>
      <c r="AQ155" s="193"/>
      <c r="AR155" s="193"/>
      <c r="AS155" s="193"/>
      <c r="AT155" s="193"/>
      <c r="AU155" s="193"/>
      <c r="AV155" s="193"/>
      <c r="AW155" s="193"/>
      <c r="AX155" s="193"/>
      <c r="AY155" s="193"/>
      <c r="AZ155" s="193"/>
    </row>
    <row r="156" spans="1:52">
      <c r="A156" s="193"/>
      <c r="Y156" s="193"/>
      <c r="Z156" s="193"/>
      <c r="AA156" s="193"/>
      <c r="AB156" s="193"/>
      <c r="AC156" s="193"/>
      <c r="AD156" s="193"/>
      <c r="AE156" s="193"/>
      <c r="AF156" s="193"/>
      <c r="AG156" s="193"/>
      <c r="AH156" s="193"/>
      <c r="AI156" s="193"/>
      <c r="AJ156" s="193"/>
      <c r="AK156" s="193"/>
      <c r="AL156" s="193"/>
      <c r="AM156" s="193"/>
      <c r="AN156" s="193"/>
      <c r="AO156" s="193"/>
      <c r="AP156" s="193"/>
      <c r="AQ156" s="193"/>
      <c r="AR156" s="193"/>
      <c r="AS156" s="193"/>
      <c r="AT156" s="193"/>
      <c r="AU156" s="193"/>
      <c r="AV156" s="193"/>
      <c r="AW156" s="193"/>
      <c r="AX156" s="193"/>
      <c r="AY156" s="193"/>
      <c r="AZ156" s="193"/>
    </row>
    <row r="157" spans="1:52">
      <c r="A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193"/>
      <c r="AV157" s="193"/>
      <c r="AW157" s="193"/>
      <c r="AX157" s="193"/>
      <c r="AY157" s="193"/>
      <c r="AZ157" s="193"/>
    </row>
    <row r="158" spans="1:52">
      <c r="A158" s="193"/>
      <c r="Y158" s="193"/>
      <c r="Z158" s="193"/>
      <c r="AA158" s="193"/>
      <c r="AB158" s="193"/>
      <c r="AC158" s="193"/>
      <c r="AD158" s="193"/>
      <c r="AE158" s="193"/>
      <c r="AF158" s="193"/>
      <c r="AG158" s="193"/>
      <c r="AH158" s="193"/>
      <c r="AI158" s="193"/>
      <c r="AJ158" s="193"/>
      <c r="AK158" s="193"/>
      <c r="AL158" s="193"/>
      <c r="AM158" s="193"/>
      <c r="AN158" s="193"/>
      <c r="AO158" s="193"/>
      <c r="AP158" s="193"/>
      <c r="AQ158" s="193"/>
      <c r="AR158" s="193"/>
      <c r="AS158" s="193"/>
      <c r="AT158" s="193"/>
      <c r="AU158" s="193"/>
      <c r="AV158" s="193"/>
      <c r="AW158" s="193"/>
      <c r="AX158" s="193"/>
      <c r="AY158" s="193"/>
      <c r="AZ158" s="193"/>
    </row>
    <row r="159" spans="1:52">
      <c r="A159" s="193"/>
      <c r="Y159" s="193"/>
      <c r="Z159" s="193"/>
      <c r="AA159" s="193"/>
      <c r="AB159" s="193"/>
      <c r="AC159" s="193"/>
      <c r="AD159" s="193"/>
      <c r="AE159" s="193"/>
      <c r="AF159" s="193"/>
      <c r="AG159" s="193"/>
      <c r="AH159" s="193"/>
      <c r="AI159" s="193"/>
      <c r="AJ159" s="193"/>
      <c r="AK159" s="193"/>
      <c r="AL159" s="193"/>
      <c r="AM159" s="193"/>
      <c r="AN159" s="193"/>
      <c r="AO159" s="193"/>
      <c r="AP159" s="193"/>
      <c r="AQ159" s="193"/>
      <c r="AR159" s="193"/>
      <c r="AS159" s="193"/>
      <c r="AT159" s="193"/>
      <c r="AU159" s="193"/>
      <c r="AV159" s="193"/>
      <c r="AW159" s="193"/>
      <c r="AX159" s="193"/>
      <c r="AY159" s="193"/>
      <c r="AZ159" s="193"/>
    </row>
    <row r="160" spans="1:52">
      <c r="A160" s="193"/>
      <c r="Y160" s="193"/>
      <c r="Z160" s="193"/>
      <c r="AA160" s="193"/>
      <c r="AB160" s="193"/>
      <c r="AC160" s="193"/>
      <c r="AD160" s="193"/>
      <c r="AE160" s="193"/>
      <c r="AF160" s="193"/>
      <c r="AG160" s="193"/>
      <c r="AH160" s="193"/>
      <c r="AI160" s="193"/>
      <c r="AJ160" s="193"/>
      <c r="AK160" s="193"/>
      <c r="AL160" s="193"/>
      <c r="AM160" s="193"/>
      <c r="AN160" s="193"/>
      <c r="AO160" s="193"/>
      <c r="AP160" s="193"/>
      <c r="AQ160" s="193"/>
      <c r="AR160" s="193"/>
      <c r="AS160" s="193"/>
      <c r="AT160" s="193"/>
      <c r="AU160" s="193"/>
      <c r="AV160" s="193"/>
      <c r="AW160" s="193"/>
      <c r="AX160" s="193"/>
      <c r="AY160" s="193"/>
      <c r="AZ160" s="193"/>
    </row>
    <row r="161" spans="1:52">
      <c r="A161" s="193"/>
      <c r="Y161" s="193"/>
      <c r="Z161" s="193"/>
      <c r="AA161" s="193"/>
      <c r="AB161" s="193"/>
      <c r="AC161" s="193"/>
      <c r="AD161" s="193"/>
      <c r="AE161" s="193"/>
      <c r="AF161" s="193"/>
      <c r="AG161" s="193"/>
      <c r="AH161" s="193"/>
      <c r="AI161" s="193"/>
      <c r="AJ161" s="193"/>
      <c r="AK161" s="193"/>
      <c r="AL161" s="193"/>
      <c r="AM161" s="193"/>
      <c r="AN161" s="193"/>
      <c r="AO161" s="193"/>
      <c r="AP161" s="193"/>
      <c r="AQ161" s="193"/>
      <c r="AR161" s="193"/>
      <c r="AS161" s="193"/>
      <c r="AT161" s="193"/>
      <c r="AU161" s="193"/>
      <c r="AV161" s="193"/>
      <c r="AW161" s="193"/>
      <c r="AX161" s="193"/>
      <c r="AY161" s="193"/>
      <c r="AZ161" s="193"/>
    </row>
    <row r="162" spans="1:52">
      <c r="A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3"/>
      <c r="AU162" s="193"/>
      <c r="AV162" s="193"/>
      <c r="AW162" s="193"/>
      <c r="AX162" s="193"/>
      <c r="AY162" s="193"/>
      <c r="AZ162" s="193"/>
    </row>
    <row r="163" spans="1:52">
      <c r="A163" s="193"/>
      <c r="Y163" s="193"/>
      <c r="Z163" s="193"/>
      <c r="AA163" s="193"/>
      <c r="AB163" s="193"/>
      <c r="AC163" s="193"/>
      <c r="AD163" s="193"/>
      <c r="AE163" s="193"/>
      <c r="AF163" s="193"/>
      <c r="AG163" s="193"/>
      <c r="AH163" s="193"/>
      <c r="AI163" s="193"/>
      <c r="AJ163" s="193"/>
      <c r="AK163" s="193"/>
      <c r="AL163" s="193"/>
      <c r="AM163" s="193"/>
      <c r="AN163" s="193"/>
      <c r="AO163" s="193"/>
      <c r="AP163" s="193"/>
      <c r="AQ163" s="193"/>
      <c r="AR163" s="193"/>
      <c r="AS163" s="193"/>
      <c r="AT163" s="193"/>
      <c r="AU163" s="193"/>
      <c r="AV163" s="193"/>
      <c r="AW163" s="193"/>
      <c r="AX163" s="193"/>
      <c r="AY163" s="193"/>
      <c r="AZ163" s="193"/>
    </row>
    <row r="164" spans="1:52">
      <c r="A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c r="AS164" s="193"/>
      <c r="AT164" s="193"/>
      <c r="AU164" s="193"/>
      <c r="AV164" s="193"/>
      <c r="AW164" s="193"/>
      <c r="AX164" s="193"/>
      <c r="AY164" s="193"/>
      <c r="AZ164" s="193"/>
    </row>
    <row r="165" spans="1:52">
      <c r="A165" s="193"/>
      <c r="Y165" s="193"/>
      <c r="Z165" s="193"/>
      <c r="AA165" s="193"/>
      <c r="AB165" s="193"/>
      <c r="AC165" s="193"/>
      <c r="AD165" s="193"/>
      <c r="AE165" s="193"/>
      <c r="AF165" s="193"/>
      <c r="AG165" s="193"/>
      <c r="AH165" s="193"/>
      <c r="AI165" s="193"/>
      <c r="AJ165" s="193"/>
      <c r="AK165" s="193"/>
      <c r="AL165" s="193"/>
      <c r="AM165" s="193"/>
      <c r="AN165" s="193"/>
      <c r="AO165" s="193"/>
      <c r="AP165" s="193"/>
      <c r="AQ165" s="193"/>
      <c r="AR165" s="193"/>
      <c r="AS165" s="193"/>
      <c r="AT165" s="193"/>
      <c r="AU165" s="193"/>
      <c r="AV165" s="193"/>
      <c r="AW165" s="193"/>
      <c r="AX165" s="193"/>
      <c r="AY165" s="193"/>
      <c r="AZ165" s="193"/>
    </row>
    <row r="166" spans="1:52">
      <c r="A166" s="193"/>
      <c r="Y166" s="193"/>
      <c r="Z166" s="193"/>
      <c r="AA166" s="193"/>
      <c r="AB166" s="193"/>
      <c r="AC166" s="193"/>
      <c r="AD166" s="193"/>
      <c r="AE166" s="193"/>
      <c r="AF166" s="193"/>
      <c r="AG166" s="193"/>
      <c r="AH166" s="193"/>
      <c r="AI166" s="193"/>
      <c r="AJ166" s="193"/>
      <c r="AK166" s="193"/>
      <c r="AL166" s="193"/>
      <c r="AM166" s="193"/>
      <c r="AN166" s="193"/>
      <c r="AO166" s="193"/>
      <c r="AP166" s="193"/>
      <c r="AQ166" s="193"/>
      <c r="AR166" s="193"/>
      <c r="AS166" s="193"/>
      <c r="AT166" s="193"/>
      <c r="AU166" s="193"/>
      <c r="AV166" s="193"/>
      <c r="AW166" s="193"/>
      <c r="AX166" s="193"/>
      <c r="AY166" s="193"/>
      <c r="AZ166" s="193"/>
    </row>
    <row r="167" spans="1:52">
      <c r="A167" s="193"/>
      <c r="Y167" s="193"/>
      <c r="Z167" s="193"/>
      <c r="AA167" s="193"/>
      <c r="AB167" s="193"/>
      <c r="AC167" s="193"/>
      <c r="AD167" s="193"/>
      <c r="AE167" s="193"/>
      <c r="AF167" s="193"/>
      <c r="AG167" s="193"/>
      <c r="AH167" s="193"/>
      <c r="AI167" s="193"/>
      <c r="AJ167" s="193"/>
      <c r="AK167" s="193"/>
      <c r="AL167" s="193"/>
      <c r="AM167" s="193"/>
      <c r="AN167" s="193"/>
      <c r="AO167" s="193"/>
      <c r="AP167" s="193"/>
      <c r="AQ167" s="193"/>
      <c r="AR167" s="193"/>
      <c r="AS167" s="193"/>
      <c r="AT167" s="193"/>
      <c r="AU167" s="193"/>
      <c r="AV167" s="193"/>
      <c r="AW167" s="193"/>
      <c r="AX167" s="193"/>
      <c r="AY167" s="193"/>
      <c r="AZ167" s="193"/>
    </row>
    <row r="168" spans="1:52">
      <c r="A168" s="193"/>
      <c r="Y168" s="193"/>
      <c r="Z168" s="193"/>
      <c r="AA168" s="193"/>
      <c r="AB168" s="193"/>
      <c r="AC168" s="193"/>
      <c r="AD168" s="193"/>
      <c r="AE168" s="193"/>
      <c r="AF168" s="193"/>
      <c r="AG168" s="193"/>
      <c r="AH168" s="193"/>
      <c r="AI168" s="193"/>
      <c r="AJ168" s="193"/>
      <c r="AK168" s="193"/>
      <c r="AL168" s="193"/>
      <c r="AM168" s="193"/>
      <c r="AN168" s="193"/>
      <c r="AO168" s="193"/>
      <c r="AP168" s="193"/>
      <c r="AQ168" s="193"/>
      <c r="AR168" s="193"/>
      <c r="AS168" s="193"/>
      <c r="AT168" s="193"/>
      <c r="AU168" s="193"/>
      <c r="AV168" s="193"/>
      <c r="AW168" s="193"/>
      <c r="AX168" s="193"/>
      <c r="AY168" s="193"/>
      <c r="AZ168" s="193"/>
    </row>
    <row r="169" spans="1:52">
      <c r="A169" s="193"/>
      <c r="Y169" s="193"/>
      <c r="Z169" s="193"/>
      <c r="AA169" s="193"/>
      <c r="AB169" s="193"/>
      <c r="AC169" s="193"/>
      <c r="AD169" s="193"/>
      <c r="AE169" s="193"/>
      <c r="AF169" s="193"/>
      <c r="AG169" s="193"/>
      <c r="AH169" s="193"/>
      <c r="AI169" s="193"/>
      <c r="AJ169" s="193"/>
      <c r="AK169" s="193"/>
      <c r="AL169" s="193"/>
      <c r="AM169" s="193"/>
      <c r="AN169" s="193"/>
      <c r="AO169" s="193"/>
      <c r="AP169" s="193"/>
      <c r="AQ169" s="193"/>
      <c r="AR169" s="193"/>
      <c r="AS169" s="193"/>
      <c r="AT169" s="193"/>
      <c r="AU169" s="193"/>
      <c r="AV169" s="193"/>
      <c r="AW169" s="193"/>
      <c r="AX169" s="193"/>
      <c r="AY169" s="193"/>
      <c r="AZ169" s="193"/>
    </row>
    <row r="170" spans="1:52">
      <c r="A170" s="193"/>
      <c r="Y170" s="193"/>
      <c r="Z170" s="193"/>
      <c r="AA170" s="193"/>
      <c r="AB170" s="193"/>
      <c r="AC170" s="193"/>
      <c r="AD170" s="193"/>
      <c r="AE170" s="193"/>
      <c r="AF170" s="193"/>
      <c r="AG170" s="193"/>
      <c r="AH170" s="193"/>
      <c r="AI170" s="193"/>
      <c r="AJ170" s="193"/>
      <c r="AK170" s="193"/>
      <c r="AL170" s="193"/>
      <c r="AM170" s="193"/>
      <c r="AN170" s="193"/>
      <c r="AO170" s="193"/>
      <c r="AP170" s="193"/>
      <c r="AQ170" s="193"/>
      <c r="AR170" s="193"/>
      <c r="AS170" s="193"/>
      <c r="AT170" s="193"/>
      <c r="AU170" s="193"/>
      <c r="AV170" s="193"/>
      <c r="AW170" s="193"/>
      <c r="AX170" s="193"/>
      <c r="AY170" s="193"/>
      <c r="AZ170" s="193"/>
    </row>
    <row r="171" spans="1:52">
      <c r="A171" s="193"/>
      <c r="Y171" s="193"/>
      <c r="Z171" s="193"/>
      <c r="AA171" s="193"/>
      <c r="AB171" s="193"/>
      <c r="AC171" s="193"/>
      <c r="AD171" s="193"/>
      <c r="AE171" s="193"/>
      <c r="AF171" s="193"/>
      <c r="AG171" s="193"/>
      <c r="AH171" s="193"/>
      <c r="AI171" s="193"/>
      <c r="AJ171" s="193"/>
      <c r="AK171" s="193"/>
      <c r="AL171" s="193"/>
      <c r="AM171" s="193"/>
      <c r="AN171" s="193"/>
      <c r="AO171" s="193"/>
      <c r="AP171" s="193"/>
      <c r="AQ171" s="193"/>
      <c r="AR171" s="193"/>
      <c r="AS171" s="193"/>
      <c r="AT171" s="193"/>
      <c r="AU171" s="193"/>
      <c r="AV171" s="193"/>
      <c r="AW171" s="193"/>
      <c r="AX171" s="193"/>
      <c r="AY171" s="193"/>
      <c r="AZ171" s="193"/>
    </row>
    <row r="172" spans="1:52">
      <c r="A172" s="193"/>
      <c r="Y172" s="193"/>
      <c r="Z172" s="193"/>
      <c r="AA172" s="193"/>
      <c r="AB172" s="193"/>
      <c r="AC172" s="193"/>
      <c r="AD172" s="193"/>
      <c r="AE172" s="193"/>
      <c r="AF172" s="193"/>
      <c r="AG172" s="193"/>
      <c r="AH172" s="193"/>
      <c r="AI172" s="193"/>
      <c r="AJ172" s="193"/>
      <c r="AK172" s="193"/>
      <c r="AL172" s="193"/>
      <c r="AM172" s="193"/>
      <c r="AN172" s="193"/>
      <c r="AO172" s="193"/>
      <c r="AP172" s="193"/>
      <c r="AQ172" s="193"/>
      <c r="AR172" s="193"/>
      <c r="AS172" s="193"/>
      <c r="AT172" s="193"/>
      <c r="AU172" s="193"/>
      <c r="AV172" s="193"/>
      <c r="AW172" s="193"/>
      <c r="AX172" s="193"/>
      <c r="AY172" s="193"/>
      <c r="AZ172" s="193"/>
    </row>
    <row r="173" spans="1:52">
      <c r="A173" s="193"/>
      <c r="Y173" s="193"/>
      <c r="Z173" s="193"/>
      <c r="AA173" s="193"/>
      <c r="AB173" s="193"/>
      <c r="AC173" s="193"/>
      <c r="AD173" s="193"/>
      <c r="AE173" s="193"/>
      <c r="AF173" s="193"/>
      <c r="AG173" s="193"/>
      <c r="AH173" s="193"/>
      <c r="AI173" s="193"/>
      <c r="AJ173" s="193"/>
      <c r="AK173" s="193"/>
      <c r="AL173" s="193"/>
      <c r="AM173" s="193"/>
      <c r="AN173" s="193"/>
      <c r="AO173" s="193"/>
      <c r="AP173" s="193"/>
      <c r="AQ173" s="193"/>
      <c r="AR173" s="193"/>
      <c r="AS173" s="193"/>
      <c r="AT173" s="193"/>
      <c r="AU173" s="193"/>
      <c r="AV173" s="193"/>
      <c r="AW173" s="193"/>
      <c r="AX173" s="193"/>
      <c r="AY173" s="193"/>
      <c r="AZ173" s="193"/>
    </row>
    <row r="174" spans="1:52">
      <c r="A174" s="193"/>
      <c r="Y174" s="193"/>
      <c r="Z174" s="193"/>
      <c r="AA174" s="193"/>
      <c r="AB174" s="193"/>
      <c r="AC174" s="193"/>
      <c r="AD174" s="193"/>
      <c r="AE174" s="193"/>
      <c r="AF174" s="193"/>
      <c r="AG174" s="193"/>
      <c r="AH174" s="193"/>
      <c r="AI174" s="193"/>
      <c r="AJ174" s="193"/>
      <c r="AK174" s="193"/>
      <c r="AL174" s="193"/>
      <c r="AM174" s="193"/>
      <c r="AN174" s="193"/>
      <c r="AO174" s="193"/>
      <c r="AP174" s="193"/>
      <c r="AQ174" s="193"/>
      <c r="AR174" s="193"/>
      <c r="AS174" s="193"/>
      <c r="AT174" s="193"/>
      <c r="AU174" s="193"/>
      <c r="AV174" s="193"/>
      <c r="AW174" s="193"/>
      <c r="AX174" s="193"/>
      <c r="AY174" s="193"/>
      <c r="AZ174" s="193"/>
    </row>
    <row r="175" spans="1:52">
      <c r="A175" s="193"/>
      <c r="Y175" s="193"/>
      <c r="Z175" s="193"/>
      <c r="AA175" s="193"/>
      <c r="AB175" s="193"/>
      <c r="AC175" s="193"/>
      <c r="AD175" s="193"/>
      <c r="AE175" s="193"/>
      <c r="AF175" s="193"/>
      <c r="AG175" s="193"/>
      <c r="AH175" s="193"/>
      <c r="AI175" s="193"/>
      <c r="AJ175" s="193"/>
      <c r="AK175" s="193"/>
      <c r="AL175" s="193"/>
      <c r="AM175" s="193"/>
      <c r="AN175" s="193"/>
      <c r="AO175" s="193"/>
      <c r="AP175" s="193"/>
      <c r="AQ175" s="193"/>
      <c r="AR175" s="193"/>
      <c r="AS175" s="193"/>
      <c r="AT175" s="193"/>
      <c r="AU175" s="193"/>
      <c r="AV175" s="193"/>
      <c r="AW175" s="193"/>
      <c r="AX175" s="193"/>
      <c r="AY175" s="193"/>
      <c r="AZ175" s="193"/>
    </row>
    <row r="176" spans="1:52">
      <c r="A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3"/>
      <c r="AY176" s="193"/>
      <c r="AZ176" s="193"/>
    </row>
    <row r="177" spans="1:52">
      <c r="A177" s="193"/>
      <c r="Y177" s="193"/>
      <c r="Z177" s="193"/>
      <c r="AA177" s="193"/>
      <c r="AB177" s="193"/>
      <c r="AC177" s="193"/>
      <c r="AD177" s="193"/>
      <c r="AE177" s="193"/>
      <c r="AF177" s="193"/>
      <c r="AG177" s="193"/>
      <c r="AH177" s="193"/>
      <c r="AI177" s="193"/>
      <c r="AJ177" s="193"/>
      <c r="AK177" s="193"/>
      <c r="AL177" s="193"/>
      <c r="AM177" s="193"/>
      <c r="AN177" s="193"/>
      <c r="AO177" s="193"/>
      <c r="AP177" s="193"/>
      <c r="AQ177" s="193"/>
      <c r="AR177" s="193"/>
      <c r="AS177" s="193"/>
      <c r="AT177" s="193"/>
      <c r="AU177" s="193"/>
      <c r="AV177" s="193"/>
      <c r="AW177" s="193"/>
      <c r="AX177" s="193"/>
      <c r="AY177" s="193"/>
      <c r="AZ177" s="193"/>
    </row>
    <row r="178" spans="1:52">
      <c r="A178" s="193"/>
      <c r="Y178" s="193"/>
      <c r="Z178" s="193"/>
      <c r="AA178" s="193"/>
      <c r="AB178" s="193"/>
      <c r="AC178" s="193"/>
      <c r="AD178" s="193"/>
      <c r="AE178" s="193"/>
      <c r="AF178" s="193"/>
      <c r="AG178" s="193"/>
      <c r="AH178" s="193"/>
      <c r="AI178" s="193"/>
      <c r="AJ178" s="193"/>
      <c r="AK178" s="193"/>
      <c r="AL178" s="193"/>
      <c r="AM178" s="193"/>
      <c r="AN178" s="193"/>
      <c r="AO178" s="193"/>
      <c r="AP178" s="193"/>
      <c r="AQ178" s="193"/>
      <c r="AR178" s="193"/>
      <c r="AS178" s="193"/>
      <c r="AT178" s="193"/>
      <c r="AU178" s="193"/>
      <c r="AV178" s="193"/>
      <c r="AW178" s="193"/>
      <c r="AX178" s="193"/>
      <c r="AY178" s="193"/>
      <c r="AZ178" s="193"/>
    </row>
    <row r="179" spans="1:52">
      <c r="A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3"/>
      <c r="AY179" s="193"/>
      <c r="AZ179" s="193"/>
    </row>
    <row r="180" spans="1:52">
      <c r="A180" s="193"/>
      <c r="Y180" s="193"/>
      <c r="Z180" s="193"/>
      <c r="AA180" s="193"/>
      <c r="AB180" s="193"/>
      <c r="AC180" s="193"/>
      <c r="AD180" s="193"/>
      <c r="AE180" s="193"/>
      <c r="AF180" s="193"/>
      <c r="AG180" s="193"/>
      <c r="AH180" s="193"/>
      <c r="AI180" s="193"/>
      <c r="AJ180" s="193"/>
      <c r="AK180" s="193"/>
      <c r="AL180" s="193"/>
      <c r="AM180" s="193"/>
      <c r="AN180" s="193"/>
      <c r="AO180" s="193"/>
      <c r="AP180" s="193"/>
      <c r="AQ180" s="193"/>
      <c r="AR180" s="193"/>
      <c r="AS180" s="193"/>
      <c r="AT180" s="193"/>
      <c r="AU180" s="193"/>
      <c r="AV180" s="193"/>
      <c r="AW180" s="193"/>
      <c r="AX180" s="193"/>
      <c r="AY180" s="193"/>
      <c r="AZ180" s="193"/>
    </row>
    <row r="181" spans="1:52">
      <c r="A181" s="193"/>
      <c r="Y181" s="193"/>
      <c r="Z181" s="193"/>
      <c r="AA181" s="193"/>
      <c r="AB181" s="193"/>
      <c r="AC181" s="193"/>
      <c r="AD181" s="193"/>
      <c r="AE181" s="193"/>
      <c r="AF181" s="193"/>
      <c r="AG181" s="193"/>
      <c r="AH181" s="193"/>
      <c r="AI181" s="193"/>
      <c r="AJ181" s="193"/>
      <c r="AK181" s="193"/>
      <c r="AL181" s="193"/>
      <c r="AM181" s="193"/>
      <c r="AN181" s="193"/>
      <c r="AO181" s="193"/>
      <c r="AP181" s="193"/>
      <c r="AQ181" s="193"/>
      <c r="AR181" s="193"/>
      <c r="AS181" s="193"/>
      <c r="AT181" s="193"/>
      <c r="AU181" s="193"/>
      <c r="AV181" s="193"/>
      <c r="AW181" s="193"/>
      <c r="AX181" s="193"/>
      <c r="AY181" s="193"/>
      <c r="AZ181" s="193"/>
    </row>
    <row r="182" spans="1:52">
      <c r="A182" s="193"/>
      <c r="Y182" s="193"/>
      <c r="Z182" s="193"/>
      <c r="AA182" s="193"/>
      <c r="AB182" s="193"/>
      <c r="AC182" s="193"/>
      <c r="AD182" s="193"/>
      <c r="AE182" s="193"/>
      <c r="AF182" s="193"/>
      <c r="AG182" s="193"/>
      <c r="AH182" s="193"/>
      <c r="AI182" s="193"/>
      <c r="AJ182" s="193"/>
      <c r="AK182" s="193"/>
      <c r="AL182" s="193"/>
      <c r="AM182" s="193"/>
      <c r="AN182" s="193"/>
      <c r="AO182" s="193"/>
      <c r="AP182" s="193"/>
      <c r="AQ182" s="193"/>
      <c r="AR182" s="193"/>
      <c r="AS182" s="193"/>
      <c r="AT182" s="193"/>
      <c r="AU182" s="193"/>
      <c r="AV182" s="193"/>
      <c r="AW182" s="193"/>
      <c r="AX182" s="193"/>
      <c r="AY182" s="193"/>
      <c r="AZ182" s="193"/>
    </row>
    <row r="183" spans="1:52">
      <c r="A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row>
    <row r="184" spans="1:52">
      <c r="A184" s="193"/>
      <c r="Y184" s="193"/>
      <c r="Z184" s="193"/>
      <c r="AA184" s="193"/>
      <c r="AB184" s="193"/>
      <c r="AC184" s="193"/>
      <c r="AD184" s="193"/>
      <c r="AE184" s="193"/>
      <c r="AF184" s="193"/>
      <c r="AG184" s="193"/>
      <c r="AH184" s="193"/>
      <c r="AI184" s="193"/>
      <c r="AJ184" s="193"/>
      <c r="AK184" s="193"/>
      <c r="AL184" s="193"/>
      <c r="AM184" s="193"/>
      <c r="AN184" s="193"/>
      <c r="AO184" s="193"/>
      <c r="AP184" s="193"/>
      <c r="AQ184" s="193"/>
      <c r="AR184" s="193"/>
      <c r="AS184" s="193"/>
      <c r="AT184" s="193"/>
      <c r="AU184" s="193"/>
      <c r="AV184" s="193"/>
      <c r="AW184" s="193"/>
      <c r="AX184" s="193"/>
      <c r="AY184" s="193"/>
      <c r="AZ184" s="193"/>
    </row>
    <row r="185" spans="1:52">
      <c r="A185" s="193"/>
      <c r="Y185" s="193"/>
      <c r="Z185" s="193"/>
      <c r="AA185" s="193"/>
      <c r="AB185" s="193"/>
      <c r="AC185" s="193"/>
      <c r="AD185" s="193"/>
      <c r="AE185" s="193"/>
      <c r="AF185" s="193"/>
      <c r="AG185" s="193"/>
      <c r="AH185" s="193"/>
      <c r="AI185" s="193"/>
      <c r="AJ185" s="193"/>
      <c r="AK185" s="193"/>
      <c r="AL185" s="193"/>
      <c r="AM185" s="193"/>
      <c r="AN185" s="193"/>
      <c r="AO185" s="193"/>
      <c r="AP185" s="193"/>
      <c r="AQ185" s="193"/>
      <c r="AR185" s="193"/>
      <c r="AS185" s="193"/>
      <c r="AT185" s="193"/>
      <c r="AU185" s="193"/>
      <c r="AV185" s="193"/>
      <c r="AW185" s="193"/>
      <c r="AX185" s="193"/>
      <c r="AY185" s="193"/>
      <c r="AZ185" s="193"/>
    </row>
    <row r="186" spans="1:52">
      <c r="A186" s="193"/>
      <c r="Y186" s="193"/>
      <c r="Z186" s="193"/>
      <c r="AA186" s="193"/>
      <c r="AB186" s="193"/>
      <c r="AC186" s="193"/>
      <c r="AD186" s="193"/>
      <c r="AE186" s="193"/>
      <c r="AF186" s="193"/>
      <c r="AG186" s="193"/>
      <c r="AH186" s="193"/>
      <c r="AI186" s="193"/>
      <c r="AJ186" s="193"/>
      <c r="AK186" s="193"/>
      <c r="AL186" s="193"/>
      <c r="AM186" s="193"/>
      <c r="AN186" s="193"/>
      <c r="AO186" s="193"/>
      <c r="AP186" s="193"/>
      <c r="AQ186" s="193"/>
      <c r="AR186" s="193"/>
      <c r="AS186" s="193"/>
      <c r="AT186" s="193"/>
      <c r="AU186" s="193"/>
      <c r="AV186" s="193"/>
      <c r="AW186" s="193"/>
      <c r="AX186" s="193"/>
      <c r="AY186" s="193"/>
      <c r="AZ186" s="193"/>
    </row>
    <row r="187" spans="1:52">
      <c r="A187" s="193"/>
      <c r="Y187" s="193"/>
      <c r="Z187" s="193"/>
      <c r="AA187" s="193"/>
      <c r="AB187" s="193"/>
      <c r="AC187" s="193"/>
      <c r="AD187" s="193"/>
      <c r="AE187" s="193"/>
      <c r="AF187" s="193"/>
      <c r="AG187" s="193"/>
      <c r="AH187" s="193"/>
      <c r="AI187" s="193"/>
      <c r="AJ187" s="193"/>
      <c r="AK187" s="193"/>
      <c r="AL187" s="193"/>
      <c r="AM187" s="193"/>
      <c r="AN187" s="193"/>
      <c r="AO187" s="193"/>
      <c r="AP187" s="193"/>
      <c r="AQ187" s="193"/>
      <c r="AR187" s="193"/>
      <c r="AS187" s="193"/>
      <c r="AT187" s="193"/>
      <c r="AU187" s="193"/>
      <c r="AV187" s="193"/>
      <c r="AW187" s="193"/>
      <c r="AX187" s="193"/>
      <c r="AY187" s="193"/>
      <c r="AZ187" s="193"/>
    </row>
    <row r="188" spans="1:52">
      <c r="A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193"/>
      <c r="AV188" s="193"/>
      <c r="AW188" s="193"/>
      <c r="AX188" s="193"/>
      <c r="AY188" s="193"/>
      <c r="AZ188" s="193"/>
    </row>
    <row r="189" spans="1:52">
      <c r="A189" s="193"/>
      <c r="Y189" s="193"/>
      <c r="Z189" s="193"/>
      <c r="AA189" s="193"/>
      <c r="AB189" s="193"/>
      <c r="AC189" s="193"/>
      <c r="AD189" s="193"/>
      <c r="AE189" s="193"/>
      <c r="AF189" s="193"/>
      <c r="AG189" s="193"/>
      <c r="AH189" s="193"/>
      <c r="AI189" s="193"/>
      <c r="AJ189" s="193"/>
      <c r="AK189" s="193"/>
      <c r="AL189" s="193"/>
      <c r="AM189" s="193"/>
      <c r="AN189" s="193"/>
      <c r="AO189" s="193"/>
      <c r="AP189" s="193"/>
      <c r="AQ189" s="193"/>
      <c r="AR189" s="193"/>
      <c r="AS189" s="193"/>
      <c r="AT189" s="193"/>
      <c r="AU189" s="193"/>
      <c r="AV189" s="193"/>
      <c r="AW189" s="193"/>
      <c r="AX189" s="193"/>
      <c r="AY189" s="193"/>
      <c r="AZ189" s="193"/>
    </row>
    <row r="190" spans="1:52">
      <c r="A190" s="193"/>
      <c r="Y190" s="193"/>
      <c r="Z190" s="193"/>
      <c r="AA190" s="193"/>
      <c r="AB190" s="193"/>
      <c r="AC190" s="193"/>
      <c r="AD190" s="193"/>
      <c r="AE190" s="193"/>
      <c r="AF190" s="193"/>
      <c r="AG190" s="193"/>
      <c r="AH190" s="193"/>
      <c r="AI190" s="193"/>
      <c r="AJ190" s="193"/>
      <c r="AK190" s="193"/>
      <c r="AL190" s="193"/>
      <c r="AM190" s="193"/>
      <c r="AN190" s="193"/>
      <c r="AO190" s="193"/>
      <c r="AP190" s="193"/>
      <c r="AQ190" s="193"/>
      <c r="AR190" s="193"/>
      <c r="AS190" s="193"/>
      <c r="AT190" s="193"/>
      <c r="AU190" s="193"/>
      <c r="AV190" s="193"/>
      <c r="AW190" s="193"/>
      <c r="AX190" s="193"/>
      <c r="AY190" s="193"/>
      <c r="AZ190" s="193"/>
    </row>
    <row r="191" spans="1:52">
      <c r="A191" s="193"/>
      <c r="Y191" s="193"/>
      <c r="Z191" s="193"/>
      <c r="AA191" s="193"/>
      <c r="AB191" s="193"/>
      <c r="AC191" s="193"/>
      <c r="AD191" s="193"/>
      <c r="AE191" s="193"/>
      <c r="AF191" s="193"/>
      <c r="AG191" s="193"/>
      <c r="AH191" s="193"/>
      <c r="AI191" s="193"/>
      <c r="AJ191" s="193"/>
      <c r="AK191" s="193"/>
      <c r="AL191" s="193"/>
      <c r="AM191" s="193"/>
      <c r="AN191" s="193"/>
      <c r="AO191" s="193"/>
      <c r="AP191" s="193"/>
      <c r="AQ191" s="193"/>
      <c r="AR191" s="193"/>
      <c r="AS191" s="193"/>
      <c r="AT191" s="193"/>
      <c r="AU191" s="193"/>
      <c r="AV191" s="193"/>
      <c r="AW191" s="193"/>
      <c r="AX191" s="193"/>
      <c r="AY191" s="193"/>
      <c r="AZ191" s="193"/>
    </row>
    <row r="192" spans="1:52">
      <c r="A192" s="193"/>
      <c r="Y192" s="193"/>
      <c r="Z192" s="193"/>
      <c r="AA192" s="193"/>
      <c r="AB192" s="193"/>
      <c r="AC192" s="193"/>
      <c r="AD192" s="193"/>
      <c r="AE192" s="193"/>
      <c r="AF192" s="193"/>
      <c r="AG192" s="193"/>
      <c r="AH192" s="193"/>
      <c r="AI192" s="193"/>
      <c r="AJ192" s="193"/>
      <c r="AK192" s="193"/>
      <c r="AL192" s="193"/>
      <c r="AM192" s="193"/>
      <c r="AN192" s="193"/>
      <c r="AO192" s="193"/>
      <c r="AP192" s="193"/>
      <c r="AQ192" s="193"/>
      <c r="AR192" s="193"/>
      <c r="AS192" s="193"/>
      <c r="AT192" s="193"/>
      <c r="AU192" s="193"/>
      <c r="AV192" s="193"/>
      <c r="AW192" s="193"/>
      <c r="AX192" s="193"/>
      <c r="AY192" s="193"/>
      <c r="AZ192" s="193"/>
    </row>
    <row r="193" spans="1:52">
      <c r="A193" s="193"/>
      <c r="Y193" s="193"/>
      <c r="Z193" s="193"/>
      <c r="AA193" s="193"/>
      <c r="AB193" s="193"/>
      <c r="AC193" s="193"/>
      <c r="AD193" s="193"/>
      <c r="AE193" s="193"/>
      <c r="AF193" s="193"/>
      <c r="AG193" s="193"/>
      <c r="AH193" s="193"/>
      <c r="AI193" s="193"/>
      <c r="AJ193" s="193"/>
      <c r="AK193" s="193"/>
      <c r="AL193" s="193"/>
      <c r="AM193" s="193"/>
      <c r="AN193" s="193"/>
      <c r="AO193" s="193"/>
      <c r="AP193" s="193"/>
      <c r="AQ193" s="193"/>
      <c r="AR193" s="193"/>
      <c r="AS193" s="193"/>
      <c r="AT193" s="193"/>
      <c r="AU193" s="193"/>
      <c r="AV193" s="193"/>
      <c r="AW193" s="193"/>
      <c r="AX193" s="193"/>
      <c r="AY193" s="193"/>
      <c r="AZ193" s="193"/>
    </row>
    <row r="194" spans="1:52">
      <c r="A194" s="193"/>
      <c r="Y194" s="193"/>
      <c r="Z194" s="193"/>
      <c r="AA194" s="193"/>
      <c r="AB194" s="193"/>
      <c r="AC194" s="193"/>
      <c r="AD194" s="193"/>
      <c r="AE194" s="193"/>
      <c r="AF194" s="193"/>
      <c r="AG194" s="193"/>
      <c r="AH194" s="193"/>
      <c r="AI194" s="193"/>
      <c r="AJ194" s="193"/>
      <c r="AK194" s="193"/>
      <c r="AL194" s="193"/>
      <c r="AM194" s="193"/>
      <c r="AN194" s="193"/>
      <c r="AO194" s="193"/>
      <c r="AP194" s="193"/>
      <c r="AQ194" s="193"/>
      <c r="AR194" s="193"/>
      <c r="AS194" s="193"/>
      <c r="AT194" s="193"/>
      <c r="AU194" s="193"/>
      <c r="AV194" s="193"/>
      <c r="AW194" s="193"/>
      <c r="AX194" s="193"/>
      <c r="AY194" s="193"/>
      <c r="AZ194" s="193"/>
    </row>
    <row r="195" spans="1:52">
      <c r="A195" s="193"/>
      <c r="Y195" s="193"/>
      <c r="Z195" s="193"/>
      <c r="AA195" s="193"/>
      <c r="AB195" s="193"/>
      <c r="AC195" s="193"/>
      <c r="AD195" s="193"/>
      <c r="AE195" s="193"/>
      <c r="AF195" s="193"/>
      <c r="AG195" s="193"/>
      <c r="AH195" s="193"/>
      <c r="AI195" s="193"/>
      <c r="AJ195" s="193"/>
      <c r="AK195" s="193"/>
      <c r="AL195" s="193"/>
      <c r="AM195" s="193"/>
      <c r="AN195" s="193"/>
      <c r="AO195" s="193"/>
      <c r="AP195" s="193"/>
      <c r="AQ195" s="193"/>
      <c r="AR195" s="193"/>
      <c r="AS195" s="193"/>
      <c r="AT195" s="193"/>
      <c r="AU195" s="193"/>
      <c r="AV195" s="193"/>
      <c r="AW195" s="193"/>
      <c r="AX195" s="193"/>
      <c r="AY195" s="193"/>
      <c r="AZ195" s="193"/>
    </row>
    <row r="196" spans="1:52">
      <c r="A196" s="193"/>
      <c r="Y196" s="193"/>
      <c r="Z196" s="193"/>
      <c r="AA196" s="193"/>
      <c r="AB196" s="193"/>
      <c r="AC196" s="193"/>
      <c r="AD196" s="193"/>
      <c r="AE196" s="193"/>
      <c r="AF196" s="193"/>
      <c r="AG196" s="193"/>
      <c r="AH196" s="193"/>
      <c r="AI196" s="193"/>
      <c r="AJ196" s="193"/>
      <c r="AK196" s="193"/>
      <c r="AL196" s="193"/>
      <c r="AM196" s="193"/>
      <c r="AN196" s="193"/>
      <c r="AO196" s="193"/>
      <c r="AP196" s="193"/>
      <c r="AQ196" s="193"/>
      <c r="AR196" s="193"/>
      <c r="AS196" s="193"/>
      <c r="AT196" s="193"/>
      <c r="AU196" s="193"/>
      <c r="AV196" s="193"/>
      <c r="AW196" s="193"/>
      <c r="AX196" s="193"/>
      <c r="AY196" s="193"/>
      <c r="AZ196" s="193"/>
    </row>
    <row r="197" spans="1:52">
      <c r="A197" s="193"/>
      <c r="Y197" s="193"/>
      <c r="Z197" s="193"/>
      <c r="AA197" s="193"/>
      <c r="AB197" s="193"/>
      <c r="AC197" s="193"/>
      <c r="AD197" s="193"/>
      <c r="AE197" s="193"/>
      <c r="AF197" s="193"/>
      <c r="AG197" s="193"/>
      <c r="AH197" s="193"/>
      <c r="AI197" s="193"/>
      <c r="AJ197" s="193"/>
      <c r="AK197" s="193"/>
      <c r="AL197" s="193"/>
      <c r="AM197" s="193"/>
      <c r="AN197" s="193"/>
      <c r="AO197" s="193"/>
      <c r="AP197" s="193"/>
      <c r="AQ197" s="193"/>
      <c r="AR197" s="193"/>
      <c r="AS197" s="193"/>
      <c r="AT197" s="193"/>
      <c r="AU197" s="193"/>
      <c r="AV197" s="193"/>
      <c r="AW197" s="193"/>
      <c r="AX197" s="193"/>
      <c r="AY197" s="193"/>
      <c r="AZ197" s="193"/>
    </row>
    <row r="198" spans="1:52">
      <c r="A198" s="193"/>
      <c r="Y198" s="193"/>
      <c r="Z198" s="193"/>
      <c r="AA198" s="193"/>
      <c r="AB198" s="193"/>
      <c r="AC198" s="193"/>
      <c r="AD198" s="193"/>
      <c r="AE198" s="193"/>
      <c r="AF198" s="193"/>
      <c r="AG198" s="193"/>
      <c r="AH198" s="193"/>
      <c r="AI198" s="193"/>
      <c r="AJ198" s="193"/>
      <c r="AK198" s="193"/>
      <c r="AL198" s="193"/>
      <c r="AM198" s="193"/>
      <c r="AN198" s="193"/>
      <c r="AO198" s="193"/>
      <c r="AP198" s="193"/>
      <c r="AQ198" s="193"/>
      <c r="AR198" s="193"/>
      <c r="AS198" s="193"/>
      <c r="AT198" s="193"/>
      <c r="AU198" s="193"/>
      <c r="AV198" s="193"/>
      <c r="AW198" s="193"/>
      <c r="AX198" s="193"/>
      <c r="AY198" s="193"/>
      <c r="AZ198" s="193"/>
    </row>
    <row r="199" spans="1:52">
      <c r="A199" s="193"/>
      <c r="Y199" s="193"/>
      <c r="Z199" s="193"/>
      <c r="AA199" s="193"/>
      <c r="AB199" s="193"/>
      <c r="AC199" s="193"/>
      <c r="AD199" s="193"/>
      <c r="AE199" s="193"/>
      <c r="AF199" s="193"/>
      <c r="AG199" s="193"/>
      <c r="AH199" s="193"/>
      <c r="AI199" s="193"/>
      <c r="AJ199" s="193"/>
      <c r="AK199" s="193"/>
      <c r="AL199" s="193"/>
      <c r="AM199" s="193"/>
      <c r="AN199" s="193"/>
      <c r="AO199" s="193"/>
      <c r="AP199" s="193"/>
      <c r="AQ199" s="193"/>
      <c r="AR199" s="193"/>
      <c r="AS199" s="193"/>
      <c r="AT199" s="193"/>
      <c r="AU199" s="193"/>
      <c r="AV199" s="193"/>
      <c r="AW199" s="193"/>
      <c r="AX199" s="193"/>
      <c r="AY199" s="193"/>
      <c r="AZ199" s="193"/>
    </row>
    <row r="200" spans="1:52">
      <c r="A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row>
    <row r="201" spans="1:52">
      <c r="A201" s="193"/>
      <c r="Y201" s="193"/>
      <c r="Z201" s="193"/>
      <c r="AA201" s="193"/>
      <c r="AB201" s="193"/>
      <c r="AC201" s="193"/>
      <c r="AD201" s="193"/>
      <c r="AE201" s="193"/>
      <c r="AF201" s="193"/>
      <c r="AG201" s="193"/>
      <c r="AH201" s="193"/>
      <c r="AI201" s="193"/>
      <c r="AJ201" s="193"/>
      <c r="AK201" s="193"/>
      <c r="AL201" s="193"/>
      <c r="AM201" s="193"/>
      <c r="AN201" s="193"/>
      <c r="AO201" s="193"/>
      <c r="AP201" s="193"/>
      <c r="AQ201" s="193"/>
      <c r="AR201" s="193"/>
      <c r="AS201" s="193"/>
      <c r="AT201" s="193"/>
      <c r="AU201" s="193"/>
      <c r="AV201" s="193"/>
      <c r="AW201" s="193"/>
      <c r="AX201" s="193"/>
      <c r="AY201" s="193"/>
      <c r="AZ201" s="193"/>
    </row>
    <row r="202" spans="1:52">
      <c r="A202" s="193"/>
      <c r="Y202" s="193"/>
      <c r="Z202" s="193"/>
      <c r="AA202" s="193"/>
      <c r="AB202" s="193"/>
      <c r="AC202" s="193"/>
      <c r="AD202" s="193"/>
      <c r="AE202" s="193"/>
      <c r="AF202" s="193"/>
      <c r="AG202" s="193"/>
      <c r="AH202" s="193"/>
      <c r="AI202" s="193"/>
      <c r="AJ202" s="193"/>
      <c r="AK202" s="193"/>
      <c r="AL202" s="193"/>
      <c r="AM202" s="193"/>
      <c r="AN202" s="193"/>
      <c r="AO202" s="193"/>
      <c r="AP202" s="193"/>
      <c r="AQ202" s="193"/>
      <c r="AR202" s="193"/>
      <c r="AS202" s="193"/>
      <c r="AT202" s="193"/>
      <c r="AU202" s="193"/>
      <c r="AV202" s="193"/>
      <c r="AW202" s="193"/>
      <c r="AX202" s="193"/>
      <c r="AY202" s="193"/>
      <c r="AZ202" s="193"/>
    </row>
    <row r="203" spans="1:52">
      <c r="A203" s="193"/>
      <c r="Y203" s="193"/>
      <c r="Z203" s="193"/>
      <c r="AA203" s="193"/>
      <c r="AB203" s="193"/>
      <c r="AC203" s="193"/>
      <c r="AD203" s="193"/>
      <c r="AE203" s="193"/>
      <c r="AF203" s="193"/>
      <c r="AG203" s="193"/>
      <c r="AH203" s="193"/>
      <c r="AI203" s="193"/>
      <c r="AJ203" s="193"/>
      <c r="AK203" s="193"/>
      <c r="AL203" s="193"/>
      <c r="AM203" s="193"/>
      <c r="AN203" s="193"/>
      <c r="AO203" s="193"/>
      <c r="AP203" s="193"/>
      <c r="AQ203" s="193"/>
      <c r="AR203" s="193"/>
      <c r="AS203" s="193"/>
      <c r="AT203" s="193"/>
      <c r="AU203" s="193"/>
      <c r="AV203" s="193"/>
      <c r="AW203" s="193"/>
      <c r="AX203" s="193"/>
      <c r="AY203" s="193"/>
      <c r="AZ203" s="193"/>
    </row>
    <row r="204" spans="1:52">
      <c r="A204" s="193"/>
      <c r="Y204" s="193"/>
      <c r="Z204" s="193"/>
      <c r="AA204" s="193"/>
      <c r="AB204" s="193"/>
      <c r="AC204" s="193"/>
      <c r="AD204" s="193"/>
      <c r="AE204" s="193"/>
      <c r="AF204" s="193"/>
      <c r="AG204" s="193"/>
      <c r="AH204" s="193"/>
      <c r="AI204" s="193"/>
      <c r="AJ204" s="193"/>
      <c r="AK204" s="193"/>
      <c r="AL204" s="193"/>
      <c r="AM204" s="193"/>
      <c r="AN204" s="193"/>
      <c r="AO204" s="193"/>
      <c r="AP204" s="193"/>
      <c r="AQ204" s="193"/>
      <c r="AR204" s="193"/>
      <c r="AS204" s="193"/>
      <c r="AT204" s="193"/>
      <c r="AU204" s="193"/>
      <c r="AV204" s="193"/>
      <c r="AW204" s="193"/>
      <c r="AX204" s="193"/>
      <c r="AY204" s="193"/>
      <c r="AZ204" s="193"/>
    </row>
    <row r="205" spans="1:52">
      <c r="A205" s="193"/>
      <c r="Y205" s="193"/>
      <c r="Z205" s="193"/>
      <c r="AA205" s="193"/>
      <c r="AB205" s="193"/>
      <c r="AC205" s="193"/>
      <c r="AD205" s="193"/>
      <c r="AE205" s="193"/>
      <c r="AF205" s="193"/>
      <c r="AG205" s="193"/>
      <c r="AH205" s="193"/>
      <c r="AI205" s="193"/>
      <c r="AJ205" s="193"/>
      <c r="AK205" s="193"/>
      <c r="AL205" s="193"/>
      <c r="AM205" s="193"/>
      <c r="AN205" s="193"/>
      <c r="AO205" s="193"/>
      <c r="AP205" s="193"/>
      <c r="AQ205" s="193"/>
      <c r="AR205" s="193"/>
      <c r="AS205" s="193"/>
      <c r="AT205" s="193"/>
      <c r="AU205" s="193"/>
      <c r="AV205" s="193"/>
      <c r="AW205" s="193"/>
      <c r="AX205" s="193"/>
      <c r="AY205" s="193"/>
      <c r="AZ205" s="193"/>
    </row>
  </sheetData>
  <sheetProtection algorithmName="SHA-512" hashValue="4R2U/clVQ7h5PzlqM5hsc20oMHlNssGPB6keffbU4pG2N8NcRdIIpVL8+cFYxIJCyKqgkGvTq+drM+oBhrHycA==" saltValue="bZnCaR4ecnK7hD89dISuTw==" spinCount="100000" sheet="1" selectLockedCells="1"/>
  <mergeCells count="2">
    <mergeCell ref="G4:P4"/>
    <mergeCell ref="B2:U2"/>
  </mergeCells>
  <phoneticPr fontId="10" type="noConversion"/>
  <conditionalFormatting sqref="G6:P55">
    <cfRule type="expression" dxfId="262" priority="14">
      <formula>OR($E6="",$F6="")</formula>
    </cfRule>
  </conditionalFormatting>
  <conditionalFormatting sqref="H6:I55">
    <cfRule type="expression" dxfId="261" priority="5">
      <formula>OR($E6="Guestroom Energy Management Controls", $E6="Smart Thermostats for Small Business", $E6="Commercial Duct Sealing")</formula>
    </cfRule>
  </conditionalFormatting>
  <conditionalFormatting sqref="J6:L55">
    <cfRule type="expression" dxfId="260" priority="4">
      <formula>AND($E6&lt;&gt;"High Eff. AC Unit",$E6&lt;&gt;"High Eff. Heat Pump Unit")</formula>
    </cfRule>
  </conditionalFormatting>
  <conditionalFormatting sqref="L6:L55">
    <cfRule type="expression" dxfId="259" priority="2">
      <formula>$E6&lt;&gt;"High Eff. Heat Pump Unit"</formula>
    </cfRule>
  </conditionalFormatting>
  <conditionalFormatting sqref="M6:N55">
    <cfRule type="expression" dxfId="258" priority="1">
      <formula>AND($E6&lt;&gt;"Tune-Up of Air-Cooled Chiller", $E6&lt;&gt;"Tune-Up of Water-Cooled Chiller (Reciprocating, Rotary Screw, Scroll)", $E6&lt;&gt;"Tune-Up of Water-Cooled Chiller (Centrifugal)")</formula>
    </cfRule>
  </conditionalFormatting>
  <dataValidations count="1">
    <dataValidation type="list" allowBlank="1" showInputMessage="1" showErrorMessage="1" sqref="E6:E55" xr:uid="{EC948A56-5DDA-46E0-992E-80BD92A1837B}">
      <formula1>List_HVAC_Measure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07D96C7-5B89-48BB-9866-A4EA4750BB35}">
          <x14:formula1>
            <xm:f>References!$K$103:$K$112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E205-5EDA-4FBB-9699-60F572B06CD8}">
  <sheetPr codeName="Sheet6">
    <tabColor theme="4"/>
    <pageSetUpPr fitToPage="1"/>
  </sheetPr>
  <dimension ref="B1:U105"/>
  <sheetViews>
    <sheetView showGridLines="0" showRowColHeaders="0" workbookViewId="0">
      <selection activeCell="D6" sqref="D6"/>
    </sheetView>
  </sheetViews>
  <sheetFormatPr defaultColWidth="9.140625" defaultRowHeight="12.75"/>
  <cols>
    <col min="1" max="1" width="2.85546875" style="6" customWidth="1"/>
    <col min="2" max="2" width="5.85546875" style="6" customWidth="1"/>
    <col min="3" max="3" width="9.7109375" style="6" customWidth="1"/>
    <col min="4" max="4" width="17.28515625" style="6" customWidth="1"/>
    <col min="5" max="6" width="29.5703125" style="6" customWidth="1"/>
    <col min="7" max="7" width="10.140625" style="6" customWidth="1"/>
    <col min="8" max="8" width="11.140625" style="9" customWidth="1"/>
    <col min="9" max="10" width="10.5703125" style="9" customWidth="1"/>
    <col min="11" max="11" width="11" style="6" customWidth="1"/>
    <col min="12" max="12" width="12" style="6" customWidth="1"/>
    <col min="13" max="13" width="11.85546875" style="6" customWidth="1"/>
    <col min="14" max="15" width="10.28515625" style="6" customWidth="1"/>
    <col min="16" max="16" width="13.42578125" style="6" customWidth="1"/>
    <col min="17" max="17" width="9.5703125" style="6" customWidth="1"/>
    <col min="18" max="21" width="9.140625" style="189"/>
    <col min="22" max="16384" width="9.140625" style="6"/>
  </cols>
  <sheetData>
    <row r="1" spans="2:21" ht="54.75" customHeight="1"/>
    <row r="2" spans="2:21" s="209" customFormat="1" ht="33" customHeight="1">
      <c r="B2" s="307" t="s">
        <v>123</v>
      </c>
      <c r="C2" s="307"/>
      <c r="D2" s="307"/>
      <c r="E2" s="307"/>
      <c r="F2" s="307"/>
      <c r="G2" s="307"/>
      <c r="H2" s="307"/>
      <c r="I2" s="307"/>
      <c r="J2" s="307"/>
      <c r="K2" s="307"/>
      <c r="L2" s="307"/>
      <c r="M2" s="307"/>
      <c r="N2" s="307"/>
      <c r="O2" s="240"/>
      <c r="P2" s="241"/>
      <c r="Q2" s="241"/>
    </row>
    <row r="3" spans="2:21" s="189" customFormat="1">
      <c r="O3" s="6"/>
    </row>
    <row r="4" spans="2:21" s="7" customFormat="1" ht="15.75">
      <c r="B4" s="72"/>
      <c r="C4" s="72"/>
      <c r="D4" s="72"/>
      <c r="E4" s="189"/>
      <c r="F4" s="189"/>
      <c r="G4" s="312" t="s">
        <v>98</v>
      </c>
      <c r="H4" s="313"/>
      <c r="I4" s="314"/>
      <c r="J4" s="216" t="s">
        <v>99</v>
      </c>
      <c r="K4" s="217">
        <f>SUM(Table_Custom_Input[Estimated incentive])</f>
        <v>0</v>
      </c>
      <c r="L4" s="218">
        <f>SUM(Table_Custom_Input[Energy savings (kWh)])</f>
        <v>0</v>
      </c>
      <c r="M4" s="219">
        <f>SUM(Table_Custom_Input[Demand reduction (kW)])</f>
        <v>0</v>
      </c>
      <c r="N4" s="220">
        <f>SUM(Table_Custom_Input[Cost savings])</f>
        <v>0</v>
      </c>
      <c r="O4" s="220">
        <f>SUM(Table_Custom_Input[Gross measure cost])</f>
        <v>0</v>
      </c>
      <c r="P4" s="220">
        <f>O4-K4</f>
        <v>0</v>
      </c>
      <c r="Q4" s="218" t="str">
        <f>IFERROR(P4/N4, "")</f>
        <v/>
      </c>
      <c r="R4" s="189"/>
      <c r="S4" s="189"/>
      <c r="T4" s="189"/>
      <c r="U4" s="189"/>
    </row>
    <row r="5" spans="2:21" s="242" customFormat="1" ht="38.25">
      <c r="B5" s="243" t="s">
        <v>100</v>
      </c>
      <c r="C5" s="243" t="s">
        <v>101</v>
      </c>
      <c r="D5" s="244" t="s">
        <v>102</v>
      </c>
      <c r="E5" s="245" t="s">
        <v>124</v>
      </c>
      <c r="F5" s="245" t="s">
        <v>104</v>
      </c>
      <c r="G5" s="246" t="s">
        <v>125</v>
      </c>
      <c r="H5" s="246" t="s">
        <v>113</v>
      </c>
      <c r="I5" s="246" t="s">
        <v>114</v>
      </c>
      <c r="J5" s="245" t="s">
        <v>115</v>
      </c>
      <c r="K5" s="245" t="s">
        <v>116</v>
      </c>
      <c r="L5" s="245" t="s">
        <v>117</v>
      </c>
      <c r="M5" s="245" t="s">
        <v>118</v>
      </c>
      <c r="N5" s="245" t="s">
        <v>119</v>
      </c>
      <c r="O5" s="245" t="s">
        <v>120</v>
      </c>
      <c r="P5" s="245" t="s">
        <v>121</v>
      </c>
      <c r="Q5" s="245" t="s">
        <v>122</v>
      </c>
      <c r="R5" s="189"/>
      <c r="S5" s="189"/>
      <c r="T5" s="189"/>
      <c r="U5" s="189"/>
    </row>
    <row r="6" spans="2:21" s="13" customFormat="1" ht="15">
      <c r="B6" s="192">
        <v>1</v>
      </c>
      <c r="C6" s="192" t="str">
        <f>IFERROR(INDEX(Table_Prescript_Meas[Measure Number], MATCH(Table_Custom_Input[[#This Row],[Refrigeration measure]], Table_Prescript_Meas[Measure Description], 0)), "")</f>
        <v/>
      </c>
      <c r="D6" s="224"/>
      <c r="E6" s="215"/>
      <c r="F6" s="192" t="str">
        <f>IFERROR(INDEX(Table_Prescript_Meas[Units], MATCH(Table_Custom_Input[[#This Row],[Measure number]], Table_Prescript_Meas[Measure Number], 0)), "")</f>
        <v/>
      </c>
      <c r="G6" s="191"/>
      <c r="H6" s="226"/>
      <c r="I6" s="226"/>
      <c r="J6"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6" s="227" t="str">
        <f>IFERROR(Table_Custom_Input[[#This Row],[Number of units]]*Table_Custom_Input[[#This Row],[Per-unit incentive]],"")</f>
        <v/>
      </c>
      <c r="L6" s="228" t="str">
        <f>IFERROR(Table_Custom_Input[[#This Row],[Number of units]]*INDEX(Table_Prescript_Meas[Deemed kWh Savings], MATCH(Table_Custom_Input[[#This Row],[Measure number]], Table_Prescript_Meas[Measure Number], 0)),"" )</f>
        <v/>
      </c>
      <c r="M6" s="229" t="str">
        <f>IFERROR(Table_Custom_Input[[#This Row],[Number of units]]*INDEX(Table_Prescript_Meas[Deemed kW Savings], MATCH(Table_Custom_Input[[#This Row],[Measure number]], Table_Prescript_Meas[Measure Number], 0)),"" )</f>
        <v/>
      </c>
      <c r="N6" s="227" t="str">
        <f>IFERROR(Table_Custom_Input[[#This Row],[Energy savings (kWh)]]*Input_AvgkWhRate, "")</f>
        <v/>
      </c>
      <c r="O6" s="227" t="str">
        <f>IF(Table_Custom_Input[[#This Row],[Measure number]]&lt;&gt;"",Table_Custom_Input[[#This Row],[Total equipment cost]]+Table_Custom_Input[[#This Row],[Total labor cost]],"")</f>
        <v/>
      </c>
      <c r="P6" s="227" t="str">
        <f>IF(Table_Custom_Input[[#This Row],[Measure number]]="","",Table_Custom_Input[[#This Row],[Gross measure cost]]-Table_Custom_Input[[#This Row],[Estimated incentive]])</f>
        <v/>
      </c>
      <c r="Q6" s="228" t="str">
        <f>IFERROR('Input Refrigeration Measures'!$P6/'Input Refrigeration Measures'!$N6, "")</f>
        <v/>
      </c>
      <c r="R6" s="189"/>
      <c r="S6" s="189"/>
      <c r="T6" s="189"/>
      <c r="U6" s="189"/>
    </row>
    <row r="7" spans="2:21" s="13" customFormat="1" ht="15">
      <c r="B7" s="192">
        <v>2</v>
      </c>
      <c r="C7" s="192" t="str">
        <f>IFERROR(INDEX(Table_Prescript_Meas[Measure Number], MATCH(Table_Custom_Input[[#This Row],[Refrigeration measure]], Table_Prescript_Meas[Measure Description], 0)), "")</f>
        <v/>
      </c>
      <c r="D7" s="224"/>
      <c r="E7" s="215"/>
      <c r="F7" s="192" t="str">
        <f>IFERROR(INDEX(Table_Prescript_Meas[Units], MATCH(Table_Custom_Input[[#This Row],[Measure number]], Table_Prescript_Meas[Measure Number], 0)), "")</f>
        <v/>
      </c>
      <c r="G7" s="191"/>
      <c r="H7" s="226"/>
      <c r="I7" s="226"/>
      <c r="J7"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7" s="227" t="str">
        <f>IFERROR(Table_Custom_Input[[#This Row],[Number of units]]*Table_Custom_Input[[#This Row],[Per-unit incentive]],"")</f>
        <v/>
      </c>
      <c r="L7" s="228" t="str">
        <f>IFERROR(Table_Custom_Input[[#This Row],[Number of units]]*INDEX(Table_Prescript_Meas[Deemed kWh Savings], MATCH(Table_Custom_Input[[#This Row],[Measure number]], Table_Prescript_Meas[Measure Number], 0)),"" )</f>
        <v/>
      </c>
      <c r="M7" s="229" t="str">
        <f>IFERROR(Table_Custom_Input[[#This Row],[Number of units]]*INDEX(Table_Prescript_Meas[Deemed kW Savings], MATCH(Table_Custom_Input[[#This Row],[Measure number]], Table_Prescript_Meas[Measure Number], 0)),"" )</f>
        <v/>
      </c>
      <c r="N7" s="227" t="str">
        <f>IFERROR(Table_Custom_Input[[#This Row],[Energy savings (kWh)]]*Input_AvgkWhRate, "")</f>
        <v/>
      </c>
      <c r="O7" s="227" t="str">
        <f>IF(Table_Custom_Input[[#This Row],[Measure number]]&lt;&gt;"",Table_Custom_Input[[#This Row],[Total equipment cost]]+Table_Custom_Input[[#This Row],[Total labor cost]],"")</f>
        <v/>
      </c>
      <c r="P7" s="227" t="str">
        <f>IF(Table_Custom_Input[[#This Row],[Measure number]]="","",Table_Custom_Input[[#This Row],[Gross measure cost]]-Table_Custom_Input[[#This Row],[Estimated incentive]])</f>
        <v/>
      </c>
      <c r="Q7" s="228" t="str">
        <f>IFERROR('Input Refrigeration Measures'!$P7/'Input Refrigeration Measures'!$N7, "")</f>
        <v/>
      </c>
      <c r="R7" s="189"/>
      <c r="S7" s="189"/>
      <c r="T7" s="189"/>
      <c r="U7" s="189"/>
    </row>
    <row r="8" spans="2:21" s="13" customFormat="1" ht="15">
      <c r="B8" s="192">
        <v>3</v>
      </c>
      <c r="C8" s="192" t="str">
        <f>IFERROR(INDEX(Table_Prescript_Meas[Measure Number], MATCH(Table_Custom_Input[[#This Row],[Refrigeration measure]], Table_Prescript_Meas[Measure Description], 0)), "")</f>
        <v/>
      </c>
      <c r="D8" s="224"/>
      <c r="E8" s="215"/>
      <c r="F8" s="192" t="str">
        <f>IFERROR(INDEX(Table_Prescript_Meas[Units], MATCH(Table_Custom_Input[[#This Row],[Measure number]], Table_Prescript_Meas[Measure Number], 0)), "")</f>
        <v/>
      </c>
      <c r="G8" s="191"/>
      <c r="H8" s="226"/>
      <c r="I8" s="226"/>
      <c r="J8"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8" s="227" t="str">
        <f>IFERROR(Table_Custom_Input[[#This Row],[Number of units]]*Table_Custom_Input[[#This Row],[Per-unit incentive]],"")</f>
        <v/>
      </c>
      <c r="L8" s="228" t="str">
        <f>IFERROR(Table_Custom_Input[[#This Row],[Number of units]]*INDEX(Table_Prescript_Meas[Deemed kWh Savings], MATCH(Table_Custom_Input[[#This Row],[Measure number]], Table_Prescript_Meas[Measure Number], 0)),"" )</f>
        <v/>
      </c>
      <c r="M8" s="229" t="str">
        <f>IFERROR(Table_Custom_Input[[#This Row],[Number of units]]*INDEX(Table_Prescript_Meas[Deemed kW Savings], MATCH(Table_Custom_Input[[#This Row],[Measure number]], Table_Prescript_Meas[Measure Number], 0)),"" )</f>
        <v/>
      </c>
      <c r="N8" s="227" t="str">
        <f>IFERROR(Table_Custom_Input[[#This Row],[Energy savings (kWh)]]*Input_AvgkWhRate, "")</f>
        <v/>
      </c>
      <c r="O8" s="227" t="str">
        <f>IF(Table_Custom_Input[[#This Row],[Measure number]]&lt;&gt;"",Table_Custom_Input[[#This Row],[Total equipment cost]]+Table_Custom_Input[[#This Row],[Total labor cost]],"")</f>
        <v/>
      </c>
      <c r="P8" s="227" t="str">
        <f>IF(Table_Custom_Input[[#This Row],[Measure number]]="","",Table_Custom_Input[[#This Row],[Gross measure cost]]-Table_Custom_Input[[#This Row],[Estimated incentive]])</f>
        <v/>
      </c>
      <c r="Q8" s="228" t="str">
        <f>IFERROR('Input Refrigeration Measures'!$P8/'Input Refrigeration Measures'!$N8, "")</f>
        <v/>
      </c>
      <c r="R8" s="189"/>
      <c r="S8" s="189"/>
      <c r="T8" s="189"/>
      <c r="U8" s="189"/>
    </row>
    <row r="9" spans="2:21" s="13" customFormat="1" ht="15">
      <c r="B9" s="192">
        <v>4</v>
      </c>
      <c r="C9" s="192" t="str">
        <f>IFERROR(INDEX(Table_Prescript_Meas[Measure Number], MATCH(Table_Custom_Input[[#This Row],[Refrigeration measure]], Table_Prescript_Meas[Measure Description], 0)), "")</f>
        <v/>
      </c>
      <c r="D9" s="224"/>
      <c r="E9" s="215"/>
      <c r="F9" s="192" t="str">
        <f>IFERROR(INDEX(Table_Prescript_Meas[Units], MATCH(Table_Custom_Input[[#This Row],[Measure number]], Table_Prescript_Meas[Measure Number], 0)), "")</f>
        <v/>
      </c>
      <c r="G9" s="191"/>
      <c r="H9" s="226"/>
      <c r="I9" s="226"/>
      <c r="J9"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9" s="227" t="str">
        <f>IFERROR(Table_Custom_Input[[#This Row],[Number of units]]*Table_Custom_Input[[#This Row],[Per-unit incentive]],"")</f>
        <v/>
      </c>
      <c r="L9" s="228" t="str">
        <f>IFERROR(Table_Custom_Input[[#This Row],[Number of units]]*INDEX(Table_Prescript_Meas[Deemed kWh Savings], MATCH(Table_Custom_Input[[#This Row],[Measure number]], Table_Prescript_Meas[Measure Number], 0)),"" )</f>
        <v/>
      </c>
      <c r="M9" s="229" t="str">
        <f>IFERROR(Table_Custom_Input[[#This Row],[Number of units]]*INDEX(Table_Prescript_Meas[Deemed kW Savings], MATCH(Table_Custom_Input[[#This Row],[Measure number]], Table_Prescript_Meas[Measure Number], 0)),"" )</f>
        <v/>
      </c>
      <c r="N9" s="227" t="str">
        <f>IFERROR(Table_Custom_Input[[#This Row],[Energy savings (kWh)]]*Input_AvgkWhRate, "")</f>
        <v/>
      </c>
      <c r="O9" s="227" t="str">
        <f>IF(Table_Custom_Input[[#This Row],[Measure number]]&lt;&gt;"",Table_Custom_Input[[#This Row],[Total equipment cost]]+Table_Custom_Input[[#This Row],[Total labor cost]],"")</f>
        <v/>
      </c>
      <c r="P9" s="227" t="str">
        <f>IF(Table_Custom_Input[[#This Row],[Measure number]]="","",Table_Custom_Input[[#This Row],[Gross measure cost]]-Table_Custom_Input[[#This Row],[Estimated incentive]])</f>
        <v/>
      </c>
      <c r="Q9" s="228" t="str">
        <f>IFERROR('Input Refrigeration Measures'!$P9/'Input Refrigeration Measures'!$N9, "")</f>
        <v/>
      </c>
      <c r="R9" s="189"/>
      <c r="S9" s="189"/>
      <c r="T9" s="189"/>
      <c r="U9" s="189"/>
    </row>
    <row r="10" spans="2:21" s="13" customFormat="1" ht="15">
      <c r="B10" s="192">
        <v>5</v>
      </c>
      <c r="C10" s="192" t="str">
        <f>IFERROR(INDEX(Table_Prescript_Meas[Measure Number], MATCH(Table_Custom_Input[[#This Row],[Refrigeration measure]], Table_Prescript_Meas[Measure Description], 0)), "")</f>
        <v/>
      </c>
      <c r="D10" s="224"/>
      <c r="E10" s="215"/>
      <c r="F10" s="192" t="str">
        <f>IFERROR(INDEX(Table_Prescript_Meas[Units], MATCH(Table_Custom_Input[[#This Row],[Measure number]], Table_Prescript_Meas[Measure Number], 0)), "")</f>
        <v/>
      </c>
      <c r="G10" s="191"/>
      <c r="H10" s="226"/>
      <c r="I10" s="226"/>
      <c r="J10"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0" s="227" t="str">
        <f>IFERROR(Table_Custom_Input[[#This Row],[Number of units]]*Table_Custom_Input[[#This Row],[Per-unit incentive]],"")</f>
        <v/>
      </c>
      <c r="L10" s="228" t="str">
        <f>IFERROR(Table_Custom_Input[[#This Row],[Number of units]]*INDEX(Table_Prescript_Meas[Deemed kWh Savings], MATCH(Table_Custom_Input[[#This Row],[Measure number]], Table_Prescript_Meas[Measure Number], 0)),"" )</f>
        <v/>
      </c>
      <c r="M10" s="229" t="str">
        <f>IFERROR(Table_Custom_Input[[#This Row],[Number of units]]*INDEX(Table_Prescript_Meas[Deemed kW Savings], MATCH(Table_Custom_Input[[#This Row],[Measure number]], Table_Prescript_Meas[Measure Number], 0)),"" )</f>
        <v/>
      </c>
      <c r="N10" s="227" t="str">
        <f>IFERROR(Table_Custom_Input[[#This Row],[Energy savings (kWh)]]*Input_AvgkWhRate, "")</f>
        <v/>
      </c>
      <c r="O10" s="227" t="str">
        <f>IF(Table_Custom_Input[[#This Row],[Measure number]]&lt;&gt;"",Table_Custom_Input[[#This Row],[Total equipment cost]]+Table_Custom_Input[[#This Row],[Total labor cost]],"")</f>
        <v/>
      </c>
      <c r="P10" s="227" t="str">
        <f>IF(Table_Custom_Input[[#This Row],[Measure number]]="","",Table_Custom_Input[[#This Row],[Gross measure cost]]-Table_Custom_Input[[#This Row],[Estimated incentive]])</f>
        <v/>
      </c>
      <c r="Q10" s="228" t="str">
        <f>IFERROR('Input Refrigeration Measures'!$P10/'Input Refrigeration Measures'!$N10, "")</f>
        <v/>
      </c>
      <c r="R10" s="189"/>
      <c r="S10" s="189"/>
      <c r="T10" s="189"/>
      <c r="U10" s="189"/>
    </row>
    <row r="11" spans="2:21" s="13" customFormat="1" ht="15">
      <c r="B11" s="192">
        <v>6</v>
      </c>
      <c r="C11" s="192" t="str">
        <f>IFERROR(INDEX(Table_Prescript_Meas[Measure Number], MATCH(Table_Custom_Input[[#This Row],[Refrigeration measure]], Table_Prescript_Meas[Measure Description], 0)), "")</f>
        <v/>
      </c>
      <c r="D11" s="224"/>
      <c r="E11" s="215"/>
      <c r="F11" s="192" t="str">
        <f>IFERROR(INDEX(Table_Prescript_Meas[Units], MATCH(Table_Custom_Input[[#This Row],[Measure number]], Table_Prescript_Meas[Measure Number], 0)), "")</f>
        <v/>
      </c>
      <c r="G11" s="191"/>
      <c r="H11" s="226"/>
      <c r="I11" s="226"/>
      <c r="J11"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1" s="227" t="str">
        <f>IFERROR(Table_Custom_Input[[#This Row],[Number of units]]*Table_Custom_Input[[#This Row],[Per-unit incentive]],"")</f>
        <v/>
      </c>
      <c r="L11" s="228" t="str">
        <f>IFERROR(Table_Custom_Input[[#This Row],[Number of units]]*INDEX(Table_Prescript_Meas[Deemed kWh Savings], MATCH(Table_Custom_Input[[#This Row],[Measure number]], Table_Prescript_Meas[Measure Number], 0)),"" )</f>
        <v/>
      </c>
      <c r="M11" s="229" t="str">
        <f>IFERROR(Table_Custom_Input[[#This Row],[Number of units]]*INDEX(Table_Prescript_Meas[Deemed kW Savings], MATCH(Table_Custom_Input[[#This Row],[Measure number]], Table_Prescript_Meas[Measure Number], 0)),"" )</f>
        <v/>
      </c>
      <c r="N11" s="227" t="str">
        <f>IFERROR(Table_Custom_Input[[#This Row],[Energy savings (kWh)]]*Input_AvgkWhRate, "")</f>
        <v/>
      </c>
      <c r="O11" s="227" t="str">
        <f>IF(Table_Custom_Input[[#This Row],[Measure number]]&lt;&gt;"",Table_Custom_Input[[#This Row],[Total equipment cost]]+Table_Custom_Input[[#This Row],[Total labor cost]],"")</f>
        <v/>
      </c>
      <c r="P11" s="227" t="str">
        <f>IF(Table_Custom_Input[[#This Row],[Measure number]]="","",Table_Custom_Input[[#This Row],[Gross measure cost]]-Table_Custom_Input[[#This Row],[Estimated incentive]])</f>
        <v/>
      </c>
      <c r="Q11" s="228" t="str">
        <f>IFERROR('Input Refrigeration Measures'!$P11/'Input Refrigeration Measures'!$N11, "")</f>
        <v/>
      </c>
      <c r="R11" s="189"/>
      <c r="S11" s="189"/>
      <c r="T11" s="189"/>
      <c r="U11" s="189"/>
    </row>
    <row r="12" spans="2:21" s="13" customFormat="1" ht="15">
      <c r="B12" s="192">
        <v>7</v>
      </c>
      <c r="C12" s="192" t="str">
        <f>IFERROR(INDEX(Table_Prescript_Meas[Measure Number], MATCH(Table_Custom_Input[[#This Row],[Refrigeration measure]], Table_Prescript_Meas[Measure Description], 0)), "")</f>
        <v/>
      </c>
      <c r="D12" s="224"/>
      <c r="E12" s="215"/>
      <c r="F12" s="192" t="str">
        <f>IFERROR(INDEX(Table_Prescript_Meas[Units], MATCH(Table_Custom_Input[[#This Row],[Measure number]], Table_Prescript_Meas[Measure Number], 0)), "")</f>
        <v/>
      </c>
      <c r="G12" s="191"/>
      <c r="H12" s="226"/>
      <c r="I12" s="226"/>
      <c r="J12"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2" s="227" t="str">
        <f>IFERROR(Table_Custom_Input[[#This Row],[Number of units]]*Table_Custom_Input[[#This Row],[Per-unit incentive]],"")</f>
        <v/>
      </c>
      <c r="L12" s="228" t="str">
        <f>IFERROR(Table_Custom_Input[[#This Row],[Number of units]]*INDEX(Table_Prescript_Meas[Deemed kWh Savings], MATCH(Table_Custom_Input[[#This Row],[Measure number]], Table_Prescript_Meas[Measure Number], 0)),"" )</f>
        <v/>
      </c>
      <c r="M12" s="229" t="str">
        <f>IFERROR(Table_Custom_Input[[#This Row],[Number of units]]*INDEX(Table_Prescript_Meas[Deemed kW Savings], MATCH(Table_Custom_Input[[#This Row],[Measure number]], Table_Prescript_Meas[Measure Number], 0)),"" )</f>
        <v/>
      </c>
      <c r="N12" s="227" t="str">
        <f>IFERROR(Table_Custom_Input[[#This Row],[Energy savings (kWh)]]*Input_AvgkWhRate, "")</f>
        <v/>
      </c>
      <c r="O12" s="227" t="str">
        <f>IF(Table_Custom_Input[[#This Row],[Measure number]]&lt;&gt;"",Table_Custom_Input[[#This Row],[Total equipment cost]]+Table_Custom_Input[[#This Row],[Total labor cost]],"")</f>
        <v/>
      </c>
      <c r="P12" s="227" t="str">
        <f>IF(Table_Custom_Input[[#This Row],[Measure number]]="","",Table_Custom_Input[[#This Row],[Gross measure cost]]-Table_Custom_Input[[#This Row],[Estimated incentive]])</f>
        <v/>
      </c>
      <c r="Q12" s="228" t="str">
        <f>IFERROR('Input Refrigeration Measures'!$P12/'Input Refrigeration Measures'!$N12, "")</f>
        <v/>
      </c>
      <c r="R12" s="189"/>
      <c r="S12" s="189"/>
      <c r="T12" s="189"/>
      <c r="U12" s="189"/>
    </row>
    <row r="13" spans="2:21" s="13" customFormat="1" ht="15">
      <c r="B13" s="192">
        <v>8</v>
      </c>
      <c r="C13" s="192" t="str">
        <f>IFERROR(INDEX(Table_Prescript_Meas[Measure Number], MATCH(Table_Custom_Input[[#This Row],[Refrigeration measure]], Table_Prescript_Meas[Measure Description], 0)), "")</f>
        <v/>
      </c>
      <c r="D13" s="224"/>
      <c r="E13" s="215"/>
      <c r="F13" s="192" t="str">
        <f>IFERROR(INDEX(Table_Prescript_Meas[Units], MATCH(Table_Custom_Input[[#This Row],[Measure number]], Table_Prescript_Meas[Measure Number], 0)), "")</f>
        <v/>
      </c>
      <c r="G13" s="191"/>
      <c r="H13" s="226"/>
      <c r="I13" s="226"/>
      <c r="J13"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3" s="227" t="str">
        <f>IFERROR(Table_Custom_Input[[#This Row],[Number of units]]*Table_Custom_Input[[#This Row],[Per-unit incentive]],"")</f>
        <v/>
      </c>
      <c r="L13" s="228" t="str">
        <f>IFERROR(Table_Custom_Input[[#This Row],[Number of units]]*INDEX(Table_Prescript_Meas[Deemed kWh Savings], MATCH(Table_Custom_Input[[#This Row],[Measure number]], Table_Prescript_Meas[Measure Number], 0)),"" )</f>
        <v/>
      </c>
      <c r="M13" s="229" t="str">
        <f>IFERROR(Table_Custom_Input[[#This Row],[Number of units]]*INDEX(Table_Prescript_Meas[Deemed kW Savings], MATCH(Table_Custom_Input[[#This Row],[Measure number]], Table_Prescript_Meas[Measure Number], 0)),"" )</f>
        <v/>
      </c>
      <c r="N13" s="227" t="str">
        <f>IFERROR(Table_Custom_Input[[#This Row],[Energy savings (kWh)]]*Input_AvgkWhRate, "")</f>
        <v/>
      </c>
      <c r="O13" s="227" t="str">
        <f>IF(Table_Custom_Input[[#This Row],[Measure number]]&lt;&gt;"",Table_Custom_Input[[#This Row],[Total equipment cost]]+Table_Custom_Input[[#This Row],[Total labor cost]],"")</f>
        <v/>
      </c>
      <c r="P13" s="227" t="str">
        <f>IF(Table_Custom_Input[[#This Row],[Measure number]]="","",Table_Custom_Input[[#This Row],[Gross measure cost]]-Table_Custom_Input[[#This Row],[Estimated incentive]])</f>
        <v/>
      </c>
      <c r="Q13" s="228" t="str">
        <f>IFERROR('Input Refrigeration Measures'!$P13/'Input Refrigeration Measures'!$N13, "")</f>
        <v/>
      </c>
      <c r="R13" s="189"/>
      <c r="S13" s="189"/>
      <c r="T13" s="189"/>
      <c r="U13" s="189"/>
    </row>
    <row r="14" spans="2:21" s="13" customFormat="1" ht="15">
      <c r="B14" s="192">
        <v>9</v>
      </c>
      <c r="C14" s="192" t="str">
        <f>IFERROR(INDEX(Table_Prescript_Meas[Measure Number], MATCH(Table_Custom_Input[[#This Row],[Refrigeration measure]], Table_Prescript_Meas[Measure Description], 0)), "")</f>
        <v/>
      </c>
      <c r="D14" s="224"/>
      <c r="E14" s="215"/>
      <c r="F14" s="192" t="str">
        <f>IFERROR(INDEX(Table_Prescript_Meas[Units], MATCH(Table_Custom_Input[[#This Row],[Measure number]], Table_Prescript_Meas[Measure Number], 0)), "")</f>
        <v/>
      </c>
      <c r="G14" s="191"/>
      <c r="H14" s="226"/>
      <c r="I14" s="226"/>
      <c r="J14"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4" s="227" t="str">
        <f>IFERROR(Table_Custom_Input[[#This Row],[Number of units]]*Table_Custom_Input[[#This Row],[Per-unit incentive]],"")</f>
        <v/>
      </c>
      <c r="L14" s="228" t="str">
        <f>IFERROR(Table_Custom_Input[[#This Row],[Number of units]]*INDEX(Table_Prescript_Meas[Deemed kWh Savings], MATCH(Table_Custom_Input[[#This Row],[Measure number]], Table_Prescript_Meas[Measure Number], 0)),"" )</f>
        <v/>
      </c>
      <c r="M14" s="229" t="str">
        <f>IFERROR(Table_Custom_Input[[#This Row],[Number of units]]*INDEX(Table_Prescript_Meas[Deemed kW Savings], MATCH(Table_Custom_Input[[#This Row],[Measure number]], Table_Prescript_Meas[Measure Number], 0)),"" )</f>
        <v/>
      </c>
      <c r="N14" s="227" t="str">
        <f>IFERROR(Table_Custom_Input[[#This Row],[Energy savings (kWh)]]*Input_AvgkWhRate, "")</f>
        <v/>
      </c>
      <c r="O14" s="227" t="str">
        <f>IF(Table_Custom_Input[[#This Row],[Measure number]]&lt;&gt;"",Table_Custom_Input[[#This Row],[Total equipment cost]]+Table_Custom_Input[[#This Row],[Total labor cost]],"")</f>
        <v/>
      </c>
      <c r="P14" s="227" t="str">
        <f>IF(Table_Custom_Input[[#This Row],[Measure number]]="","",Table_Custom_Input[[#This Row],[Gross measure cost]]-Table_Custom_Input[[#This Row],[Estimated incentive]])</f>
        <v/>
      </c>
      <c r="Q14" s="228" t="str">
        <f>IFERROR('Input Refrigeration Measures'!$P14/'Input Refrigeration Measures'!$N14, "")</f>
        <v/>
      </c>
      <c r="R14" s="189"/>
      <c r="S14" s="189"/>
      <c r="T14" s="189"/>
      <c r="U14" s="189"/>
    </row>
    <row r="15" spans="2:21" s="13" customFormat="1" ht="15">
      <c r="B15" s="192">
        <v>10</v>
      </c>
      <c r="C15" s="192" t="str">
        <f>IFERROR(INDEX(Table_Prescript_Meas[Measure Number], MATCH(Table_Custom_Input[[#This Row],[Refrigeration measure]], Table_Prescript_Meas[Measure Description], 0)), "")</f>
        <v/>
      </c>
      <c r="D15" s="224"/>
      <c r="E15" s="215"/>
      <c r="F15" s="192" t="str">
        <f>IFERROR(INDEX(Table_Prescript_Meas[Units], MATCH(Table_Custom_Input[[#This Row],[Measure number]], Table_Prescript_Meas[Measure Number], 0)), "")</f>
        <v/>
      </c>
      <c r="G15" s="191"/>
      <c r="H15" s="226"/>
      <c r="I15" s="226"/>
      <c r="J15"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5" s="227" t="str">
        <f>IFERROR(Table_Custom_Input[[#This Row],[Number of units]]*Table_Custom_Input[[#This Row],[Per-unit incentive]],"")</f>
        <v/>
      </c>
      <c r="L15" s="228" t="str">
        <f>IFERROR(Table_Custom_Input[[#This Row],[Number of units]]*INDEX(Table_Prescript_Meas[Deemed kWh Savings], MATCH(Table_Custom_Input[[#This Row],[Measure number]], Table_Prescript_Meas[Measure Number], 0)),"" )</f>
        <v/>
      </c>
      <c r="M15" s="229" t="str">
        <f>IFERROR(Table_Custom_Input[[#This Row],[Number of units]]*INDEX(Table_Prescript_Meas[Deemed kW Savings], MATCH(Table_Custom_Input[[#This Row],[Measure number]], Table_Prescript_Meas[Measure Number], 0)),"" )</f>
        <v/>
      </c>
      <c r="N15" s="227" t="str">
        <f>IFERROR(Table_Custom_Input[[#This Row],[Energy savings (kWh)]]*Input_AvgkWhRate, "")</f>
        <v/>
      </c>
      <c r="O15" s="227" t="str">
        <f>IF(Table_Custom_Input[[#This Row],[Measure number]]&lt;&gt;"",Table_Custom_Input[[#This Row],[Total equipment cost]]+Table_Custom_Input[[#This Row],[Total labor cost]],"")</f>
        <v/>
      </c>
      <c r="P15" s="227" t="str">
        <f>IF(Table_Custom_Input[[#This Row],[Measure number]]="","",Table_Custom_Input[[#This Row],[Gross measure cost]]-Table_Custom_Input[[#This Row],[Estimated incentive]])</f>
        <v/>
      </c>
      <c r="Q15" s="228" t="str">
        <f>IFERROR('Input Refrigeration Measures'!$P15/'Input Refrigeration Measures'!$N15, "")</f>
        <v/>
      </c>
      <c r="R15" s="189"/>
      <c r="S15" s="189"/>
      <c r="T15" s="189"/>
      <c r="U15" s="189"/>
    </row>
    <row r="16" spans="2:21" s="13" customFormat="1" ht="15">
      <c r="B16" s="192">
        <v>11</v>
      </c>
      <c r="C16" s="192" t="str">
        <f>IFERROR(INDEX(Table_Prescript_Meas[Measure Number], MATCH(Table_Custom_Input[[#This Row],[Refrigeration measure]], Table_Prescript_Meas[Measure Description], 0)), "")</f>
        <v/>
      </c>
      <c r="D16" s="224"/>
      <c r="E16" s="215"/>
      <c r="F16" s="192" t="str">
        <f>IFERROR(INDEX(Table_Prescript_Meas[Units], MATCH(Table_Custom_Input[[#This Row],[Measure number]], Table_Prescript_Meas[Measure Number], 0)), "")</f>
        <v/>
      </c>
      <c r="G16" s="191"/>
      <c r="H16" s="226"/>
      <c r="I16" s="226"/>
      <c r="J16"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6" s="227" t="str">
        <f>IFERROR(Table_Custom_Input[[#This Row],[Number of units]]*Table_Custom_Input[[#This Row],[Per-unit incentive]],"")</f>
        <v/>
      </c>
      <c r="L16" s="228" t="str">
        <f>IFERROR(Table_Custom_Input[[#This Row],[Number of units]]*INDEX(Table_Prescript_Meas[Deemed kWh Savings], MATCH(Table_Custom_Input[[#This Row],[Measure number]], Table_Prescript_Meas[Measure Number], 0)),"" )</f>
        <v/>
      </c>
      <c r="M16" s="229" t="str">
        <f>IFERROR(Table_Custom_Input[[#This Row],[Number of units]]*INDEX(Table_Prescript_Meas[Deemed kW Savings], MATCH(Table_Custom_Input[[#This Row],[Measure number]], Table_Prescript_Meas[Measure Number], 0)),"" )</f>
        <v/>
      </c>
      <c r="N16" s="227" t="str">
        <f>IFERROR(Table_Custom_Input[[#This Row],[Energy savings (kWh)]]*Input_AvgkWhRate, "")</f>
        <v/>
      </c>
      <c r="O16" s="227" t="str">
        <f>IF(Table_Custom_Input[[#This Row],[Measure number]]&lt;&gt;"",Table_Custom_Input[[#This Row],[Total equipment cost]]+Table_Custom_Input[[#This Row],[Total labor cost]],"")</f>
        <v/>
      </c>
      <c r="P16" s="227" t="str">
        <f>IF(Table_Custom_Input[[#This Row],[Measure number]]="","",Table_Custom_Input[[#This Row],[Gross measure cost]]-Table_Custom_Input[[#This Row],[Estimated incentive]])</f>
        <v/>
      </c>
      <c r="Q16" s="228" t="str">
        <f>IFERROR('Input Refrigeration Measures'!$P16/'Input Refrigeration Measures'!$N16, "")</f>
        <v/>
      </c>
      <c r="R16" s="189"/>
      <c r="S16" s="189"/>
      <c r="T16" s="189"/>
      <c r="U16" s="189"/>
    </row>
    <row r="17" spans="2:21" s="13" customFormat="1" ht="15">
      <c r="B17" s="192">
        <v>12</v>
      </c>
      <c r="C17" s="192" t="str">
        <f>IFERROR(INDEX(Table_Prescript_Meas[Measure Number], MATCH(Table_Custom_Input[[#This Row],[Refrigeration measure]], Table_Prescript_Meas[Measure Description], 0)), "")</f>
        <v/>
      </c>
      <c r="D17" s="224"/>
      <c r="E17" s="215"/>
      <c r="F17" s="192" t="str">
        <f>IFERROR(INDEX(Table_Prescript_Meas[Units], MATCH(Table_Custom_Input[[#This Row],[Measure number]], Table_Prescript_Meas[Measure Number], 0)), "")</f>
        <v/>
      </c>
      <c r="G17" s="191"/>
      <c r="H17" s="226"/>
      <c r="I17" s="226"/>
      <c r="J17"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7" s="227" t="str">
        <f>IFERROR(Table_Custom_Input[[#This Row],[Number of units]]*Table_Custom_Input[[#This Row],[Per-unit incentive]],"")</f>
        <v/>
      </c>
      <c r="L17" s="228" t="str">
        <f>IFERROR(Table_Custom_Input[[#This Row],[Number of units]]*INDEX(Table_Prescript_Meas[Deemed kWh Savings], MATCH(Table_Custom_Input[[#This Row],[Measure number]], Table_Prescript_Meas[Measure Number], 0)),"" )</f>
        <v/>
      </c>
      <c r="M17" s="229" t="str">
        <f>IFERROR(Table_Custom_Input[[#This Row],[Number of units]]*INDEX(Table_Prescript_Meas[Deemed kW Savings], MATCH(Table_Custom_Input[[#This Row],[Measure number]], Table_Prescript_Meas[Measure Number], 0)),"" )</f>
        <v/>
      </c>
      <c r="N17" s="227" t="str">
        <f>IFERROR(Table_Custom_Input[[#This Row],[Energy savings (kWh)]]*Input_AvgkWhRate, "")</f>
        <v/>
      </c>
      <c r="O17" s="227" t="str">
        <f>IF(Table_Custom_Input[[#This Row],[Measure number]]&lt;&gt;"",Table_Custom_Input[[#This Row],[Total equipment cost]]+Table_Custom_Input[[#This Row],[Total labor cost]],"")</f>
        <v/>
      </c>
      <c r="P17" s="227" t="str">
        <f>IF(Table_Custom_Input[[#This Row],[Measure number]]="","",Table_Custom_Input[[#This Row],[Gross measure cost]]-Table_Custom_Input[[#This Row],[Estimated incentive]])</f>
        <v/>
      </c>
      <c r="Q17" s="228" t="str">
        <f>IFERROR('Input Refrigeration Measures'!$P17/'Input Refrigeration Measures'!$N17, "")</f>
        <v/>
      </c>
      <c r="R17" s="189"/>
      <c r="S17" s="189"/>
      <c r="T17" s="189"/>
      <c r="U17" s="189"/>
    </row>
    <row r="18" spans="2:21" s="13" customFormat="1" ht="15">
      <c r="B18" s="192">
        <v>13</v>
      </c>
      <c r="C18" s="192" t="str">
        <f>IFERROR(INDEX(Table_Prescript_Meas[Measure Number], MATCH(Table_Custom_Input[[#This Row],[Refrigeration measure]], Table_Prescript_Meas[Measure Description], 0)), "")</f>
        <v/>
      </c>
      <c r="D18" s="224"/>
      <c r="E18" s="215"/>
      <c r="F18" s="192" t="str">
        <f>IFERROR(INDEX(Table_Prescript_Meas[Units], MATCH(Table_Custom_Input[[#This Row],[Measure number]], Table_Prescript_Meas[Measure Number], 0)), "")</f>
        <v/>
      </c>
      <c r="G18" s="191"/>
      <c r="H18" s="226"/>
      <c r="I18" s="226"/>
      <c r="J18"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8" s="227" t="str">
        <f>IFERROR(Table_Custom_Input[[#This Row],[Number of units]]*Table_Custom_Input[[#This Row],[Per-unit incentive]],"")</f>
        <v/>
      </c>
      <c r="L18" s="228" t="str">
        <f>IFERROR(Table_Custom_Input[[#This Row],[Number of units]]*INDEX(Table_Prescript_Meas[Deemed kWh Savings], MATCH(Table_Custom_Input[[#This Row],[Measure number]], Table_Prescript_Meas[Measure Number], 0)),"" )</f>
        <v/>
      </c>
      <c r="M18" s="229" t="str">
        <f>IFERROR(Table_Custom_Input[[#This Row],[Number of units]]*INDEX(Table_Prescript_Meas[Deemed kW Savings], MATCH(Table_Custom_Input[[#This Row],[Measure number]], Table_Prescript_Meas[Measure Number], 0)),"" )</f>
        <v/>
      </c>
      <c r="N18" s="227" t="str">
        <f>IFERROR(Table_Custom_Input[[#This Row],[Energy savings (kWh)]]*Input_AvgkWhRate, "")</f>
        <v/>
      </c>
      <c r="O18" s="227" t="str">
        <f>IF(Table_Custom_Input[[#This Row],[Measure number]]&lt;&gt;"",Table_Custom_Input[[#This Row],[Total equipment cost]]+Table_Custom_Input[[#This Row],[Total labor cost]],"")</f>
        <v/>
      </c>
      <c r="P18" s="227" t="str">
        <f>IF(Table_Custom_Input[[#This Row],[Measure number]]="","",Table_Custom_Input[[#This Row],[Gross measure cost]]-Table_Custom_Input[[#This Row],[Estimated incentive]])</f>
        <v/>
      </c>
      <c r="Q18" s="228" t="str">
        <f>IFERROR('Input Refrigeration Measures'!$P18/'Input Refrigeration Measures'!$N18, "")</f>
        <v/>
      </c>
      <c r="R18" s="189"/>
      <c r="S18" s="189"/>
      <c r="T18" s="189"/>
      <c r="U18" s="189"/>
    </row>
    <row r="19" spans="2:21" s="13" customFormat="1" ht="15">
      <c r="B19" s="192">
        <v>14</v>
      </c>
      <c r="C19" s="192" t="str">
        <f>IFERROR(INDEX(Table_Prescript_Meas[Measure Number], MATCH(Table_Custom_Input[[#This Row],[Refrigeration measure]], Table_Prescript_Meas[Measure Description], 0)), "")</f>
        <v/>
      </c>
      <c r="D19" s="224"/>
      <c r="E19" s="215"/>
      <c r="F19" s="192" t="str">
        <f>IFERROR(INDEX(Table_Prescript_Meas[Units], MATCH(Table_Custom_Input[[#This Row],[Measure number]], Table_Prescript_Meas[Measure Number], 0)), "")</f>
        <v/>
      </c>
      <c r="G19" s="191"/>
      <c r="H19" s="226"/>
      <c r="I19" s="226"/>
      <c r="J19"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9" s="227" t="str">
        <f>IFERROR(Table_Custom_Input[[#This Row],[Number of units]]*Table_Custom_Input[[#This Row],[Per-unit incentive]],"")</f>
        <v/>
      </c>
      <c r="L19" s="228" t="str">
        <f>IFERROR(Table_Custom_Input[[#This Row],[Number of units]]*INDEX(Table_Prescript_Meas[Deemed kWh Savings], MATCH(Table_Custom_Input[[#This Row],[Measure number]], Table_Prescript_Meas[Measure Number], 0)),"" )</f>
        <v/>
      </c>
      <c r="M19" s="229" t="str">
        <f>IFERROR(Table_Custom_Input[[#This Row],[Number of units]]*INDEX(Table_Prescript_Meas[Deemed kW Savings], MATCH(Table_Custom_Input[[#This Row],[Measure number]], Table_Prescript_Meas[Measure Number], 0)),"" )</f>
        <v/>
      </c>
      <c r="N19" s="227" t="str">
        <f>IFERROR(Table_Custom_Input[[#This Row],[Energy savings (kWh)]]*Input_AvgkWhRate, "")</f>
        <v/>
      </c>
      <c r="O19" s="227" t="str">
        <f>IF(Table_Custom_Input[[#This Row],[Measure number]]&lt;&gt;"",Table_Custom_Input[[#This Row],[Total equipment cost]]+Table_Custom_Input[[#This Row],[Total labor cost]],"")</f>
        <v/>
      </c>
      <c r="P19" s="227" t="str">
        <f>IF(Table_Custom_Input[[#This Row],[Measure number]]="","",Table_Custom_Input[[#This Row],[Gross measure cost]]-Table_Custom_Input[[#This Row],[Estimated incentive]])</f>
        <v/>
      </c>
      <c r="Q19" s="228" t="str">
        <f>IFERROR('Input Refrigeration Measures'!$P19/'Input Refrigeration Measures'!$N19, "")</f>
        <v/>
      </c>
      <c r="R19" s="189"/>
      <c r="S19" s="189"/>
      <c r="T19" s="189"/>
      <c r="U19" s="189"/>
    </row>
    <row r="20" spans="2:21" s="13" customFormat="1" ht="15">
      <c r="B20" s="192">
        <v>15</v>
      </c>
      <c r="C20" s="192" t="str">
        <f>IFERROR(INDEX(Table_Prescript_Meas[Measure Number], MATCH(Table_Custom_Input[[#This Row],[Refrigeration measure]], Table_Prescript_Meas[Measure Description], 0)), "")</f>
        <v/>
      </c>
      <c r="D20" s="224"/>
      <c r="E20" s="215"/>
      <c r="F20" s="192" t="str">
        <f>IFERROR(INDEX(Table_Prescript_Meas[Units], MATCH(Table_Custom_Input[[#This Row],[Measure number]], Table_Prescript_Meas[Measure Number], 0)), "")</f>
        <v/>
      </c>
      <c r="G20" s="191"/>
      <c r="H20" s="226"/>
      <c r="I20" s="226"/>
      <c r="J20"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0" s="227" t="str">
        <f>IFERROR(Table_Custom_Input[[#This Row],[Number of units]]*Table_Custom_Input[[#This Row],[Per-unit incentive]],"")</f>
        <v/>
      </c>
      <c r="L20" s="228" t="str">
        <f>IFERROR(Table_Custom_Input[[#This Row],[Number of units]]*INDEX(Table_Prescript_Meas[Deemed kWh Savings], MATCH(Table_Custom_Input[[#This Row],[Measure number]], Table_Prescript_Meas[Measure Number], 0)),"" )</f>
        <v/>
      </c>
      <c r="M20" s="229" t="str">
        <f>IFERROR(Table_Custom_Input[[#This Row],[Number of units]]*INDEX(Table_Prescript_Meas[Deemed kW Savings], MATCH(Table_Custom_Input[[#This Row],[Measure number]], Table_Prescript_Meas[Measure Number], 0)),"" )</f>
        <v/>
      </c>
      <c r="N20" s="227" t="str">
        <f>IFERROR(Table_Custom_Input[[#This Row],[Energy savings (kWh)]]*Input_AvgkWhRate, "")</f>
        <v/>
      </c>
      <c r="O20" s="227" t="str">
        <f>IF(Table_Custom_Input[[#This Row],[Measure number]]&lt;&gt;"",Table_Custom_Input[[#This Row],[Total equipment cost]]+Table_Custom_Input[[#This Row],[Total labor cost]],"")</f>
        <v/>
      </c>
      <c r="P20" s="227" t="str">
        <f>IF(Table_Custom_Input[[#This Row],[Measure number]]="","",Table_Custom_Input[[#This Row],[Gross measure cost]]-Table_Custom_Input[[#This Row],[Estimated incentive]])</f>
        <v/>
      </c>
      <c r="Q20" s="228" t="str">
        <f>IFERROR('Input Refrigeration Measures'!$P20/'Input Refrigeration Measures'!$N20, "")</f>
        <v/>
      </c>
      <c r="R20" s="189"/>
      <c r="S20" s="189"/>
      <c r="T20" s="189"/>
      <c r="U20" s="189"/>
    </row>
    <row r="21" spans="2:21" s="13" customFormat="1" ht="15">
      <c r="B21" s="192">
        <v>16</v>
      </c>
      <c r="C21" s="192" t="str">
        <f>IFERROR(INDEX(Table_Prescript_Meas[Measure Number], MATCH(Table_Custom_Input[[#This Row],[Refrigeration measure]], Table_Prescript_Meas[Measure Description], 0)), "")</f>
        <v/>
      </c>
      <c r="D21" s="224"/>
      <c r="E21" s="215"/>
      <c r="F21" s="192" t="str">
        <f>IFERROR(INDEX(Table_Prescript_Meas[Units], MATCH(Table_Custom_Input[[#This Row],[Measure number]], Table_Prescript_Meas[Measure Number], 0)), "")</f>
        <v/>
      </c>
      <c r="G21" s="191"/>
      <c r="H21" s="226"/>
      <c r="I21" s="226"/>
      <c r="J21"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1" s="227" t="str">
        <f>IFERROR(Table_Custom_Input[[#This Row],[Number of units]]*Table_Custom_Input[[#This Row],[Per-unit incentive]],"")</f>
        <v/>
      </c>
      <c r="L21" s="228" t="str">
        <f>IFERROR(Table_Custom_Input[[#This Row],[Number of units]]*INDEX(Table_Prescript_Meas[Deemed kWh Savings], MATCH(Table_Custom_Input[[#This Row],[Measure number]], Table_Prescript_Meas[Measure Number], 0)),"" )</f>
        <v/>
      </c>
      <c r="M21" s="229" t="str">
        <f>IFERROR(Table_Custom_Input[[#This Row],[Number of units]]*INDEX(Table_Prescript_Meas[Deemed kW Savings], MATCH(Table_Custom_Input[[#This Row],[Measure number]], Table_Prescript_Meas[Measure Number], 0)),"" )</f>
        <v/>
      </c>
      <c r="N21" s="227" t="str">
        <f>IFERROR(Table_Custom_Input[[#This Row],[Energy savings (kWh)]]*Input_AvgkWhRate, "")</f>
        <v/>
      </c>
      <c r="O21" s="227" t="str">
        <f>IF(Table_Custom_Input[[#This Row],[Measure number]]&lt;&gt;"",Table_Custom_Input[[#This Row],[Total equipment cost]]+Table_Custom_Input[[#This Row],[Total labor cost]],"")</f>
        <v/>
      </c>
      <c r="P21" s="227" t="str">
        <f>IF(Table_Custom_Input[[#This Row],[Measure number]]="","",Table_Custom_Input[[#This Row],[Gross measure cost]]-Table_Custom_Input[[#This Row],[Estimated incentive]])</f>
        <v/>
      </c>
      <c r="Q21" s="228" t="str">
        <f>IFERROR('Input Refrigeration Measures'!$P21/'Input Refrigeration Measures'!$N21, "")</f>
        <v/>
      </c>
      <c r="R21" s="189"/>
      <c r="S21" s="189"/>
      <c r="T21" s="189"/>
      <c r="U21" s="189"/>
    </row>
    <row r="22" spans="2:21" s="13" customFormat="1" ht="15">
      <c r="B22" s="192">
        <v>17</v>
      </c>
      <c r="C22" s="192" t="str">
        <f>IFERROR(INDEX(Table_Prescript_Meas[Measure Number], MATCH(Table_Custom_Input[[#This Row],[Refrigeration measure]], Table_Prescript_Meas[Measure Description], 0)), "")</f>
        <v/>
      </c>
      <c r="D22" s="224"/>
      <c r="E22" s="215"/>
      <c r="F22" s="192" t="str">
        <f>IFERROR(INDEX(Table_Prescript_Meas[Units], MATCH(Table_Custom_Input[[#This Row],[Measure number]], Table_Prescript_Meas[Measure Number], 0)), "")</f>
        <v/>
      </c>
      <c r="G22" s="191"/>
      <c r="H22" s="226"/>
      <c r="I22" s="226"/>
      <c r="J22"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2" s="227" t="str">
        <f>IFERROR(Table_Custom_Input[[#This Row],[Number of units]]*Table_Custom_Input[[#This Row],[Per-unit incentive]],"")</f>
        <v/>
      </c>
      <c r="L22" s="228" t="str">
        <f>IFERROR(Table_Custom_Input[[#This Row],[Number of units]]*INDEX(Table_Prescript_Meas[Deemed kWh Savings], MATCH(Table_Custom_Input[[#This Row],[Measure number]], Table_Prescript_Meas[Measure Number], 0)),"" )</f>
        <v/>
      </c>
      <c r="M22" s="229" t="str">
        <f>IFERROR(Table_Custom_Input[[#This Row],[Number of units]]*INDEX(Table_Prescript_Meas[Deemed kW Savings], MATCH(Table_Custom_Input[[#This Row],[Measure number]], Table_Prescript_Meas[Measure Number], 0)),"" )</f>
        <v/>
      </c>
      <c r="N22" s="227" t="str">
        <f>IFERROR(Table_Custom_Input[[#This Row],[Energy savings (kWh)]]*Input_AvgkWhRate, "")</f>
        <v/>
      </c>
      <c r="O22" s="227" t="str">
        <f>IF(Table_Custom_Input[[#This Row],[Measure number]]&lt;&gt;"",Table_Custom_Input[[#This Row],[Total equipment cost]]+Table_Custom_Input[[#This Row],[Total labor cost]],"")</f>
        <v/>
      </c>
      <c r="P22" s="227" t="str">
        <f>IF(Table_Custom_Input[[#This Row],[Measure number]]="","",Table_Custom_Input[[#This Row],[Gross measure cost]]-Table_Custom_Input[[#This Row],[Estimated incentive]])</f>
        <v/>
      </c>
      <c r="Q22" s="228" t="str">
        <f>IFERROR('Input Refrigeration Measures'!$P22/'Input Refrigeration Measures'!$N22, "")</f>
        <v/>
      </c>
      <c r="R22" s="189"/>
      <c r="S22" s="189"/>
      <c r="T22" s="189"/>
      <c r="U22" s="189"/>
    </row>
    <row r="23" spans="2:21" s="13" customFormat="1" ht="15">
      <c r="B23" s="192">
        <v>18</v>
      </c>
      <c r="C23" s="192" t="str">
        <f>IFERROR(INDEX(Table_Prescript_Meas[Measure Number], MATCH(Table_Custom_Input[[#This Row],[Refrigeration measure]], Table_Prescript_Meas[Measure Description], 0)), "")</f>
        <v/>
      </c>
      <c r="D23" s="224"/>
      <c r="E23" s="215"/>
      <c r="F23" s="192" t="str">
        <f>IFERROR(INDEX(Table_Prescript_Meas[Units], MATCH(Table_Custom_Input[[#This Row],[Measure number]], Table_Prescript_Meas[Measure Number], 0)), "")</f>
        <v/>
      </c>
      <c r="G23" s="191"/>
      <c r="H23" s="226"/>
      <c r="I23" s="226"/>
      <c r="J23"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3" s="227" t="str">
        <f>IFERROR(Table_Custom_Input[[#This Row],[Number of units]]*Table_Custom_Input[[#This Row],[Per-unit incentive]],"")</f>
        <v/>
      </c>
      <c r="L23" s="228" t="str">
        <f>IFERROR(Table_Custom_Input[[#This Row],[Number of units]]*INDEX(Table_Prescript_Meas[Deemed kWh Savings], MATCH(Table_Custom_Input[[#This Row],[Measure number]], Table_Prescript_Meas[Measure Number], 0)),"" )</f>
        <v/>
      </c>
      <c r="M23" s="229" t="str">
        <f>IFERROR(Table_Custom_Input[[#This Row],[Number of units]]*INDEX(Table_Prescript_Meas[Deemed kW Savings], MATCH(Table_Custom_Input[[#This Row],[Measure number]], Table_Prescript_Meas[Measure Number], 0)),"" )</f>
        <v/>
      </c>
      <c r="N23" s="227" t="str">
        <f>IFERROR(Table_Custom_Input[[#This Row],[Energy savings (kWh)]]*Input_AvgkWhRate, "")</f>
        <v/>
      </c>
      <c r="O23" s="227" t="str">
        <f>IF(Table_Custom_Input[[#This Row],[Measure number]]&lt;&gt;"",Table_Custom_Input[[#This Row],[Total equipment cost]]+Table_Custom_Input[[#This Row],[Total labor cost]],"")</f>
        <v/>
      </c>
      <c r="P23" s="227" t="str">
        <f>IF(Table_Custom_Input[[#This Row],[Measure number]]="","",Table_Custom_Input[[#This Row],[Gross measure cost]]-Table_Custom_Input[[#This Row],[Estimated incentive]])</f>
        <v/>
      </c>
      <c r="Q23" s="228" t="str">
        <f>IFERROR('Input Refrigeration Measures'!$P23/'Input Refrigeration Measures'!$N23, "")</f>
        <v/>
      </c>
      <c r="R23" s="189"/>
      <c r="S23" s="189"/>
      <c r="T23" s="189"/>
      <c r="U23" s="189"/>
    </row>
    <row r="24" spans="2:21" s="13" customFormat="1" ht="15">
      <c r="B24" s="192">
        <v>19</v>
      </c>
      <c r="C24" s="192" t="str">
        <f>IFERROR(INDEX(Table_Prescript_Meas[Measure Number], MATCH(Table_Custom_Input[[#This Row],[Refrigeration measure]], Table_Prescript_Meas[Measure Description], 0)), "")</f>
        <v/>
      </c>
      <c r="D24" s="224"/>
      <c r="E24" s="215"/>
      <c r="F24" s="192" t="str">
        <f>IFERROR(INDEX(Table_Prescript_Meas[Units], MATCH(Table_Custom_Input[[#This Row],[Measure number]], Table_Prescript_Meas[Measure Number], 0)), "")</f>
        <v/>
      </c>
      <c r="G24" s="191"/>
      <c r="H24" s="226"/>
      <c r="I24" s="226"/>
      <c r="J24"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4" s="227" t="str">
        <f>IFERROR(Table_Custom_Input[[#This Row],[Number of units]]*Table_Custom_Input[[#This Row],[Per-unit incentive]],"")</f>
        <v/>
      </c>
      <c r="L24" s="228" t="str">
        <f>IFERROR(Table_Custom_Input[[#This Row],[Number of units]]*INDEX(Table_Prescript_Meas[Deemed kWh Savings], MATCH(Table_Custom_Input[[#This Row],[Measure number]], Table_Prescript_Meas[Measure Number], 0)),"" )</f>
        <v/>
      </c>
      <c r="M24" s="229" t="str">
        <f>IFERROR(Table_Custom_Input[[#This Row],[Number of units]]*INDEX(Table_Prescript_Meas[Deemed kW Savings], MATCH(Table_Custom_Input[[#This Row],[Measure number]], Table_Prescript_Meas[Measure Number], 0)),"" )</f>
        <v/>
      </c>
      <c r="N24" s="227" t="str">
        <f>IFERROR(Table_Custom_Input[[#This Row],[Energy savings (kWh)]]*Input_AvgkWhRate, "")</f>
        <v/>
      </c>
      <c r="O24" s="227" t="str">
        <f>IF(Table_Custom_Input[[#This Row],[Measure number]]&lt;&gt;"",Table_Custom_Input[[#This Row],[Total equipment cost]]+Table_Custom_Input[[#This Row],[Total labor cost]],"")</f>
        <v/>
      </c>
      <c r="P24" s="227" t="str">
        <f>IF(Table_Custom_Input[[#This Row],[Measure number]]="","",Table_Custom_Input[[#This Row],[Gross measure cost]]-Table_Custom_Input[[#This Row],[Estimated incentive]])</f>
        <v/>
      </c>
      <c r="Q24" s="228" t="str">
        <f>IFERROR('Input Refrigeration Measures'!$P24/'Input Refrigeration Measures'!$N24, "")</f>
        <v/>
      </c>
      <c r="R24" s="189"/>
      <c r="S24" s="189"/>
      <c r="T24" s="189"/>
      <c r="U24" s="189"/>
    </row>
    <row r="25" spans="2:21" s="13" customFormat="1" ht="15">
      <c r="B25" s="192">
        <v>20</v>
      </c>
      <c r="C25" s="192" t="str">
        <f>IFERROR(INDEX(Table_Prescript_Meas[Measure Number], MATCH(Table_Custom_Input[[#This Row],[Refrigeration measure]], Table_Prescript_Meas[Measure Description], 0)), "")</f>
        <v/>
      </c>
      <c r="D25" s="224"/>
      <c r="E25" s="215"/>
      <c r="F25" s="192" t="str">
        <f>IFERROR(INDEX(Table_Prescript_Meas[Units], MATCH(Table_Custom_Input[[#This Row],[Measure number]], Table_Prescript_Meas[Measure Number], 0)), "")</f>
        <v/>
      </c>
      <c r="G25" s="191"/>
      <c r="H25" s="226"/>
      <c r="I25" s="226"/>
      <c r="J25"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5" s="227" t="str">
        <f>IFERROR(Table_Custom_Input[[#This Row],[Number of units]]*Table_Custom_Input[[#This Row],[Per-unit incentive]],"")</f>
        <v/>
      </c>
      <c r="L25" s="228" t="str">
        <f>IFERROR(Table_Custom_Input[[#This Row],[Number of units]]*INDEX(Table_Prescript_Meas[Deemed kWh Savings], MATCH(Table_Custom_Input[[#This Row],[Measure number]], Table_Prescript_Meas[Measure Number], 0)),"" )</f>
        <v/>
      </c>
      <c r="M25" s="229" t="str">
        <f>IFERROR(Table_Custom_Input[[#This Row],[Number of units]]*INDEX(Table_Prescript_Meas[Deemed kW Savings], MATCH(Table_Custom_Input[[#This Row],[Measure number]], Table_Prescript_Meas[Measure Number], 0)),"" )</f>
        <v/>
      </c>
      <c r="N25" s="227" t="str">
        <f>IFERROR(Table_Custom_Input[[#This Row],[Energy savings (kWh)]]*Input_AvgkWhRate, "")</f>
        <v/>
      </c>
      <c r="O25" s="227" t="str">
        <f>IF(Table_Custom_Input[[#This Row],[Measure number]]&lt;&gt;"",Table_Custom_Input[[#This Row],[Total equipment cost]]+Table_Custom_Input[[#This Row],[Total labor cost]],"")</f>
        <v/>
      </c>
      <c r="P25" s="227" t="str">
        <f>IF(Table_Custom_Input[[#This Row],[Measure number]]="","",Table_Custom_Input[[#This Row],[Gross measure cost]]-Table_Custom_Input[[#This Row],[Estimated incentive]])</f>
        <v/>
      </c>
      <c r="Q25" s="228" t="str">
        <f>IFERROR('Input Refrigeration Measures'!$P25/'Input Refrigeration Measures'!$N25, "")</f>
        <v/>
      </c>
      <c r="R25" s="189"/>
      <c r="S25" s="189"/>
      <c r="T25" s="189"/>
      <c r="U25" s="189"/>
    </row>
    <row r="26" spans="2:21" s="13" customFormat="1" ht="15">
      <c r="B26" s="192">
        <v>21</v>
      </c>
      <c r="C26" s="192" t="str">
        <f>IFERROR(INDEX(Table_Prescript_Meas[Measure Number], MATCH(Table_Custom_Input[[#This Row],[Refrigeration measure]], Table_Prescript_Meas[Measure Description], 0)), "")</f>
        <v/>
      </c>
      <c r="D26" s="224"/>
      <c r="E26" s="215"/>
      <c r="F26" s="192" t="str">
        <f>IFERROR(INDEX(Table_Prescript_Meas[Units], MATCH(Table_Custom_Input[[#This Row],[Measure number]], Table_Prescript_Meas[Measure Number], 0)), "")</f>
        <v/>
      </c>
      <c r="G26" s="191"/>
      <c r="H26" s="226"/>
      <c r="I26" s="226"/>
      <c r="J26"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6" s="227" t="str">
        <f>IFERROR(Table_Custom_Input[[#This Row],[Number of units]]*Table_Custom_Input[[#This Row],[Per-unit incentive]],"")</f>
        <v/>
      </c>
      <c r="L26" s="228" t="str">
        <f>IFERROR(Table_Custom_Input[[#This Row],[Number of units]]*INDEX(Table_Prescript_Meas[Deemed kWh Savings], MATCH(Table_Custom_Input[[#This Row],[Measure number]], Table_Prescript_Meas[Measure Number], 0)),"" )</f>
        <v/>
      </c>
      <c r="M26" s="229" t="str">
        <f>IFERROR(Table_Custom_Input[[#This Row],[Number of units]]*INDEX(Table_Prescript_Meas[Deemed kW Savings], MATCH(Table_Custom_Input[[#This Row],[Measure number]], Table_Prescript_Meas[Measure Number], 0)),"" )</f>
        <v/>
      </c>
      <c r="N26" s="227" t="str">
        <f>IFERROR(Table_Custom_Input[[#This Row],[Energy savings (kWh)]]*Input_AvgkWhRate, "")</f>
        <v/>
      </c>
      <c r="O26" s="227" t="str">
        <f>IF(Table_Custom_Input[[#This Row],[Measure number]]&lt;&gt;"",Table_Custom_Input[[#This Row],[Total equipment cost]]+Table_Custom_Input[[#This Row],[Total labor cost]],"")</f>
        <v/>
      </c>
      <c r="P26" s="227" t="str">
        <f>IF(Table_Custom_Input[[#This Row],[Measure number]]="","",Table_Custom_Input[[#This Row],[Gross measure cost]]-Table_Custom_Input[[#This Row],[Estimated incentive]])</f>
        <v/>
      </c>
      <c r="Q26" s="228" t="str">
        <f>IFERROR('Input Refrigeration Measures'!$P26/'Input Refrigeration Measures'!$N26, "")</f>
        <v/>
      </c>
      <c r="R26" s="189"/>
      <c r="S26" s="189"/>
      <c r="T26" s="189"/>
      <c r="U26" s="189"/>
    </row>
    <row r="27" spans="2:21" s="13" customFormat="1" ht="15">
      <c r="B27" s="192">
        <v>22</v>
      </c>
      <c r="C27" s="192" t="str">
        <f>IFERROR(INDEX(Table_Prescript_Meas[Measure Number], MATCH(Table_Custom_Input[[#This Row],[Refrigeration measure]], Table_Prescript_Meas[Measure Description], 0)), "")</f>
        <v/>
      </c>
      <c r="D27" s="224"/>
      <c r="E27" s="215"/>
      <c r="F27" s="192" t="str">
        <f>IFERROR(INDEX(Table_Prescript_Meas[Units], MATCH(Table_Custom_Input[[#This Row],[Measure number]], Table_Prescript_Meas[Measure Number], 0)), "")</f>
        <v/>
      </c>
      <c r="G27" s="191"/>
      <c r="H27" s="226"/>
      <c r="I27" s="226"/>
      <c r="J27"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7" s="227" t="str">
        <f>IFERROR(Table_Custom_Input[[#This Row],[Number of units]]*Table_Custom_Input[[#This Row],[Per-unit incentive]],"")</f>
        <v/>
      </c>
      <c r="L27" s="228" t="str">
        <f>IFERROR(Table_Custom_Input[[#This Row],[Number of units]]*INDEX(Table_Prescript_Meas[Deemed kWh Savings], MATCH(Table_Custom_Input[[#This Row],[Measure number]], Table_Prescript_Meas[Measure Number], 0)),"" )</f>
        <v/>
      </c>
      <c r="M27" s="229" t="str">
        <f>IFERROR(Table_Custom_Input[[#This Row],[Number of units]]*INDEX(Table_Prescript_Meas[Deemed kW Savings], MATCH(Table_Custom_Input[[#This Row],[Measure number]], Table_Prescript_Meas[Measure Number], 0)),"" )</f>
        <v/>
      </c>
      <c r="N27" s="227" t="str">
        <f>IFERROR(Table_Custom_Input[[#This Row],[Energy savings (kWh)]]*Input_AvgkWhRate, "")</f>
        <v/>
      </c>
      <c r="O27" s="227" t="str">
        <f>IF(Table_Custom_Input[[#This Row],[Measure number]]&lt;&gt;"",Table_Custom_Input[[#This Row],[Total equipment cost]]+Table_Custom_Input[[#This Row],[Total labor cost]],"")</f>
        <v/>
      </c>
      <c r="P27" s="227" t="str">
        <f>IF(Table_Custom_Input[[#This Row],[Measure number]]="","",Table_Custom_Input[[#This Row],[Gross measure cost]]-Table_Custom_Input[[#This Row],[Estimated incentive]])</f>
        <v/>
      </c>
      <c r="Q27" s="228" t="str">
        <f>IFERROR('Input Refrigeration Measures'!$P27/'Input Refrigeration Measures'!$N27, "")</f>
        <v/>
      </c>
      <c r="R27" s="189"/>
      <c r="S27" s="189"/>
      <c r="T27" s="189"/>
      <c r="U27" s="189"/>
    </row>
    <row r="28" spans="2:21" s="13" customFormat="1" ht="15">
      <c r="B28" s="192">
        <v>23</v>
      </c>
      <c r="C28" s="192" t="str">
        <f>IFERROR(INDEX(Table_Prescript_Meas[Measure Number], MATCH(Table_Custom_Input[[#This Row],[Refrigeration measure]], Table_Prescript_Meas[Measure Description], 0)), "")</f>
        <v/>
      </c>
      <c r="D28" s="224"/>
      <c r="E28" s="215"/>
      <c r="F28" s="192" t="str">
        <f>IFERROR(INDEX(Table_Prescript_Meas[Units], MATCH(Table_Custom_Input[[#This Row],[Measure number]], Table_Prescript_Meas[Measure Number], 0)), "")</f>
        <v/>
      </c>
      <c r="G28" s="191"/>
      <c r="H28" s="226"/>
      <c r="I28" s="226"/>
      <c r="J28"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8" s="227" t="str">
        <f>IFERROR(Table_Custom_Input[[#This Row],[Number of units]]*Table_Custom_Input[[#This Row],[Per-unit incentive]],"")</f>
        <v/>
      </c>
      <c r="L28" s="228" t="str">
        <f>IFERROR(Table_Custom_Input[[#This Row],[Number of units]]*INDEX(Table_Prescript_Meas[Deemed kWh Savings], MATCH(Table_Custom_Input[[#This Row],[Measure number]], Table_Prescript_Meas[Measure Number], 0)),"" )</f>
        <v/>
      </c>
      <c r="M28" s="229" t="str">
        <f>IFERROR(Table_Custom_Input[[#This Row],[Number of units]]*INDEX(Table_Prescript_Meas[Deemed kW Savings], MATCH(Table_Custom_Input[[#This Row],[Measure number]], Table_Prescript_Meas[Measure Number], 0)),"" )</f>
        <v/>
      </c>
      <c r="N28" s="227" t="str">
        <f>IFERROR(Table_Custom_Input[[#This Row],[Energy savings (kWh)]]*Input_AvgkWhRate, "")</f>
        <v/>
      </c>
      <c r="O28" s="227" t="str">
        <f>IF(Table_Custom_Input[[#This Row],[Measure number]]&lt;&gt;"",Table_Custom_Input[[#This Row],[Total equipment cost]]+Table_Custom_Input[[#This Row],[Total labor cost]],"")</f>
        <v/>
      </c>
      <c r="P28" s="227" t="str">
        <f>IF(Table_Custom_Input[[#This Row],[Measure number]]="","",Table_Custom_Input[[#This Row],[Gross measure cost]]-Table_Custom_Input[[#This Row],[Estimated incentive]])</f>
        <v/>
      </c>
      <c r="Q28" s="228" t="str">
        <f>IFERROR('Input Refrigeration Measures'!$P28/'Input Refrigeration Measures'!$N28, "")</f>
        <v/>
      </c>
      <c r="R28" s="189"/>
      <c r="S28" s="189"/>
      <c r="T28" s="189"/>
      <c r="U28" s="189"/>
    </row>
    <row r="29" spans="2:21" s="13" customFormat="1" ht="15">
      <c r="B29" s="192">
        <v>24</v>
      </c>
      <c r="C29" s="192" t="str">
        <f>IFERROR(INDEX(Table_Prescript_Meas[Measure Number], MATCH(Table_Custom_Input[[#This Row],[Refrigeration measure]], Table_Prescript_Meas[Measure Description], 0)), "")</f>
        <v/>
      </c>
      <c r="D29" s="224"/>
      <c r="E29" s="215"/>
      <c r="F29" s="192" t="str">
        <f>IFERROR(INDEX(Table_Prescript_Meas[Units], MATCH(Table_Custom_Input[[#This Row],[Measure number]], Table_Prescript_Meas[Measure Number], 0)), "")</f>
        <v/>
      </c>
      <c r="G29" s="191"/>
      <c r="H29" s="226"/>
      <c r="I29" s="226"/>
      <c r="J29"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9" s="227" t="str">
        <f>IFERROR(Table_Custom_Input[[#This Row],[Number of units]]*Table_Custom_Input[[#This Row],[Per-unit incentive]],"")</f>
        <v/>
      </c>
      <c r="L29" s="228" t="str">
        <f>IFERROR(Table_Custom_Input[[#This Row],[Number of units]]*INDEX(Table_Prescript_Meas[Deemed kWh Savings], MATCH(Table_Custom_Input[[#This Row],[Measure number]], Table_Prescript_Meas[Measure Number], 0)),"" )</f>
        <v/>
      </c>
      <c r="M29" s="229" t="str">
        <f>IFERROR(Table_Custom_Input[[#This Row],[Number of units]]*INDEX(Table_Prescript_Meas[Deemed kW Savings], MATCH(Table_Custom_Input[[#This Row],[Measure number]], Table_Prescript_Meas[Measure Number], 0)),"" )</f>
        <v/>
      </c>
      <c r="N29" s="227" t="str">
        <f>IFERROR(Table_Custom_Input[[#This Row],[Energy savings (kWh)]]*Input_AvgkWhRate, "")</f>
        <v/>
      </c>
      <c r="O29" s="227" t="str">
        <f>IF(Table_Custom_Input[[#This Row],[Measure number]]&lt;&gt;"",Table_Custom_Input[[#This Row],[Total equipment cost]]+Table_Custom_Input[[#This Row],[Total labor cost]],"")</f>
        <v/>
      </c>
      <c r="P29" s="227" t="str">
        <f>IF(Table_Custom_Input[[#This Row],[Measure number]]="","",Table_Custom_Input[[#This Row],[Gross measure cost]]-Table_Custom_Input[[#This Row],[Estimated incentive]])</f>
        <v/>
      </c>
      <c r="Q29" s="228" t="str">
        <f>IFERROR('Input Refrigeration Measures'!$P29/'Input Refrigeration Measures'!$N29, "")</f>
        <v/>
      </c>
      <c r="R29" s="189"/>
      <c r="S29" s="189"/>
      <c r="T29" s="189"/>
      <c r="U29" s="189"/>
    </row>
    <row r="30" spans="2:21" s="13" customFormat="1" ht="15">
      <c r="B30" s="192">
        <v>25</v>
      </c>
      <c r="C30" s="192" t="str">
        <f>IFERROR(INDEX(Table_Prescript_Meas[Measure Number], MATCH(Table_Custom_Input[[#This Row],[Refrigeration measure]], Table_Prescript_Meas[Measure Description], 0)), "")</f>
        <v/>
      </c>
      <c r="D30" s="224"/>
      <c r="E30" s="215"/>
      <c r="F30" s="192" t="str">
        <f>IFERROR(INDEX(Table_Prescript_Meas[Units], MATCH(Table_Custom_Input[[#This Row],[Measure number]], Table_Prescript_Meas[Measure Number], 0)), "")</f>
        <v/>
      </c>
      <c r="G30" s="191"/>
      <c r="H30" s="226"/>
      <c r="I30" s="226"/>
      <c r="J30"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0" s="227" t="str">
        <f>IFERROR(Table_Custom_Input[[#This Row],[Number of units]]*Table_Custom_Input[[#This Row],[Per-unit incentive]],"")</f>
        <v/>
      </c>
      <c r="L30" s="228" t="str">
        <f>IFERROR(Table_Custom_Input[[#This Row],[Number of units]]*INDEX(Table_Prescript_Meas[Deemed kWh Savings], MATCH(Table_Custom_Input[[#This Row],[Measure number]], Table_Prescript_Meas[Measure Number], 0)),"" )</f>
        <v/>
      </c>
      <c r="M30" s="229" t="str">
        <f>IFERROR(Table_Custom_Input[[#This Row],[Number of units]]*INDEX(Table_Prescript_Meas[Deemed kW Savings], MATCH(Table_Custom_Input[[#This Row],[Measure number]], Table_Prescript_Meas[Measure Number], 0)),"" )</f>
        <v/>
      </c>
      <c r="N30" s="227" t="str">
        <f>IFERROR(Table_Custom_Input[[#This Row],[Energy savings (kWh)]]*Input_AvgkWhRate, "")</f>
        <v/>
      </c>
      <c r="O30" s="227" t="str">
        <f>IF(Table_Custom_Input[[#This Row],[Measure number]]&lt;&gt;"",Table_Custom_Input[[#This Row],[Total equipment cost]]+Table_Custom_Input[[#This Row],[Total labor cost]],"")</f>
        <v/>
      </c>
      <c r="P30" s="227" t="str">
        <f>IF(Table_Custom_Input[[#This Row],[Measure number]]="","",Table_Custom_Input[[#This Row],[Gross measure cost]]-Table_Custom_Input[[#This Row],[Estimated incentive]])</f>
        <v/>
      </c>
      <c r="Q30" s="228" t="str">
        <f>IFERROR('Input Refrigeration Measures'!$P30/'Input Refrigeration Measures'!$N30, "")</f>
        <v/>
      </c>
      <c r="R30" s="189"/>
      <c r="S30" s="189"/>
      <c r="T30" s="189"/>
      <c r="U30" s="189"/>
    </row>
    <row r="31" spans="2:21" s="13" customFormat="1" ht="15">
      <c r="B31" s="192">
        <v>26</v>
      </c>
      <c r="C31" s="192" t="str">
        <f>IFERROR(INDEX(Table_Prescript_Meas[Measure Number], MATCH(Table_Custom_Input[[#This Row],[Refrigeration measure]], Table_Prescript_Meas[Measure Description], 0)), "")</f>
        <v/>
      </c>
      <c r="D31" s="224"/>
      <c r="E31" s="215"/>
      <c r="F31" s="192" t="str">
        <f>IFERROR(INDEX(Table_Prescript_Meas[Units], MATCH(Table_Custom_Input[[#This Row],[Measure number]], Table_Prescript_Meas[Measure Number], 0)), "")</f>
        <v/>
      </c>
      <c r="G31" s="191"/>
      <c r="H31" s="226"/>
      <c r="I31" s="226"/>
      <c r="J31"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1" s="227" t="str">
        <f>IFERROR(Table_Custom_Input[[#This Row],[Number of units]]*Table_Custom_Input[[#This Row],[Per-unit incentive]],"")</f>
        <v/>
      </c>
      <c r="L31" s="228" t="str">
        <f>IFERROR(Table_Custom_Input[[#This Row],[Number of units]]*INDEX(Table_Prescript_Meas[Deemed kWh Savings], MATCH(Table_Custom_Input[[#This Row],[Measure number]], Table_Prescript_Meas[Measure Number], 0)),"" )</f>
        <v/>
      </c>
      <c r="M31" s="229" t="str">
        <f>IFERROR(Table_Custom_Input[[#This Row],[Number of units]]*INDEX(Table_Prescript_Meas[Deemed kW Savings], MATCH(Table_Custom_Input[[#This Row],[Measure number]], Table_Prescript_Meas[Measure Number], 0)),"" )</f>
        <v/>
      </c>
      <c r="N31" s="227" t="str">
        <f>IFERROR(Table_Custom_Input[[#This Row],[Energy savings (kWh)]]*Input_AvgkWhRate, "")</f>
        <v/>
      </c>
      <c r="O31" s="227" t="str">
        <f>IF(Table_Custom_Input[[#This Row],[Measure number]]&lt;&gt;"",Table_Custom_Input[[#This Row],[Total equipment cost]]+Table_Custom_Input[[#This Row],[Total labor cost]],"")</f>
        <v/>
      </c>
      <c r="P31" s="227" t="str">
        <f>IF(Table_Custom_Input[[#This Row],[Measure number]]="","",Table_Custom_Input[[#This Row],[Gross measure cost]]-Table_Custom_Input[[#This Row],[Estimated incentive]])</f>
        <v/>
      </c>
      <c r="Q31" s="228" t="str">
        <f>IFERROR('Input Refrigeration Measures'!$P31/'Input Refrigeration Measures'!$N31, "")</f>
        <v/>
      </c>
      <c r="R31" s="189"/>
      <c r="S31" s="189"/>
      <c r="T31" s="189"/>
      <c r="U31" s="189"/>
    </row>
    <row r="32" spans="2:21" s="13" customFormat="1" ht="15">
      <c r="B32" s="192">
        <v>27</v>
      </c>
      <c r="C32" s="192" t="str">
        <f>IFERROR(INDEX(Table_Prescript_Meas[Measure Number], MATCH(Table_Custom_Input[[#This Row],[Refrigeration measure]], Table_Prescript_Meas[Measure Description], 0)), "")</f>
        <v/>
      </c>
      <c r="D32" s="224"/>
      <c r="E32" s="215"/>
      <c r="F32" s="192" t="str">
        <f>IFERROR(INDEX(Table_Prescript_Meas[Units], MATCH(Table_Custom_Input[[#This Row],[Measure number]], Table_Prescript_Meas[Measure Number], 0)), "")</f>
        <v/>
      </c>
      <c r="G32" s="191"/>
      <c r="H32" s="226"/>
      <c r="I32" s="226"/>
      <c r="J32"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2" s="227" t="str">
        <f>IFERROR(Table_Custom_Input[[#This Row],[Number of units]]*Table_Custom_Input[[#This Row],[Per-unit incentive]],"")</f>
        <v/>
      </c>
      <c r="L32" s="228" t="str">
        <f>IFERROR(Table_Custom_Input[[#This Row],[Number of units]]*INDEX(Table_Prescript_Meas[Deemed kWh Savings], MATCH(Table_Custom_Input[[#This Row],[Measure number]], Table_Prescript_Meas[Measure Number], 0)),"" )</f>
        <v/>
      </c>
      <c r="M32" s="229" t="str">
        <f>IFERROR(Table_Custom_Input[[#This Row],[Number of units]]*INDEX(Table_Prescript_Meas[Deemed kW Savings], MATCH(Table_Custom_Input[[#This Row],[Measure number]], Table_Prescript_Meas[Measure Number], 0)),"" )</f>
        <v/>
      </c>
      <c r="N32" s="227" t="str">
        <f>IFERROR(Table_Custom_Input[[#This Row],[Energy savings (kWh)]]*Input_AvgkWhRate, "")</f>
        <v/>
      </c>
      <c r="O32" s="227" t="str">
        <f>IF(Table_Custom_Input[[#This Row],[Measure number]]&lt;&gt;"",Table_Custom_Input[[#This Row],[Total equipment cost]]+Table_Custom_Input[[#This Row],[Total labor cost]],"")</f>
        <v/>
      </c>
      <c r="P32" s="227" t="str">
        <f>IF(Table_Custom_Input[[#This Row],[Measure number]]="","",Table_Custom_Input[[#This Row],[Gross measure cost]]-Table_Custom_Input[[#This Row],[Estimated incentive]])</f>
        <v/>
      </c>
      <c r="Q32" s="228" t="str">
        <f>IFERROR('Input Refrigeration Measures'!$P32/'Input Refrigeration Measures'!$N32, "")</f>
        <v/>
      </c>
      <c r="R32" s="189"/>
      <c r="S32" s="189"/>
      <c r="T32" s="189"/>
      <c r="U32" s="189"/>
    </row>
    <row r="33" spans="2:21" s="13" customFormat="1" ht="15">
      <c r="B33" s="192">
        <v>28</v>
      </c>
      <c r="C33" s="192" t="str">
        <f>IFERROR(INDEX(Table_Prescript_Meas[Measure Number], MATCH(Table_Custom_Input[[#This Row],[Refrigeration measure]], Table_Prescript_Meas[Measure Description], 0)), "")</f>
        <v/>
      </c>
      <c r="D33" s="224"/>
      <c r="E33" s="215"/>
      <c r="F33" s="192" t="str">
        <f>IFERROR(INDEX(Table_Prescript_Meas[Units], MATCH(Table_Custom_Input[[#This Row],[Measure number]], Table_Prescript_Meas[Measure Number], 0)), "")</f>
        <v/>
      </c>
      <c r="G33" s="191"/>
      <c r="H33" s="226"/>
      <c r="I33" s="226"/>
      <c r="J33"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3" s="227" t="str">
        <f>IFERROR(Table_Custom_Input[[#This Row],[Number of units]]*Table_Custom_Input[[#This Row],[Per-unit incentive]],"")</f>
        <v/>
      </c>
      <c r="L33" s="228" t="str">
        <f>IFERROR(Table_Custom_Input[[#This Row],[Number of units]]*INDEX(Table_Prescript_Meas[Deemed kWh Savings], MATCH(Table_Custom_Input[[#This Row],[Measure number]], Table_Prescript_Meas[Measure Number], 0)),"" )</f>
        <v/>
      </c>
      <c r="M33" s="229" t="str">
        <f>IFERROR(Table_Custom_Input[[#This Row],[Number of units]]*INDEX(Table_Prescript_Meas[Deemed kW Savings], MATCH(Table_Custom_Input[[#This Row],[Measure number]], Table_Prescript_Meas[Measure Number], 0)),"" )</f>
        <v/>
      </c>
      <c r="N33" s="227" t="str">
        <f>IFERROR(Table_Custom_Input[[#This Row],[Energy savings (kWh)]]*Input_AvgkWhRate, "")</f>
        <v/>
      </c>
      <c r="O33" s="227" t="str">
        <f>IF(Table_Custom_Input[[#This Row],[Measure number]]&lt;&gt;"",Table_Custom_Input[[#This Row],[Total equipment cost]]+Table_Custom_Input[[#This Row],[Total labor cost]],"")</f>
        <v/>
      </c>
      <c r="P33" s="227" t="str">
        <f>IF(Table_Custom_Input[[#This Row],[Measure number]]="","",Table_Custom_Input[[#This Row],[Gross measure cost]]-Table_Custom_Input[[#This Row],[Estimated incentive]])</f>
        <v/>
      </c>
      <c r="Q33" s="228" t="str">
        <f>IFERROR('Input Refrigeration Measures'!$P33/'Input Refrigeration Measures'!$N33, "")</f>
        <v/>
      </c>
      <c r="R33" s="189"/>
      <c r="S33" s="189"/>
      <c r="T33" s="189"/>
      <c r="U33" s="189"/>
    </row>
    <row r="34" spans="2:21" s="13" customFormat="1" ht="15">
      <c r="B34" s="192">
        <v>29</v>
      </c>
      <c r="C34" s="192" t="str">
        <f>IFERROR(INDEX(Table_Prescript_Meas[Measure Number], MATCH(Table_Custom_Input[[#This Row],[Refrigeration measure]], Table_Prescript_Meas[Measure Description], 0)), "")</f>
        <v/>
      </c>
      <c r="D34" s="224"/>
      <c r="E34" s="215"/>
      <c r="F34" s="192" t="str">
        <f>IFERROR(INDEX(Table_Prescript_Meas[Units], MATCH(Table_Custom_Input[[#This Row],[Measure number]], Table_Prescript_Meas[Measure Number], 0)), "")</f>
        <v/>
      </c>
      <c r="G34" s="191"/>
      <c r="H34" s="226"/>
      <c r="I34" s="226"/>
      <c r="J34"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4" s="227" t="str">
        <f>IFERROR(Table_Custom_Input[[#This Row],[Number of units]]*Table_Custom_Input[[#This Row],[Per-unit incentive]],"")</f>
        <v/>
      </c>
      <c r="L34" s="228" t="str">
        <f>IFERROR(Table_Custom_Input[[#This Row],[Number of units]]*INDEX(Table_Prescript_Meas[Deemed kWh Savings], MATCH(Table_Custom_Input[[#This Row],[Measure number]], Table_Prescript_Meas[Measure Number], 0)),"" )</f>
        <v/>
      </c>
      <c r="M34" s="229" t="str">
        <f>IFERROR(Table_Custom_Input[[#This Row],[Number of units]]*INDEX(Table_Prescript_Meas[Deemed kW Savings], MATCH(Table_Custom_Input[[#This Row],[Measure number]], Table_Prescript_Meas[Measure Number], 0)),"" )</f>
        <v/>
      </c>
      <c r="N34" s="227" t="str">
        <f>IFERROR(Table_Custom_Input[[#This Row],[Energy savings (kWh)]]*Input_AvgkWhRate, "")</f>
        <v/>
      </c>
      <c r="O34" s="227" t="str">
        <f>IF(Table_Custom_Input[[#This Row],[Measure number]]&lt;&gt;"",Table_Custom_Input[[#This Row],[Total equipment cost]]+Table_Custom_Input[[#This Row],[Total labor cost]],"")</f>
        <v/>
      </c>
      <c r="P34" s="227" t="str">
        <f>IF(Table_Custom_Input[[#This Row],[Measure number]]="","",Table_Custom_Input[[#This Row],[Gross measure cost]]-Table_Custom_Input[[#This Row],[Estimated incentive]])</f>
        <v/>
      </c>
      <c r="Q34" s="228" t="str">
        <f>IFERROR('Input Refrigeration Measures'!$P34/'Input Refrigeration Measures'!$N34, "")</f>
        <v/>
      </c>
      <c r="R34" s="189"/>
      <c r="S34" s="189"/>
      <c r="T34" s="189"/>
      <c r="U34" s="189"/>
    </row>
    <row r="35" spans="2:21" s="13" customFormat="1" ht="15">
      <c r="B35" s="192">
        <v>30</v>
      </c>
      <c r="C35" s="192" t="str">
        <f>IFERROR(INDEX(Table_Prescript_Meas[Measure Number], MATCH(Table_Custom_Input[[#This Row],[Refrigeration measure]], Table_Prescript_Meas[Measure Description], 0)), "")</f>
        <v/>
      </c>
      <c r="D35" s="224"/>
      <c r="E35" s="215"/>
      <c r="F35" s="192" t="str">
        <f>IFERROR(INDEX(Table_Prescript_Meas[Units], MATCH(Table_Custom_Input[[#This Row],[Measure number]], Table_Prescript_Meas[Measure Number], 0)), "")</f>
        <v/>
      </c>
      <c r="G35" s="191"/>
      <c r="H35" s="226"/>
      <c r="I35" s="226"/>
      <c r="J35"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5" s="227" t="str">
        <f>IFERROR(Table_Custom_Input[[#This Row],[Number of units]]*Table_Custom_Input[[#This Row],[Per-unit incentive]],"")</f>
        <v/>
      </c>
      <c r="L35" s="228" t="str">
        <f>IFERROR(Table_Custom_Input[[#This Row],[Number of units]]*INDEX(Table_Prescript_Meas[Deemed kWh Savings], MATCH(Table_Custom_Input[[#This Row],[Measure number]], Table_Prescript_Meas[Measure Number], 0)),"" )</f>
        <v/>
      </c>
      <c r="M35" s="229" t="str">
        <f>IFERROR(Table_Custom_Input[[#This Row],[Number of units]]*INDEX(Table_Prescript_Meas[Deemed kW Savings], MATCH(Table_Custom_Input[[#This Row],[Measure number]], Table_Prescript_Meas[Measure Number], 0)),"" )</f>
        <v/>
      </c>
      <c r="N35" s="227" t="str">
        <f>IFERROR(Table_Custom_Input[[#This Row],[Energy savings (kWh)]]*Input_AvgkWhRate, "")</f>
        <v/>
      </c>
      <c r="O35" s="227" t="str">
        <f>IF(Table_Custom_Input[[#This Row],[Measure number]]&lt;&gt;"",Table_Custom_Input[[#This Row],[Total equipment cost]]+Table_Custom_Input[[#This Row],[Total labor cost]],"")</f>
        <v/>
      </c>
      <c r="P35" s="227" t="str">
        <f>IF(Table_Custom_Input[[#This Row],[Measure number]]="","",Table_Custom_Input[[#This Row],[Gross measure cost]]-Table_Custom_Input[[#This Row],[Estimated incentive]])</f>
        <v/>
      </c>
      <c r="Q35" s="228" t="str">
        <f>IFERROR('Input Refrigeration Measures'!$P35/'Input Refrigeration Measures'!$N35, "")</f>
        <v/>
      </c>
      <c r="R35" s="189"/>
      <c r="S35" s="189"/>
      <c r="T35" s="189"/>
      <c r="U35" s="189"/>
    </row>
    <row r="36" spans="2:21" s="13" customFormat="1" ht="15">
      <c r="B36" s="192">
        <v>31</v>
      </c>
      <c r="C36" s="192" t="str">
        <f>IFERROR(INDEX(Table_Prescript_Meas[Measure Number], MATCH(Table_Custom_Input[[#This Row],[Refrigeration measure]], Table_Prescript_Meas[Measure Description], 0)), "")</f>
        <v/>
      </c>
      <c r="D36" s="224"/>
      <c r="E36" s="215"/>
      <c r="F36" s="192" t="str">
        <f>IFERROR(INDEX(Table_Prescript_Meas[Units], MATCH(Table_Custom_Input[[#This Row],[Measure number]], Table_Prescript_Meas[Measure Number], 0)), "")</f>
        <v/>
      </c>
      <c r="G36" s="191"/>
      <c r="H36" s="226"/>
      <c r="I36" s="226"/>
      <c r="J36"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6" s="227" t="str">
        <f>IFERROR(Table_Custom_Input[[#This Row],[Number of units]]*Table_Custom_Input[[#This Row],[Per-unit incentive]],"")</f>
        <v/>
      </c>
      <c r="L36" s="228" t="str">
        <f>IFERROR(Table_Custom_Input[[#This Row],[Number of units]]*INDEX(Table_Prescript_Meas[Deemed kWh Savings], MATCH(Table_Custom_Input[[#This Row],[Measure number]], Table_Prescript_Meas[Measure Number], 0)),"" )</f>
        <v/>
      </c>
      <c r="M36" s="229" t="str">
        <f>IFERROR(Table_Custom_Input[[#This Row],[Number of units]]*INDEX(Table_Prescript_Meas[Deemed kW Savings], MATCH(Table_Custom_Input[[#This Row],[Measure number]], Table_Prescript_Meas[Measure Number], 0)),"" )</f>
        <v/>
      </c>
      <c r="N36" s="227" t="str">
        <f>IFERROR(Table_Custom_Input[[#This Row],[Energy savings (kWh)]]*Input_AvgkWhRate, "")</f>
        <v/>
      </c>
      <c r="O36" s="227" t="str">
        <f>IF(Table_Custom_Input[[#This Row],[Measure number]]&lt;&gt;"",Table_Custom_Input[[#This Row],[Total equipment cost]]+Table_Custom_Input[[#This Row],[Total labor cost]],"")</f>
        <v/>
      </c>
      <c r="P36" s="227" t="str">
        <f>IF(Table_Custom_Input[[#This Row],[Measure number]]="","",Table_Custom_Input[[#This Row],[Gross measure cost]]-Table_Custom_Input[[#This Row],[Estimated incentive]])</f>
        <v/>
      </c>
      <c r="Q36" s="228" t="str">
        <f>IFERROR('Input Refrigeration Measures'!$P36/'Input Refrigeration Measures'!$N36, "")</f>
        <v/>
      </c>
      <c r="R36" s="189"/>
      <c r="S36" s="189"/>
      <c r="T36" s="189"/>
      <c r="U36" s="189"/>
    </row>
    <row r="37" spans="2:21" s="13" customFormat="1" ht="15">
      <c r="B37" s="192">
        <v>32</v>
      </c>
      <c r="C37" s="192" t="str">
        <f>IFERROR(INDEX(Table_Prescript_Meas[Measure Number], MATCH(Table_Custom_Input[[#This Row],[Refrigeration measure]], Table_Prescript_Meas[Measure Description], 0)), "")</f>
        <v/>
      </c>
      <c r="D37" s="224"/>
      <c r="E37" s="215"/>
      <c r="F37" s="192" t="str">
        <f>IFERROR(INDEX(Table_Prescript_Meas[Units], MATCH(Table_Custom_Input[[#This Row],[Measure number]], Table_Prescript_Meas[Measure Number], 0)), "")</f>
        <v/>
      </c>
      <c r="G37" s="191"/>
      <c r="H37" s="226"/>
      <c r="I37" s="226"/>
      <c r="J37"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7" s="227" t="str">
        <f>IFERROR(Table_Custom_Input[[#This Row],[Number of units]]*Table_Custom_Input[[#This Row],[Per-unit incentive]],"")</f>
        <v/>
      </c>
      <c r="L37" s="228" t="str">
        <f>IFERROR(Table_Custom_Input[[#This Row],[Number of units]]*INDEX(Table_Prescript_Meas[Deemed kWh Savings], MATCH(Table_Custom_Input[[#This Row],[Measure number]], Table_Prescript_Meas[Measure Number], 0)),"" )</f>
        <v/>
      </c>
      <c r="M37" s="229" t="str">
        <f>IFERROR(Table_Custom_Input[[#This Row],[Number of units]]*INDEX(Table_Prescript_Meas[Deemed kW Savings], MATCH(Table_Custom_Input[[#This Row],[Measure number]], Table_Prescript_Meas[Measure Number], 0)),"" )</f>
        <v/>
      </c>
      <c r="N37" s="227" t="str">
        <f>IFERROR(Table_Custom_Input[[#This Row],[Energy savings (kWh)]]*Input_AvgkWhRate, "")</f>
        <v/>
      </c>
      <c r="O37" s="227" t="str">
        <f>IF(Table_Custom_Input[[#This Row],[Measure number]]&lt;&gt;"",Table_Custom_Input[[#This Row],[Total equipment cost]]+Table_Custom_Input[[#This Row],[Total labor cost]],"")</f>
        <v/>
      </c>
      <c r="P37" s="227" t="str">
        <f>IF(Table_Custom_Input[[#This Row],[Measure number]]="","",Table_Custom_Input[[#This Row],[Gross measure cost]]-Table_Custom_Input[[#This Row],[Estimated incentive]])</f>
        <v/>
      </c>
      <c r="Q37" s="228" t="str">
        <f>IFERROR('Input Refrigeration Measures'!$P37/'Input Refrigeration Measures'!$N37, "")</f>
        <v/>
      </c>
      <c r="R37" s="189"/>
      <c r="S37" s="189"/>
      <c r="T37" s="189"/>
      <c r="U37" s="189"/>
    </row>
    <row r="38" spans="2:21" s="13" customFormat="1" ht="15">
      <c r="B38" s="192">
        <v>33</v>
      </c>
      <c r="C38" s="192" t="str">
        <f>IFERROR(INDEX(Table_Prescript_Meas[Measure Number], MATCH(Table_Custom_Input[[#This Row],[Refrigeration measure]], Table_Prescript_Meas[Measure Description], 0)), "")</f>
        <v/>
      </c>
      <c r="D38" s="224"/>
      <c r="E38" s="215"/>
      <c r="F38" s="192" t="str">
        <f>IFERROR(INDEX(Table_Prescript_Meas[Units], MATCH(Table_Custom_Input[[#This Row],[Measure number]], Table_Prescript_Meas[Measure Number], 0)), "")</f>
        <v/>
      </c>
      <c r="G38" s="191"/>
      <c r="H38" s="226"/>
      <c r="I38" s="226"/>
      <c r="J38"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8" s="227" t="str">
        <f>IFERROR(Table_Custom_Input[[#This Row],[Number of units]]*Table_Custom_Input[[#This Row],[Per-unit incentive]],"")</f>
        <v/>
      </c>
      <c r="L38" s="228" t="str">
        <f>IFERROR(Table_Custom_Input[[#This Row],[Number of units]]*INDEX(Table_Prescript_Meas[Deemed kWh Savings], MATCH(Table_Custom_Input[[#This Row],[Measure number]], Table_Prescript_Meas[Measure Number], 0)),"" )</f>
        <v/>
      </c>
      <c r="M38" s="229" t="str">
        <f>IFERROR(Table_Custom_Input[[#This Row],[Number of units]]*INDEX(Table_Prescript_Meas[Deemed kW Savings], MATCH(Table_Custom_Input[[#This Row],[Measure number]], Table_Prescript_Meas[Measure Number], 0)),"" )</f>
        <v/>
      </c>
      <c r="N38" s="227" t="str">
        <f>IFERROR(Table_Custom_Input[[#This Row],[Energy savings (kWh)]]*Input_AvgkWhRate, "")</f>
        <v/>
      </c>
      <c r="O38" s="227" t="str">
        <f>IF(Table_Custom_Input[[#This Row],[Measure number]]&lt;&gt;"",Table_Custom_Input[[#This Row],[Total equipment cost]]+Table_Custom_Input[[#This Row],[Total labor cost]],"")</f>
        <v/>
      </c>
      <c r="P38" s="227" t="str">
        <f>IF(Table_Custom_Input[[#This Row],[Measure number]]="","",Table_Custom_Input[[#This Row],[Gross measure cost]]-Table_Custom_Input[[#This Row],[Estimated incentive]])</f>
        <v/>
      </c>
      <c r="Q38" s="228" t="str">
        <f>IFERROR('Input Refrigeration Measures'!$P38/'Input Refrigeration Measures'!$N38, "")</f>
        <v/>
      </c>
      <c r="R38" s="189"/>
      <c r="S38" s="189"/>
      <c r="T38" s="189"/>
      <c r="U38" s="189"/>
    </row>
    <row r="39" spans="2:21" s="13" customFormat="1" ht="15">
      <c r="B39" s="192">
        <v>34</v>
      </c>
      <c r="C39" s="192" t="str">
        <f>IFERROR(INDEX(Table_Prescript_Meas[Measure Number], MATCH(Table_Custom_Input[[#This Row],[Refrigeration measure]], Table_Prescript_Meas[Measure Description], 0)), "")</f>
        <v/>
      </c>
      <c r="D39" s="224"/>
      <c r="E39" s="215"/>
      <c r="F39" s="192" t="str">
        <f>IFERROR(INDEX(Table_Prescript_Meas[Units], MATCH(Table_Custom_Input[[#This Row],[Measure number]], Table_Prescript_Meas[Measure Number], 0)), "")</f>
        <v/>
      </c>
      <c r="G39" s="191"/>
      <c r="H39" s="226"/>
      <c r="I39" s="226"/>
      <c r="J39"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9" s="227" t="str">
        <f>IFERROR(Table_Custom_Input[[#This Row],[Number of units]]*Table_Custom_Input[[#This Row],[Per-unit incentive]],"")</f>
        <v/>
      </c>
      <c r="L39" s="228" t="str">
        <f>IFERROR(Table_Custom_Input[[#This Row],[Number of units]]*INDEX(Table_Prescript_Meas[Deemed kWh Savings], MATCH(Table_Custom_Input[[#This Row],[Measure number]], Table_Prescript_Meas[Measure Number], 0)),"" )</f>
        <v/>
      </c>
      <c r="M39" s="229" t="str">
        <f>IFERROR(Table_Custom_Input[[#This Row],[Number of units]]*INDEX(Table_Prescript_Meas[Deemed kW Savings], MATCH(Table_Custom_Input[[#This Row],[Measure number]], Table_Prescript_Meas[Measure Number], 0)),"" )</f>
        <v/>
      </c>
      <c r="N39" s="227" t="str">
        <f>IFERROR(Table_Custom_Input[[#This Row],[Energy savings (kWh)]]*Input_AvgkWhRate, "")</f>
        <v/>
      </c>
      <c r="O39" s="227" t="str">
        <f>IF(Table_Custom_Input[[#This Row],[Measure number]]&lt;&gt;"",Table_Custom_Input[[#This Row],[Total equipment cost]]+Table_Custom_Input[[#This Row],[Total labor cost]],"")</f>
        <v/>
      </c>
      <c r="P39" s="227" t="str">
        <f>IF(Table_Custom_Input[[#This Row],[Measure number]]="","",Table_Custom_Input[[#This Row],[Gross measure cost]]-Table_Custom_Input[[#This Row],[Estimated incentive]])</f>
        <v/>
      </c>
      <c r="Q39" s="228" t="str">
        <f>IFERROR('Input Refrigeration Measures'!$P39/'Input Refrigeration Measures'!$N39, "")</f>
        <v/>
      </c>
      <c r="R39" s="189"/>
      <c r="S39" s="189"/>
      <c r="T39" s="189"/>
      <c r="U39" s="189"/>
    </row>
    <row r="40" spans="2:21" s="13" customFormat="1" ht="15">
      <c r="B40" s="192">
        <v>35</v>
      </c>
      <c r="C40" s="192" t="str">
        <f>IFERROR(INDEX(Table_Prescript_Meas[Measure Number], MATCH(Table_Custom_Input[[#This Row],[Refrigeration measure]], Table_Prescript_Meas[Measure Description], 0)), "")</f>
        <v/>
      </c>
      <c r="D40" s="224"/>
      <c r="E40" s="215"/>
      <c r="F40" s="192" t="str">
        <f>IFERROR(INDEX(Table_Prescript_Meas[Units], MATCH(Table_Custom_Input[[#This Row],[Measure number]], Table_Prescript_Meas[Measure Number], 0)), "")</f>
        <v/>
      </c>
      <c r="G40" s="191"/>
      <c r="H40" s="226"/>
      <c r="I40" s="226"/>
      <c r="J40"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0" s="227" t="str">
        <f>IFERROR(Table_Custom_Input[[#This Row],[Number of units]]*Table_Custom_Input[[#This Row],[Per-unit incentive]],"")</f>
        <v/>
      </c>
      <c r="L40" s="228" t="str">
        <f>IFERROR(Table_Custom_Input[[#This Row],[Number of units]]*INDEX(Table_Prescript_Meas[Deemed kWh Savings], MATCH(Table_Custom_Input[[#This Row],[Measure number]], Table_Prescript_Meas[Measure Number], 0)),"" )</f>
        <v/>
      </c>
      <c r="M40" s="229" t="str">
        <f>IFERROR(Table_Custom_Input[[#This Row],[Number of units]]*INDEX(Table_Prescript_Meas[Deemed kW Savings], MATCH(Table_Custom_Input[[#This Row],[Measure number]], Table_Prescript_Meas[Measure Number], 0)),"" )</f>
        <v/>
      </c>
      <c r="N40" s="227" t="str">
        <f>IFERROR(Table_Custom_Input[[#This Row],[Energy savings (kWh)]]*Input_AvgkWhRate, "")</f>
        <v/>
      </c>
      <c r="O40" s="227" t="str">
        <f>IF(Table_Custom_Input[[#This Row],[Measure number]]&lt;&gt;"",Table_Custom_Input[[#This Row],[Total equipment cost]]+Table_Custom_Input[[#This Row],[Total labor cost]],"")</f>
        <v/>
      </c>
      <c r="P40" s="227" t="str">
        <f>IF(Table_Custom_Input[[#This Row],[Measure number]]="","",Table_Custom_Input[[#This Row],[Gross measure cost]]-Table_Custom_Input[[#This Row],[Estimated incentive]])</f>
        <v/>
      </c>
      <c r="Q40" s="228" t="str">
        <f>IFERROR('Input Refrigeration Measures'!$P40/'Input Refrigeration Measures'!$N40, "")</f>
        <v/>
      </c>
      <c r="R40" s="189"/>
      <c r="S40" s="189"/>
      <c r="T40" s="189"/>
      <c r="U40" s="189"/>
    </row>
    <row r="41" spans="2:21" s="13" customFormat="1" ht="15">
      <c r="B41" s="192">
        <v>36</v>
      </c>
      <c r="C41" s="192" t="str">
        <f>IFERROR(INDEX(Table_Prescript_Meas[Measure Number], MATCH(Table_Custom_Input[[#This Row],[Refrigeration measure]], Table_Prescript_Meas[Measure Description], 0)), "")</f>
        <v/>
      </c>
      <c r="D41" s="224"/>
      <c r="E41" s="215"/>
      <c r="F41" s="192" t="str">
        <f>IFERROR(INDEX(Table_Prescript_Meas[Units], MATCH(Table_Custom_Input[[#This Row],[Measure number]], Table_Prescript_Meas[Measure Number], 0)), "")</f>
        <v/>
      </c>
      <c r="G41" s="191"/>
      <c r="H41" s="226"/>
      <c r="I41" s="226"/>
      <c r="J41"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1" s="227" t="str">
        <f>IFERROR(Table_Custom_Input[[#This Row],[Number of units]]*Table_Custom_Input[[#This Row],[Per-unit incentive]],"")</f>
        <v/>
      </c>
      <c r="L41" s="228" t="str">
        <f>IFERROR(Table_Custom_Input[[#This Row],[Number of units]]*INDEX(Table_Prescript_Meas[Deemed kWh Savings], MATCH(Table_Custom_Input[[#This Row],[Measure number]], Table_Prescript_Meas[Measure Number], 0)),"" )</f>
        <v/>
      </c>
      <c r="M41" s="229" t="str">
        <f>IFERROR(Table_Custom_Input[[#This Row],[Number of units]]*INDEX(Table_Prescript_Meas[Deemed kW Savings], MATCH(Table_Custom_Input[[#This Row],[Measure number]], Table_Prescript_Meas[Measure Number], 0)),"" )</f>
        <v/>
      </c>
      <c r="N41" s="227" t="str">
        <f>IFERROR(Table_Custom_Input[[#This Row],[Energy savings (kWh)]]*Input_AvgkWhRate, "")</f>
        <v/>
      </c>
      <c r="O41" s="227" t="str">
        <f>IF(Table_Custom_Input[[#This Row],[Measure number]]&lt;&gt;"",Table_Custom_Input[[#This Row],[Total equipment cost]]+Table_Custom_Input[[#This Row],[Total labor cost]],"")</f>
        <v/>
      </c>
      <c r="P41" s="227" t="str">
        <f>IF(Table_Custom_Input[[#This Row],[Measure number]]="","",Table_Custom_Input[[#This Row],[Gross measure cost]]-Table_Custom_Input[[#This Row],[Estimated incentive]])</f>
        <v/>
      </c>
      <c r="Q41" s="228" t="str">
        <f>IFERROR('Input Refrigeration Measures'!$P41/'Input Refrigeration Measures'!$N41, "")</f>
        <v/>
      </c>
      <c r="R41" s="189"/>
      <c r="S41" s="189"/>
      <c r="T41" s="189"/>
      <c r="U41" s="189"/>
    </row>
    <row r="42" spans="2:21" s="13" customFormat="1" ht="15">
      <c r="B42" s="192">
        <v>37</v>
      </c>
      <c r="C42" s="192" t="str">
        <f>IFERROR(INDEX(Table_Prescript_Meas[Measure Number], MATCH(Table_Custom_Input[[#This Row],[Refrigeration measure]], Table_Prescript_Meas[Measure Description], 0)), "")</f>
        <v/>
      </c>
      <c r="D42" s="224"/>
      <c r="E42" s="215"/>
      <c r="F42" s="192" t="str">
        <f>IFERROR(INDEX(Table_Prescript_Meas[Units], MATCH(Table_Custom_Input[[#This Row],[Measure number]], Table_Prescript_Meas[Measure Number], 0)), "")</f>
        <v/>
      </c>
      <c r="G42" s="191"/>
      <c r="H42" s="226"/>
      <c r="I42" s="226"/>
      <c r="J42"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2" s="227" t="str">
        <f>IFERROR(Table_Custom_Input[[#This Row],[Number of units]]*Table_Custom_Input[[#This Row],[Per-unit incentive]],"")</f>
        <v/>
      </c>
      <c r="L42" s="228" t="str">
        <f>IFERROR(Table_Custom_Input[[#This Row],[Number of units]]*INDEX(Table_Prescript_Meas[Deemed kWh Savings], MATCH(Table_Custom_Input[[#This Row],[Measure number]], Table_Prescript_Meas[Measure Number], 0)),"" )</f>
        <v/>
      </c>
      <c r="M42" s="229" t="str">
        <f>IFERROR(Table_Custom_Input[[#This Row],[Number of units]]*INDEX(Table_Prescript_Meas[Deemed kW Savings], MATCH(Table_Custom_Input[[#This Row],[Measure number]], Table_Prescript_Meas[Measure Number], 0)),"" )</f>
        <v/>
      </c>
      <c r="N42" s="227" t="str">
        <f>IFERROR(Table_Custom_Input[[#This Row],[Energy savings (kWh)]]*Input_AvgkWhRate, "")</f>
        <v/>
      </c>
      <c r="O42" s="227" t="str">
        <f>IF(Table_Custom_Input[[#This Row],[Measure number]]&lt;&gt;"",Table_Custom_Input[[#This Row],[Total equipment cost]]+Table_Custom_Input[[#This Row],[Total labor cost]],"")</f>
        <v/>
      </c>
      <c r="P42" s="227" t="str">
        <f>IF(Table_Custom_Input[[#This Row],[Measure number]]="","",Table_Custom_Input[[#This Row],[Gross measure cost]]-Table_Custom_Input[[#This Row],[Estimated incentive]])</f>
        <v/>
      </c>
      <c r="Q42" s="228" t="str">
        <f>IFERROR('Input Refrigeration Measures'!$P42/'Input Refrigeration Measures'!$N42, "")</f>
        <v/>
      </c>
      <c r="R42" s="189"/>
      <c r="S42" s="189"/>
      <c r="T42" s="189"/>
      <c r="U42" s="189"/>
    </row>
    <row r="43" spans="2:21" s="13" customFormat="1" ht="15">
      <c r="B43" s="192">
        <v>38</v>
      </c>
      <c r="C43" s="192" t="str">
        <f>IFERROR(INDEX(Table_Prescript_Meas[Measure Number], MATCH(Table_Custom_Input[[#This Row],[Refrigeration measure]], Table_Prescript_Meas[Measure Description], 0)), "")</f>
        <v/>
      </c>
      <c r="D43" s="224"/>
      <c r="E43" s="215"/>
      <c r="F43" s="192" t="str">
        <f>IFERROR(INDEX(Table_Prescript_Meas[Units], MATCH(Table_Custom_Input[[#This Row],[Measure number]], Table_Prescript_Meas[Measure Number], 0)), "")</f>
        <v/>
      </c>
      <c r="G43" s="191"/>
      <c r="H43" s="226"/>
      <c r="I43" s="226"/>
      <c r="J43"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3" s="227" t="str">
        <f>IFERROR(Table_Custom_Input[[#This Row],[Number of units]]*Table_Custom_Input[[#This Row],[Per-unit incentive]],"")</f>
        <v/>
      </c>
      <c r="L43" s="228" t="str">
        <f>IFERROR(Table_Custom_Input[[#This Row],[Number of units]]*INDEX(Table_Prescript_Meas[Deemed kWh Savings], MATCH(Table_Custom_Input[[#This Row],[Measure number]], Table_Prescript_Meas[Measure Number], 0)),"" )</f>
        <v/>
      </c>
      <c r="M43" s="229" t="str">
        <f>IFERROR(Table_Custom_Input[[#This Row],[Number of units]]*INDEX(Table_Prescript_Meas[Deemed kW Savings], MATCH(Table_Custom_Input[[#This Row],[Measure number]], Table_Prescript_Meas[Measure Number], 0)),"" )</f>
        <v/>
      </c>
      <c r="N43" s="227" t="str">
        <f>IFERROR(Table_Custom_Input[[#This Row],[Energy savings (kWh)]]*Input_AvgkWhRate, "")</f>
        <v/>
      </c>
      <c r="O43" s="227" t="str">
        <f>IF(Table_Custom_Input[[#This Row],[Measure number]]&lt;&gt;"",Table_Custom_Input[[#This Row],[Total equipment cost]]+Table_Custom_Input[[#This Row],[Total labor cost]],"")</f>
        <v/>
      </c>
      <c r="P43" s="227" t="str">
        <f>IF(Table_Custom_Input[[#This Row],[Measure number]]="","",Table_Custom_Input[[#This Row],[Gross measure cost]]-Table_Custom_Input[[#This Row],[Estimated incentive]])</f>
        <v/>
      </c>
      <c r="Q43" s="228" t="str">
        <f>IFERROR('Input Refrigeration Measures'!$P43/'Input Refrigeration Measures'!$N43, "")</f>
        <v/>
      </c>
      <c r="R43" s="189"/>
      <c r="S43" s="189"/>
      <c r="T43" s="189"/>
      <c r="U43" s="189"/>
    </row>
    <row r="44" spans="2:21" s="13" customFormat="1" ht="15">
      <c r="B44" s="192">
        <v>39</v>
      </c>
      <c r="C44" s="192" t="str">
        <f>IFERROR(INDEX(Table_Prescript_Meas[Measure Number], MATCH(Table_Custom_Input[[#This Row],[Refrigeration measure]], Table_Prescript_Meas[Measure Description], 0)), "")</f>
        <v/>
      </c>
      <c r="D44" s="224"/>
      <c r="E44" s="215"/>
      <c r="F44" s="192" t="str">
        <f>IFERROR(INDEX(Table_Prescript_Meas[Units], MATCH(Table_Custom_Input[[#This Row],[Measure number]], Table_Prescript_Meas[Measure Number], 0)), "")</f>
        <v/>
      </c>
      <c r="G44" s="191"/>
      <c r="H44" s="226"/>
      <c r="I44" s="226"/>
      <c r="J44"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4" s="227" t="str">
        <f>IFERROR(Table_Custom_Input[[#This Row],[Number of units]]*Table_Custom_Input[[#This Row],[Per-unit incentive]],"")</f>
        <v/>
      </c>
      <c r="L44" s="228" t="str">
        <f>IFERROR(Table_Custom_Input[[#This Row],[Number of units]]*INDEX(Table_Prescript_Meas[Deemed kWh Savings], MATCH(Table_Custom_Input[[#This Row],[Measure number]], Table_Prescript_Meas[Measure Number], 0)),"" )</f>
        <v/>
      </c>
      <c r="M44" s="229" t="str">
        <f>IFERROR(Table_Custom_Input[[#This Row],[Number of units]]*INDEX(Table_Prescript_Meas[Deemed kW Savings], MATCH(Table_Custom_Input[[#This Row],[Measure number]], Table_Prescript_Meas[Measure Number], 0)),"" )</f>
        <v/>
      </c>
      <c r="N44" s="227" t="str">
        <f>IFERROR(Table_Custom_Input[[#This Row],[Energy savings (kWh)]]*Input_AvgkWhRate, "")</f>
        <v/>
      </c>
      <c r="O44" s="227" t="str">
        <f>IF(Table_Custom_Input[[#This Row],[Measure number]]&lt;&gt;"",Table_Custom_Input[[#This Row],[Total equipment cost]]+Table_Custom_Input[[#This Row],[Total labor cost]],"")</f>
        <v/>
      </c>
      <c r="P44" s="227" t="str">
        <f>IF(Table_Custom_Input[[#This Row],[Measure number]]="","",Table_Custom_Input[[#This Row],[Gross measure cost]]-Table_Custom_Input[[#This Row],[Estimated incentive]])</f>
        <v/>
      </c>
      <c r="Q44" s="228" t="str">
        <f>IFERROR('Input Refrigeration Measures'!$P44/'Input Refrigeration Measures'!$N44, "")</f>
        <v/>
      </c>
      <c r="R44" s="189"/>
      <c r="S44" s="189"/>
      <c r="T44" s="189"/>
      <c r="U44" s="189"/>
    </row>
    <row r="45" spans="2:21" s="13" customFormat="1" ht="15">
      <c r="B45" s="192">
        <v>40</v>
      </c>
      <c r="C45" s="192" t="str">
        <f>IFERROR(INDEX(Table_Prescript_Meas[Measure Number], MATCH(Table_Custom_Input[[#This Row],[Refrigeration measure]], Table_Prescript_Meas[Measure Description], 0)), "")</f>
        <v/>
      </c>
      <c r="D45" s="224"/>
      <c r="E45" s="215"/>
      <c r="F45" s="192" t="str">
        <f>IFERROR(INDEX(Table_Prescript_Meas[Units], MATCH(Table_Custom_Input[[#This Row],[Measure number]], Table_Prescript_Meas[Measure Number], 0)), "")</f>
        <v/>
      </c>
      <c r="G45" s="191"/>
      <c r="H45" s="226"/>
      <c r="I45" s="226"/>
      <c r="J45"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5" s="227" t="str">
        <f>IFERROR(Table_Custom_Input[[#This Row],[Number of units]]*Table_Custom_Input[[#This Row],[Per-unit incentive]],"")</f>
        <v/>
      </c>
      <c r="L45" s="228" t="str">
        <f>IFERROR(Table_Custom_Input[[#This Row],[Number of units]]*INDEX(Table_Prescript_Meas[Deemed kWh Savings], MATCH(Table_Custom_Input[[#This Row],[Measure number]], Table_Prescript_Meas[Measure Number], 0)),"" )</f>
        <v/>
      </c>
      <c r="M45" s="229" t="str">
        <f>IFERROR(Table_Custom_Input[[#This Row],[Number of units]]*INDEX(Table_Prescript_Meas[Deemed kW Savings], MATCH(Table_Custom_Input[[#This Row],[Measure number]], Table_Prescript_Meas[Measure Number], 0)),"" )</f>
        <v/>
      </c>
      <c r="N45" s="227" t="str">
        <f>IFERROR(Table_Custom_Input[[#This Row],[Energy savings (kWh)]]*Input_AvgkWhRate, "")</f>
        <v/>
      </c>
      <c r="O45" s="227" t="str">
        <f>IF(Table_Custom_Input[[#This Row],[Measure number]]&lt;&gt;"",Table_Custom_Input[[#This Row],[Total equipment cost]]+Table_Custom_Input[[#This Row],[Total labor cost]],"")</f>
        <v/>
      </c>
      <c r="P45" s="227" t="str">
        <f>IF(Table_Custom_Input[[#This Row],[Measure number]]="","",Table_Custom_Input[[#This Row],[Gross measure cost]]-Table_Custom_Input[[#This Row],[Estimated incentive]])</f>
        <v/>
      </c>
      <c r="Q45" s="228" t="str">
        <f>IFERROR('Input Refrigeration Measures'!$P45/'Input Refrigeration Measures'!$N45, "")</f>
        <v/>
      </c>
      <c r="R45" s="189"/>
      <c r="S45" s="189"/>
      <c r="T45" s="189"/>
      <c r="U45" s="189"/>
    </row>
    <row r="46" spans="2:21" s="13" customFormat="1" ht="15">
      <c r="B46" s="192">
        <v>41</v>
      </c>
      <c r="C46" s="192" t="str">
        <f>IFERROR(INDEX(Table_Prescript_Meas[Measure Number], MATCH(Table_Custom_Input[[#This Row],[Refrigeration measure]], Table_Prescript_Meas[Measure Description], 0)), "")</f>
        <v/>
      </c>
      <c r="D46" s="224"/>
      <c r="E46" s="215"/>
      <c r="F46" s="192" t="str">
        <f>IFERROR(INDEX(Table_Prescript_Meas[Units], MATCH(Table_Custom_Input[[#This Row],[Measure number]], Table_Prescript_Meas[Measure Number], 0)), "")</f>
        <v/>
      </c>
      <c r="G46" s="191"/>
      <c r="H46" s="226"/>
      <c r="I46" s="226"/>
      <c r="J46"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6" s="227" t="str">
        <f>IFERROR(Table_Custom_Input[[#This Row],[Number of units]]*Table_Custom_Input[[#This Row],[Per-unit incentive]],"")</f>
        <v/>
      </c>
      <c r="L46" s="228" t="str">
        <f>IFERROR(Table_Custom_Input[[#This Row],[Number of units]]*INDEX(Table_Prescript_Meas[Deemed kWh Savings], MATCH(Table_Custom_Input[[#This Row],[Measure number]], Table_Prescript_Meas[Measure Number], 0)),"" )</f>
        <v/>
      </c>
      <c r="M46" s="229" t="str">
        <f>IFERROR(Table_Custom_Input[[#This Row],[Number of units]]*INDEX(Table_Prescript_Meas[Deemed kW Savings], MATCH(Table_Custom_Input[[#This Row],[Measure number]], Table_Prescript_Meas[Measure Number], 0)),"" )</f>
        <v/>
      </c>
      <c r="N46" s="227" t="str">
        <f>IFERROR(Table_Custom_Input[[#This Row],[Energy savings (kWh)]]*Input_AvgkWhRate, "")</f>
        <v/>
      </c>
      <c r="O46" s="227" t="str">
        <f>IF(Table_Custom_Input[[#This Row],[Measure number]]&lt;&gt;"",Table_Custom_Input[[#This Row],[Total equipment cost]]+Table_Custom_Input[[#This Row],[Total labor cost]],"")</f>
        <v/>
      </c>
      <c r="P46" s="227" t="str">
        <f>IF(Table_Custom_Input[[#This Row],[Measure number]]="","",Table_Custom_Input[[#This Row],[Gross measure cost]]-Table_Custom_Input[[#This Row],[Estimated incentive]])</f>
        <v/>
      </c>
      <c r="Q46" s="228" t="str">
        <f>IFERROR('Input Refrigeration Measures'!$P46/'Input Refrigeration Measures'!$N46, "")</f>
        <v/>
      </c>
      <c r="R46" s="189"/>
      <c r="S46" s="189"/>
      <c r="T46" s="189"/>
      <c r="U46" s="189"/>
    </row>
    <row r="47" spans="2:21" s="13" customFormat="1" ht="15">
      <c r="B47" s="192">
        <v>42</v>
      </c>
      <c r="C47" s="192" t="str">
        <f>IFERROR(INDEX(Table_Prescript_Meas[Measure Number], MATCH(Table_Custom_Input[[#This Row],[Refrigeration measure]], Table_Prescript_Meas[Measure Description], 0)), "")</f>
        <v/>
      </c>
      <c r="D47" s="224"/>
      <c r="E47" s="215"/>
      <c r="F47" s="192" t="str">
        <f>IFERROR(INDEX(Table_Prescript_Meas[Units], MATCH(Table_Custom_Input[[#This Row],[Measure number]], Table_Prescript_Meas[Measure Number], 0)), "")</f>
        <v/>
      </c>
      <c r="G47" s="191"/>
      <c r="H47" s="226"/>
      <c r="I47" s="226"/>
      <c r="J47"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7" s="227" t="str">
        <f>IFERROR(Table_Custom_Input[[#This Row],[Number of units]]*Table_Custom_Input[[#This Row],[Per-unit incentive]],"")</f>
        <v/>
      </c>
      <c r="L47" s="228" t="str">
        <f>IFERROR(Table_Custom_Input[[#This Row],[Number of units]]*INDEX(Table_Prescript_Meas[Deemed kWh Savings], MATCH(Table_Custom_Input[[#This Row],[Measure number]], Table_Prescript_Meas[Measure Number], 0)),"" )</f>
        <v/>
      </c>
      <c r="M47" s="229" t="str">
        <f>IFERROR(Table_Custom_Input[[#This Row],[Number of units]]*INDEX(Table_Prescript_Meas[Deemed kW Savings], MATCH(Table_Custom_Input[[#This Row],[Measure number]], Table_Prescript_Meas[Measure Number], 0)),"" )</f>
        <v/>
      </c>
      <c r="N47" s="227" t="str">
        <f>IFERROR(Table_Custom_Input[[#This Row],[Energy savings (kWh)]]*Input_AvgkWhRate, "")</f>
        <v/>
      </c>
      <c r="O47" s="227" t="str">
        <f>IF(Table_Custom_Input[[#This Row],[Measure number]]&lt;&gt;"",Table_Custom_Input[[#This Row],[Total equipment cost]]+Table_Custom_Input[[#This Row],[Total labor cost]],"")</f>
        <v/>
      </c>
      <c r="P47" s="227" t="str">
        <f>IF(Table_Custom_Input[[#This Row],[Measure number]]="","",Table_Custom_Input[[#This Row],[Gross measure cost]]-Table_Custom_Input[[#This Row],[Estimated incentive]])</f>
        <v/>
      </c>
      <c r="Q47" s="228" t="str">
        <f>IFERROR('Input Refrigeration Measures'!$P47/'Input Refrigeration Measures'!$N47, "")</f>
        <v/>
      </c>
      <c r="R47" s="189"/>
      <c r="S47" s="189"/>
      <c r="T47" s="189"/>
      <c r="U47" s="189"/>
    </row>
    <row r="48" spans="2:21" s="13" customFormat="1" ht="15">
      <c r="B48" s="192">
        <v>43</v>
      </c>
      <c r="C48" s="192" t="str">
        <f>IFERROR(INDEX(Table_Prescript_Meas[Measure Number], MATCH(Table_Custom_Input[[#This Row],[Refrigeration measure]], Table_Prescript_Meas[Measure Description], 0)), "")</f>
        <v/>
      </c>
      <c r="D48" s="224"/>
      <c r="E48" s="215"/>
      <c r="F48" s="192" t="str">
        <f>IFERROR(INDEX(Table_Prescript_Meas[Units], MATCH(Table_Custom_Input[[#This Row],[Measure number]], Table_Prescript_Meas[Measure Number], 0)), "")</f>
        <v/>
      </c>
      <c r="G48" s="191"/>
      <c r="H48" s="226"/>
      <c r="I48" s="226"/>
      <c r="J48"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8" s="227" t="str">
        <f>IFERROR(Table_Custom_Input[[#This Row],[Number of units]]*Table_Custom_Input[[#This Row],[Per-unit incentive]],"")</f>
        <v/>
      </c>
      <c r="L48" s="228" t="str">
        <f>IFERROR(Table_Custom_Input[[#This Row],[Number of units]]*INDEX(Table_Prescript_Meas[Deemed kWh Savings], MATCH(Table_Custom_Input[[#This Row],[Measure number]], Table_Prescript_Meas[Measure Number], 0)),"" )</f>
        <v/>
      </c>
      <c r="M48" s="229" t="str">
        <f>IFERROR(Table_Custom_Input[[#This Row],[Number of units]]*INDEX(Table_Prescript_Meas[Deemed kW Savings], MATCH(Table_Custom_Input[[#This Row],[Measure number]], Table_Prescript_Meas[Measure Number], 0)),"" )</f>
        <v/>
      </c>
      <c r="N48" s="227" t="str">
        <f>IFERROR(Table_Custom_Input[[#This Row],[Energy savings (kWh)]]*Input_AvgkWhRate, "")</f>
        <v/>
      </c>
      <c r="O48" s="227" t="str">
        <f>IF(Table_Custom_Input[[#This Row],[Measure number]]&lt;&gt;"",Table_Custom_Input[[#This Row],[Total equipment cost]]+Table_Custom_Input[[#This Row],[Total labor cost]],"")</f>
        <v/>
      </c>
      <c r="P48" s="227" t="str">
        <f>IF(Table_Custom_Input[[#This Row],[Measure number]]="","",Table_Custom_Input[[#This Row],[Gross measure cost]]-Table_Custom_Input[[#This Row],[Estimated incentive]])</f>
        <v/>
      </c>
      <c r="Q48" s="228" t="str">
        <f>IFERROR('Input Refrigeration Measures'!$P48/'Input Refrigeration Measures'!$N48, "")</f>
        <v/>
      </c>
      <c r="R48" s="189"/>
      <c r="S48" s="189"/>
      <c r="T48" s="189"/>
      <c r="U48" s="189"/>
    </row>
    <row r="49" spans="2:21" s="13" customFormat="1" ht="15">
      <c r="B49" s="192">
        <v>44</v>
      </c>
      <c r="C49" s="192" t="str">
        <f>IFERROR(INDEX(Table_Prescript_Meas[Measure Number], MATCH(Table_Custom_Input[[#This Row],[Refrigeration measure]], Table_Prescript_Meas[Measure Description], 0)), "")</f>
        <v/>
      </c>
      <c r="D49" s="224"/>
      <c r="E49" s="215"/>
      <c r="F49" s="192" t="str">
        <f>IFERROR(INDEX(Table_Prescript_Meas[Units], MATCH(Table_Custom_Input[[#This Row],[Measure number]], Table_Prescript_Meas[Measure Number], 0)), "")</f>
        <v/>
      </c>
      <c r="G49" s="191"/>
      <c r="H49" s="226"/>
      <c r="I49" s="226"/>
      <c r="J49"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9" s="227" t="str">
        <f>IFERROR(Table_Custom_Input[[#This Row],[Number of units]]*Table_Custom_Input[[#This Row],[Per-unit incentive]],"")</f>
        <v/>
      </c>
      <c r="L49" s="228" t="str">
        <f>IFERROR(Table_Custom_Input[[#This Row],[Number of units]]*INDEX(Table_Prescript_Meas[Deemed kWh Savings], MATCH(Table_Custom_Input[[#This Row],[Measure number]], Table_Prescript_Meas[Measure Number], 0)),"" )</f>
        <v/>
      </c>
      <c r="M49" s="229" t="str">
        <f>IFERROR(Table_Custom_Input[[#This Row],[Number of units]]*INDEX(Table_Prescript_Meas[Deemed kW Savings], MATCH(Table_Custom_Input[[#This Row],[Measure number]], Table_Prescript_Meas[Measure Number], 0)),"" )</f>
        <v/>
      </c>
      <c r="N49" s="227" t="str">
        <f>IFERROR(Table_Custom_Input[[#This Row],[Energy savings (kWh)]]*Input_AvgkWhRate, "")</f>
        <v/>
      </c>
      <c r="O49" s="227" t="str">
        <f>IF(Table_Custom_Input[[#This Row],[Measure number]]&lt;&gt;"",Table_Custom_Input[[#This Row],[Total equipment cost]]+Table_Custom_Input[[#This Row],[Total labor cost]],"")</f>
        <v/>
      </c>
      <c r="P49" s="227" t="str">
        <f>IF(Table_Custom_Input[[#This Row],[Measure number]]="","",Table_Custom_Input[[#This Row],[Gross measure cost]]-Table_Custom_Input[[#This Row],[Estimated incentive]])</f>
        <v/>
      </c>
      <c r="Q49" s="228" t="str">
        <f>IFERROR('Input Refrigeration Measures'!$P49/'Input Refrigeration Measures'!$N49, "")</f>
        <v/>
      </c>
      <c r="R49" s="189"/>
      <c r="S49" s="189"/>
      <c r="T49" s="189"/>
      <c r="U49" s="189"/>
    </row>
    <row r="50" spans="2:21" s="13" customFormat="1" ht="15">
      <c r="B50" s="192">
        <v>45</v>
      </c>
      <c r="C50" s="192" t="str">
        <f>IFERROR(INDEX(Table_Prescript_Meas[Measure Number], MATCH(Table_Custom_Input[[#This Row],[Refrigeration measure]], Table_Prescript_Meas[Measure Description], 0)), "")</f>
        <v/>
      </c>
      <c r="D50" s="224"/>
      <c r="E50" s="215"/>
      <c r="F50" s="192" t="str">
        <f>IFERROR(INDEX(Table_Prescript_Meas[Units], MATCH(Table_Custom_Input[[#This Row],[Measure number]], Table_Prescript_Meas[Measure Number], 0)), "")</f>
        <v/>
      </c>
      <c r="G50" s="191"/>
      <c r="H50" s="226"/>
      <c r="I50" s="226"/>
      <c r="J50"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0" s="227" t="str">
        <f>IFERROR(Table_Custom_Input[[#This Row],[Number of units]]*Table_Custom_Input[[#This Row],[Per-unit incentive]],"")</f>
        <v/>
      </c>
      <c r="L50" s="228" t="str">
        <f>IFERROR(Table_Custom_Input[[#This Row],[Number of units]]*INDEX(Table_Prescript_Meas[Deemed kWh Savings], MATCH(Table_Custom_Input[[#This Row],[Measure number]], Table_Prescript_Meas[Measure Number], 0)),"" )</f>
        <v/>
      </c>
      <c r="M50" s="229" t="str">
        <f>IFERROR(Table_Custom_Input[[#This Row],[Number of units]]*INDEX(Table_Prescript_Meas[Deemed kW Savings], MATCH(Table_Custom_Input[[#This Row],[Measure number]], Table_Prescript_Meas[Measure Number], 0)),"" )</f>
        <v/>
      </c>
      <c r="N50" s="227" t="str">
        <f>IFERROR(Table_Custom_Input[[#This Row],[Energy savings (kWh)]]*Input_AvgkWhRate, "")</f>
        <v/>
      </c>
      <c r="O50" s="227" t="str">
        <f>IF(Table_Custom_Input[[#This Row],[Measure number]]&lt;&gt;"",Table_Custom_Input[[#This Row],[Total equipment cost]]+Table_Custom_Input[[#This Row],[Total labor cost]],"")</f>
        <v/>
      </c>
      <c r="P50" s="227" t="str">
        <f>IF(Table_Custom_Input[[#This Row],[Measure number]]="","",Table_Custom_Input[[#This Row],[Gross measure cost]]-Table_Custom_Input[[#This Row],[Estimated incentive]])</f>
        <v/>
      </c>
      <c r="Q50" s="228" t="str">
        <f>IFERROR('Input Refrigeration Measures'!$P50/'Input Refrigeration Measures'!$N50, "")</f>
        <v/>
      </c>
      <c r="R50" s="189"/>
      <c r="S50" s="189"/>
      <c r="T50" s="189"/>
      <c r="U50" s="189"/>
    </row>
    <row r="51" spans="2:21" s="13" customFormat="1" ht="15">
      <c r="B51" s="192">
        <v>46</v>
      </c>
      <c r="C51" s="192" t="str">
        <f>IFERROR(INDEX(Table_Prescript_Meas[Measure Number], MATCH(Table_Custom_Input[[#This Row],[Refrigeration measure]], Table_Prescript_Meas[Measure Description], 0)), "")</f>
        <v/>
      </c>
      <c r="D51" s="224"/>
      <c r="E51" s="215"/>
      <c r="F51" s="192" t="str">
        <f>IFERROR(INDEX(Table_Prescript_Meas[Units], MATCH(Table_Custom_Input[[#This Row],[Measure number]], Table_Prescript_Meas[Measure Number], 0)), "")</f>
        <v/>
      </c>
      <c r="G51" s="191"/>
      <c r="H51" s="226"/>
      <c r="I51" s="226"/>
      <c r="J51"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1" s="227" t="str">
        <f>IFERROR(Table_Custom_Input[[#This Row],[Number of units]]*Table_Custom_Input[[#This Row],[Per-unit incentive]],"")</f>
        <v/>
      </c>
      <c r="L51" s="228" t="str">
        <f>IFERROR(Table_Custom_Input[[#This Row],[Number of units]]*INDEX(Table_Prescript_Meas[Deemed kWh Savings], MATCH(Table_Custom_Input[[#This Row],[Measure number]], Table_Prescript_Meas[Measure Number], 0)),"" )</f>
        <v/>
      </c>
      <c r="M51" s="229" t="str">
        <f>IFERROR(Table_Custom_Input[[#This Row],[Number of units]]*INDEX(Table_Prescript_Meas[Deemed kW Savings], MATCH(Table_Custom_Input[[#This Row],[Measure number]], Table_Prescript_Meas[Measure Number], 0)),"" )</f>
        <v/>
      </c>
      <c r="N51" s="227" t="str">
        <f>IFERROR(Table_Custom_Input[[#This Row],[Energy savings (kWh)]]*Input_AvgkWhRate, "")</f>
        <v/>
      </c>
      <c r="O51" s="227" t="str">
        <f>IF(Table_Custom_Input[[#This Row],[Measure number]]&lt;&gt;"",Table_Custom_Input[[#This Row],[Total equipment cost]]+Table_Custom_Input[[#This Row],[Total labor cost]],"")</f>
        <v/>
      </c>
      <c r="P51" s="227" t="str">
        <f>IF(Table_Custom_Input[[#This Row],[Measure number]]="","",Table_Custom_Input[[#This Row],[Gross measure cost]]-Table_Custom_Input[[#This Row],[Estimated incentive]])</f>
        <v/>
      </c>
      <c r="Q51" s="228" t="str">
        <f>IFERROR('Input Refrigeration Measures'!$P51/'Input Refrigeration Measures'!$N51, "")</f>
        <v/>
      </c>
      <c r="R51" s="189"/>
      <c r="S51" s="189"/>
      <c r="T51" s="189"/>
      <c r="U51" s="189"/>
    </row>
    <row r="52" spans="2:21" s="13" customFormat="1" ht="15">
      <c r="B52" s="192">
        <v>47</v>
      </c>
      <c r="C52" s="192" t="str">
        <f>IFERROR(INDEX(Table_Prescript_Meas[Measure Number], MATCH(Table_Custom_Input[[#This Row],[Refrigeration measure]], Table_Prescript_Meas[Measure Description], 0)), "")</f>
        <v/>
      </c>
      <c r="D52" s="224"/>
      <c r="E52" s="215"/>
      <c r="F52" s="192" t="str">
        <f>IFERROR(INDEX(Table_Prescript_Meas[Units], MATCH(Table_Custom_Input[[#This Row],[Measure number]], Table_Prescript_Meas[Measure Number], 0)), "")</f>
        <v/>
      </c>
      <c r="G52" s="191"/>
      <c r="H52" s="226"/>
      <c r="I52" s="226"/>
      <c r="J52"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2" s="227" t="str">
        <f>IFERROR(Table_Custom_Input[[#This Row],[Number of units]]*Table_Custom_Input[[#This Row],[Per-unit incentive]],"")</f>
        <v/>
      </c>
      <c r="L52" s="228" t="str">
        <f>IFERROR(Table_Custom_Input[[#This Row],[Number of units]]*INDEX(Table_Prescript_Meas[Deemed kWh Savings], MATCH(Table_Custom_Input[[#This Row],[Measure number]], Table_Prescript_Meas[Measure Number], 0)),"" )</f>
        <v/>
      </c>
      <c r="M52" s="229" t="str">
        <f>IFERROR(Table_Custom_Input[[#This Row],[Number of units]]*INDEX(Table_Prescript_Meas[Deemed kW Savings], MATCH(Table_Custom_Input[[#This Row],[Measure number]], Table_Prescript_Meas[Measure Number], 0)),"" )</f>
        <v/>
      </c>
      <c r="N52" s="227" t="str">
        <f>IFERROR(Table_Custom_Input[[#This Row],[Energy savings (kWh)]]*Input_AvgkWhRate, "")</f>
        <v/>
      </c>
      <c r="O52" s="227" t="str">
        <f>IF(Table_Custom_Input[[#This Row],[Measure number]]&lt;&gt;"",Table_Custom_Input[[#This Row],[Total equipment cost]]+Table_Custom_Input[[#This Row],[Total labor cost]],"")</f>
        <v/>
      </c>
      <c r="P52" s="227" t="str">
        <f>IF(Table_Custom_Input[[#This Row],[Measure number]]="","",Table_Custom_Input[[#This Row],[Gross measure cost]]-Table_Custom_Input[[#This Row],[Estimated incentive]])</f>
        <v/>
      </c>
      <c r="Q52" s="228" t="str">
        <f>IFERROR('Input Refrigeration Measures'!$P52/'Input Refrigeration Measures'!$N52, "")</f>
        <v/>
      </c>
      <c r="R52" s="189"/>
      <c r="S52" s="189"/>
      <c r="T52" s="189"/>
      <c r="U52" s="189"/>
    </row>
    <row r="53" spans="2:21" s="13" customFormat="1" ht="15">
      <c r="B53" s="192">
        <v>48</v>
      </c>
      <c r="C53" s="192" t="str">
        <f>IFERROR(INDEX(Table_Prescript_Meas[Measure Number], MATCH(Table_Custom_Input[[#This Row],[Refrigeration measure]], Table_Prescript_Meas[Measure Description], 0)), "")</f>
        <v/>
      </c>
      <c r="D53" s="224"/>
      <c r="E53" s="215"/>
      <c r="F53" s="192" t="str">
        <f>IFERROR(INDEX(Table_Prescript_Meas[Units], MATCH(Table_Custom_Input[[#This Row],[Measure number]], Table_Prescript_Meas[Measure Number], 0)), "")</f>
        <v/>
      </c>
      <c r="G53" s="191"/>
      <c r="H53" s="226"/>
      <c r="I53" s="226"/>
      <c r="J53"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3" s="227" t="str">
        <f>IFERROR(Table_Custom_Input[[#This Row],[Number of units]]*Table_Custom_Input[[#This Row],[Per-unit incentive]],"")</f>
        <v/>
      </c>
      <c r="L53" s="228" t="str">
        <f>IFERROR(Table_Custom_Input[[#This Row],[Number of units]]*INDEX(Table_Prescript_Meas[Deemed kWh Savings], MATCH(Table_Custom_Input[[#This Row],[Measure number]], Table_Prescript_Meas[Measure Number], 0)),"" )</f>
        <v/>
      </c>
      <c r="M53" s="229" t="str">
        <f>IFERROR(Table_Custom_Input[[#This Row],[Number of units]]*INDEX(Table_Prescript_Meas[Deemed kW Savings], MATCH(Table_Custom_Input[[#This Row],[Measure number]], Table_Prescript_Meas[Measure Number], 0)),"" )</f>
        <v/>
      </c>
      <c r="N53" s="227" t="str">
        <f>IFERROR(Table_Custom_Input[[#This Row],[Energy savings (kWh)]]*Input_AvgkWhRate, "")</f>
        <v/>
      </c>
      <c r="O53" s="227" t="str">
        <f>IF(Table_Custom_Input[[#This Row],[Measure number]]&lt;&gt;"",Table_Custom_Input[[#This Row],[Total equipment cost]]+Table_Custom_Input[[#This Row],[Total labor cost]],"")</f>
        <v/>
      </c>
      <c r="P53" s="227" t="str">
        <f>IF(Table_Custom_Input[[#This Row],[Measure number]]="","",Table_Custom_Input[[#This Row],[Gross measure cost]]-Table_Custom_Input[[#This Row],[Estimated incentive]])</f>
        <v/>
      </c>
      <c r="Q53" s="228" t="str">
        <f>IFERROR('Input Refrigeration Measures'!$P53/'Input Refrigeration Measures'!$N53, "")</f>
        <v/>
      </c>
      <c r="R53" s="189"/>
      <c r="S53" s="189"/>
      <c r="T53" s="189"/>
      <c r="U53" s="189"/>
    </row>
    <row r="54" spans="2:21" s="13" customFormat="1" ht="15">
      <c r="B54" s="192">
        <v>49</v>
      </c>
      <c r="C54" s="192" t="str">
        <f>IFERROR(INDEX(Table_Prescript_Meas[Measure Number], MATCH(Table_Custom_Input[[#This Row],[Refrigeration measure]], Table_Prescript_Meas[Measure Description], 0)), "")</f>
        <v/>
      </c>
      <c r="D54" s="224"/>
      <c r="E54" s="215"/>
      <c r="F54" s="192" t="str">
        <f>IFERROR(INDEX(Table_Prescript_Meas[Units], MATCH(Table_Custom_Input[[#This Row],[Measure number]], Table_Prescript_Meas[Measure Number], 0)), "")</f>
        <v/>
      </c>
      <c r="G54" s="191"/>
      <c r="H54" s="226"/>
      <c r="I54" s="226"/>
      <c r="J54"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4" s="227" t="str">
        <f>IFERROR(Table_Custom_Input[[#This Row],[Number of units]]*Table_Custom_Input[[#This Row],[Per-unit incentive]],"")</f>
        <v/>
      </c>
      <c r="L54" s="228" t="str">
        <f>IFERROR(Table_Custom_Input[[#This Row],[Number of units]]*INDEX(Table_Prescript_Meas[Deemed kWh Savings], MATCH(Table_Custom_Input[[#This Row],[Measure number]], Table_Prescript_Meas[Measure Number], 0)),"" )</f>
        <v/>
      </c>
      <c r="M54" s="229" t="str">
        <f>IFERROR(Table_Custom_Input[[#This Row],[Number of units]]*INDEX(Table_Prescript_Meas[Deemed kW Savings], MATCH(Table_Custom_Input[[#This Row],[Measure number]], Table_Prescript_Meas[Measure Number], 0)),"" )</f>
        <v/>
      </c>
      <c r="N54" s="227" t="str">
        <f>IFERROR(Table_Custom_Input[[#This Row],[Energy savings (kWh)]]*Input_AvgkWhRate, "")</f>
        <v/>
      </c>
      <c r="O54" s="227" t="str">
        <f>IF(Table_Custom_Input[[#This Row],[Measure number]]&lt;&gt;"",Table_Custom_Input[[#This Row],[Total equipment cost]]+Table_Custom_Input[[#This Row],[Total labor cost]],"")</f>
        <v/>
      </c>
      <c r="P54" s="227" t="str">
        <f>IF(Table_Custom_Input[[#This Row],[Measure number]]="","",Table_Custom_Input[[#This Row],[Gross measure cost]]-Table_Custom_Input[[#This Row],[Estimated incentive]])</f>
        <v/>
      </c>
      <c r="Q54" s="228" t="str">
        <f>IFERROR('Input Refrigeration Measures'!$P54/'Input Refrigeration Measures'!$N54, "")</f>
        <v/>
      </c>
      <c r="R54" s="189"/>
      <c r="S54" s="189"/>
      <c r="T54" s="189"/>
      <c r="U54" s="189"/>
    </row>
    <row r="55" spans="2:21" s="13" customFormat="1" ht="15">
      <c r="B55" s="192">
        <v>50</v>
      </c>
      <c r="C55" s="192" t="str">
        <f>IFERROR(INDEX(Table_Prescript_Meas[Measure Number], MATCH(Table_Custom_Input[[#This Row],[Refrigeration measure]], Table_Prescript_Meas[Measure Description], 0)), "")</f>
        <v/>
      </c>
      <c r="D55" s="224"/>
      <c r="E55" s="215"/>
      <c r="F55" s="192" t="str">
        <f>IFERROR(INDEX(Table_Prescript_Meas[Units], MATCH(Table_Custom_Input[[#This Row],[Measure number]], Table_Prescript_Meas[Measure Number], 0)), "")</f>
        <v/>
      </c>
      <c r="G55" s="191"/>
      <c r="H55" s="226"/>
      <c r="I55" s="226"/>
      <c r="J55" s="227"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5" s="227" t="str">
        <f>IFERROR(Table_Custom_Input[[#This Row],[Number of units]]*Table_Custom_Input[[#This Row],[Per-unit incentive]],"")</f>
        <v/>
      </c>
      <c r="L55" s="228" t="str">
        <f>IFERROR(Table_Custom_Input[[#This Row],[Number of units]]*INDEX(Table_Prescript_Meas[Deemed kWh Savings], MATCH(Table_Custom_Input[[#This Row],[Measure number]], Table_Prescript_Meas[Measure Number], 0)),"" )</f>
        <v/>
      </c>
      <c r="M55" s="229" t="str">
        <f>IFERROR(Table_Custom_Input[[#This Row],[Number of units]]*INDEX(Table_Prescript_Meas[Deemed kW Savings], MATCH(Table_Custom_Input[[#This Row],[Measure number]], Table_Prescript_Meas[Measure Number], 0)),"" )</f>
        <v/>
      </c>
      <c r="N55" s="227" t="str">
        <f>IFERROR(Table_Custom_Input[[#This Row],[Energy savings (kWh)]]*Input_AvgkWhRate, "")</f>
        <v/>
      </c>
      <c r="O55" s="227" t="str">
        <f>IF(Table_Custom_Input[[#This Row],[Measure number]]&lt;&gt;"",Table_Custom_Input[[#This Row],[Total equipment cost]]+Table_Custom_Input[[#This Row],[Total labor cost]],"")</f>
        <v/>
      </c>
      <c r="P55" s="227" t="str">
        <f>IF(Table_Custom_Input[[#This Row],[Measure number]]="","",Table_Custom_Input[[#This Row],[Gross measure cost]]-Table_Custom_Input[[#This Row],[Estimated incentive]])</f>
        <v/>
      </c>
      <c r="Q55" s="228" t="str">
        <f>IFERROR('Input Refrigeration Measures'!$P55/'Input Refrigeration Measures'!$N55, "")</f>
        <v/>
      </c>
      <c r="R55" s="189"/>
      <c r="S55" s="189"/>
      <c r="T55" s="189"/>
      <c r="U55" s="189"/>
    </row>
    <row r="56" spans="2:21" s="13" customFormat="1" ht="15">
      <c r="B56" s="6"/>
      <c r="C56" s="6"/>
      <c r="D56" s="6"/>
      <c r="E56" s="6"/>
      <c r="F56" s="6"/>
      <c r="G56" s="6"/>
      <c r="H56" s="9"/>
      <c r="I56" s="9"/>
      <c r="J56" s="9"/>
      <c r="K56" s="6"/>
      <c r="L56" s="6"/>
      <c r="M56" s="6"/>
      <c r="N56" s="6"/>
      <c r="O56" s="6"/>
      <c r="P56" s="6"/>
      <c r="Q56" s="6"/>
      <c r="R56" s="189"/>
      <c r="S56" s="189"/>
      <c r="T56" s="189"/>
      <c r="U56" s="189"/>
    </row>
    <row r="57" spans="2:21" s="189" customFormat="1"/>
    <row r="58" spans="2:21" s="189" customFormat="1">
      <c r="B58" s="189" t="s">
        <v>37</v>
      </c>
    </row>
    <row r="59" spans="2:21" s="189" customFormat="1">
      <c r="B59" s="189" t="str">
        <f>Value_Application_Version</f>
        <v>Version 5.0 - 2025</v>
      </c>
    </row>
    <row r="60" spans="2:21" s="189" customFormat="1"/>
    <row r="61" spans="2:21" s="13" customFormat="1" ht="15">
      <c r="B61" s="6"/>
      <c r="C61" s="6"/>
      <c r="D61" s="6"/>
      <c r="E61" s="6"/>
      <c r="F61" s="6"/>
      <c r="G61" s="6"/>
      <c r="H61" s="9"/>
      <c r="I61" s="9"/>
      <c r="J61" s="9"/>
      <c r="K61" s="6"/>
      <c r="L61" s="6"/>
      <c r="M61" s="6"/>
      <c r="N61" s="6"/>
      <c r="O61" s="6"/>
      <c r="P61" s="6"/>
      <c r="Q61" s="6"/>
      <c r="R61" s="189"/>
      <c r="S61" s="189"/>
      <c r="T61" s="189"/>
      <c r="U61" s="189"/>
    </row>
    <row r="62" spans="2:21" s="13" customFormat="1" ht="15">
      <c r="B62" s="6"/>
      <c r="C62" s="6"/>
      <c r="D62" s="6"/>
      <c r="E62" s="6"/>
      <c r="F62" s="6"/>
      <c r="G62" s="6"/>
      <c r="H62" s="9"/>
      <c r="I62" s="9"/>
      <c r="J62" s="9"/>
      <c r="K62" s="6"/>
      <c r="L62" s="6"/>
      <c r="M62" s="6"/>
      <c r="N62" s="6"/>
      <c r="O62" s="6"/>
      <c r="P62" s="6"/>
      <c r="Q62" s="6"/>
      <c r="R62" s="189"/>
      <c r="S62" s="189"/>
      <c r="T62" s="189"/>
      <c r="U62" s="189"/>
    </row>
    <row r="63" spans="2:21" s="13" customFormat="1" ht="15">
      <c r="B63" s="6"/>
      <c r="C63" s="6"/>
      <c r="D63" s="6"/>
      <c r="E63" s="6"/>
      <c r="F63" s="6"/>
      <c r="G63" s="6"/>
      <c r="H63" s="9"/>
      <c r="I63" s="9"/>
      <c r="J63" s="9"/>
      <c r="K63" s="6"/>
      <c r="L63" s="6"/>
      <c r="M63" s="6"/>
      <c r="N63" s="6"/>
      <c r="O63" s="6"/>
      <c r="P63" s="6"/>
      <c r="Q63" s="6"/>
      <c r="R63" s="189"/>
      <c r="S63" s="189"/>
      <c r="T63" s="189"/>
      <c r="U63" s="189"/>
    </row>
    <row r="64" spans="2:21" s="13" customFormat="1" ht="15">
      <c r="B64" s="6"/>
      <c r="C64" s="6"/>
      <c r="D64" s="6"/>
      <c r="E64" s="6"/>
      <c r="F64" s="6"/>
      <c r="G64" s="6"/>
      <c r="H64" s="9"/>
      <c r="I64" s="9"/>
      <c r="J64" s="9"/>
      <c r="K64" s="6"/>
      <c r="L64" s="6"/>
      <c r="M64" s="6"/>
      <c r="N64" s="6"/>
      <c r="O64" s="6"/>
      <c r="P64" s="6"/>
      <c r="Q64" s="6"/>
      <c r="R64" s="189"/>
      <c r="S64" s="189"/>
      <c r="T64" s="189"/>
      <c r="U64" s="189"/>
    </row>
    <row r="65" spans="2:21" s="13" customFormat="1" ht="15">
      <c r="B65" s="6"/>
      <c r="C65" s="6"/>
      <c r="D65" s="6"/>
      <c r="E65" s="6"/>
      <c r="F65" s="6"/>
      <c r="G65" s="6"/>
      <c r="H65" s="9"/>
      <c r="I65" s="9"/>
      <c r="J65" s="9"/>
      <c r="K65" s="6"/>
      <c r="L65" s="6"/>
      <c r="M65" s="6"/>
      <c r="N65" s="6"/>
      <c r="O65" s="6"/>
      <c r="P65" s="6"/>
      <c r="Q65" s="6"/>
      <c r="R65" s="189"/>
      <c r="S65" s="189"/>
      <c r="T65" s="189"/>
      <c r="U65" s="189"/>
    </row>
    <row r="66" spans="2:21" s="13" customFormat="1" ht="15">
      <c r="B66" s="6"/>
      <c r="C66" s="6"/>
      <c r="D66" s="6"/>
      <c r="E66" s="6"/>
      <c r="F66" s="6"/>
      <c r="G66" s="6"/>
      <c r="H66" s="9"/>
      <c r="I66" s="9"/>
      <c r="J66" s="9"/>
      <c r="K66" s="6"/>
      <c r="L66" s="6"/>
      <c r="M66" s="6"/>
      <c r="N66" s="6"/>
      <c r="O66" s="6"/>
      <c r="P66" s="6"/>
      <c r="Q66" s="6"/>
      <c r="R66" s="189"/>
      <c r="S66" s="189"/>
      <c r="T66" s="189"/>
      <c r="U66" s="189"/>
    </row>
    <row r="67" spans="2:21" s="13" customFormat="1" ht="15">
      <c r="B67" s="6"/>
      <c r="C67" s="6"/>
      <c r="D67" s="6"/>
      <c r="E67" s="6"/>
      <c r="F67" s="6"/>
      <c r="G67" s="6"/>
      <c r="H67" s="9"/>
      <c r="I67" s="9"/>
      <c r="J67" s="9"/>
      <c r="K67" s="6"/>
      <c r="L67" s="6"/>
      <c r="M67" s="6"/>
      <c r="N67" s="6"/>
      <c r="O67" s="6"/>
      <c r="P67" s="6"/>
      <c r="Q67" s="6"/>
      <c r="R67" s="189"/>
      <c r="S67" s="189"/>
      <c r="T67" s="189"/>
      <c r="U67" s="189"/>
    </row>
    <row r="68" spans="2:21" s="13" customFormat="1" ht="15">
      <c r="B68" s="6"/>
      <c r="C68" s="6"/>
      <c r="D68" s="6"/>
      <c r="E68" s="6"/>
      <c r="F68" s="6"/>
      <c r="G68" s="6"/>
      <c r="H68" s="9"/>
      <c r="I68" s="9"/>
      <c r="J68" s="9"/>
      <c r="K68" s="6"/>
      <c r="L68" s="6"/>
      <c r="M68" s="6"/>
      <c r="N68" s="6"/>
      <c r="O68" s="6"/>
      <c r="P68" s="6"/>
      <c r="Q68" s="6"/>
      <c r="R68" s="189"/>
      <c r="S68" s="189"/>
      <c r="T68" s="189"/>
      <c r="U68" s="189"/>
    </row>
    <row r="69" spans="2:21" s="13" customFormat="1" ht="15">
      <c r="B69" s="6"/>
      <c r="C69" s="6"/>
      <c r="D69" s="6"/>
      <c r="E69" s="6"/>
      <c r="F69" s="6"/>
      <c r="G69" s="6"/>
      <c r="H69" s="9"/>
      <c r="I69" s="9"/>
      <c r="J69" s="9"/>
      <c r="K69" s="6"/>
      <c r="L69" s="6"/>
      <c r="M69" s="6"/>
      <c r="N69" s="6"/>
      <c r="O69" s="6"/>
      <c r="P69" s="6"/>
      <c r="Q69" s="6"/>
      <c r="R69" s="189"/>
      <c r="S69" s="189"/>
      <c r="T69" s="189"/>
      <c r="U69" s="189"/>
    </row>
    <row r="70" spans="2:21" s="13" customFormat="1" ht="15">
      <c r="B70" s="6"/>
      <c r="C70" s="6"/>
      <c r="D70" s="6"/>
      <c r="E70" s="6"/>
      <c r="F70" s="6"/>
      <c r="G70" s="6"/>
      <c r="H70" s="9"/>
      <c r="I70" s="9"/>
      <c r="J70" s="9"/>
      <c r="K70" s="6"/>
      <c r="L70" s="6"/>
      <c r="M70" s="6"/>
      <c r="N70" s="6"/>
      <c r="O70" s="6"/>
      <c r="P70" s="6"/>
      <c r="Q70" s="6"/>
      <c r="R70" s="189"/>
      <c r="S70" s="189"/>
      <c r="T70" s="189"/>
      <c r="U70" s="189"/>
    </row>
    <row r="71" spans="2:21" s="13" customFormat="1" ht="15">
      <c r="B71" s="6"/>
      <c r="C71" s="6"/>
      <c r="D71" s="6"/>
      <c r="E71" s="6"/>
      <c r="F71" s="6"/>
      <c r="G71" s="6"/>
      <c r="H71" s="9"/>
      <c r="I71" s="9"/>
      <c r="J71" s="9"/>
      <c r="K71" s="6"/>
      <c r="L71" s="6"/>
      <c r="M71" s="6"/>
      <c r="N71" s="6"/>
      <c r="O71" s="6"/>
      <c r="P71" s="6"/>
      <c r="Q71" s="6"/>
      <c r="R71" s="189"/>
      <c r="S71" s="189"/>
      <c r="T71" s="189"/>
      <c r="U71" s="189"/>
    </row>
    <row r="72" spans="2:21" s="13" customFormat="1" ht="15">
      <c r="B72" s="6"/>
      <c r="C72" s="6"/>
      <c r="D72" s="6"/>
      <c r="E72" s="6"/>
      <c r="F72" s="6"/>
      <c r="G72" s="6"/>
      <c r="H72" s="9"/>
      <c r="I72" s="9"/>
      <c r="J72" s="9"/>
      <c r="K72" s="6"/>
      <c r="L72" s="6"/>
      <c r="M72" s="6"/>
      <c r="N72" s="6"/>
      <c r="O72" s="6"/>
      <c r="P72" s="6"/>
      <c r="Q72" s="6"/>
      <c r="R72" s="189"/>
      <c r="S72" s="189"/>
      <c r="T72" s="189"/>
      <c r="U72" s="189"/>
    </row>
    <row r="73" spans="2:21" s="13" customFormat="1" ht="15">
      <c r="B73" s="6"/>
      <c r="C73" s="6"/>
      <c r="D73" s="6"/>
      <c r="E73" s="6"/>
      <c r="F73" s="6"/>
      <c r="G73" s="6"/>
      <c r="H73" s="9"/>
      <c r="I73" s="9"/>
      <c r="J73" s="9"/>
      <c r="K73" s="6"/>
      <c r="L73" s="6"/>
      <c r="M73" s="6"/>
      <c r="N73" s="6"/>
      <c r="O73" s="6"/>
      <c r="P73" s="6"/>
      <c r="Q73" s="6"/>
      <c r="R73" s="189"/>
      <c r="S73" s="189"/>
      <c r="T73" s="189"/>
      <c r="U73" s="189"/>
    </row>
    <row r="74" spans="2:21" s="13" customFormat="1" ht="15">
      <c r="B74" s="6"/>
      <c r="C74" s="6"/>
      <c r="D74" s="6"/>
      <c r="E74" s="6"/>
      <c r="F74" s="6"/>
      <c r="G74" s="6"/>
      <c r="H74" s="9"/>
      <c r="I74" s="9"/>
      <c r="J74" s="9"/>
      <c r="K74" s="6"/>
      <c r="L74" s="6"/>
      <c r="M74" s="6"/>
      <c r="N74" s="6"/>
      <c r="O74" s="6"/>
      <c r="P74" s="6"/>
      <c r="Q74" s="6"/>
      <c r="R74" s="189"/>
      <c r="S74" s="189"/>
      <c r="T74" s="189"/>
      <c r="U74" s="189"/>
    </row>
    <row r="75" spans="2:21" s="13" customFormat="1" ht="15">
      <c r="B75" s="6"/>
      <c r="C75" s="6"/>
      <c r="D75" s="6"/>
      <c r="E75" s="6"/>
      <c r="F75" s="6"/>
      <c r="G75" s="6"/>
      <c r="H75" s="9"/>
      <c r="I75" s="9"/>
      <c r="J75" s="9"/>
      <c r="K75" s="6"/>
      <c r="L75" s="6"/>
      <c r="M75" s="6"/>
      <c r="N75" s="6"/>
      <c r="O75" s="6"/>
      <c r="P75" s="6"/>
      <c r="Q75" s="6"/>
      <c r="R75" s="189"/>
      <c r="S75" s="189"/>
      <c r="T75" s="189"/>
      <c r="U75" s="189"/>
    </row>
    <row r="76" spans="2:21" s="13" customFormat="1" ht="15">
      <c r="B76" s="6"/>
      <c r="C76" s="6"/>
      <c r="D76" s="6"/>
      <c r="E76" s="6"/>
      <c r="F76" s="6"/>
      <c r="G76" s="6"/>
      <c r="H76" s="9"/>
      <c r="I76" s="9"/>
      <c r="J76" s="9"/>
      <c r="K76" s="6"/>
      <c r="L76" s="6"/>
      <c r="M76" s="6"/>
      <c r="N76" s="6"/>
      <c r="O76" s="6"/>
      <c r="P76" s="6"/>
      <c r="Q76" s="6"/>
      <c r="R76" s="189"/>
      <c r="S76" s="189"/>
      <c r="T76" s="189"/>
      <c r="U76" s="189"/>
    </row>
    <row r="77" spans="2:21" s="13" customFormat="1" ht="15">
      <c r="B77" s="6"/>
      <c r="C77" s="6"/>
      <c r="D77" s="6"/>
      <c r="E77" s="6"/>
      <c r="F77" s="6"/>
      <c r="G77" s="6"/>
      <c r="H77" s="9"/>
      <c r="I77" s="9"/>
      <c r="J77" s="9"/>
      <c r="K77" s="6"/>
      <c r="L77" s="6"/>
      <c r="M77" s="6"/>
      <c r="N77" s="6"/>
      <c r="O77" s="6"/>
      <c r="P77" s="6"/>
      <c r="Q77" s="6"/>
      <c r="R77" s="189"/>
      <c r="S77" s="189"/>
      <c r="T77" s="189"/>
      <c r="U77" s="189"/>
    </row>
    <row r="78" spans="2:21" s="13" customFormat="1" ht="15">
      <c r="B78" s="6"/>
      <c r="C78" s="6"/>
      <c r="D78" s="6"/>
      <c r="E78" s="6"/>
      <c r="F78" s="6"/>
      <c r="G78" s="6"/>
      <c r="H78" s="9"/>
      <c r="I78" s="9"/>
      <c r="J78" s="9"/>
      <c r="K78" s="6"/>
      <c r="L78" s="6"/>
      <c r="M78" s="6"/>
      <c r="N78" s="6"/>
      <c r="O78" s="6"/>
      <c r="P78" s="6"/>
      <c r="Q78" s="6"/>
      <c r="R78" s="189"/>
      <c r="S78" s="189"/>
      <c r="T78" s="189"/>
      <c r="U78" s="189"/>
    </row>
    <row r="79" spans="2:21" s="13" customFormat="1" ht="15">
      <c r="B79" s="6"/>
      <c r="C79" s="6"/>
      <c r="D79" s="6"/>
      <c r="E79" s="6"/>
      <c r="F79" s="6"/>
      <c r="G79" s="6"/>
      <c r="H79" s="9"/>
      <c r="I79" s="9"/>
      <c r="J79" s="9"/>
      <c r="K79" s="6"/>
      <c r="L79" s="6"/>
      <c r="M79" s="6"/>
      <c r="N79" s="6"/>
      <c r="O79" s="6"/>
      <c r="P79" s="6"/>
      <c r="Q79" s="6"/>
      <c r="R79" s="189"/>
      <c r="S79" s="189"/>
      <c r="T79" s="189"/>
      <c r="U79" s="189"/>
    </row>
    <row r="80" spans="2:21" s="13" customFormat="1" ht="15">
      <c r="B80" s="6"/>
      <c r="C80" s="6"/>
      <c r="D80" s="6"/>
      <c r="E80" s="6"/>
      <c r="F80" s="6"/>
      <c r="G80" s="6"/>
      <c r="H80" s="9"/>
      <c r="I80" s="9"/>
      <c r="J80" s="9"/>
      <c r="K80" s="6"/>
      <c r="L80" s="6"/>
      <c r="M80" s="6"/>
      <c r="N80" s="6"/>
      <c r="O80" s="6"/>
      <c r="P80" s="6"/>
      <c r="Q80" s="6"/>
      <c r="R80" s="189"/>
      <c r="S80" s="189"/>
      <c r="T80" s="189"/>
      <c r="U80" s="189"/>
    </row>
    <row r="81" spans="2:21" s="13" customFormat="1" ht="15">
      <c r="B81" s="6"/>
      <c r="C81" s="6"/>
      <c r="D81" s="6"/>
      <c r="E81" s="6"/>
      <c r="F81" s="6"/>
      <c r="G81" s="6"/>
      <c r="H81" s="9"/>
      <c r="I81" s="9"/>
      <c r="J81" s="9"/>
      <c r="K81" s="6"/>
      <c r="L81" s="6"/>
      <c r="M81" s="6"/>
      <c r="N81" s="6"/>
      <c r="O81" s="6"/>
      <c r="P81" s="6"/>
      <c r="Q81" s="6"/>
      <c r="R81" s="189"/>
      <c r="S81" s="189"/>
      <c r="T81" s="189"/>
      <c r="U81" s="189"/>
    </row>
    <row r="82" spans="2:21" s="13" customFormat="1" ht="15">
      <c r="B82" s="6"/>
      <c r="C82" s="6"/>
      <c r="D82" s="6"/>
      <c r="E82" s="6"/>
      <c r="F82" s="6"/>
      <c r="G82" s="6"/>
      <c r="H82" s="9"/>
      <c r="I82" s="9"/>
      <c r="J82" s="9"/>
      <c r="K82" s="6"/>
      <c r="L82" s="6"/>
      <c r="M82" s="6"/>
      <c r="N82" s="6"/>
      <c r="O82" s="6"/>
      <c r="P82" s="6"/>
      <c r="Q82" s="6"/>
      <c r="R82" s="189"/>
      <c r="S82" s="189"/>
      <c r="T82" s="189"/>
      <c r="U82" s="189"/>
    </row>
    <row r="83" spans="2:21" s="13" customFormat="1" ht="15">
      <c r="B83" s="6"/>
      <c r="C83" s="6"/>
      <c r="D83" s="6"/>
      <c r="E83" s="6"/>
      <c r="F83" s="6"/>
      <c r="G83" s="6"/>
      <c r="H83" s="9"/>
      <c r="I83" s="9"/>
      <c r="J83" s="9"/>
      <c r="K83" s="6"/>
      <c r="L83" s="6"/>
      <c r="M83" s="6"/>
      <c r="N83" s="6"/>
      <c r="O83" s="6"/>
      <c r="P83" s="6"/>
      <c r="Q83" s="6"/>
      <c r="R83" s="189"/>
      <c r="S83" s="189"/>
      <c r="T83" s="189"/>
      <c r="U83" s="189"/>
    </row>
    <row r="84" spans="2:21" s="13" customFormat="1" ht="15">
      <c r="B84" s="6"/>
      <c r="C84" s="6"/>
      <c r="D84" s="6"/>
      <c r="E84" s="6"/>
      <c r="F84" s="6"/>
      <c r="G84" s="6"/>
      <c r="H84" s="9"/>
      <c r="I84" s="9"/>
      <c r="J84" s="9"/>
      <c r="K84" s="6"/>
      <c r="L84" s="6"/>
      <c r="M84" s="6"/>
      <c r="N84" s="6"/>
      <c r="O84" s="6"/>
      <c r="P84" s="6"/>
      <c r="Q84" s="6"/>
      <c r="R84" s="189"/>
      <c r="S84" s="189"/>
      <c r="T84" s="189"/>
      <c r="U84" s="189"/>
    </row>
    <row r="85" spans="2:21" s="13" customFormat="1" ht="15">
      <c r="B85" s="6"/>
      <c r="C85" s="6"/>
      <c r="D85" s="6"/>
      <c r="E85" s="6"/>
      <c r="F85" s="6"/>
      <c r="G85" s="6"/>
      <c r="H85" s="9"/>
      <c r="I85" s="9"/>
      <c r="J85" s="9"/>
      <c r="K85" s="6"/>
      <c r="L85" s="6"/>
      <c r="M85" s="6"/>
      <c r="N85" s="6"/>
      <c r="O85" s="6"/>
      <c r="P85" s="6"/>
      <c r="Q85" s="6"/>
      <c r="R85" s="189"/>
      <c r="S85" s="189"/>
      <c r="T85" s="189"/>
      <c r="U85" s="189"/>
    </row>
    <row r="86" spans="2:21" s="13" customFormat="1" ht="15">
      <c r="B86" s="6"/>
      <c r="C86" s="6"/>
      <c r="D86" s="6"/>
      <c r="E86" s="6"/>
      <c r="F86" s="6"/>
      <c r="G86" s="6"/>
      <c r="H86" s="9"/>
      <c r="I86" s="9"/>
      <c r="J86" s="9"/>
      <c r="K86" s="6"/>
      <c r="L86" s="6"/>
      <c r="M86" s="6"/>
      <c r="N86" s="6"/>
      <c r="O86" s="6"/>
      <c r="P86" s="6"/>
      <c r="Q86" s="6"/>
      <c r="R86" s="189"/>
      <c r="S86" s="189"/>
      <c r="T86" s="189"/>
      <c r="U86" s="189"/>
    </row>
    <row r="87" spans="2:21" s="13" customFormat="1" ht="15">
      <c r="B87" s="6"/>
      <c r="C87" s="6"/>
      <c r="D87" s="6"/>
      <c r="E87" s="6"/>
      <c r="F87" s="6"/>
      <c r="G87" s="6"/>
      <c r="H87" s="9"/>
      <c r="I87" s="9"/>
      <c r="J87" s="9"/>
      <c r="K87" s="6"/>
      <c r="L87" s="6"/>
      <c r="M87" s="6"/>
      <c r="N87" s="6"/>
      <c r="O87" s="6"/>
      <c r="P87" s="6"/>
      <c r="Q87" s="6"/>
      <c r="R87" s="189"/>
      <c r="S87" s="189"/>
      <c r="T87" s="189"/>
      <c r="U87" s="189"/>
    </row>
    <row r="88" spans="2:21" s="13" customFormat="1" ht="15">
      <c r="B88" s="6"/>
      <c r="C88" s="6"/>
      <c r="D88" s="6"/>
      <c r="E88" s="6"/>
      <c r="F88" s="6"/>
      <c r="G88" s="6"/>
      <c r="H88" s="9"/>
      <c r="I88" s="9"/>
      <c r="J88" s="9"/>
      <c r="K88" s="6"/>
      <c r="L88" s="6"/>
      <c r="M88" s="6"/>
      <c r="N88" s="6"/>
      <c r="O88" s="6"/>
      <c r="P88" s="6"/>
      <c r="Q88" s="6"/>
      <c r="R88" s="189"/>
      <c r="S88" s="189"/>
      <c r="T88" s="189"/>
      <c r="U88" s="189"/>
    </row>
    <row r="89" spans="2:21" s="13" customFormat="1" ht="15">
      <c r="B89" s="6"/>
      <c r="C89" s="6"/>
      <c r="D89" s="6"/>
      <c r="E89" s="6"/>
      <c r="F89" s="6"/>
      <c r="G89" s="6"/>
      <c r="H89" s="9"/>
      <c r="I89" s="9"/>
      <c r="J89" s="9"/>
      <c r="K89" s="6"/>
      <c r="L89" s="6"/>
      <c r="M89" s="6"/>
      <c r="N89" s="6"/>
      <c r="O89" s="6"/>
      <c r="P89" s="6"/>
      <c r="Q89" s="6"/>
      <c r="R89" s="189"/>
      <c r="S89" s="189"/>
      <c r="T89" s="189"/>
      <c r="U89" s="189"/>
    </row>
    <row r="90" spans="2:21" s="13" customFormat="1" ht="15">
      <c r="B90" s="6"/>
      <c r="C90" s="6"/>
      <c r="D90" s="6"/>
      <c r="E90" s="6"/>
      <c r="F90" s="6"/>
      <c r="G90" s="6"/>
      <c r="H90" s="9"/>
      <c r="I90" s="9"/>
      <c r="J90" s="9"/>
      <c r="K90" s="6"/>
      <c r="L90" s="6"/>
      <c r="M90" s="6"/>
      <c r="N90" s="6"/>
      <c r="O90" s="6"/>
      <c r="P90" s="6"/>
      <c r="Q90" s="6"/>
      <c r="R90" s="189"/>
      <c r="S90" s="189"/>
      <c r="T90" s="189"/>
      <c r="U90" s="189"/>
    </row>
    <row r="91" spans="2:21" s="13" customFormat="1" ht="15">
      <c r="B91" s="6"/>
      <c r="C91" s="6"/>
      <c r="D91" s="6"/>
      <c r="E91" s="6"/>
      <c r="F91" s="6"/>
      <c r="G91" s="6"/>
      <c r="H91" s="9"/>
      <c r="I91" s="9"/>
      <c r="J91" s="9"/>
      <c r="K91" s="6"/>
      <c r="L91" s="6"/>
      <c r="M91" s="6"/>
      <c r="N91" s="6"/>
      <c r="O91" s="6"/>
      <c r="P91" s="6"/>
      <c r="Q91" s="6"/>
      <c r="R91" s="189"/>
      <c r="S91" s="189"/>
      <c r="T91" s="189"/>
      <c r="U91" s="189"/>
    </row>
    <row r="92" spans="2:21" s="13" customFormat="1" ht="15">
      <c r="B92" s="6"/>
      <c r="C92" s="6"/>
      <c r="D92" s="6"/>
      <c r="E92" s="6"/>
      <c r="F92" s="6"/>
      <c r="G92" s="6"/>
      <c r="H92" s="9"/>
      <c r="I92" s="9"/>
      <c r="J92" s="9"/>
      <c r="K92" s="6"/>
      <c r="L92" s="6"/>
      <c r="M92" s="6"/>
      <c r="N92" s="6"/>
      <c r="O92" s="6"/>
      <c r="P92" s="6"/>
      <c r="Q92" s="6"/>
      <c r="R92" s="189"/>
      <c r="S92" s="189"/>
      <c r="T92" s="189"/>
      <c r="U92" s="189"/>
    </row>
    <row r="93" spans="2:21" s="13" customFormat="1" ht="15">
      <c r="B93" s="6"/>
      <c r="C93" s="6"/>
      <c r="D93" s="6"/>
      <c r="E93" s="6"/>
      <c r="F93" s="6"/>
      <c r="G93" s="6"/>
      <c r="H93" s="9"/>
      <c r="I93" s="9"/>
      <c r="J93" s="9"/>
      <c r="K93" s="6"/>
      <c r="L93" s="6"/>
      <c r="M93" s="6"/>
      <c r="N93" s="6"/>
      <c r="O93" s="6"/>
      <c r="P93" s="6"/>
      <c r="Q93" s="6"/>
      <c r="R93" s="189"/>
      <c r="S93" s="189"/>
      <c r="T93" s="189"/>
      <c r="U93" s="189"/>
    </row>
    <row r="94" spans="2:21" s="13" customFormat="1" ht="15">
      <c r="B94" s="6"/>
      <c r="C94" s="6"/>
      <c r="D94" s="6"/>
      <c r="E94" s="6"/>
      <c r="F94" s="6"/>
      <c r="G94" s="6"/>
      <c r="H94" s="9"/>
      <c r="I94" s="9"/>
      <c r="J94" s="9"/>
      <c r="K94" s="6"/>
      <c r="L94" s="6"/>
      <c r="M94" s="6"/>
      <c r="N94" s="6"/>
      <c r="O94" s="6"/>
      <c r="P94" s="6"/>
      <c r="Q94" s="6"/>
      <c r="R94" s="189"/>
      <c r="S94" s="189"/>
      <c r="T94" s="189"/>
      <c r="U94" s="189"/>
    </row>
    <row r="95" spans="2:21" s="13" customFormat="1" ht="15">
      <c r="B95" s="6"/>
      <c r="C95" s="6"/>
      <c r="D95" s="6"/>
      <c r="E95" s="6"/>
      <c r="F95" s="6"/>
      <c r="G95" s="6"/>
      <c r="H95" s="9"/>
      <c r="I95" s="9"/>
      <c r="J95" s="9"/>
      <c r="K95" s="6"/>
      <c r="L95" s="6"/>
      <c r="M95" s="6"/>
      <c r="N95" s="6"/>
      <c r="O95" s="6"/>
      <c r="P95" s="6"/>
      <c r="Q95" s="6"/>
      <c r="R95" s="189"/>
      <c r="S95" s="189"/>
      <c r="T95" s="189"/>
      <c r="U95" s="189"/>
    </row>
    <row r="96" spans="2:21" s="13" customFormat="1" ht="15">
      <c r="B96" s="6"/>
      <c r="C96" s="6"/>
      <c r="D96" s="6"/>
      <c r="E96" s="6"/>
      <c r="F96" s="6"/>
      <c r="G96" s="6"/>
      <c r="H96" s="9"/>
      <c r="I96" s="9"/>
      <c r="J96" s="9"/>
      <c r="K96" s="6"/>
      <c r="L96" s="6"/>
      <c r="M96" s="6"/>
      <c r="N96" s="6"/>
      <c r="O96" s="6"/>
      <c r="P96" s="6"/>
      <c r="Q96" s="6"/>
      <c r="R96" s="189"/>
      <c r="S96" s="189"/>
      <c r="T96" s="189"/>
      <c r="U96" s="189"/>
    </row>
    <row r="97" spans="2:21" s="13" customFormat="1" ht="15">
      <c r="B97" s="6"/>
      <c r="C97" s="6"/>
      <c r="D97" s="6"/>
      <c r="E97" s="6"/>
      <c r="F97" s="6"/>
      <c r="G97" s="6"/>
      <c r="H97" s="9"/>
      <c r="I97" s="9"/>
      <c r="J97" s="9"/>
      <c r="K97" s="6"/>
      <c r="L97" s="6"/>
      <c r="M97" s="6"/>
      <c r="N97" s="6"/>
      <c r="O97" s="6"/>
      <c r="P97" s="6"/>
      <c r="Q97" s="6"/>
      <c r="R97" s="189"/>
      <c r="S97" s="189"/>
      <c r="T97" s="189"/>
      <c r="U97" s="189"/>
    </row>
    <row r="98" spans="2:21" s="13" customFormat="1" ht="15">
      <c r="B98" s="6"/>
      <c r="C98" s="6"/>
      <c r="D98" s="6"/>
      <c r="E98" s="6"/>
      <c r="F98" s="6"/>
      <c r="G98" s="6"/>
      <c r="H98" s="9"/>
      <c r="I98" s="9"/>
      <c r="J98" s="9"/>
      <c r="K98" s="6"/>
      <c r="L98" s="6"/>
      <c r="M98" s="6"/>
      <c r="N98" s="6"/>
      <c r="O98" s="6"/>
      <c r="P98" s="6"/>
      <c r="Q98" s="6"/>
      <c r="R98" s="189"/>
      <c r="S98" s="189"/>
      <c r="T98" s="189"/>
      <c r="U98" s="189"/>
    </row>
    <row r="99" spans="2:21" s="13" customFormat="1" ht="15">
      <c r="B99" s="6"/>
      <c r="C99" s="6"/>
      <c r="D99" s="6"/>
      <c r="E99" s="6"/>
      <c r="F99" s="6"/>
      <c r="G99" s="6"/>
      <c r="H99" s="9"/>
      <c r="I99" s="9"/>
      <c r="J99" s="9"/>
      <c r="K99" s="6"/>
      <c r="L99" s="6"/>
      <c r="M99" s="6"/>
      <c r="N99" s="6"/>
      <c r="O99" s="6"/>
      <c r="P99" s="6"/>
      <c r="Q99" s="6"/>
      <c r="R99" s="189"/>
      <c r="S99" s="189"/>
      <c r="T99" s="189"/>
      <c r="U99" s="189"/>
    </row>
    <row r="100" spans="2:21" s="13" customFormat="1" ht="15">
      <c r="B100" s="6"/>
      <c r="C100" s="6"/>
      <c r="D100" s="6"/>
      <c r="E100" s="6"/>
      <c r="F100" s="6"/>
      <c r="G100" s="6"/>
      <c r="H100" s="9"/>
      <c r="I100" s="9"/>
      <c r="J100" s="9"/>
      <c r="K100" s="6"/>
      <c r="L100" s="6"/>
      <c r="M100" s="6"/>
      <c r="N100" s="6"/>
      <c r="O100" s="6"/>
      <c r="P100" s="6"/>
      <c r="Q100" s="6"/>
      <c r="R100" s="189"/>
      <c r="S100" s="189"/>
      <c r="T100" s="189"/>
      <c r="U100" s="189"/>
    </row>
    <row r="101" spans="2:21" s="13" customFormat="1" ht="15">
      <c r="B101" s="6"/>
      <c r="C101" s="6"/>
      <c r="D101" s="6"/>
      <c r="E101" s="6"/>
      <c r="F101" s="6"/>
      <c r="G101" s="6"/>
      <c r="H101" s="9"/>
      <c r="I101" s="9"/>
      <c r="J101" s="9"/>
      <c r="K101" s="6"/>
      <c r="L101" s="6"/>
      <c r="M101" s="6"/>
      <c r="N101" s="6"/>
      <c r="O101" s="6"/>
      <c r="P101" s="6"/>
      <c r="Q101" s="6"/>
      <c r="R101" s="189"/>
      <c r="S101" s="189"/>
      <c r="T101" s="189"/>
      <c r="U101" s="189"/>
    </row>
    <row r="102" spans="2:21" s="13" customFormat="1" ht="15">
      <c r="B102" s="6"/>
      <c r="C102" s="6"/>
      <c r="D102" s="6"/>
      <c r="E102" s="6"/>
      <c r="F102" s="6"/>
      <c r="G102" s="6"/>
      <c r="H102" s="9"/>
      <c r="I102" s="9"/>
      <c r="J102" s="9"/>
      <c r="K102" s="6"/>
      <c r="L102" s="6"/>
      <c r="M102" s="6"/>
      <c r="N102" s="6"/>
      <c r="O102" s="6"/>
      <c r="P102" s="6"/>
      <c r="Q102" s="6"/>
      <c r="R102" s="189"/>
      <c r="S102" s="189"/>
      <c r="T102" s="189"/>
      <c r="U102" s="189"/>
    </row>
    <row r="103" spans="2:21" s="13" customFormat="1" ht="15">
      <c r="B103" s="6"/>
      <c r="C103" s="6"/>
      <c r="D103" s="6"/>
      <c r="E103" s="6"/>
      <c r="F103" s="6"/>
      <c r="G103" s="6"/>
      <c r="H103" s="9"/>
      <c r="I103" s="9"/>
      <c r="J103" s="9"/>
      <c r="K103" s="6"/>
      <c r="L103" s="6"/>
      <c r="M103" s="6"/>
      <c r="N103" s="6"/>
      <c r="O103" s="6"/>
      <c r="P103" s="6"/>
      <c r="Q103" s="6"/>
      <c r="R103" s="189"/>
      <c r="S103" s="189"/>
      <c r="T103" s="189"/>
      <c r="U103" s="189"/>
    </row>
    <row r="104" spans="2:21" s="13" customFormat="1" ht="15">
      <c r="B104" s="6"/>
      <c r="C104" s="6"/>
      <c r="D104" s="6"/>
      <c r="E104" s="6"/>
      <c r="F104" s="6"/>
      <c r="G104" s="6"/>
      <c r="H104" s="9"/>
      <c r="I104" s="9"/>
      <c r="J104" s="9"/>
      <c r="K104" s="6"/>
      <c r="L104" s="6"/>
      <c r="M104" s="6"/>
      <c r="N104" s="6"/>
      <c r="O104" s="6"/>
      <c r="P104" s="6"/>
      <c r="Q104" s="6"/>
      <c r="R104" s="189"/>
      <c r="S104" s="189"/>
      <c r="T104" s="189"/>
      <c r="U104" s="189"/>
    </row>
    <row r="105" spans="2:21" s="13" customFormat="1" ht="15">
      <c r="B105" s="6"/>
      <c r="C105" s="6"/>
      <c r="D105" s="6"/>
      <c r="E105" s="6"/>
      <c r="F105" s="6"/>
      <c r="G105" s="6"/>
      <c r="H105" s="9"/>
      <c r="I105" s="9"/>
      <c r="J105" s="9"/>
      <c r="K105" s="6"/>
      <c r="L105" s="6"/>
      <c r="M105" s="6"/>
      <c r="N105" s="6"/>
      <c r="O105" s="6"/>
      <c r="P105" s="6"/>
      <c r="Q105" s="6"/>
      <c r="R105" s="189"/>
      <c r="S105" s="189"/>
      <c r="T105" s="189"/>
      <c r="U105" s="189"/>
    </row>
  </sheetData>
  <sheetProtection algorithmName="SHA-512" hashValue="1A5mye5k1I5i5251EtJsexUwLDoUuCIO+F0Fp0HYr3MEgVueycvab0T9pI3ST5/JlHc0YZo9LVMXDKy9B1fsNw==" saltValue="hIeQXShgSi2JAsztdgVG4w==" spinCount="100000" sheet="1" selectLockedCells="1"/>
  <mergeCells count="2">
    <mergeCell ref="G4:I4"/>
    <mergeCell ref="B2:N2"/>
  </mergeCells>
  <conditionalFormatting sqref="G6:J55">
    <cfRule type="expression" dxfId="229" priority="1">
      <formula>$E6=""</formula>
    </cfRule>
  </conditionalFormatting>
  <dataValidations count="1">
    <dataValidation type="list" allowBlank="1" showInputMessage="1" showErrorMessage="1" sqref="E6:E55" xr:uid="{41BA8FC9-3FD4-4BA8-9A37-35F713A619B4}">
      <formula1>List_Refrig_Measure</formula1>
    </dataValidation>
  </dataValidations>
  <pageMargins left="0.2" right="0.2" top="0.25" bottom="0.25" header="0.3" footer="0.3"/>
  <pageSetup scale="21" fitToHeight="0" orientation="landscape" verticalDpi="1200" r:id="rId1"/>
  <colBreaks count="1" manualBreakCount="1">
    <brk id="11"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4DB1-2ABA-485B-B0EA-6BE8E261732D}">
  <sheetPr>
    <tabColor theme="4"/>
  </sheetPr>
  <dimension ref="A1:AM204"/>
  <sheetViews>
    <sheetView showGridLines="0" showRowColHeaders="0" workbookViewId="0">
      <selection activeCell="D5" sqref="D5"/>
    </sheetView>
  </sheetViews>
  <sheetFormatPr defaultColWidth="9.140625" defaultRowHeight="12.75" customHeight="1"/>
  <cols>
    <col min="1" max="1" width="2.140625" style="189" customWidth="1"/>
    <col min="2" max="2" width="5.28515625" style="189" customWidth="1"/>
    <col min="3" max="3" width="8.85546875" style="189" customWidth="1"/>
    <col min="4" max="4" width="17.28515625" style="189" customWidth="1"/>
    <col min="5" max="6" width="29.85546875" style="189" customWidth="1"/>
    <col min="7" max="7" width="11.5703125" style="189" customWidth="1"/>
    <col min="8" max="8" width="12.42578125" style="189" customWidth="1"/>
    <col min="9" max="9" width="9.85546875" style="189" customWidth="1"/>
    <col min="10" max="10" width="10" style="189" customWidth="1"/>
    <col min="11" max="11" width="11" style="189" customWidth="1"/>
    <col min="12" max="12" width="12" style="189" customWidth="1"/>
    <col min="13" max="13" width="11.85546875" style="189" customWidth="1"/>
    <col min="14" max="15" width="10.28515625" style="189" customWidth="1"/>
    <col min="16" max="16" width="13.42578125" style="189" customWidth="1"/>
    <col min="17" max="17" width="9.5703125" style="189" customWidth="1"/>
    <col min="18" max="16384" width="9.140625" style="189"/>
  </cols>
  <sheetData>
    <row r="1" spans="1:39" ht="55.5" customHeight="1"/>
    <row r="2" spans="1:39" s="209" customFormat="1" ht="33" customHeight="1">
      <c r="B2" s="307" t="s">
        <v>126</v>
      </c>
      <c r="C2" s="307"/>
      <c r="D2" s="307"/>
      <c r="E2" s="307"/>
      <c r="F2" s="307"/>
      <c r="G2" s="307"/>
      <c r="H2" s="307"/>
      <c r="I2" s="307"/>
      <c r="J2" s="307"/>
      <c r="K2" s="307"/>
      <c r="L2" s="307"/>
      <c r="M2" s="307"/>
      <c r="N2" s="307"/>
      <c r="O2" s="240"/>
      <c r="P2" s="240"/>
      <c r="Q2" s="240"/>
    </row>
    <row r="3" spans="1:39">
      <c r="A3" s="193"/>
      <c r="G3" s="312" t="s">
        <v>98</v>
      </c>
      <c r="H3" s="313"/>
      <c r="I3" s="314"/>
      <c r="J3" s="216" t="s">
        <v>99</v>
      </c>
      <c r="K3" s="236">
        <f>SUM(Table_Controls_Input[Estimated incentive])</f>
        <v>0</v>
      </c>
      <c r="L3" s="237">
        <f>SUM(Table_Controls_Input[Energy savings (kWh)])</f>
        <v>0</v>
      </c>
      <c r="M3" s="238">
        <f>SUM(Table_Controls_Input[Demand reduction (kW)])</f>
        <v>0</v>
      </c>
      <c r="N3" s="239">
        <f>SUM(Table_Controls_Input[Cost savings])</f>
        <v>0</v>
      </c>
      <c r="O3" s="239">
        <f>SUM(Table_Controls_Input[Gross measure cost])</f>
        <v>0</v>
      </c>
      <c r="P3" s="239">
        <f>SUM(Table_Controls_Input[Net measure cost])</f>
        <v>0</v>
      </c>
      <c r="Q3" s="218" t="str">
        <f>IFERROR(P3/N3,"")</f>
        <v/>
      </c>
      <c r="R3" s="193"/>
      <c r="S3" s="193"/>
      <c r="T3" s="193"/>
      <c r="U3" s="193"/>
      <c r="V3" s="193"/>
      <c r="W3" s="193"/>
      <c r="X3" s="193"/>
      <c r="Y3" s="193"/>
      <c r="Z3" s="193"/>
      <c r="AA3" s="193"/>
      <c r="AB3" s="193"/>
      <c r="AC3" s="193"/>
      <c r="AD3" s="193"/>
      <c r="AE3" s="193"/>
      <c r="AF3" s="193"/>
      <c r="AG3" s="193"/>
      <c r="AH3" s="193"/>
      <c r="AI3" s="193"/>
      <c r="AJ3" s="193"/>
      <c r="AK3" s="193"/>
      <c r="AL3" s="193"/>
      <c r="AM3" s="193"/>
    </row>
    <row r="4" spans="1:39" s="194" customFormat="1" ht="38.25">
      <c r="A4" s="204"/>
      <c r="B4" s="230" t="s">
        <v>100</v>
      </c>
      <c r="C4" s="231" t="s">
        <v>101</v>
      </c>
      <c r="D4" s="232" t="s">
        <v>102</v>
      </c>
      <c r="E4" s="231" t="s">
        <v>127</v>
      </c>
      <c r="F4" s="233" t="s">
        <v>104</v>
      </c>
      <c r="G4" s="235" t="s">
        <v>125</v>
      </c>
      <c r="H4" s="235" t="s">
        <v>113</v>
      </c>
      <c r="I4" s="235" t="s">
        <v>114</v>
      </c>
      <c r="J4" s="233" t="s">
        <v>115</v>
      </c>
      <c r="K4" s="233" t="s">
        <v>116</v>
      </c>
      <c r="L4" s="233" t="s">
        <v>117</v>
      </c>
      <c r="M4" s="233" t="s">
        <v>118</v>
      </c>
      <c r="N4" s="233" t="s">
        <v>119</v>
      </c>
      <c r="O4" s="233" t="s">
        <v>120</v>
      </c>
      <c r="P4" s="233" t="s">
        <v>121</v>
      </c>
      <c r="Q4" s="233" t="s">
        <v>122</v>
      </c>
      <c r="R4" s="204"/>
      <c r="S4" s="204"/>
      <c r="T4" s="204"/>
      <c r="U4" s="204"/>
      <c r="V4" s="204"/>
      <c r="W4" s="204"/>
      <c r="X4" s="204"/>
      <c r="Y4" s="204"/>
      <c r="Z4" s="204"/>
      <c r="AA4" s="204"/>
      <c r="AB4" s="204"/>
      <c r="AC4" s="204"/>
      <c r="AD4" s="204"/>
      <c r="AE4" s="204"/>
      <c r="AF4" s="204"/>
      <c r="AG4" s="204"/>
      <c r="AH4" s="204"/>
      <c r="AI4" s="204"/>
      <c r="AJ4" s="204"/>
      <c r="AK4" s="204"/>
      <c r="AL4" s="204"/>
      <c r="AM4" s="204"/>
    </row>
    <row r="5" spans="1:39">
      <c r="A5" s="222"/>
      <c r="B5" s="223">
        <v>1</v>
      </c>
      <c r="C5" s="192" t="str">
        <f>IFERROR(INDEX(Table_Prescript_Meas[Measure Number], MATCH(E5, Table_Prescript_Meas[Measure Description], 0)), "")</f>
        <v/>
      </c>
      <c r="D5" s="224"/>
      <c r="E5" s="215"/>
      <c r="F5" s="192" t="str">
        <f>IFERROR(INDEX(Table_Prescript_Meas[Units], MATCH(Table_Controls_Input[[#This Row],[Measure number]], Table_Prescript_Meas[Measure Number], 0)), "")</f>
        <v/>
      </c>
      <c r="G5" s="191"/>
      <c r="H5" s="226"/>
      <c r="I5" s="226"/>
      <c r="J5"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5" s="227" t="str">
        <f>IFERROR(Table_Controls_Input[[#This Row],[Number of units]]*Table_Controls_Input[[#This Row],[Per-unit incentive]], "")</f>
        <v/>
      </c>
      <c r="L5" s="228" t="str">
        <f>IFERROR(Table_Controls_Input[[#This Row],[Number of units]]*INDEX(Table_Prescript_Meas[Deemed kWh Savings], MATCH(Table_Controls_Input[[#This Row],[Measure number]], Table_Prescript_Meas[Measure Number], 0)),"" )</f>
        <v/>
      </c>
      <c r="M5" s="229" t="str">
        <f>IFERROR(Table_Controls_Input[[#This Row],[Number of units]]*INDEX(Table_Prescript_Meas[Deemed kW Savings], MATCH(Table_Controls_Input[[#This Row],[Measure number]], Table_Prescript_Meas[Measure Number], 0)),"" )</f>
        <v/>
      </c>
      <c r="N5" s="227" t="str">
        <f t="shared" ref="N5" si="0">IFERROR(L5*Input_AvgkWhRate, "")</f>
        <v/>
      </c>
      <c r="O5" s="227" t="str">
        <f>IF(Table_Controls_Input[[#This Row],[Measure number]]="", "", Table_Controls_Input[[#This Row],[Total equipment cost]]+Table_Controls_Input[[#This Row],[Total labor cost]])</f>
        <v/>
      </c>
      <c r="P5" s="227" t="str">
        <f>IFERROR(Table_Controls_Input[[#This Row],[Gross measure cost]]-Table_Controls_Input[[#This Row],[Estimated incentive]], "")</f>
        <v/>
      </c>
      <c r="Q5" s="228" t="str">
        <f t="shared" ref="Q5:Q34" si="1">IFERROR($P5/$N5,"")</f>
        <v/>
      </c>
      <c r="R5" s="222"/>
      <c r="S5" s="222"/>
      <c r="T5" s="222"/>
      <c r="U5" s="222"/>
      <c r="V5" s="222"/>
      <c r="W5" s="222"/>
      <c r="X5" s="222"/>
      <c r="Y5" s="222"/>
      <c r="Z5" s="222"/>
      <c r="AA5" s="222"/>
      <c r="AB5" s="222"/>
      <c r="AC5" s="222"/>
      <c r="AD5" s="222"/>
      <c r="AE5" s="222"/>
      <c r="AF5" s="222"/>
      <c r="AG5" s="222"/>
      <c r="AH5" s="222"/>
      <c r="AI5" s="222"/>
      <c r="AJ5" s="222"/>
      <c r="AK5" s="222"/>
      <c r="AL5" s="222"/>
      <c r="AM5" s="222"/>
    </row>
    <row r="6" spans="1:39">
      <c r="A6" s="222"/>
      <c r="B6" s="223">
        <v>2</v>
      </c>
      <c r="C6" s="192" t="str">
        <f>IFERROR(INDEX(Table_Prescript_Meas[Measure Number], MATCH(E6, Table_Prescript_Meas[Measure Description], 0)), "")</f>
        <v/>
      </c>
      <c r="D6" s="224"/>
      <c r="E6" s="215"/>
      <c r="F6" s="192" t="str">
        <f>IFERROR(INDEX(Table_Prescript_Meas[Units], MATCH(Table_Controls_Input[[#This Row],[Measure number]], Table_Prescript_Meas[Measure Number], 0)), "")</f>
        <v/>
      </c>
      <c r="G6" s="191"/>
      <c r="H6" s="226"/>
      <c r="I6" s="226"/>
      <c r="J6"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6" s="227" t="str">
        <f>IFERROR(Table_Controls_Input[[#This Row],[Number of units]]*Table_Controls_Input[[#This Row],[Per-unit incentive]], "")</f>
        <v/>
      </c>
      <c r="L6" s="228" t="str">
        <f>IFERROR(Table_Controls_Input[[#This Row],[Number of units]]*INDEX(Table_Prescript_Meas[Deemed kWh Savings], MATCH(Table_Controls_Input[[#This Row],[Measure number]], Table_Prescript_Meas[Measure Number], 0)),"" )</f>
        <v/>
      </c>
      <c r="M6" s="229" t="str">
        <f>IFERROR(Table_Controls_Input[[#This Row],[Number of units]]*INDEX(Table_Prescript_Meas[Deemed kW Savings], MATCH(Table_Controls_Input[[#This Row],[Measure number]], Table_Prescript_Meas[Measure Number], 0)),"" )</f>
        <v/>
      </c>
      <c r="N6" s="227" t="str">
        <f t="shared" ref="N6:N34" si="2">IFERROR(L6*Input_AvgkWhRate, "")</f>
        <v/>
      </c>
      <c r="O6" s="227" t="str">
        <f>IF(Table_Controls_Input[[#This Row],[Measure number]]="", "", Table_Controls_Input[[#This Row],[Total equipment cost]]+Table_Controls_Input[[#This Row],[Total labor cost]])</f>
        <v/>
      </c>
      <c r="P6" s="227" t="str">
        <f>IFERROR(Table_Controls_Input[[#This Row],[Gross measure cost]]-Table_Controls_Input[[#This Row],[Estimated incentive]], "")</f>
        <v/>
      </c>
      <c r="Q6" s="228" t="str">
        <f t="shared" si="1"/>
        <v/>
      </c>
      <c r="R6" s="222"/>
      <c r="S6" s="222"/>
      <c r="T6" s="222"/>
      <c r="U6" s="222"/>
      <c r="V6" s="222"/>
      <c r="W6" s="222"/>
      <c r="X6" s="222"/>
      <c r="Y6" s="222"/>
      <c r="Z6" s="222"/>
      <c r="AA6" s="222"/>
      <c r="AB6" s="222"/>
      <c r="AC6" s="222"/>
      <c r="AD6" s="222"/>
      <c r="AE6" s="222"/>
      <c r="AF6" s="222"/>
      <c r="AG6" s="222"/>
      <c r="AH6" s="222"/>
      <c r="AI6" s="222"/>
      <c r="AJ6" s="222"/>
      <c r="AK6" s="222"/>
      <c r="AL6" s="222"/>
      <c r="AM6" s="222"/>
    </row>
    <row r="7" spans="1:39">
      <c r="A7" s="222"/>
      <c r="B7" s="223">
        <v>3</v>
      </c>
      <c r="C7" s="192" t="str">
        <f>IFERROR(INDEX(Table_Prescript_Meas[Measure Number], MATCH(E7, Table_Prescript_Meas[Measure Description], 0)), "")</f>
        <v/>
      </c>
      <c r="D7" s="224"/>
      <c r="E7" s="215"/>
      <c r="F7" s="192" t="str">
        <f>IFERROR(INDEX(Table_Prescript_Meas[Units], MATCH(Table_Controls_Input[[#This Row],[Measure number]], Table_Prescript_Meas[Measure Number], 0)), "")</f>
        <v/>
      </c>
      <c r="G7" s="191"/>
      <c r="H7" s="226"/>
      <c r="I7" s="226"/>
      <c r="J7"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7" s="227" t="str">
        <f>IFERROR(Table_Controls_Input[[#This Row],[Number of units]]*Table_Controls_Input[[#This Row],[Per-unit incentive]], "")</f>
        <v/>
      </c>
      <c r="L7" s="228" t="str">
        <f>IFERROR(Table_Controls_Input[[#This Row],[Number of units]]*INDEX(Table_Prescript_Meas[Deemed kWh Savings], MATCH(Table_Controls_Input[[#This Row],[Measure number]], Table_Prescript_Meas[Measure Number], 0)),"" )</f>
        <v/>
      </c>
      <c r="M7" s="229" t="str">
        <f>IFERROR(Table_Controls_Input[[#This Row],[Number of units]]*INDEX(Table_Prescript_Meas[Deemed kW Savings], MATCH(Table_Controls_Input[[#This Row],[Measure number]], Table_Prescript_Meas[Measure Number], 0)),"" )</f>
        <v/>
      </c>
      <c r="N7" s="227" t="str">
        <f t="shared" si="2"/>
        <v/>
      </c>
      <c r="O7" s="227" t="str">
        <f>IF(Table_Controls_Input[[#This Row],[Measure number]]="", "", Table_Controls_Input[[#This Row],[Total equipment cost]]+Table_Controls_Input[[#This Row],[Total labor cost]])</f>
        <v/>
      </c>
      <c r="P7" s="227" t="str">
        <f>IFERROR(Table_Controls_Input[[#This Row],[Gross measure cost]]-Table_Controls_Input[[#This Row],[Estimated incentive]], "")</f>
        <v/>
      </c>
      <c r="Q7" s="228" t="str">
        <f t="shared" si="1"/>
        <v/>
      </c>
      <c r="R7" s="222"/>
      <c r="S7" s="222"/>
      <c r="T7" s="222"/>
      <c r="U7" s="222"/>
      <c r="V7" s="222"/>
      <c r="W7" s="222"/>
      <c r="X7" s="222"/>
      <c r="Y7" s="222"/>
      <c r="Z7" s="222"/>
      <c r="AA7" s="222"/>
      <c r="AB7" s="222"/>
      <c r="AC7" s="222"/>
      <c r="AD7" s="222"/>
      <c r="AE7" s="222"/>
      <c r="AF7" s="222"/>
      <c r="AG7" s="222"/>
      <c r="AH7" s="222"/>
      <c r="AI7" s="222"/>
      <c r="AJ7" s="222"/>
      <c r="AK7" s="222"/>
      <c r="AL7" s="222"/>
      <c r="AM7" s="222"/>
    </row>
    <row r="8" spans="1:39">
      <c r="A8" s="222"/>
      <c r="B8" s="223">
        <v>4</v>
      </c>
      <c r="C8" s="192" t="str">
        <f>IFERROR(INDEX(Table_Prescript_Meas[Measure Number], MATCH(E8, Table_Prescript_Meas[Measure Description], 0)), "")</f>
        <v/>
      </c>
      <c r="D8" s="224"/>
      <c r="E8" s="215"/>
      <c r="F8" s="192" t="str">
        <f>IFERROR(INDEX(Table_Prescript_Meas[Units], MATCH(Table_Controls_Input[[#This Row],[Measure number]], Table_Prescript_Meas[Measure Number], 0)), "")</f>
        <v/>
      </c>
      <c r="G8" s="191"/>
      <c r="H8" s="226"/>
      <c r="I8" s="226"/>
      <c r="J8"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8" s="227" t="str">
        <f>IFERROR(Table_Controls_Input[[#This Row],[Number of units]]*Table_Controls_Input[[#This Row],[Per-unit incentive]], "")</f>
        <v/>
      </c>
      <c r="L8" s="228" t="str">
        <f>IFERROR(Table_Controls_Input[[#This Row],[Number of units]]*INDEX(Table_Prescript_Meas[Deemed kWh Savings], MATCH(Table_Controls_Input[[#This Row],[Measure number]], Table_Prescript_Meas[Measure Number], 0)),"" )</f>
        <v/>
      </c>
      <c r="M8" s="229" t="str">
        <f>IFERROR(Table_Controls_Input[[#This Row],[Number of units]]*INDEX(Table_Prescript_Meas[Deemed kW Savings], MATCH(Table_Controls_Input[[#This Row],[Measure number]], Table_Prescript_Meas[Measure Number], 0)),"" )</f>
        <v/>
      </c>
      <c r="N8" s="227" t="str">
        <f t="shared" si="2"/>
        <v/>
      </c>
      <c r="O8" s="227" t="str">
        <f>IF(Table_Controls_Input[[#This Row],[Measure number]]="", "", Table_Controls_Input[[#This Row],[Total equipment cost]]+Table_Controls_Input[[#This Row],[Total labor cost]])</f>
        <v/>
      </c>
      <c r="P8" s="227" t="str">
        <f>IFERROR(Table_Controls_Input[[#This Row],[Gross measure cost]]-Table_Controls_Input[[#This Row],[Estimated incentive]], "")</f>
        <v/>
      </c>
      <c r="Q8" s="228" t="str">
        <f t="shared" si="1"/>
        <v/>
      </c>
      <c r="R8" s="222"/>
      <c r="S8" s="222"/>
      <c r="T8" s="222"/>
      <c r="U8" s="222"/>
      <c r="V8" s="222"/>
      <c r="W8" s="222"/>
      <c r="X8" s="222"/>
      <c r="Y8" s="222"/>
      <c r="Z8" s="222"/>
      <c r="AA8" s="222"/>
      <c r="AB8" s="222"/>
      <c r="AC8" s="222"/>
      <c r="AD8" s="222"/>
      <c r="AE8" s="222"/>
      <c r="AF8" s="222"/>
      <c r="AG8" s="222"/>
      <c r="AH8" s="222"/>
      <c r="AI8" s="222"/>
      <c r="AJ8" s="222"/>
      <c r="AK8" s="222"/>
      <c r="AL8" s="222"/>
      <c r="AM8" s="222"/>
    </row>
    <row r="9" spans="1:39">
      <c r="A9" s="222"/>
      <c r="B9" s="223">
        <v>5</v>
      </c>
      <c r="C9" s="192" t="str">
        <f>IFERROR(INDEX(Table_Prescript_Meas[Measure Number], MATCH(E9, Table_Prescript_Meas[Measure Description], 0)), "")</f>
        <v/>
      </c>
      <c r="D9" s="224"/>
      <c r="E9" s="215"/>
      <c r="F9" s="192" t="str">
        <f>IFERROR(INDEX(Table_Prescript_Meas[Units], MATCH(Table_Controls_Input[[#This Row],[Measure number]], Table_Prescript_Meas[Measure Number], 0)), "")</f>
        <v/>
      </c>
      <c r="G9" s="191"/>
      <c r="H9" s="226"/>
      <c r="I9" s="226"/>
      <c r="J9"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9" s="227" t="str">
        <f>IFERROR(Table_Controls_Input[[#This Row],[Number of units]]*Table_Controls_Input[[#This Row],[Per-unit incentive]], "")</f>
        <v/>
      </c>
      <c r="L9" s="228" t="str">
        <f>IFERROR(Table_Controls_Input[[#This Row],[Number of units]]*INDEX(Table_Prescript_Meas[Deemed kWh Savings], MATCH(Table_Controls_Input[[#This Row],[Measure number]], Table_Prescript_Meas[Measure Number], 0)),"" )</f>
        <v/>
      </c>
      <c r="M9" s="229" t="str">
        <f>IFERROR(Table_Controls_Input[[#This Row],[Number of units]]*INDEX(Table_Prescript_Meas[Deemed kW Savings], MATCH(Table_Controls_Input[[#This Row],[Measure number]], Table_Prescript_Meas[Measure Number], 0)),"" )</f>
        <v/>
      </c>
      <c r="N9" s="227" t="str">
        <f t="shared" si="2"/>
        <v/>
      </c>
      <c r="O9" s="227" t="str">
        <f>IF(Table_Controls_Input[[#This Row],[Measure number]]="", "", Table_Controls_Input[[#This Row],[Total equipment cost]]+Table_Controls_Input[[#This Row],[Total labor cost]])</f>
        <v/>
      </c>
      <c r="P9" s="227" t="str">
        <f>IFERROR(Table_Controls_Input[[#This Row],[Gross measure cost]]-Table_Controls_Input[[#This Row],[Estimated incentive]], "")</f>
        <v/>
      </c>
      <c r="Q9" s="228" t="str">
        <f t="shared" si="1"/>
        <v/>
      </c>
      <c r="R9" s="222"/>
      <c r="S9" s="222"/>
      <c r="T9" s="222"/>
      <c r="U9" s="222"/>
      <c r="V9" s="222"/>
      <c r="W9" s="222"/>
      <c r="X9" s="222"/>
      <c r="Y9" s="222"/>
      <c r="Z9" s="222"/>
      <c r="AA9" s="222"/>
      <c r="AB9" s="222"/>
      <c r="AC9" s="222"/>
      <c r="AD9" s="222"/>
      <c r="AE9" s="222"/>
      <c r="AF9" s="222"/>
      <c r="AG9" s="222"/>
      <c r="AH9" s="222"/>
      <c r="AI9" s="222"/>
      <c r="AJ9" s="222"/>
      <c r="AK9" s="222"/>
      <c r="AL9" s="222"/>
      <c r="AM9" s="222"/>
    </row>
    <row r="10" spans="1:39">
      <c r="A10" s="222"/>
      <c r="B10" s="223">
        <v>6</v>
      </c>
      <c r="C10" s="192" t="str">
        <f>IFERROR(INDEX(Table_Prescript_Meas[Measure Number], MATCH(E10, Table_Prescript_Meas[Measure Description], 0)), "")</f>
        <v/>
      </c>
      <c r="D10" s="224"/>
      <c r="E10" s="215"/>
      <c r="F10" s="192" t="str">
        <f>IFERROR(INDEX(Table_Prescript_Meas[Units], MATCH(Table_Controls_Input[[#This Row],[Measure number]], Table_Prescript_Meas[Measure Number], 0)), "")</f>
        <v/>
      </c>
      <c r="G10" s="191"/>
      <c r="H10" s="226"/>
      <c r="I10" s="226"/>
      <c r="J10"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0" s="227" t="str">
        <f>IFERROR(Table_Controls_Input[[#This Row],[Number of units]]*Table_Controls_Input[[#This Row],[Per-unit incentive]], "")</f>
        <v/>
      </c>
      <c r="L10" s="228" t="str">
        <f>IFERROR(Table_Controls_Input[[#This Row],[Number of units]]*INDEX(Table_Prescript_Meas[Deemed kWh Savings], MATCH(Table_Controls_Input[[#This Row],[Measure number]], Table_Prescript_Meas[Measure Number], 0)),"" )</f>
        <v/>
      </c>
      <c r="M10" s="229" t="str">
        <f>IFERROR(Table_Controls_Input[[#This Row],[Number of units]]*INDEX(Table_Prescript_Meas[Deemed kW Savings], MATCH(Table_Controls_Input[[#This Row],[Measure number]], Table_Prescript_Meas[Measure Number], 0)),"" )</f>
        <v/>
      </c>
      <c r="N10" s="227" t="str">
        <f t="shared" si="2"/>
        <v/>
      </c>
      <c r="O10" s="227" t="str">
        <f>IF(Table_Controls_Input[[#This Row],[Measure number]]="", "", Table_Controls_Input[[#This Row],[Total equipment cost]]+Table_Controls_Input[[#This Row],[Total labor cost]])</f>
        <v/>
      </c>
      <c r="P10" s="227" t="str">
        <f>IFERROR(Table_Controls_Input[[#This Row],[Gross measure cost]]-Table_Controls_Input[[#This Row],[Estimated incentive]], "")</f>
        <v/>
      </c>
      <c r="Q10" s="228" t="str">
        <f t="shared" si="1"/>
        <v/>
      </c>
      <c r="R10" s="222"/>
      <c r="S10" s="222"/>
      <c r="T10" s="222"/>
      <c r="U10" s="222"/>
      <c r="V10" s="222"/>
      <c r="W10" s="222"/>
      <c r="X10" s="222"/>
      <c r="Y10" s="222"/>
      <c r="Z10" s="222"/>
      <c r="AA10" s="222"/>
      <c r="AB10" s="222"/>
      <c r="AC10" s="222"/>
      <c r="AD10" s="222"/>
      <c r="AE10" s="222"/>
      <c r="AF10" s="222"/>
      <c r="AG10" s="222"/>
      <c r="AH10" s="222"/>
      <c r="AI10" s="222"/>
      <c r="AJ10" s="222"/>
      <c r="AK10" s="222"/>
      <c r="AL10" s="222"/>
      <c r="AM10" s="222"/>
    </row>
    <row r="11" spans="1:39">
      <c r="A11" s="222"/>
      <c r="B11" s="223">
        <v>7</v>
      </c>
      <c r="C11" s="192" t="str">
        <f>IFERROR(INDEX(Table_Prescript_Meas[Measure Number], MATCH(E11, Table_Prescript_Meas[Measure Description], 0)), "")</f>
        <v/>
      </c>
      <c r="D11" s="224"/>
      <c r="E11" s="215"/>
      <c r="F11" s="192" t="str">
        <f>IFERROR(INDEX(Table_Prescript_Meas[Units], MATCH(Table_Controls_Input[[#This Row],[Measure number]], Table_Prescript_Meas[Measure Number], 0)), "")</f>
        <v/>
      </c>
      <c r="G11" s="191"/>
      <c r="H11" s="226"/>
      <c r="I11" s="226"/>
      <c r="J11"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1" s="227" t="str">
        <f>IFERROR(Table_Controls_Input[[#This Row],[Number of units]]*Table_Controls_Input[[#This Row],[Per-unit incentive]], "")</f>
        <v/>
      </c>
      <c r="L11" s="228" t="str">
        <f>IFERROR(Table_Controls_Input[[#This Row],[Number of units]]*INDEX(Table_Prescript_Meas[Deemed kWh Savings], MATCH(Table_Controls_Input[[#This Row],[Measure number]], Table_Prescript_Meas[Measure Number], 0)),"" )</f>
        <v/>
      </c>
      <c r="M11" s="229" t="str">
        <f>IFERROR(Table_Controls_Input[[#This Row],[Number of units]]*INDEX(Table_Prescript_Meas[Deemed kW Savings], MATCH(Table_Controls_Input[[#This Row],[Measure number]], Table_Prescript_Meas[Measure Number], 0)),"" )</f>
        <v/>
      </c>
      <c r="N11" s="227" t="str">
        <f t="shared" si="2"/>
        <v/>
      </c>
      <c r="O11" s="227" t="str">
        <f>IF(Table_Controls_Input[[#This Row],[Measure number]]="", "", Table_Controls_Input[[#This Row],[Total equipment cost]]+Table_Controls_Input[[#This Row],[Total labor cost]])</f>
        <v/>
      </c>
      <c r="P11" s="227" t="str">
        <f>IFERROR(Table_Controls_Input[[#This Row],[Gross measure cost]]-Table_Controls_Input[[#This Row],[Estimated incentive]], "")</f>
        <v/>
      </c>
      <c r="Q11" s="228" t="str">
        <f t="shared" si="1"/>
        <v/>
      </c>
      <c r="R11" s="222"/>
      <c r="S11" s="222"/>
      <c r="T11" s="222"/>
      <c r="U11" s="222"/>
      <c r="V11" s="222"/>
      <c r="W11" s="222"/>
      <c r="X11" s="222"/>
      <c r="Y11" s="222"/>
      <c r="Z11" s="222"/>
      <c r="AA11" s="222"/>
      <c r="AB11" s="222"/>
      <c r="AC11" s="222"/>
      <c r="AD11" s="222"/>
      <c r="AE11" s="222"/>
      <c r="AF11" s="222"/>
      <c r="AG11" s="222"/>
      <c r="AH11" s="222"/>
      <c r="AI11" s="222"/>
      <c r="AJ11" s="222"/>
      <c r="AK11" s="222"/>
      <c r="AL11" s="222"/>
      <c r="AM11" s="222"/>
    </row>
    <row r="12" spans="1:39">
      <c r="A12" s="222"/>
      <c r="B12" s="223">
        <v>8</v>
      </c>
      <c r="C12" s="192" t="str">
        <f>IFERROR(INDEX(Table_Prescript_Meas[Measure Number], MATCH(E12, Table_Prescript_Meas[Measure Description], 0)), "")</f>
        <v/>
      </c>
      <c r="D12" s="224"/>
      <c r="E12" s="215"/>
      <c r="F12" s="192" t="str">
        <f>IFERROR(INDEX(Table_Prescript_Meas[Units], MATCH(Table_Controls_Input[[#This Row],[Measure number]], Table_Prescript_Meas[Measure Number], 0)), "")</f>
        <v/>
      </c>
      <c r="G12" s="191"/>
      <c r="H12" s="226"/>
      <c r="I12" s="226"/>
      <c r="J12"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2" s="227" t="str">
        <f>IFERROR(Table_Controls_Input[[#This Row],[Number of units]]*Table_Controls_Input[[#This Row],[Per-unit incentive]], "")</f>
        <v/>
      </c>
      <c r="L12" s="228" t="str">
        <f>IFERROR(Table_Controls_Input[[#This Row],[Number of units]]*INDEX(Table_Prescript_Meas[Deemed kWh Savings], MATCH(Table_Controls_Input[[#This Row],[Measure number]], Table_Prescript_Meas[Measure Number], 0)),"" )</f>
        <v/>
      </c>
      <c r="M12" s="229" t="str">
        <f>IFERROR(Table_Controls_Input[[#This Row],[Number of units]]*INDEX(Table_Prescript_Meas[Deemed kW Savings], MATCH(Table_Controls_Input[[#This Row],[Measure number]], Table_Prescript_Meas[Measure Number], 0)),"" )</f>
        <v/>
      </c>
      <c r="N12" s="227" t="str">
        <f t="shared" si="2"/>
        <v/>
      </c>
      <c r="O12" s="227" t="str">
        <f>IF(Table_Controls_Input[[#This Row],[Measure number]]="", "", Table_Controls_Input[[#This Row],[Total equipment cost]]+Table_Controls_Input[[#This Row],[Total labor cost]])</f>
        <v/>
      </c>
      <c r="P12" s="227" t="str">
        <f>IFERROR(Table_Controls_Input[[#This Row],[Gross measure cost]]-Table_Controls_Input[[#This Row],[Estimated incentive]], "")</f>
        <v/>
      </c>
      <c r="Q12" s="228" t="str">
        <f t="shared" si="1"/>
        <v/>
      </c>
      <c r="R12" s="222"/>
      <c r="S12" s="222"/>
      <c r="T12" s="222"/>
      <c r="U12" s="222"/>
      <c r="V12" s="222"/>
      <c r="W12" s="222"/>
      <c r="X12" s="222"/>
      <c r="Y12" s="222"/>
      <c r="Z12" s="222"/>
      <c r="AA12" s="222"/>
      <c r="AB12" s="222"/>
      <c r="AC12" s="222"/>
      <c r="AD12" s="222"/>
      <c r="AE12" s="222"/>
      <c r="AF12" s="222"/>
      <c r="AG12" s="222"/>
      <c r="AH12" s="222"/>
      <c r="AI12" s="222"/>
      <c r="AJ12" s="222"/>
      <c r="AK12" s="222"/>
      <c r="AL12" s="222"/>
      <c r="AM12" s="222"/>
    </row>
    <row r="13" spans="1:39">
      <c r="A13" s="222"/>
      <c r="B13" s="223">
        <v>9</v>
      </c>
      <c r="C13" s="192" t="str">
        <f>IFERROR(INDEX(Table_Prescript_Meas[Measure Number], MATCH(E13, Table_Prescript_Meas[Measure Description], 0)), "")</f>
        <v/>
      </c>
      <c r="D13" s="224"/>
      <c r="E13" s="215"/>
      <c r="F13" s="192" t="str">
        <f>IFERROR(INDEX(Table_Prescript_Meas[Units], MATCH(Table_Controls_Input[[#This Row],[Measure number]], Table_Prescript_Meas[Measure Number], 0)), "")</f>
        <v/>
      </c>
      <c r="G13" s="191"/>
      <c r="H13" s="226"/>
      <c r="I13" s="226"/>
      <c r="J13"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3" s="227" t="str">
        <f>IFERROR(Table_Controls_Input[[#This Row],[Number of units]]*Table_Controls_Input[[#This Row],[Per-unit incentive]], "")</f>
        <v/>
      </c>
      <c r="L13" s="228" t="str">
        <f>IFERROR(Table_Controls_Input[[#This Row],[Number of units]]*INDEX(Table_Prescript_Meas[Deemed kWh Savings], MATCH(Table_Controls_Input[[#This Row],[Measure number]], Table_Prescript_Meas[Measure Number], 0)),"" )</f>
        <v/>
      </c>
      <c r="M13" s="229" t="str">
        <f>IFERROR(Table_Controls_Input[[#This Row],[Number of units]]*INDEX(Table_Prescript_Meas[Deemed kW Savings], MATCH(Table_Controls_Input[[#This Row],[Measure number]], Table_Prescript_Meas[Measure Number], 0)),"" )</f>
        <v/>
      </c>
      <c r="N13" s="227" t="str">
        <f t="shared" si="2"/>
        <v/>
      </c>
      <c r="O13" s="227" t="str">
        <f>IF(Table_Controls_Input[[#This Row],[Measure number]]="", "", Table_Controls_Input[[#This Row],[Total equipment cost]]+Table_Controls_Input[[#This Row],[Total labor cost]])</f>
        <v/>
      </c>
      <c r="P13" s="227" t="str">
        <f>IFERROR(Table_Controls_Input[[#This Row],[Gross measure cost]]-Table_Controls_Input[[#This Row],[Estimated incentive]], "")</f>
        <v/>
      </c>
      <c r="Q13" s="228" t="str">
        <f t="shared" si="1"/>
        <v/>
      </c>
      <c r="R13" s="222"/>
      <c r="S13" s="222"/>
      <c r="T13" s="222"/>
      <c r="U13" s="222"/>
      <c r="V13" s="222"/>
      <c r="W13" s="222"/>
      <c r="X13" s="222"/>
      <c r="Y13" s="222"/>
      <c r="Z13" s="222"/>
      <c r="AA13" s="222"/>
      <c r="AB13" s="222"/>
      <c r="AC13" s="222"/>
      <c r="AD13" s="222"/>
      <c r="AE13" s="222"/>
      <c r="AF13" s="222"/>
      <c r="AG13" s="222"/>
      <c r="AH13" s="222"/>
      <c r="AI13" s="222"/>
      <c r="AJ13" s="222"/>
      <c r="AK13" s="222"/>
      <c r="AL13" s="222"/>
      <c r="AM13" s="222"/>
    </row>
    <row r="14" spans="1:39">
      <c r="A14" s="222"/>
      <c r="B14" s="223">
        <v>10</v>
      </c>
      <c r="C14" s="192" t="str">
        <f>IFERROR(INDEX(Table_Prescript_Meas[Measure Number], MATCH(E14, Table_Prescript_Meas[Measure Description], 0)), "")</f>
        <v/>
      </c>
      <c r="D14" s="224"/>
      <c r="E14" s="215"/>
      <c r="F14" s="192" t="str">
        <f>IFERROR(INDEX(Table_Prescript_Meas[Units], MATCH(Table_Controls_Input[[#This Row],[Measure number]], Table_Prescript_Meas[Measure Number], 0)), "")</f>
        <v/>
      </c>
      <c r="G14" s="191"/>
      <c r="H14" s="226"/>
      <c r="I14" s="226"/>
      <c r="J14"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4" s="227" t="str">
        <f>IFERROR(Table_Controls_Input[[#This Row],[Number of units]]*Table_Controls_Input[[#This Row],[Per-unit incentive]], "")</f>
        <v/>
      </c>
      <c r="L14" s="228" t="str">
        <f>IFERROR(Table_Controls_Input[[#This Row],[Number of units]]*INDEX(Table_Prescript_Meas[Deemed kWh Savings], MATCH(Table_Controls_Input[[#This Row],[Measure number]], Table_Prescript_Meas[Measure Number], 0)),"" )</f>
        <v/>
      </c>
      <c r="M14" s="229" t="str">
        <f>IFERROR(Table_Controls_Input[[#This Row],[Number of units]]*INDEX(Table_Prescript_Meas[Deemed kW Savings], MATCH(Table_Controls_Input[[#This Row],[Measure number]], Table_Prescript_Meas[Measure Number], 0)),"" )</f>
        <v/>
      </c>
      <c r="N14" s="227" t="str">
        <f t="shared" si="2"/>
        <v/>
      </c>
      <c r="O14" s="227" t="str">
        <f>IF(Table_Controls_Input[[#This Row],[Measure number]]="", "", Table_Controls_Input[[#This Row],[Total equipment cost]]+Table_Controls_Input[[#This Row],[Total labor cost]])</f>
        <v/>
      </c>
      <c r="P14" s="227" t="str">
        <f>IFERROR(Table_Controls_Input[[#This Row],[Gross measure cost]]-Table_Controls_Input[[#This Row],[Estimated incentive]], "")</f>
        <v/>
      </c>
      <c r="Q14" s="228" t="str">
        <f t="shared" si="1"/>
        <v/>
      </c>
      <c r="R14" s="222"/>
      <c r="S14" s="222"/>
      <c r="T14" s="222"/>
      <c r="U14" s="222"/>
      <c r="V14" s="222"/>
      <c r="W14" s="222"/>
      <c r="X14" s="222"/>
      <c r="Y14" s="222"/>
      <c r="Z14" s="222"/>
      <c r="AA14" s="222"/>
      <c r="AB14" s="222"/>
      <c r="AC14" s="222"/>
      <c r="AD14" s="222"/>
      <c r="AE14" s="222"/>
      <c r="AF14" s="222"/>
      <c r="AG14" s="222"/>
      <c r="AH14" s="222"/>
      <c r="AI14" s="222"/>
      <c r="AJ14" s="222"/>
      <c r="AK14" s="222"/>
      <c r="AL14" s="222"/>
      <c r="AM14" s="222"/>
    </row>
    <row r="15" spans="1:39">
      <c r="A15" s="222"/>
      <c r="B15" s="223">
        <v>11</v>
      </c>
      <c r="C15" s="192" t="str">
        <f>IFERROR(INDEX(Table_Prescript_Meas[Measure Number], MATCH(E15, Table_Prescript_Meas[Measure Description], 0)), "")</f>
        <v/>
      </c>
      <c r="D15" s="224"/>
      <c r="E15" s="215"/>
      <c r="F15" s="192" t="str">
        <f>IFERROR(INDEX(Table_Prescript_Meas[Units], MATCH(Table_Controls_Input[[#This Row],[Measure number]], Table_Prescript_Meas[Measure Number], 0)), "")</f>
        <v/>
      </c>
      <c r="G15" s="191"/>
      <c r="H15" s="226"/>
      <c r="I15" s="226"/>
      <c r="J15"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5" s="227" t="str">
        <f>IFERROR(Table_Controls_Input[[#This Row],[Number of units]]*Table_Controls_Input[[#This Row],[Per-unit incentive]], "")</f>
        <v/>
      </c>
      <c r="L15" s="228" t="str">
        <f>IFERROR(Table_Controls_Input[[#This Row],[Number of units]]*INDEX(Table_Prescript_Meas[Deemed kWh Savings], MATCH(Table_Controls_Input[[#This Row],[Measure number]], Table_Prescript_Meas[Measure Number], 0)),"" )</f>
        <v/>
      </c>
      <c r="M15" s="229" t="str">
        <f>IFERROR(Table_Controls_Input[[#This Row],[Number of units]]*INDEX(Table_Prescript_Meas[Deemed kW Savings], MATCH(Table_Controls_Input[[#This Row],[Measure number]], Table_Prescript_Meas[Measure Number], 0)),"" )</f>
        <v/>
      </c>
      <c r="N15" s="227" t="str">
        <f t="shared" si="2"/>
        <v/>
      </c>
      <c r="O15" s="227" t="str">
        <f>IF(Table_Controls_Input[[#This Row],[Measure number]]="", "", Table_Controls_Input[[#This Row],[Total equipment cost]]+Table_Controls_Input[[#This Row],[Total labor cost]])</f>
        <v/>
      </c>
      <c r="P15" s="227" t="str">
        <f>IFERROR(Table_Controls_Input[[#This Row],[Gross measure cost]]-Table_Controls_Input[[#This Row],[Estimated incentive]], "")</f>
        <v/>
      </c>
      <c r="Q15" s="228" t="str">
        <f t="shared" si="1"/>
        <v/>
      </c>
      <c r="R15" s="222"/>
      <c r="S15" s="222"/>
      <c r="T15" s="222"/>
      <c r="U15" s="222"/>
      <c r="V15" s="222"/>
      <c r="W15" s="222"/>
      <c r="X15" s="222"/>
      <c r="Y15" s="222"/>
      <c r="Z15" s="222"/>
      <c r="AA15" s="222"/>
      <c r="AB15" s="222"/>
      <c r="AC15" s="222"/>
      <c r="AD15" s="222"/>
      <c r="AE15" s="222"/>
      <c r="AF15" s="222"/>
      <c r="AG15" s="222"/>
      <c r="AH15" s="222"/>
      <c r="AI15" s="222"/>
      <c r="AJ15" s="222"/>
      <c r="AK15" s="222"/>
      <c r="AL15" s="222"/>
      <c r="AM15" s="222"/>
    </row>
    <row r="16" spans="1:39">
      <c r="A16" s="222"/>
      <c r="B16" s="223">
        <v>12</v>
      </c>
      <c r="C16" s="192" t="str">
        <f>IFERROR(INDEX(Table_Prescript_Meas[Measure Number], MATCH(E16, Table_Prescript_Meas[Measure Description], 0)), "")</f>
        <v/>
      </c>
      <c r="D16" s="224"/>
      <c r="E16" s="215"/>
      <c r="F16" s="192" t="str">
        <f>IFERROR(INDEX(Table_Prescript_Meas[Units], MATCH(Table_Controls_Input[[#This Row],[Measure number]], Table_Prescript_Meas[Measure Number], 0)), "")</f>
        <v/>
      </c>
      <c r="G16" s="191"/>
      <c r="H16" s="226"/>
      <c r="I16" s="226"/>
      <c r="J16"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6" s="227" t="str">
        <f>IFERROR(Table_Controls_Input[[#This Row],[Number of units]]*Table_Controls_Input[[#This Row],[Per-unit incentive]], "")</f>
        <v/>
      </c>
      <c r="L16" s="228" t="str">
        <f>IFERROR(Table_Controls_Input[[#This Row],[Number of units]]*INDEX(Table_Prescript_Meas[Deemed kWh Savings], MATCH(Table_Controls_Input[[#This Row],[Measure number]], Table_Prescript_Meas[Measure Number], 0)),"" )</f>
        <v/>
      </c>
      <c r="M16" s="229" t="str">
        <f>IFERROR(Table_Controls_Input[[#This Row],[Number of units]]*INDEX(Table_Prescript_Meas[Deemed kW Savings], MATCH(Table_Controls_Input[[#This Row],[Measure number]], Table_Prescript_Meas[Measure Number], 0)),"" )</f>
        <v/>
      </c>
      <c r="N16" s="227" t="str">
        <f t="shared" si="2"/>
        <v/>
      </c>
      <c r="O16" s="227" t="str">
        <f>IF(Table_Controls_Input[[#This Row],[Measure number]]="", "", Table_Controls_Input[[#This Row],[Total equipment cost]]+Table_Controls_Input[[#This Row],[Total labor cost]])</f>
        <v/>
      </c>
      <c r="P16" s="227" t="str">
        <f>IFERROR(Table_Controls_Input[[#This Row],[Gross measure cost]]-Table_Controls_Input[[#This Row],[Estimated incentive]], "")</f>
        <v/>
      </c>
      <c r="Q16" s="228" t="str">
        <f t="shared" si="1"/>
        <v/>
      </c>
      <c r="R16" s="222"/>
      <c r="S16" s="222"/>
      <c r="T16" s="222"/>
      <c r="U16" s="222"/>
      <c r="V16" s="222"/>
      <c r="W16" s="222"/>
      <c r="X16" s="222"/>
      <c r="Y16" s="222"/>
      <c r="Z16" s="222"/>
      <c r="AA16" s="222"/>
      <c r="AB16" s="222"/>
      <c r="AC16" s="222"/>
      <c r="AD16" s="222"/>
      <c r="AE16" s="222"/>
      <c r="AF16" s="222"/>
      <c r="AG16" s="222"/>
      <c r="AH16" s="222"/>
      <c r="AI16" s="222"/>
      <c r="AJ16" s="222"/>
      <c r="AK16" s="222"/>
      <c r="AL16" s="222"/>
      <c r="AM16" s="222"/>
    </row>
    <row r="17" spans="1:39">
      <c r="A17" s="222"/>
      <c r="B17" s="223">
        <v>13</v>
      </c>
      <c r="C17" s="192" t="str">
        <f>IFERROR(INDEX(Table_Prescript_Meas[Measure Number], MATCH(E17, Table_Prescript_Meas[Measure Description], 0)), "")</f>
        <v/>
      </c>
      <c r="D17" s="224"/>
      <c r="E17" s="215"/>
      <c r="F17" s="192" t="str">
        <f>IFERROR(INDEX(Table_Prescript_Meas[Units], MATCH(Table_Controls_Input[[#This Row],[Measure number]], Table_Prescript_Meas[Measure Number], 0)), "")</f>
        <v/>
      </c>
      <c r="G17" s="191"/>
      <c r="H17" s="226"/>
      <c r="I17" s="226"/>
      <c r="J17"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7" s="227" t="str">
        <f>IFERROR(Table_Controls_Input[[#This Row],[Number of units]]*Table_Controls_Input[[#This Row],[Per-unit incentive]], "")</f>
        <v/>
      </c>
      <c r="L17" s="228" t="str">
        <f>IFERROR(Table_Controls_Input[[#This Row],[Number of units]]*INDEX(Table_Prescript_Meas[Deemed kWh Savings], MATCH(Table_Controls_Input[[#This Row],[Measure number]], Table_Prescript_Meas[Measure Number], 0)),"" )</f>
        <v/>
      </c>
      <c r="M17" s="229" t="str">
        <f>IFERROR(Table_Controls_Input[[#This Row],[Number of units]]*INDEX(Table_Prescript_Meas[Deemed kW Savings], MATCH(Table_Controls_Input[[#This Row],[Measure number]], Table_Prescript_Meas[Measure Number], 0)),"" )</f>
        <v/>
      </c>
      <c r="N17" s="227" t="str">
        <f t="shared" si="2"/>
        <v/>
      </c>
      <c r="O17" s="227" t="str">
        <f>IF(Table_Controls_Input[[#This Row],[Measure number]]="", "", Table_Controls_Input[[#This Row],[Total equipment cost]]+Table_Controls_Input[[#This Row],[Total labor cost]])</f>
        <v/>
      </c>
      <c r="P17" s="227" t="str">
        <f>IFERROR(Table_Controls_Input[[#This Row],[Gross measure cost]]-Table_Controls_Input[[#This Row],[Estimated incentive]], "")</f>
        <v/>
      </c>
      <c r="Q17" s="228" t="str">
        <f t="shared" si="1"/>
        <v/>
      </c>
      <c r="R17" s="222"/>
      <c r="S17" s="222"/>
      <c r="T17" s="222"/>
      <c r="U17" s="222"/>
      <c r="V17" s="222"/>
      <c r="W17" s="222"/>
      <c r="X17" s="222"/>
      <c r="Y17" s="222"/>
      <c r="Z17" s="222"/>
      <c r="AA17" s="222"/>
      <c r="AB17" s="222"/>
      <c r="AC17" s="222"/>
      <c r="AD17" s="222"/>
      <c r="AE17" s="222"/>
      <c r="AF17" s="222"/>
      <c r="AG17" s="222"/>
      <c r="AH17" s="222"/>
      <c r="AI17" s="222"/>
      <c r="AJ17" s="222"/>
      <c r="AK17" s="222"/>
      <c r="AL17" s="222"/>
      <c r="AM17" s="222"/>
    </row>
    <row r="18" spans="1:39">
      <c r="A18" s="222"/>
      <c r="B18" s="223">
        <v>14</v>
      </c>
      <c r="C18" s="192" t="str">
        <f>IFERROR(INDEX(Table_Prescript_Meas[Measure Number], MATCH(E18, Table_Prescript_Meas[Measure Description], 0)), "")</f>
        <v/>
      </c>
      <c r="D18" s="224"/>
      <c r="E18" s="215"/>
      <c r="F18" s="192" t="str">
        <f>IFERROR(INDEX(Table_Prescript_Meas[Units], MATCH(Table_Controls_Input[[#This Row],[Measure number]], Table_Prescript_Meas[Measure Number], 0)), "")</f>
        <v/>
      </c>
      <c r="G18" s="191"/>
      <c r="H18" s="226"/>
      <c r="I18" s="226"/>
      <c r="J18"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8" s="227" t="str">
        <f>IFERROR(Table_Controls_Input[[#This Row],[Number of units]]*Table_Controls_Input[[#This Row],[Per-unit incentive]], "")</f>
        <v/>
      </c>
      <c r="L18" s="228" t="str">
        <f>IFERROR(Table_Controls_Input[[#This Row],[Number of units]]*INDEX(Table_Prescript_Meas[Deemed kWh Savings], MATCH(Table_Controls_Input[[#This Row],[Measure number]], Table_Prescript_Meas[Measure Number], 0)),"" )</f>
        <v/>
      </c>
      <c r="M18" s="229" t="str">
        <f>IFERROR(Table_Controls_Input[[#This Row],[Number of units]]*INDEX(Table_Prescript_Meas[Deemed kW Savings], MATCH(Table_Controls_Input[[#This Row],[Measure number]], Table_Prescript_Meas[Measure Number], 0)),"" )</f>
        <v/>
      </c>
      <c r="N18" s="227" t="str">
        <f t="shared" si="2"/>
        <v/>
      </c>
      <c r="O18" s="227" t="str">
        <f>IF(Table_Controls_Input[[#This Row],[Measure number]]="", "", Table_Controls_Input[[#This Row],[Total equipment cost]]+Table_Controls_Input[[#This Row],[Total labor cost]])</f>
        <v/>
      </c>
      <c r="P18" s="227" t="str">
        <f>IFERROR(Table_Controls_Input[[#This Row],[Gross measure cost]]-Table_Controls_Input[[#This Row],[Estimated incentive]], "")</f>
        <v/>
      </c>
      <c r="Q18" s="228" t="str">
        <f t="shared" si="1"/>
        <v/>
      </c>
      <c r="R18" s="222"/>
      <c r="S18" s="222"/>
      <c r="T18" s="222"/>
      <c r="U18" s="222"/>
      <c r="V18" s="222"/>
      <c r="W18" s="222"/>
      <c r="X18" s="222"/>
      <c r="Y18" s="222"/>
      <c r="Z18" s="222"/>
      <c r="AA18" s="222"/>
      <c r="AB18" s="222"/>
      <c r="AC18" s="222"/>
      <c r="AD18" s="222"/>
      <c r="AE18" s="222"/>
      <c r="AF18" s="222"/>
      <c r="AG18" s="222"/>
      <c r="AH18" s="222"/>
      <c r="AI18" s="222"/>
      <c r="AJ18" s="222"/>
      <c r="AK18" s="222"/>
      <c r="AL18" s="222"/>
      <c r="AM18" s="222"/>
    </row>
    <row r="19" spans="1:39">
      <c r="A19" s="222"/>
      <c r="B19" s="223">
        <v>15</v>
      </c>
      <c r="C19" s="192" t="str">
        <f>IFERROR(INDEX(Table_Prescript_Meas[Measure Number], MATCH(E19, Table_Prescript_Meas[Measure Description], 0)), "")</f>
        <v/>
      </c>
      <c r="D19" s="224"/>
      <c r="E19" s="215"/>
      <c r="F19" s="192" t="str">
        <f>IFERROR(INDEX(Table_Prescript_Meas[Units], MATCH(Table_Controls_Input[[#This Row],[Measure number]], Table_Prescript_Meas[Measure Number], 0)), "")</f>
        <v/>
      </c>
      <c r="G19" s="191"/>
      <c r="H19" s="226"/>
      <c r="I19" s="226"/>
      <c r="J19"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9" s="227" t="str">
        <f>IFERROR(Table_Controls_Input[[#This Row],[Number of units]]*Table_Controls_Input[[#This Row],[Per-unit incentive]], "")</f>
        <v/>
      </c>
      <c r="L19" s="228" t="str">
        <f>IFERROR(Table_Controls_Input[[#This Row],[Number of units]]*INDEX(Table_Prescript_Meas[Deemed kWh Savings], MATCH(Table_Controls_Input[[#This Row],[Measure number]], Table_Prescript_Meas[Measure Number], 0)),"" )</f>
        <v/>
      </c>
      <c r="M19" s="229" t="str">
        <f>IFERROR(Table_Controls_Input[[#This Row],[Number of units]]*INDEX(Table_Prescript_Meas[Deemed kW Savings], MATCH(Table_Controls_Input[[#This Row],[Measure number]], Table_Prescript_Meas[Measure Number], 0)),"" )</f>
        <v/>
      </c>
      <c r="N19" s="227" t="str">
        <f t="shared" si="2"/>
        <v/>
      </c>
      <c r="O19" s="227" t="str">
        <f>IF(Table_Controls_Input[[#This Row],[Measure number]]="", "", Table_Controls_Input[[#This Row],[Total equipment cost]]+Table_Controls_Input[[#This Row],[Total labor cost]])</f>
        <v/>
      </c>
      <c r="P19" s="227" t="str">
        <f>IFERROR(Table_Controls_Input[[#This Row],[Gross measure cost]]-Table_Controls_Input[[#This Row],[Estimated incentive]], "")</f>
        <v/>
      </c>
      <c r="Q19" s="228" t="str">
        <f t="shared" si="1"/>
        <v/>
      </c>
      <c r="R19" s="222"/>
      <c r="S19" s="222"/>
      <c r="T19" s="222"/>
      <c r="U19" s="222"/>
      <c r="V19" s="222"/>
      <c r="W19" s="222"/>
      <c r="X19" s="222"/>
      <c r="Y19" s="222"/>
      <c r="Z19" s="222"/>
      <c r="AA19" s="222"/>
      <c r="AB19" s="222"/>
      <c r="AC19" s="222"/>
      <c r="AD19" s="222"/>
      <c r="AE19" s="222"/>
      <c r="AF19" s="222"/>
      <c r="AG19" s="222"/>
      <c r="AH19" s="222"/>
      <c r="AI19" s="222"/>
      <c r="AJ19" s="222"/>
      <c r="AK19" s="222"/>
      <c r="AL19" s="222"/>
      <c r="AM19" s="222"/>
    </row>
    <row r="20" spans="1:39">
      <c r="A20" s="222"/>
      <c r="B20" s="223">
        <v>16</v>
      </c>
      <c r="C20" s="192" t="str">
        <f>IFERROR(INDEX(Table_Prescript_Meas[Measure Number], MATCH(E20, Table_Prescript_Meas[Measure Description], 0)), "")</f>
        <v/>
      </c>
      <c r="D20" s="224"/>
      <c r="E20" s="215"/>
      <c r="F20" s="192" t="str">
        <f>IFERROR(INDEX(Table_Prescript_Meas[Units], MATCH(Table_Controls_Input[[#This Row],[Measure number]], Table_Prescript_Meas[Measure Number], 0)), "")</f>
        <v/>
      </c>
      <c r="G20" s="191"/>
      <c r="H20" s="226"/>
      <c r="I20" s="226"/>
      <c r="J20"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0" s="227" t="str">
        <f>IFERROR(Table_Controls_Input[[#This Row],[Number of units]]*Table_Controls_Input[[#This Row],[Per-unit incentive]], "")</f>
        <v/>
      </c>
      <c r="L20" s="228" t="str">
        <f>IFERROR(Table_Controls_Input[[#This Row],[Number of units]]*INDEX(Table_Prescript_Meas[Deemed kWh Savings], MATCH(Table_Controls_Input[[#This Row],[Measure number]], Table_Prescript_Meas[Measure Number], 0)),"" )</f>
        <v/>
      </c>
      <c r="M20" s="229" t="str">
        <f>IFERROR(Table_Controls_Input[[#This Row],[Number of units]]*INDEX(Table_Prescript_Meas[Deemed kW Savings], MATCH(Table_Controls_Input[[#This Row],[Measure number]], Table_Prescript_Meas[Measure Number], 0)),"" )</f>
        <v/>
      </c>
      <c r="N20" s="227" t="str">
        <f t="shared" si="2"/>
        <v/>
      </c>
      <c r="O20" s="227" t="str">
        <f>IF(Table_Controls_Input[[#This Row],[Measure number]]="", "", Table_Controls_Input[[#This Row],[Total equipment cost]]+Table_Controls_Input[[#This Row],[Total labor cost]])</f>
        <v/>
      </c>
      <c r="P20" s="227" t="str">
        <f>IFERROR(Table_Controls_Input[[#This Row],[Gross measure cost]]-Table_Controls_Input[[#This Row],[Estimated incentive]], "")</f>
        <v/>
      </c>
      <c r="Q20" s="228" t="str">
        <f t="shared" si="1"/>
        <v/>
      </c>
      <c r="R20" s="222"/>
      <c r="S20" s="222"/>
      <c r="T20" s="222"/>
      <c r="U20" s="222"/>
      <c r="V20" s="222"/>
      <c r="W20" s="222"/>
      <c r="X20" s="222"/>
      <c r="Y20" s="222"/>
      <c r="Z20" s="222"/>
      <c r="AA20" s="222"/>
      <c r="AB20" s="222"/>
      <c r="AC20" s="222"/>
      <c r="AD20" s="222"/>
      <c r="AE20" s="222"/>
      <c r="AF20" s="222"/>
      <c r="AG20" s="222"/>
      <c r="AH20" s="222"/>
      <c r="AI20" s="222"/>
      <c r="AJ20" s="222"/>
      <c r="AK20" s="222"/>
      <c r="AL20" s="222"/>
      <c r="AM20" s="222"/>
    </row>
    <row r="21" spans="1:39">
      <c r="A21" s="222"/>
      <c r="B21" s="223">
        <v>17</v>
      </c>
      <c r="C21" s="192" t="str">
        <f>IFERROR(INDEX(Table_Prescript_Meas[Measure Number], MATCH(E21, Table_Prescript_Meas[Measure Description], 0)), "")</f>
        <v/>
      </c>
      <c r="D21" s="224"/>
      <c r="E21" s="215"/>
      <c r="F21" s="192" t="str">
        <f>IFERROR(INDEX(Table_Prescript_Meas[Units], MATCH(Table_Controls_Input[[#This Row],[Measure number]], Table_Prescript_Meas[Measure Number], 0)), "")</f>
        <v/>
      </c>
      <c r="G21" s="191"/>
      <c r="H21" s="226"/>
      <c r="I21" s="226"/>
      <c r="J21"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1" s="227" t="str">
        <f>IFERROR(Table_Controls_Input[[#This Row],[Number of units]]*Table_Controls_Input[[#This Row],[Per-unit incentive]], "")</f>
        <v/>
      </c>
      <c r="L21" s="228" t="str">
        <f>IFERROR(Table_Controls_Input[[#This Row],[Number of units]]*INDEX(Table_Prescript_Meas[Deemed kWh Savings], MATCH(Table_Controls_Input[[#This Row],[Measure number]], Table_Prescript_Meas[Measure Number], 0)),"" )</f>
        <v/>
      </c>
      <c r="M21" s="229" t="str">
        <f>IFERROR(Table_Controls_Input[[#This Row],[Number of units]]*INDEX(Table_Prescript_Meas[Deemed kW Savings], MATCH(Table_Controls_Input[[#This Row],[Measure number]], Table_Prescript_Meas[Measure Number], 0)),"" )</f>
        <v/>
      </c>
      <c r="N21" s="227" t="str">
        <f t="shared" si="2"/>
        <v/>
      </c>
      <c r="O21" s="227" t="str">
        <f>IF(Table_Controls_Input[[#This Row],[Measure number]]="", "", Table_Controls_Input[[#This Row],[Total equipment cost]]+Table_Controls_Input[[#This Row],[Total labor cost]])</f>
        <v/>
      </c>
      <c r="P21" s="227" t="str">
        <f>IFERROR(Table_Controls_Input[[#This Row],[Gross measure cost]]-Table_Controls_Input[[#This Row],[Estimated incentive]], "")</f>
        <v/>
      </c>
      <c r="Q21" s="228" t="str">
        <f t="shared" si="1"/>
        <v/>
      </c>
      <c r="R21" s="222"/>
      <c r="S21" s="222"/>
      <c r="T21" s="222"/>
      <c r="U21" s="222"/>
      <c r="V21" s="222"/>
      <c r="W21" s="222"/>
      <c r="X21" s="222"/>
      <c r="Y21" s="222"/>
      <c r="Z21" s="222"/>
      <c r="AA21" s="222"/>
      <c r="AB21" s="222"/>
      <c r="AC21" s="222"/>
      <c r="AD21" s="222"/>
      <c r="AE21" s="222"/>
      <c r="AF21" s="222"/>
      <c r="AG21" s="222"/>
      <c r="AH21" s="222"/>
      <c r="AI21" s="222"/>
      <c r="AJ21" s="222"/>
      <c r="AK21" s="222"/>
      <c r="AL21" s="222"/>
      <c r="AM21" s="222"/>
    </row>
    <row r="22" spans="1:39">
      <c r="A22" s="222"/>
      <c r="B22" s="223">
        <v>18</v>
      </c>
      <c r="C22" s="192" t="str">
        <f>IFERROR(INDEX(Table_Prescript_Meas[Measure Number], MATCH(E22, Table_Prescript_Meas[Measure Description], 0)), "")</f>
        <v/>
      </c>
      <c r="D22" s="224"/>
      <c r="E22" s="215"/>
      <c r="F22" s="192" t="str">
        <f>IFERROR(INDEX(Table_Prescript_Meas[Units], MATCH(Table_Controls_Input[[#This Row],[Measure number]], Table_Prescript_Meas[Measure Number], 0)), "")</f>
        <v/>
      </c>
      <c r="G22" s="191"/>
      <c r="H22" s="226"/>
      <c r="I22" s="226"/>
      <c r="J22"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2" s="227" t="str">
        <f>IFERROR(Table_Controls_Input[[#This Row],[Number of units]]*Table_Controls_Input[[#This Row],[Per-unit incentive]], "")</f>
        <v/>
      </c>
      <c r="L22" s="228" t="str">
        <f>IFERROR(Table_Controls_Input[[#This Row],[Number of units]]*INDEX(Table_Prescript_Meas[Deemed kWh Savings], MATCH(Table_Controls_Input[[#This Row],[Measure number]], Table_Prescript_Meas[Measure Number], 0)),"" )</f>
        <v/>
      </c>
      <c r="M22" s="229" t="str">
        <f>IFERROR(Table_Controls_Input[[#This Row],[Number of units]]*INDEX(Table_Prescript_Meas[Deemed kW Savings], MATCH(Table_Controls_Input[[#This Row],[Measure number]], Table_Prescript_Meas[Measure Number], 0)),"" )</f>
        <v/>
      </c>
      <c r="N22" s="227" t="str">
        <f t="shared" si="2"/>
        <v/>
      </c>
      <c r="O22" s="227" t="str">
        <f>IF(Table_Controls_Input[[#This Row],[Measure number]]="", "", Table_Controls_Input[[#This Row],[Total equipment cost]]+Table_Controls_Input[[#This Row],[Total labor cost]])</f>
        <v/>
      </c>
      <c r="P22" s="227" t="str">
        <f>IFERROR(Table_Controls_Input[[#This Row],[Gross measure cost]]-Table_Controls_Input[[#This Row],[Estimated incentive]], "")</f>
        <v/>
      </c>
      <c r="Q22" s="228" t="str">
        <f t="shared" si="1"/>
        <v/>
      </c>
      <c r="R22" s="222"/>
      <c r="S22" s="222"/>
      <c r="T22" s="222"/>
      <c r="U22" s="222"/>
      <c r="V22" s="222"/>
      <c r="W22" s="222"/>
      <c r="X22" s="222"/>
      <c r="Y22" s="222"/>
      <c r="Z22" s="222"/>
      <c r="AA22" s="222"/>
      <c r="AB22" s="222"/>
      <c r="AC22" s="222"/>
      <c r="AD22" s="222"/>
      <c r="AE22" s="222"/>
      <c r="AF22" s="222"/>
      <c r="AG22" s="222"/>
      <c r="AH22" s="222"/>
      <c r="AI22" s="222"/>
      <c r="AJ22" s="222"/>
      <c r="AK22" s="222"/>
      <c r="AL22" s="222"/>
      <c r="AM22" s="222"/>
    </row>
    <row r="23" spans="1:39">
      <c r="A23" s="222"/>
      <c r="B23" s="223">
        <v>19</v>
      </c>
      <c r="C23" s="192" t="str">
        <f>IFERROR(INDEX(Table_Prescript_Meas[Measure Number], MATCH(E23, Table_Prescript_Meas[Measure Description], 0)), "")</f>
        <v/>
      </c>
      <c r="D23" s="224"/>
      <c r="E23" s="215"/>
      <c r="F23" s="192" t="str">
        <f>IFERROR(INDEX(Table_Prescript_Meas[Units], MATCH(Table_Controls_Input[[#This Row],[Measure number]], Table_Prescript_Meas[Measure Number], 0)), "")</f>
        <v/>
      </c>
      <c r="G23" s="191"/>
      <c r="H23" s="226"/>
      <c r="I23" s="226"/>
      <c r="J23"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3" s="227" t="str">
        <f>IFERROR(Table_Controls_Input[[#This Row],[Number of units]]*Table_Controls_Input[[#This Row],[Per-unit incentive]], "")</f>
        <v/>
      </c>
      <c r="L23" s="228" t="str">
        <f>IFERROR(Table_Controls_Input[[#This Row],[Number of units]]*INDEX(Table_Prescript_Meas[Deemed kWh Savings], MATCH(Table_Controls_Input[[#This Row],[Measure number]], Table_Prescript_Meas[Measure Number], 0)),"" )</f>
        <v/>
      </c>
      <c r="M23" s="229" t="str">
        <f>IFERROR(Table_Controls_Input[[#This Row],[Number of units]]*INDEX(Table_Prescript_Meas[Deemed kW Savings], MATCH(Table_Controls_Input[[#This Row],[Measure number]], Table_Prescript_Meas[Measure Number], 0)),"" )</f>
        <v/>
      </c>
      <c r="N23" s="227" t="str">
        <f t="shared" si="2"/>
        <v/>
      </c>
      <c r="O23" s="227" t="str">
        <f>IF(Table_Controls_Input[[#This Row],[Measure number]]="", "", Table_Controls_Input[[#This Row],[Total equipment cost]]+Table_Controls_Input[[#This Row],[Total labor cost]])</f>
        <v/>
      </c>
      <c r="P23" s="227" t="str">
        <f>IFERROR(Table_Controls_Input[[#This Row],[Gross measure cost]]-Table_Controls_Input[[#This Row],[Estimated incentive]], "")</f>
        <v/>
      </c>
      <c r="Q23" s="228" t="str">
        <f t="shared" si="1"/>
        <v/>
      </c>
      <c r="R23" s="222"/>
      <c r="S23" s="222"/>
      <c r="T23" s="222"/>
      <c r="U23" s="222"/>
      <c r="V23" s="222"/>
      <c r="W23" s="222"/>
      <c r="X23" s="222"/>
      <c r="Y23" s="222"/>
      <c r="Z23" s="222"/>
      <c r="AA23" s="222"/>
      <c r="AB23" s="222"/>
      <c r="AC23" s="222"/>
      <c r="AD23" s="222"/>
      <c r="AE23" s="222"/>
      <c r="AF23" s="222"/>
      <c r="AG23" s="222"/>
      <c r="AH23" s="222"/>
      <c r="AI23" s="222"/>
      <c r="AJ23" s="222"/>
      <c r="AK23" s="222"/>
      <c r="AL23" s="222"/>
      <c r="AM23" s="222"/>
    </row>
    <row r="24" spans="1:39">
      <c r="A24" s="222"/>
      <c r="B24" s="223">
        <v>20</v>
      </c>
      <c r="C24" s="192" t="str">
        <f>IFERROR(INDEX(Table_Prescript_Meas[Measure Number], MATCH(E24, Table_Prescript_Meas[Measure Description], 0)), "")</f>
        <v/>
      </c>
      <c r="D24" s="224"/>
      <c r="E24" s="215"/>
      <c r="F24" s="192" t="str">
        <f>IFERROR(INDEX(Table_Prescript_Meas[Units], MATCH(Table_Controls_Input[[#This Row],[Measure number]], Table_Prescript_Meas[Measure Number], 0)), "")</f>
        <v/>
      </c>
      <c r="G24" s="191"/>
      <c r="H24" s="226"/>
      <c r="I24" s="226"/>
      <c r="J24"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4" s="227" t="str">
        <f>IFERROR(Table_Controls_Input[[#This Row],[Number of units]]*Table_Controls_Input[[#This Row],[Per-unit incentive]], "")</f>
        <v/>
      </c>
      <c r="L24" s="228" t="str">
        <f>IFERROR(Table_Controls_Input[[#This Row],[Number of units]]*INDEX(Table_Prescript_Meas[Deemed kWh Savings], MATCH(Table_Controls_Input[[#This Row],[Measure number]], Table_Prescript_Meas[Measure Number], 0)),"" )</f>
        <v/>
      </c>
      <c r="M24" s="229" t="str">
        <f>IFERROR(Table_Controls_Input[[#This Row],[Number of units]]*INDEX(Table_Prescript_Meas[Deemed kW Savings], MATCH(Table_Controls_Input[[#This Row],[Measure number]], Table_Prescript_Meas[Measure Number], 0)),"" )</f>
        <v/>
      </c>
      <c r="N24" s="227" t="str">
        <f t="shared" si="2"/>
        <v/>
      </c>
      <c r="O24" s="227" t="str">
        <f>IF(Table_Controls_Input[[#This Row],[Measure number]]="", "", Table_Controls_Input[[#This Row],[Total equipment cost]]+Table_Controls_Input[[#This Row],[Total labor cost]])</f>
        <v/>
      </c>
      <c r="P24" s="227" t="str">
        <f>IFERROR(Table_Controls_Input[[#This Row],[Gross measure cost]]-Table_Controls_Input[[#This Row],[Estimated incentive]], "")</f>
        <v/>
      </c>
      <c r="Q24" s="228" t="str">
        <f t="shared" si="1"/>
        <v/>
      </c>
      <c r="R24" s="222"/>
      <c r="S24" s="222"/>
      <c r="T24" s="222"/>
      <c r="U24" s="222"/>
      <c r="V24" s="222"/>
      <c r="W24" s="222"/>
      <c r="X24" s="222"/>
      <c r="Y24" s="222"/>
      <c r="Z24" s="222"/>
      <c r="AA24" s="222"/>
      <c r="AB24" s="222"/>
      <c r="AC24" s="222"/>
      <c r="AD24" s="222"/>
      <c r="AE24" s="222"/>
      <c r="AF24" s="222"/>
      <c r="AG24" s="222"/>
      <c r="AH24" s="222"/>
      <c r="AI24" s="222"/>
      <c r="AJ24" s="222"/>
      <c r="AK24" s="222"/>
      <c r="AL24" s="222"/>
      <c r="AM24" s="222"/>
    </row>
    <row r="25" spans="1:39">
      <c r="A25" s="222"/>
      <c r="B25" s="223">
        <v>21</v>
      </c>
      <c r="C25" s="192" t="str">
        <f>IFERROR(INDEX(Table_Prescript_Meas[Measure Number], MATCH(E25, Table_Prescript_Meas[Measure Description], 0)), "")</f>
        <v/>
      </c>
      <c r="D25" s="224"/>
      <c r="E25" s="215"/>
      <c r="F25" s="192" t="str">
        <f>IFERROR(INDEX(Table_Prescript_Meas[Units], MATCH(Table_Controls_Input[[#This Row],[Measure number]], Table_Prescript_Meas[Measure Number], 0)), "")</f>
        <v/>
      </c>
      <c r="G25" s="191"/>
      <c r="H25" s="226"/>
      <c r="I25" s="226"/>
      <c r="J25"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5" s="227" t="str">
        <f>IFERROR(Table_Controls_Input[[#This Row],[Number of units]]*Table_Controls_Input[[#This Row],[Per-unit incentive]], "")</f>
        <v/>
      </c>
      <c r="L25" s="228" t="str">
        <f>IFERROR(Table_Controls_Input[[#This Row],[Number of units]]*INDEX(Table_Prescript_Meas[Deemed kWh Savings], MATCH(Table_Controls_Input[[#This Row],[Measure number]], Table_Prescript_Meas[Measure Number], 0)),"" )</f>
        <v/>
      </c>
      <c r="M25" s="229" t="str">
        <f>IFERROR(Table_Controls_Input[[#This Row],[Number of units]]*INDEX(Table_Prescript_Meas[Deemed kW Savings], MATCH(Table_Controls_Input[[#This Row],[Measure number]], Table_Prescript_Meas[Measure Number], 0)),"" )</f>
        <v/>
      </c>
      <c r="N25" s="227" t="str">
        <f t="shared" si="2"/>
        <v/>
      </c>
      <c r="O25" s="227" t="str">
        <f>IF(Table_Controls_Input[[#This Row],[Measure number]]="", "", Table_Controls_Input[[#This Row],[Total equipment cost]]+Table_Controls_Input[[#This Row],[Total labor cost]])</f>
        <v/>
      </c>
      <c r="P25" s="227" t="str">
        <f>IFERROR(Table_Controls_Input[[#This Row],[Gross measure cost]]-Table_Controls_Input[[#This Row],[Estimated incentive]], "")</f>
        <v/>
      </c>
      <c r="Q25" s="228" t="str">
        <f t="shared" si="1"/>
        <v/>
      </c>
      <c r="R25" s="222"/>
      <c r="S25" s="222"/>
      <c r="T25" s="222"/>
      <c r="U25" s="222"/>
      <c r="V25" s="222"/>
      <c r="W25" s="222"/>
      <c r="X25" s="222"/>
      <c r="Y25" s="222"/>
      <c r="Z25" s="222"/>
      <c r="AA25" s="222"/>
      <c r="AB25" s="222"/>
      <c r="AC25" s="222"/>
      <c r="AD25" s="222"/>
      <c r="AE25" s="222"/>
      <c r="AF25" s="222"/>
      <c r="AG25" s="222"/>
      <c r="AH25" s="222"/>
      <c r="AI25" s="222"/>
      <c r="AJ25" s="222"/>
      <c r="AK25" s="222"/>
      <c r="AL25" s="222"/>
      <c r="AM25" s="222"/>
    </row>
    <row r="26" spans="1:39">
      <c r="A26" s="222"/>
      <c r="B26" s="223">
        <v>22</v>
      </c>
      <c r="C26" s="192" t="str">
        <f>IFERROR(INDEX(Table_Prescript_Meas[Measure Number], MATCH(E26, Table_Prescript_Meas[Measure Description], 0)), "")</f>
        <v/>
      </c>
      <c r="D26" s="224"/>
      <c r="E26" s="215"/>
      <c r="F26" s="192" t="str">
        <f>IFERROR(INDEX(Table_Prescript_Meas[Units], MATCH(Table_Controls_Input[[#This Row],[Measure number]], Table_Prescript_Meas[Measure Number], 0)), "")</f>
        <v/>
      </c>
      <c r="G26" s="191"/>
      <c r="H26" s="226"/>
      <c r="I26" s="226"/>
      <c r="J26"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6" s="227" t="str">
        <f>IFERROR(Table_Controls_Input[[#This Row],[Number of units]]*Table_Controls_Input[[#This Row],[Per-unit incentive]], "")</f>
        <v/>
      </c>
      <c r="L26" s="228" t="str">
        <f>IFERROR(Table_Controls_Input[[#This Row],[Number of units]]*INDEX(Table_Prescript_Meas[Deemed kWh Savings], MATCH(Table_Controls_Input[[#This Row],[Measure number]], Table_Prescript_Meas[Measure Number], 0)),"" )</f>
        <v/>
      </c>
      <c r="M26" s="229" t="str">
        <f>IFERROR(Table_Controls_Input[[#This Row],[Number of units]]*INDEX(Table_Prescript_Meas[Deemed kW Savings], MATCH(Table_Controls_Input[[#This Row],[Measure number]], Table_Prescript_Meas[Measure Number], 0)),"" )</f>
        <v/>
      </c>
      <c r="N26" s="227" t="str">
        <f t="shared" si="2"/>
        <v/>
      </c>
      <c r="O26" s="227" t="str">
        <f>IF(Table_Controls_Input[[#This Row],[Measure number]]="", "", Table_Controls_Input[[#This Row],[Total equipment cost]]+Table_Controls_Input[[#This Row],[Total labor cost]])</f>
        <v/>
      </c>
      <c r="P26" s="227" t="str">
        <f>IFERROR(Table_Controls_Input[[#This Row],[Gross measure cost]]-Table_Controls_Input[[#This Row],[Estimated incentive]], "")</f>
        <v/>
      </c>
      <c r="Q26" s="228" t="str">
        <f t="shared" si="1"/>
        <v/>
      </c>
      <c r="R26" s="222"/>
      <c r="S26" s="222"/>
      <c r="T26" s="222"/>
      <c r="U26" s="222"/>
      <c r="V26" s="222"/>
      <c r="W26" s="222"/>
      <c r="X26" s="222"/>
      <c r="Y26" s="222"/>
      <c r="Z26" s="222"/>
      <c r="AA26" s="222"/>
      <c r="AB26" s="222"/>
      <c r="AC26" s="222"/>
      <c r="AD26" s="222"/>
      <c r="AE26" s="222"/>
      <c r="AF26" s="222"/>
      <c r="AG26" s="222"/>
      <c r="AH26" s="222"/>
      <c r="AI26" s="222"/>
      <c r="AJ26" s="222"/>
      <c r="AK26" s="222"/>
      <c r="AL26" s="222"/>
      <c r="AM26" s="222"/>
    </row>
    <row r="27" spans="1:39">
      <c r="A27" s="222"/>
      <c r="B27" s="223">
        <v>23</v>
      </c>
      <c r="C27" s="192" t="str">
        <f>IFERROR(INDEX(Table_Prescript_Meas[Measure Number], MATCH(E27, Table_Prescript_Meas[Measure Description], 0)), "")</f>
        <v/>
      </c>
      <c r="D27" s="224"/>
      <c r="E27" s="215"/>
      <c r="F27" s="192" t="str">
        <f>IFERROR(INDEX(Table_Prescript_Meas[Units], MATCH(Table_Controls_Input[[#This Row],[Measure number]], Table_Prescript_Meas[Measure Number], 0)), "")</f>
        <v/>
      </c>
      <c r="G27" s="191"/>
      <c r="H27" s="226"/>
      <c r="I27" s="226"/>
      <c r="J27"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7" s="227" t="str">
        <f>IFERROR(Table_Controls_Input[[#This Row],[Number of units]]*Table_Controls_Input[[#This Row],[Per-unit incentive]], "")</f>
        <v/>
      </c>
      <c r="L27" s="228" t="str">
        <f>IFERROR(Table_Controls_Input[[#This Row],[Number of units]]*INDEX(Table_Prescript_Meas[Deemed kWh Savings], MATCH(Table_Controls_Input[[#This Row],[Measure number]], Table_Prescript_Meas[Measure Number], 0)),"" )</f>
        <v/>
      </c>
      <c r="M27" s="229" t="str">
        <f>IFERROR(Table_Controls_Input[[#This Row],[Number of units]]*INDEX(Table_Prescript_Meas[Deemed kW Savings], MATCH(Table_Controls_Input[[#This Row],[Measure number]], Table_Prescript_Meas[Measure Number], 0)),"" )</f>
        <v/>
      </c>
      <c r="N27" s="227" t="str">
        <f t="shared" si="2"/>
        <v/>
      </c>
      <c r="O27" s="227" t="str">
        <f>IF(Table_Controls_Input[[#This Row],[Measure number]]="", "", Table_Controls_Input[[#This Row],[Total equipment cost]]+Table_Controls_Input[[#This Row],[Total labor cost]])</f>
        <v/>
      </c>
      <c r="P27" s="227" t="str">
        <f>IFERROR(Table_Controls_Input[[#This Row],[Gross measure cost]]-Table_Controls_Input[[#This Row],[Estimated incentive]], "")</f>
        <v/>
      </c>
      <c r="Q27" s="228" t="str">
        <f t="shared" si="1"/>
        <v/>
      </c>
      <c r="R27" s="222"/>
      <c r="S27" s="222"/>
      <c r="T27" s="222"/>
      <c r="U27" s="222"/>
      <c r="V27" s="222"/>
      <c r="W27" s="222"/>
      <c r="X27" s="222"/>
      <c r="Y27" s="222"/>
      <c r="Z27" s="222"/>
      <c r="AA27" s="222"/>
      <c r="AB27" s="222"/>
      <c r="AC27" s="222"/>
      <c r="AD27" s="222"/>
      <c r="AE27" s="222"/>
      <c r="AF27" s="222"/>
      <c r="AG27" s="222"/>
      <c r="AH27" s="222"/>
      <c r="AI27" s="222"/>
      <c r="AJ27" s="222"/>
      <c r="AK27" s="222"/>
      <c r="AL27" s="222"/>
      <c r="AM27" s="222"/>
    </row>
    <row r="28" spans="1:39">
      <c r="A28" s="222"/>
      <c r="B28" s="223">
        <v>24</v>
      </c>
      <c r="C28" s="192" t="str">
        <f>IFERROR(INDEX(Table_Prescript_Meas[Measure Number], MATCH(E28, Table_Prescript_Meas[Measure Description], 0)), "")</f>
        <v/>
      </c>
      <c r="D28" s="224"/>
      <c r="E28" s="215"/>
      <c r="F28" s="192" t="str">
        <f>IFERROR(INDEX(Table_Prescript_Meas[Units], MATCH(Table_Controls_Input[[#This Row],[Measure number]], Table_Prescript_Meas[Measure Number], 0)), "")</f>
        <v/>
      </c>
      <c r="G28" s="191"/>
      <c r="H28" s="226"/>
      <c r="I28" s="226"/>
      <c r="J28"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8" s="227" t="str">
        <f>IFERROR(Table_Controls_Input[[#This Row],[Number of units]]*Table_Controls_Input[[#This Row],[Per-unit incentive]], "")</f>
        <v/>
      </c>
      <c r="L28" s="228" t="str">
        <f>IFERROR(Table_Controls_Input[[#This Row],[Number of units]]*INDEX(Table_Prescript_Meas[Deemed kWh Savings], MATCH(Table_Controls_Input[[#This Row],[Measure number]], Table_Prescript_Meas[Measure Number], 0)),"" )</f>
        <v/>
      </c>
      <c r="M28" s="229" t="str">
        <f>IFERROR(Table_Controls_Input[[#This Row],[Number of units]]*INDEX(Table_Prescript_Meas[Deemed kW Savings], MATCH(Table_Controls_Input[[#This Row],[Measure number]], Table_Prescript_Meas[Measure Number], 0)),"" )</f>
        <v/>
      </c>
      <c r="N28" s="227" t="str">
        <f t="shared" si="2"/>
        <v/>
      </c>
      <c r="O28" s="227" t="str">
        <f>IF(Table_Controls_Input[[#This Row],[Measure number]]="", "", Table_Controls_Input[[#This Row],[Total equipment cost]]+Table_Controls_Input[[#This Row],[Total labor cost]])</f>
        <v/>
      </c>
      <c r="P28" s="227" t="str">
        <f>IFERROR(Table_Controls_Input[[#This Row],[Gross measure cost]]-Table_Controls_Input[[#This Row],[Estimated incentive]], "")</f>
        <v/>
      </c>
      <c r="Q28" s="228" t="str">
        <f t="shared" si="1"/>
        <v/>
      </c>
      <c r="R28" s="222"/>
      <c r="S28" s="222"/>
      <c r="T28" s="222"/>
      <c r="U28" s="222"/>
      <c r="V28" s="222"/>
      <c r="W28" s="222"/>
      <c r="X28" s="222"/>
      <c r="Y28" s="222"/>
      <c r="Z28" s="222"/>
      <c r="AA28" s="222"/>
      <c r="AB28" s="222"/>
      <c r="AC28" s="222"/>
      <c r="AD28" s="222"/>
      <c r="AE28" s="222"/>
      <c r="AF28" s="222"/>
      <c r="AG28" s="222"/>
      <c r="AH28" s="222"/>
      <c r="AI28" s="222"/>
      <c r="AJ28" s="222"/>
      <c r="AK28" s="222"/>
      <c r="AL28" s="222"/>
      <c r="AM28" s="222"/>
    </row>
    <row r="29" spans="1:39">
      <c r="A29" s="222"/>
      <c r="B29" s="223">
        <v>25</v>
      </c>
      <c r="C29" s="192" t="str">
        <f>IFERROR(INDEX(Table_Prescript_Meas[Measure Number], MATCH(E29, Table_Prescript_Meas[Measure Description], 0)), "")</f>
        <v/>
      </c>
      <c r="D29" s="224"/>
      <c r="E29" s="215"/>
      <c r="F29" s="192" t="str">
        <f>IFERROR(INDEX(Table_Prescript_Meas[Units], MATCH(Table_Controls_Input[[#This Row],[Measure number]], Table_Prescript_Meas[Measure Number], 0)), "")</f>
        <v/>
      </c>
      <c r="G29" s="191"/>
      <c r="H29" s="226"/>
      <c r="I29" s="226"/>
      <c r="J29"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9" s="227" t="str">
        <f>IFERROR(Table_Controls_Input[[#This Row],[Number of units]]*Table_Controls_Input[[#This Row],[Per-unit incentive]], "")</f>
        <v/>
      </c>
      <c r="L29" s="228" t="str">
        <f>IFERROR(Table_Controls_Input[[#This Row],[Number of units]]*INDEX(Table_Prescript_Meas[Deemed kWh Savings], MATCH(Table_Controls_Input[[#This Row],[Measure number]], Table_Prescript_Meas[Measure Number], 0)),"" )</f>
        <v/>
      </c>
      <c r="M29" s="229" t="str">
        <f>IFERROR(Table_Controls_Input[[#This Row],[Number of units]]*INDEX(Table_Prescript_Meas[Deemed kW Savings], MATCH(Table_Controls_Input[[#This Row],[Measure number]], Table_Prescript_Meas[Measure Number], 0)),"" )</f>
        <v/>
      </c>
      <c r="N29" s="227" t="str">
        <f t="shared" si="2"/>
        <v/>
      </c>
      <c r="O29" s="227" t="str">
        <f>IF(Table_Controls_Input[[#This Row],[Measure number]]="", "", Table_Controls_Input[[#This Row],[Total equipment cost]]+Table_Controls_Input[[#This Row],[Total labor cost]])</f>
        <v/>
      </c>
      <c r="P29" s="227" t="str">
        <f>IFERROR(Table_Controls_Input[[#This Row],[Gross measure cost]]-Table_Controls_Input[[#This Row],[Estimated incentive]], "")</f>
        <v/>
      </c>
      <c r="Q29" s="228" t="str">
        <f t="shared" si="1"/>
        <v/>
      </c>
      <c r="R29" s="222"/>
      <c r="S29" s="222"/>
      <c r="T29" s="222"/>
      <c r="U29" s="222"/>
      <c r="V29" s="222"/>
      <c r="W29" s="222"/>
      <c r="X29" s="222"/>
      <c r="Y29" s="222"/>
      <c r="Z29" s="222"/>
      <c r="AA29" s="222"/>
      <c r="AB29" s="222"/>
      <c r="AC29" s="222"/>
      <c r="AD29" s="222"/>
      <c r="AE29" s="222"/>
      <c r="AF29" s="222"/>
      <c r="AG29" s="222"/>
      <c r="AH29" s="222"/>
      <c r="AI29" s="222"/>
      <c r="AJ29" s="222"/>
      <c r="AK29" s="222"/>
      <c r="AL29" s="222"/>
      <c r="AM29" s="222"/>
    </row>
    <row r="30" spans="1:39">
      <c r="A30" s="222"/>
      <c r="B30" s="223">
        <v>26</v>
      </c>
      <c r="C30" s="192" t="str">
        <f>IFERROR(INDEX(Table_Prescript_Meas[Measure Number], MATCH(E30, Table_Prescript_Meas[Measure Description], 0)), "")</f>
        <v/>
      </c>
      <c r="D30" s="224"/>
      <c r="E30" s="215"/>
      <c r="F30" s="192" t="str">
        <f>IFERROR(INDEX(Table_Prescript_Meas[Units], MATCH(Table_Controls_Input[[#This Row],[Measure number]], Table_Prescript_Meas[Measure Number], 0)), "")</f>
        <v/>
      </c>
      <c r="G30" s="191"/>
      <c r="H30" s="226"/>
      <c r="I30" s="226"/>
      <c r="J30"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0" s="227" t="str">
        <f>IFERROR(Table_Controls_Input[[#This Row],[Number of units]]*Table_Controls_Input[[#This Row],[Per-unit incentive]], "")</f>
        <v/>
      </c>
      <c r="L30" s="228" t="str">
        <f>IFERROR(Table_Controls_Input[[#This Row],[Number of units]]*INDEX(Table_Prescript_Meas[Deemed kWh Savings], MATCH(Table_Controls_Input[[#This Row],[Measure number]], Table_Prescript_Meas[Measure Number], 0)),"" )</f>
        <v/>
      </c>
      <c r="M30" s="229" t="str">
        <f>IFERROR(Table_Controls_Input[[#This Row],[Number of units]]*INDEX(Table_Prescript_Meas[Deemed kW Savings], MATCH(Table_Controls_Input[[#This Row],[Measure number]], Table_Prescript_Meas[Measure Number], 0)),"" )</f>
        <v/>
      </c>
      <c r="N30" s="227" t="str">
        <f t="shared" si="2"/>
        <v/>
      </c>
      <c r="O30" s="227" t="str">
        <f>IF(Table_Controls_Input[[#This Row],[Measure number]]="", "", Table_Controls_Input[[#This Row],[Total equipment cost]]+Table_Controls_Input[[#This Row],[Total labor cost]])</f>
        <v/>
      </c>
      <c r="P30" s="227" t="str">
        <f>IFERROR(Table_Controls_Input[[#This Row],[Gross measure cost]]-Table_Controls_Input[[#This Row],[Estimated incentive]], "")</f>
        <v/>
      </c>
      <c r="Q30" s="228" t="str">
        <f t="shared" si="1"/>
        <v/>
      </c>
      <c r="R30" s="222"/>
      <c r="S30" s="222"/>
      <c r="T30" s="222"/>
      <c r="U30" s="222"/>
      <c r="V30" s="222"/>
      <c r="W30" s="222"/>
      <c r="X30" s="222"/>
      <c r="Y30" s="222"/>
      <c r="Z30" s="222"/>
      <c r="AA30" s="222"/>
      <c r="AB30" s="222"/>
      <c r="AC30" s="222"/>
      <c r="AD30" s="222"/>
      <c r="AE30" s="222"/>
      <c r="AF30" s="222"/>
      <c r="AG30" s="222"/>
      <c r="AH30" s="222"/>
      <c r="AI30" s="222"/>
      <c r="AJ30" s="222"/>
      <c r="AK30" s="222"/>
      <c r="AL30" s="222"/>
      <c r="AM30" s="222"/>
    </row>
    <row r="31" spans="1:39">
      <c r="A31" s="193"/>
      <c r="B31" s="223">
        <v>27</v>
      </c>
      <c r="C31" s="192" t="str">
        <f>IFERROR(INDEX(Table_Prescript_Meas[Measure Number], MATCH(E31, Table_Prescript_Meas[Measure Description], 0)), "")</f>
        <v/>
      </c>
      <c r="D31" s="224"/>
      <c r="E31" s="215"/>
      <c r="F31" s="192" t="str">
        <f>IFERROR(INDEX(Table_Prescript_Meas[Units], MATCH(Table_Controls_Input[[#This Row],[Measure number]], Table_Prescript_Meas[Measure Number], 0)), "")</f>
        <v/>
      </c>
      <c r="G31" s="191"/>
      <c r="H31" s="226"/>
      <c r="I31" s="226"/>
      <c r="J31"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1" s="227" t="str">
        <f>IFERROR(Table_Controls_Input[[#This Row],[Number of units]]*Table_Controls_Input[[#This Row],[Per-unit incentive]], "")</f>
        <v/>
      </c>
      <c r="L31" s="228" t="str">
        <f>IFERROR(Table_Controls_Input[[#This Row],[Number of units]]*INDEX(Table_Prescript_Meas[Deemed kWh Savings], MATCH(Table_Controls_Input[[#This Row],[Measure number]], Table_Prescript_Meas[Measure Number], 0)),"" )</f>
        <v/>
      </c>
      <c r="M31" s="229" t="str">
        <f>IFERROR(Table_Controls_Input[[#This Row],[Number of units]]*INDEX(Table_Prescript_Meas[Deemed kW Savings], MATCH(Table_Controls_Input[[#This Row],[Measure number]], Table_Prescript_Meas[Measure Number], 0)),"" )</f>
        <v/>
      </c>
      <c r="N31" s="227" t="str">
        <f t="shared" si="2"/>
        <v/>
      </c>
      <c r="O31" s="227" t="str">
        <f>IF(Table_Controls_Input[[#This Row],[Measure number]]="", "", Table_Controls_Input[[#This Row],[Total equipment cost]]+Table_Controls_Input[[#This Row],[Total labor cost]])</f>
        <v/>
      </c>
      <c r="P31" s="227" t="str">
        <f>IFERROR(Table_Controls_Input[[#This Row],[Gross measure cost]]-Table_Controls_Input[[#This Row],[Estimated incentive]], "")</f>
        <v/>
      </c>
      <c r="Q31" s="228" t="str">
        <f t="shared" si="1"/>
        <v/>
      </c>
      <c r="R31" s="193"/>
      <c r="S31" s="193"/>
      <c r="T31" s="193"/>
      <c r="U31" s="193"/>
      <c r="V31" s="193"/>
      <c r="W31" s="193"/>
      <c r="X31" s="193"/>
      <c r="Y31" s="193"/>
      <c r="Z31" s="193"/>
      <c r="AA31" s="193"/>
      <c r="AB31" s="193"/>
      <c r="AC31" s="193"/>
      <c r="AD31" s="193"/>
      <c r="AE31" s="193"/>
      <c r="AF31" s="193"/>
      <c r="AG31" s="193"/>
      <c r="AH31" s="193"/>
      <c r="AI31" s="193"/>
      <c r="AJ31" s="193"/>
      <c r="AK31" s="193"/>
      <c r="AL31" s="193"/>
      <c r="AM31" s="193"/>
    </row>
    <row r="32" spans="1:39">
      <c r="A32" s="193"/>
      <c r="B32" s="223">
        <v>28</v>
      </c>
      <c r="C32" s="192" t="str">
        <f>IFERROR(INDEX(Table_Prescript_Meas[Measure Number], MATCH(E32, Table_Prescript_Meas[Measure Description], 0)), "")</f>
        <v/>
      </c>
      <c r="D32" s="224"/>
      <c r="E32" s="215"/>
      <c r="F32" s="192" t="str">
        <f>IFERROR(INDEX(Table_Prescript_Meas[Units], MATCH(Table_Controls_Input[[#This Row],[Measure number]], Table_Prescript_Meas[Measure Number], 0)), "")</f>
        <v/>
      </c>
      <c r="G32" s="191"/>
      <c r="H32" s="226"/>
      <c r="I32" s="226"/>
      <c r="J32"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2" s="227" t="str">
        <f>IFERROR(Table_Controls_Input[[#This Row],[Number of units]]*Table_Controls_Input[[#This Row],[Per-unit incentive]], "")</f>
        <v/>
      </c>
      <c r="L32" s="228" t="str">
        <f>IFERROR(Table_Controls_Input[[#This Row],[Number of units]]*INDEX(Table_Prescript_Meas[Deemed kWh Savings], MATCH(Table_Controls_Input[[#This Row],[Measure number]], Table_Prescript_Meas[Measure Number], 0)),"" )</f>
        <v/>
      </c>
      <c r="M32" s="229" t="str">
        <f>IFERROR(Table_Controls_Input[[#This Row],[Number of units]]*INDEX(Table_Prescript_Meas[Deemed kW Savings], MATCH(Table_Controls_Input[[#This Row],[Measure number]], Table_Prescript_Meas[Measure Number], 0)),"" )</f>
        <v/>
      </c>
      <c r="N32" s="227" t="str">
        <f t="shared" si="2"/>
        <v/>
      </c>
      <c r="O32" s="227" t="str">
        <f>IF(Table_Controls_Input[[#This Row],[Measure number]]="", "", Table_Controls_Input[[#This Row],[Total equipment cost]]+Table_Controls_Input[[#This Row],[Total labor cost]])</f>
        <v/>
      </c>
      <c r="P32" s="227" t="str">
        <f>IFERROR(Table_Controls_Input[[#This Row],[Gross measure cost]]-Table_Controls_Input[[#This Row],[Estimated incentive]], "")</f>
        <v/>
      </c>
      <c r="Q32" s="228" t="str">
        <f t="shared" si="1"/>
        <v/>
      </c>
      <c r="R32" s="193"/>
      <c r="S32" s="193"/>
      <c r="T32" s="193"/>
      <c r="U32" s="193"/>
      <c r="V32" s="193"/>
      <c r="W32" s="193"/>
      <c r="X32" s="193"/>
      <c r="Y32" s="193"/>
      <c r="Z32" s="193"/>
      <c r="AA32" s="193"/>
      <c r="AB32" s="193"/>
      <c r="AC32" s="193"/>
      <c r="AD32" s="193"/>
      <c r="AE32" s="193"/>
      <c r="AF32" s="193"/>
      <c r="AG32" s="193"/>
      <c r="AH32" s="193"/>
      <c r="AI32" s="193"/>
      <c r="AJ32" s="193"/>
      <c r="AK32" s="193"/>
      <c r="AL32" s="193"/>
      <c r="AM32" s="193"/>
    </row>
    <row r="33" spans="1:39">
      <c r="A33" s="193"/>
      <c r="B33" s="223">
        <v>29</v>
      </c>
      <c r="C33" s="192" t="str">
        <f>IFERROR(INDEX(Table_Prescript_Meas[Measure Number], MATCH(E33, Table_Prescript_Meas[Measure Description], 0)), "")</f>
        <v/>
      </c>
      <c r="D33" s="224"/>
      <c r="E33" s="215"/>
      <c r="F33" s="192" t="str">
        <f>IFERROR(INDEX(Table_Prescript_Meas[Units], MATCH(Table_Controls_Input[[#This Row],[Measure number]], Table_Prescript_Meas[Measure Number], 0)), "")</f>
        <v/>
      </c>
      <c r="G33" s="191"/>
      <c r="H33" s="226"/>
      <c r="I33" s="226"/>
      <c r="J33"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3" s="227" t="str">
        <f>IFERROR(Table_Controls_Input[[#This Row],[Number of units]]*Table_Controls_Input[[#This Row],[Per-unit incentive]], "")</f>
        <v/>
      </c>
      <c r="L33" s="228" t="str">
        <f>IFERROR(Table_Controls_Input[[#This Row],[Number of units]]*INDEX(Table_Prescript_Meas[Deemed kWh Savings], MATCH(Table_Controls_Input[[#This Row],[Measure number]], Table_Prescript_Meas[Measure Number], 0)),"" )</f>
        <v/>
      </c>
      <c r="M33" s="229" t="str">
        <f>IFERROR(Table_Controls_Input[[#This Row],[Number of units]]*INDEX(Table_Prescript_Meas[Deemed kW Savings], MATCH(Table_Controls_Input[[#This Row],[Measure number]], Table_Prescript_Meas[Measure Number], 0)),"" )</f>
        <v/>
      </c>
      <c r="N33" s="227" t="str">
        <f t="shared" si="2"/>
        <v/>
      </c>
      <c r="O33" s="227" t="str">
        <f>IF(Table_Controls_Input[[#This Row],[Measure number]]="", "", Table_Controls_Input[[#This Row],[Total equipment cost]]+Table_Controls_Input[[#This Row],[Total labor cost]])</f>
        <v/>
      </c>
      <c r="P33" s="227" t="str">
        <f>IFERROR(Table_Controls_Input[[#This Row],[Gross measure cost]]-Table_Controls_Input[[#This Row],[Estimated incentive]], "")</f>
        <v/>
      </c>
      <c r="Q33" s="228" t="str">
        <f t="shared" si="1"/>
        <v/>
      </c>
      <c r="R33" s="193"/>
      <c r="S33" s="193"/>
      <c r="T33" s="193"/>
      <c r="U33" s="193"/>
      <c r="V33" s="193"/>
      <c r="W33" s="193"/>
      <c r="X33" s="193"/>
      <c r="Y33" s="193"/>
      <c r="Z33" s="193"/>
      <c r="AA33" s="193"/>
      <c r="AB33" s="193"/>
      <c r="AC33" s="193"/>
      <c r="AD33" s="193"/>
      <c r="AE33" s="193"/>
      <c r="AF33" s="193"/>
      <c r="AG33" s="193"/>
      <c r="AH33" s="193"/>
      <c r="AI33" s="193"/>
      <c r="AJ33" s="193"/>
      <c r="AK33" s="193"/>
      <c r="AL33" s="193"/>
      <c r="AM33" s="193"/>
    </row>
    <row r="34" spans="1:39">
      <c r="A34" s="193"/>
      <c r="B34" s="223">
        <v>30</v>
      </c>
      <c r="C34" s="192" t="str">
        <f>IFERROR(INDEX(Table_Prescript_Meas[Measure Number], MATCH(E34, Table_Prescript_Meas[Measure Description], 0)), "")</f>
        <v/>
      </c>
      <c r="D34" s="224"/>
      <c r="E34" s="215"/>
      <c r="F34" s="192" t="str">
        <f>IFERROR(INDEX(Table_Prescript_Meas[Units], MATCH(Table_Controls_Input[[#This Row],[Measure number]], Table_Prescript_Meas[Measure Number], 0)), "")</f>
        <v/>
      </c>
      <c r="G34" s="191"/>
      <c r="H34" s="226"/>
      <c r="I34" s="226"/>
      <c r="J34" s="227"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4" s="227" t="str">
        <f>IFERROR(Table_Controls_Input[[#This Row],[Number of units]]*Table_Controls_Input[[#This Row],[Per-unit incentive]], "")</f>
        <v/>
      </c>
      <c r="L34" s="228" t="str">
        <f>IFERROR(Table_Controls_Input[[#This Row],[Number of units]]*INDEX(Table_Prescript_Meas[Deemed kWh Savings], MATCH(Table_Controls_Input[[#This Row],[Measure number]], Table_Prescript_Meas[Measure Number], 0)),"" )</f>
        <v/>
      </c>
      <c r="M34" s="229" t="str">
        <f>IFERROR(Table_Controls_Input[[#This Row],[Number of units]]*INDEX(Table_Prescript_Meas[Deemed kW Savings], MATCH(Table_Controls_Input[[#This Row],[Measure number]], Table_Prescript_Meas[Measure Number], 0)),"" )</f>
        <v/>
      </c>
      <c r="N34" s="227" t="str">
        <f t="shared" si="2"/>
        <v/>
      </c>
      <c r="O34" s="227" t="str">
        <f>IF(Table_Controls_Input[[#This Row],[Measure number]]="", "", Table_Controls_Input[[#This Row],[Total equipment cost]]+Table_Controls_Input[[#This Row],[Total labor cost]])</f>
        <v/>
      </c>
      <c r="P34" s="227" t="str">
        <f>IFERROR(Table_Controls_Input[[#This Row],[Gross measure cost]]-Table_Controls_Input[[#This Row],[Estimated incentive]], "")</f>
        <v/>
      </c>
      <c r="Q34" s="228" t="str">
        <f t="shared" si="1"/>
        <v/>
      </c>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row r="35" spans="1:39">
      <c r="A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39"/>
    <row r="37" spans="1:39">
      <c r="B37" s="189" t="s">
        <v>37</v>
      </c>
    </row>
    <row r="38" spans="1:39">
      <c r="B38" s="189" t="str">
        <f>Value_Application_Version</f>
        <v>Version 5.0 - 2025</v>
      </c>
    </row>
    <row r="39" spans="1:39"/>
    <row r="40" spans="1:39">
      <c r="A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row>
    <row r="41" spans="1:39">
      <c r="A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row>
    <row r="42" spans="1:39">
      <c r="A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row>
    <row r="43" spans="1:39">
      <c r="A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row>
    <row r="44" spans="1:39">
      <c r="A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row>
    <row r="45" spans="1:39">
      <c r="A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row>
    <row r="46" spans="1:39">
      <c r="A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c r="A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c r="A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row>
    <row r="49" spans="1:39">
      <c r="A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row>
    <row r="50" spans="1:39">
      <c r="A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row>
    <row r="51" spans="1:39">
      <c r="A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row>
    <row r="52" spans="1:39">
      <c r="A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row>
    <row r="53" spans="1:39">
      <c r="A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row>
    <row r="54" spans="1:39">
      <c r="A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1:39">
      <c r="A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1:39">
      <c r="A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1:39">
      <c r="A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row>
    <row r="58" spans="1:39">
      <c r="A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1:39">
      <c r="A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row>
    <row r="60" spans="1:39">
      <c r="A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row>
    <row r="61" spans="1:39">
      <c r="A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row>
    <row r="62" spans="1:39">
      <c r="A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row>
    <row r="63" spans="1:39">
      <c r="A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row>
    <row r="64" spans="1:39">
      <c r="A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row>
    <row r="65" spans="1:39">
      <c r="A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row>
    <row r="66" spans="1:39">
      <c r="A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row>
    <row r="67" spans="1:39">
      <c r="A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row>
    <row r="68" spans="1:39">
      <c r="A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row>
    <row r="69" spans="1:39">
      <c r="A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row>
    <row r="70" spans="1:39">
      <c r="A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row>
    <row r="71" spans="1:39">
      <c r="A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row>
    <row r="72" spans="1:39">
      <c r="A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row>
    <row r="73" spans="1:39">
      <c r="A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1:39">
      <c r="A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1:39">
      <c r="A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1:39">
      <c r="A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1:39">
      <c r="A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1:39">
      <c r="A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row>
    <row r="79" spans="1:39">
      <c r="A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row>
    <row r="80" spans="1:39">
      <c r="A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row>
    <row r="81" spans="1:39">
      <c r="A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row>
    <row r="82" spans="1:39">
      <c r="A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row>
    <row r="83" spans="1:39">
      <c r="A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row>
    <row r="84" spans="1:39">
      <c r="A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row>
    <row r="85" spans="1:39">
      <c r="A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row>
    <row r="86" spans="1:39">
      <c r="A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row>
    <row r="87" spans="1:39">
      <c r="A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row>
    <row r="88" spans="1:39">
      <c r="A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row>
    <row r="89" spans="1:39">
      <c r="A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row>
    <row r="90" spans="1:39">
      <c r="A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row>
    <row r="91" spans="1:39">
      <c r="A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row>
    <row r="92" spans="1:39">
      <c r="A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row>
    <row r="93" spans="1:39">
      <c r="A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row>
    <row r="94" spans="1:39">
      <c r="A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row>
    <row r="95" spans="1:39">
      <c r="A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row>
    <row r="96" spans="1:39">
      <c r="A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row>
    <row r="97" spans="1:39">
      <c r="A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row>
    <row r="98" spans="1:39">
      <c r="A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row>
    <row r="99" spans="1:39">
      <c r="A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row>
    <row r="100" spans="1:39">
      <c r="A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row>
    <row r="101" spans="1:39">
      <c r="A101" s="193"/>
      <c r="R101" s="193"/>
      <c r="S101" s="193"/>
      <c r="T101" s="193"/>
      <c r="U101" s="193"/>
      <c r="V101" s="193"/>
      <c r="W101" s="193"/>
      <c r="X101" s="193"/>
      <c r="Y101" s="193"/>
      <c r="Z101" s="193"/>
      <c r="AA101" s="193"/>
      <c r="AB101" s="193"/>
      <c r="AC101" s="193"/>
      <c r="AD101" s="193"/>
      <c r="AE101" s="193"/>
      <c r="AF101" s="193"/>
      <c r="AG101" s="193"/>
      <c r="AH101" s="193"/>
      <c r="AI101" s="193"/>
      <c r="AJ101" s="193"/>
      <c r="AK101" s="193"/>
      <c r="AL101" s="193"/>
      <c r="AM101" s="193"/>
    </row>
    <row r="102" spans="1:39">
      <c r="A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row>
    <row r="103" spans="1:39">
      <c r="A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row>
    <row r="104" spans="1:39">
      <c r="A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row>
    <row r="105" spans="1:39">
      <c r="A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row>
    <row r="106" spans="1:39">
      <c r="A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row>
    <row r="107" spans="1:39">
      <c r="A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row>
    <row r="108" spans="1:39">
      <c r="A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row>
    <row r="109" spans="1:39">
      <c r="A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row>
    <row r="110" spans="1:39">
      <c r="A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row>
    <row r="111" spans="1:39">
      <c r="A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row>
    <row r="112" spans="1:39">
      <c r="A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row>
    <row r="113" spans="1:39">
      <c r="A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row>
    <row r="114" spans="1:39">
      <c r="A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row>
    <row r="115" spans="1:39">
      <c r="A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row>
    <row r="116" spans="1:39">
      <c r="A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row>
    <row r="117" spans="1:39">
      <c r="A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row>
    <row r="118" spans="1:39">
      <c r="A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row>
    <row r="119" spans="1:39">
      <c r="A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row>
    <row r="120" spans="1:39">
      <c r="A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row>
    <row r="121" spans="1:39">
      <c r="A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row>
    <row r="122" spans="1:39">
      <c r="A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row>
    <row r="123" spans="1:39">
      <c r="A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row>
    <row r="124" spans="1:39">
      <c r="A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row>
    <row r="125" spans="1:39">
      <c r="A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row>
    <row r="126" spans="1:39">
      <c r="A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row>
    <row r="127" spans="1:39">
      <c r="A127" s="193"/>
      <c r="R127" s="193"/>
      <c r="S127" s="193"/>
      <c r="T127" s="193"/>
      <c r="U127" s="193"/>
      <c r="V127" s="193"/>
      <c r="W127" s="193"/>
      <c r="X127" s="193"/>
      <c r="Y127" s="193"/>
      <c r="Z127" s="193"/>
      <c r="AA127" s="193"/>
      <c r="AB127" s="193"/>
      <c r="AC127" s="193"/>
      <c r="AD127" s="193"/>
      <c r="AE127" s="193"/>
      <c r="AF127" s="193"/>
      <c r="AG127" s="193"/>
      <c r="AH127" s="193"/>
      <c r="AI127" s="193"/>
      <c r="AJ127" s="193"/>
      <c r="AK127" s="193"/>
      <c r="AL127" s="193"/>
      <c r="AM127" s="193"/>
    </row>
    <row r="128" spans="1:39">
      <c r="A128" s="193"/>
      <c r="R128" s="193"/>
      <c r="S128" s="193"/>
      <c r="T128" s="193"/>
      <c r="U128" s="193"/>
      <c r="V128" s="193"/>
      <c r="W128" s="193"/>
      <c r="X128" s="193"/>
      <c r="Y128" s="193"/>
      <c r="Z128" s="193"/>
      <c r="AA128" s="193"/>
      <c r="AB128" s="193"/>
      <c r="AC128" s="193"/>
      <c r="AD128" s="193"/>
      <c r="AE128" s="193"/>
      <c r="AF128" s="193"/>
      <c r="AG128" s="193"/>
      <c r="AH128" s="193"/>
      <c r="AI128" s="193"/>
      <c r="AJ128" s="193"/>
      <c r="AK128" s="193"/>
      <c r="AL128" s="193"/>
      <c r="AM128" s="193"/>
    </row>
    <row r="129" spans="1:39">
      <c r="A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row>
    <row r="130" spans="1:39">
      <c r="A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row>
    <row r="131" spans="1:39">
      <c r="A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row>
    <row r="132" spans="1:39">
      <c r="A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row>
    <row r="133" spans="1:39">
      <c r="A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row>
    <row r="134" spans="1:39">
      <c r="A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row>
    <row r="135" spans="1:39">
      <c r="A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row>
    <row r="136" spans="1:39">
      <c r="A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row>
    <row r="137" spans="1:39">
      <c r="A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row>
    <row r="138" spans="1:39">
      <c r="A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row>
    <row r="139" spans="1:39">
      <c r="A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row>
    <row r="140" spans="1:39">
      <c r="A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row>
    <row r="141" spans="1:39">
      <c r="A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row>
    <row r="142" spans="1:39">
      <c r="A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row>
    <row r="143" spans="1:39">
      <c r="A143" s="193"/>
      <c r="R143" s="193"/>
      <c r="S143" s="193"/>
      <c r="T143" s="193"/>
      <c r="U143" s="193"/>
      <c r="V143" s="193"/>
      <c r="W143" s="193"/>
      <c r="X143" s="193"/>
      <c r="Y143" s="193"/>
      <c r="Z143" s="193"/>
      <c r="AA143" s="193"/>
      <c r="AB143" s="193"/>
      <c r="AC143" s="193"/>
      <c r="AD143" s="193"/>
      <c r="AE143" s="193"/>
      <c r="AF143" s="193"/>
      <c r="AG143" s="193"/>
      <c r="AH143" s="193"/>
      <c r="AI143" s="193"/>
      <c r="AJ143" s="193"/>
      <c r="AK143" s="193"/>
      <c r="AL143" s="193"/>
      <c r="AM143" s="193"/>
    </row>
    <row r="144" spans="1:39">
      <c r="A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row>
    <row r="145" spans="1:39">
      <c r="A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row>
    <row r="146" spans="1:39">
      <c r="A146" s="193"/>
      <c r="R146" s="193"/>
      <c r="S146" s="193"/>
      <c r="T146" s="193"/>
      <c r="U146" s="193"/>
      <c r="V146" s="193"/>
      <c r="W146" s="193"/>
      <c r="X146" s="193"/>
      <c r="Y146" s="193"/>
      <c r="Z146" s="193"/>
      <c r="AA146" s="193"/>
      <c r="AB146" s="193"/>
      <c r="AC146" s="193"/>
      <c r="AD146" s="193"/>
      <c r="AE146" s="193"/>
      <c r="AF146" s="193"/>
      <c r="AG146" s="193"/>
      <c r="AH146" s="193"/>
      <c r="AI146" s="193"/>
      <c r="AJ146" s="193"/>
      <c r="AK146" s="193"/>
      <c r="AL146" s="193"/>
      <c r="AM146" s="193"/>
    </row>
    <row r="147" spans="1:39">
      <c r="A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row>
    <row r="148" spans="1:39">
      <c r="A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row>
    <row r="149" spans="1:39">
      <c r="A149" s="193"/>
      <c r="R149" s="193"/>
      <c r="S149" s="193"/>
      <c r="T149" s="193"/>
      <c r="U149" s="193"/>
      <c r="V149" s="193"/>
      <c r="W149" s="193"/>
      <c r="X149" s="193"/>
      <c r="Y149" s="193"/>
      <c r="Z149" s="193"/>
      <c r="AA149" s="193"/>
      <c r="AB149" s="193"/>
      <c r="AC149" s="193"/>
      <c r="AD149" s="193"/>
      <c r="AE149" s="193"/>
      <c r="AF149" s="193"/>
      <c r="AG149" s="193"/>
      <c r="AH149" s="193"/>
      <c r="AI149" s="193"/>
      <c r="AJ149" s="193"/>
      <c r="AK149" s="193"/>
      <c r="AL149" s="193"/>
      <c r="AM149" s="193"/>
    </row>
    <row r="150" spans="1:39">
      <c r="A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row>
    <row r="151" spans="1:39">
      <c r="A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row>
    <row r="152" spans="1:39">
      <c r="A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row>
    <row r="153" spans="1:39">
      <c r="A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row>
    <row r="154" spans="1:39">
      <c r="A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row>
    <row r="155" spans="1:39">
      <c r="A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row>
    <row r="156" spans="1:39">
      <c r="A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row>
    <row r="157" spans="1:39">
      <c r="A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row>
    <row r="158" spans="1:39">
      <c r="A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row>
    <row r="159" spans="1:39">
      <c r="A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row>
    <row r="160" spans="1:39">
      <c r="A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row>
    <row r="161" spans="1:39">
      <c r="A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row>
    <row r="162" spans="1:39">
      <c r="A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row>
    <row r="163" spans="1:39">
      <c r="A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row>
    <row r="164" spans="1:39">
      <c r="A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row>
    <row r="165" spans="1:39">
      <c r="A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row>
    <row r="166" spans="1:39">
      <c r="A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93"/>
    </row>
    <row r="167" spans="1:39">
      <c r="A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row>
    <row r="168" spans="1:39">
      <c r="A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row>
    <row r="169" spans="1:39">
      <c r="A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row>
    <row r="170" spans="1:39">
      <c r="A170" s="193"/>
      <c r="R170" s="193"/>
      <c r="S170" s="193"/>
      <c r="T170" s="193"/>
      <c r="U170" s="193"/>
      <c r="V170" s="193"/>
      <c r="W170" s="193"/>
      <c r="X170" s="193"/>
      <c r="Y170" s="193"/>
      <c r="Z170" s="193"/>
      <c r="AA170" s="193"/>
      <c r="AB170" s="193"/>
      <c r="AC170" s="193"/>
      <c r="AD170" s="193"/>
      <c r="AE170" s="193"/>
      <c r="AF170" s="193"/>
      <c r="AG170" s="193"/>
      <c r="AH170" s="193"/>
      <c r="AI170" s="193"/>
      <c r="AJ170" s="193"/>
      <c r="AK170" s="193"/>
      <c r="AL170" s="193"/>
      <c r="AM170" s="193"/>
    </row>
    <row r="171" spans="1:39">
      <c r="A171" s="193"/>
      <c r="R171" s="193"/>
      <c r="S171" s="193"/>
      <c r="T171" s="193"/>
      <c r="U171" s="193"/>
      <c r="V171" s="193"/>
      <c r="W171" s="193"/>
      <c r="X171" s="193"/>
      <c r="Y171" s="193"/>
      <c r="Z171" s="193"/>
      <c r="AA171" s="193"/>
      <c r="AB171" s="193"/>
      <c r="AC171" s="193"/>
      <c r="AD171" s="193"/>
      <c r="AE171" s="193"/>
      <c r="AF171" s="193"/>
      <c r="AG171" s="193"/>
      <c r="AH171" s="193"/>
      <c r="AI171" s="193"/>
      <c r="AJ171" s="193"/>
      <c r="AK171" s="193"/>
      <c r="AL171" s="193"/>
      <c r="AM171" s="193"/>
    </row>
    <row r="172" spans="1:39">
      <c r="A172" s="193"/>
      <c r="R172" s="193"/>
      <c r="S172" s="193"/>
      <c r="T172" s="193"/>
      <c r="U172" s="193"/>
      <c r="V172" s="193"/>
      <c r="W172" s="193"/>
      <c r="X172" s="193"/>
      <c r="Y172" s="193"/>
      <c r="Z172" s="193"/>
      <c r="AA172" s="193"/>
      <c r="AB172" s="193"/>
      <c r="AC172" s="193"/>
      <c r="AD172" s="193"/>
      <c r="AE172" s="193"/>
      <c r="AF172" s="193"/>
      <c r="AG172" s="193"/>
      <c r="AH172" s="193"/>
      <c r="AI172" s="193"/>
      <c r="AJ172" s="193"/>
      <c r="AK172" s="193"/>
      <c r="AL172" s="193"/>
      <c r="AM172" s="193"/>
    </row>
    <row r="173" spans="1:39">
      <c r="A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row>
    <row r="174" spans="1:39">
      <c r="A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row>
    <row r="175" spans="1:39">
      <c r="A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1:39">
      <c r="A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row>
    <row r="178" spans="1:39">
      <c r="A178" s="193"/>
      <c r="R178" s="193"/>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row>
    <row r="179" spans="1:39">
      <c r="A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row>
    <row r="180" spans="1:39">
      <c r="A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row>
    <row r="181" spans="1:39">
      <c r="A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row>
    <row r="182" spans="1:39">
      <c r="A182" s="193"/>
      <c r="R182" s="193"/>
      <c r="S182" s="193"/>
      <c r="T182" s="193"/>
      <c r="U182" s="193"/>
      <c r="V182" s="193"/>
      <c r="W182" s="193"/>
      <c r="X182" s="193"/>
      <c r="Y182" s="193"/>
      <c r="Z182" s="193"/>
      <c r="AA182" s="193"/>
      <c r="AB182" s="193"/>
      <c r="AC182" s="193"/>
      <c r="AD182" s="193"/>
      <c r="AE182" s="193"/>
      <c r="AF182" s="193"/>
      <c r="AG182" s="193"/>
      <c r="AH182" s="193"/>
      <c r="AI182" s="193"/>
      <c r="AJ182" s="193"/>
      <c r="AK182" s="193"/>
      <c r="AL182" s="193"/>
      <c r="AM182" s="193"/>
    </row>
    <row r="183" spans="1:39">
      <c r="A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row>
    <row r="184" spans="1:39">
      <c r="A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row>
    <row r="185" spans="1:39">
      <c r="A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row>
    <row r="186" spans="1:39">
      <c r="A186" s="193"/>
      <c r="R186" s="193"/>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row>
    <row r="187" spans="1:39">
      <c r="A187" s="193"/>
      <c r="R187" s="193"/>
      <c r="S187" s="193"/>
      <c r="T187" s="193"/>
      <c r="U187" s="193"/>
      <c r="V187" s="193"/>
      <c r="W187" s="193"/>
      <c r="X187" s="193"/>
      <c r="Y187" s="193"/>
      <c r="Z187" s="193"/>
      <c r="AA187" s="193"/>
      <c r="AB187" s="193"/>
      <c r="AC187" s="193"/>
      <c r="AD187" s="193"/>
      <c r="AE187" s="193"/>
      <c r="AF187" s="193"/>
      <c r="AG187" s="193"/>
      <c r="AH187" s="193"/>
      <c r="AI187" s="193"/>
      <c r="AJ187" s="193"/>
      <c r="AK187" s="193"/>
      <c r="AL187" s="193"/>
      <c r="AM187" s="193"/>
    </row>
    <row r="188" spans="1:39">
      <c r="A188" s="193"/>
      <c r="R188" s="193"/>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row>
    <row r="189" spans="1:39">
      <c r="A189" s="193"/>
      <c r="R189" s="193"/>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row>
    <row r="190" spans="1:39">
      <c r="A190" s="193"/>
      <c r="R190" s="193"/>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row>
    <row r="191" spans="1:39">
      <c r="A191" s="193"/>
      <c r="R191" s="193"/>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row>
    <row r="192" spans="1:39">
      <c r="A192" s="193"/>
      <c r="R192" s="193"/>
      <c r="S192" s="193"/>
      <c r="T192" s="193"/>
      <c r="U192" s="193"/>
      <c r="V192" s="193"/>
      <c r="W192" s="193"/>
      <c r="X192" s="193"/>
      <c r="Y192" s="193"/>
      <c r="Z192" s="193"/>
      <c r="AA192" s="193"/>
      <c r="AB192" s="193"/>
      <c r="AC192" s="193"/>
      <c r="AD192" s="193"/>
      <c r="AE192" s="193"/>
      <c r="AF192" s="193"/>
      <c r="AG192" s="193"/>
      <c r="AH192" s="193"/>
      <c r="AI192" s="193"/>
      <c r="AJ192" s="193"/>
      <c r="AK192" s="193"/>
      <c r="AL192" s="193"/>
      <c r="AM192" s="193"/>
    </row>
    <row r="193" spans="1:39">
      <c r="A193" s="193"/>
      <c r="R193" s="193"/>
      <c r="S193" s="193"/>
      <c r="T193" s="193"/>
      <c r="U193" s="193"/>
      <c r="V193" s="193"/>
      <c r="W193" s="193"/>
      <c r="X193" s="193"/>
      <c r="Y193" s="193"/>
      <c r="Z193" s="193"/>
      <c r="AA193" s="193"/>
      <c r="AB193" s="193"/>
      <c r="AC193" s="193"/>
      <c r="AD193" s="193"/>
      <c r="AE193" s="193"/>
      <c r="AF193" s="193"/>
      <c r="AG193" s="193"/>
      <c r="AH193" s="193"/>
      <c r="AI193" s="193"/>
      <c r="AJ193" s="193"/>
      <c r="AK193" s="193"/>
      <c r="AL193" s="193"/>
      <c r="AM193" s="193"/>
    </row>
    <row r="194" spans="1:39">
      <c r="A194" s="193"/>
      <c r="R194" s="193"/>
      <c r="S194" s="193"/>
      <c r="T194" s="193"/>
      <c r="U194" s="193"/>
      <c r="V194" s="193"/>
      <c r="W194" s="193"/>
      <c r="X194" s="193"/>
      <c r="Y194" s="193"/>
      <c r="Z194" s="193"/>
      <c r="AA194" s="193"/>
      <c r="AB194" s="193"/>
      <c r="AC194" s="193"/>
      <c r="AD194" s="193"/>
      <c r="AE194" s="193"/>
      <c r="AF194" s="193"/>
      <c r="AG194" s="193"/>
      <c r="AH194" s="193"/>
      <c r="AI194" s="193"/>
      <c r="AJ194" s="193"/>
      <c r="AK194" s="193"/>
      <c r="AL194" s="193"/>
      <c r="AM194" s="193"/>
    </row>
    <row r="195" spans="1:39">
      <c r="A195" s="193"/>
      <c r="R195" s="193"/>
      <c r="S195" s="193"/>
      <c r="T195" s="193"/>
      <c r="U195" s="193"/>
      <c r="V195" s="193"/>
      <c r="W195" s="193"/>
      <c r="X195" s="193"/>
      <c r="Y195" s="193"/>
      <c r="Z195" s="193"/>
      <c r="AA195" s="193"/>
      <c r="AB195" s="193"/>
      <c r="AC195" s="193"/>
      <c r="AD195" s="193"/>
      <c r="AE195" s="193"/>
      <c r="AF195" s="193"/>
      <c r="AG195" s="193"/>
      <c r="AH195" s="193"/>
      <c r="AI195" s="193"/>
      <c r="AJ195" s="193"/>
      <c r="AK195" s="193"/>
      <c r="AL195" s="193"/>
      <c r="AM195" s="193"/>
    </row>
    <row r="196" spans="1:39">
      <c r="A196" s="193"/>
      <c r="R196" s="193"/>
      <c r="S196" s="193"/>
      <c r="T196" s="193"/>
      <c r="U196" s="193"/>
      <c r="V196" s="193"/>
      <c r="W196" s="193"/>
      <c r="X196" s="193"/>
      <c r="Y196" s="193"/>
      <c r="Z196" s="193"/>
      <c r="AA196" s="193"/>
      <c r="AB196" s="193"/>
      <c r="AC196" s="193"/>
      <c r="AD196" s="193"/>
      <c r="AE196" s="193"/>
      <c r="AF196" s="193"/>
      <c r="AG196" s="193"/>
      <c r="AH196" s="193"/>
      <c r="AI196" s="193"/>
      <c r="AJ196" s="193"/>
      <c r="AK196" s="193"/>
      <c r="AL196" s="193"/>
      <c r="AM196" s="193"/>
    </row>
    <row r="197" spans="1:39">
      <c r="A197" s="193"/>
      <c r="R197" s="193"/>
      <c r="S197" s="193"/>
      <c r="T197" s="193"/>
      <c r="U197" s="193"/>
      <c r="V197" s="193"/>
      <c r="W197" s="193"/>
      <c r="X197" s="193"/>
      <c r="Y197" s="193"/>
      <c r="Z197" s="193"/>
      <c r="AA197" s="193"/>
      <c r="AB197" s="193"/>
      <c r="AC197" s="193"/>
      <c r="AD197" s="193"/>
      <c r="AE197" s="193"/>
      <c r="AF197" s="193"/>
      <c r="AG197" s="193"/>
      <c r="AH197" s="193"/>
      <c r="AI197" s="193"/>
      <c r="AJ197" s="193"/>
      <c r="AK197" s="193"/>
      <c r="AL197" s="193"/>
      <c r="AM197" s="193"/>
    </row>
    <row r="198" spans="1:39">
      <c r="A198" s="193"/>
      <c r="R198" s="193"/>
      <c r="S198" s="193"/>
      <c r="T198" s="193"/>
      <c r="U198" s="193"/>
      <c r="V198" s="193"/>
      <c r="W198" s="193"/>
      <c r="X198" s="193"/>
      <c r="Y198" s="193"/>
      <c r="Z198" s="193"/>
      <c r="AA198" s="193"/>
      <c r="AB198" s="193"/>
      <c r="AC198" s="193"/>
      <c r="AD198" s="193"/>
      <c r="AE198" s="193"/>
      <c r="AF198" s="193"/>
      <c r="AG198" s="193"/>
      <c r="AH198" s="193"/>
      <c r="AI198" s="193"/>
      <c r="AJ198" s="193"/>
      <c r="AK198" s="193"/>
      <c r="AL198" s="193"/>
      <c r="AM198" s="193"/>
    </row>
    <row r="199" spans="1:39">
      <c r="A199" s="193"/>
      <c r="R199" s="193"/>
      <c r="S199" s="193"/>
      <c r="T199" s="193"/>
      <c r="U199" s="193"/>
      <c r="V199" s="193"/>
      <c r="W199" s="193"/>
      <c r="X199" s="193"/>
      <c r="Y199" s="193"/>
      <c r="Z199" s="193"/>
      <c r="AA199" s="193"/>
      <c r="AB199" s="193"/>
      <c r="AC199" s="193"/>
      <c r="AD199" s="193"/>
      <c r="AE199" s="193"/>
      <c r="AF199" s="193"/>
      <c r="AG199" s="193"/>
      <c r="AH199" s="193"/>
      <c r="AI199" s="193"/>
      <c r="AJ199" s="193"/>
      <c r="AK199" s="193"/>
      <c r="AL199" s="193"/>
      <c r="AM199" s="193"/>
    </row>
    <row r="200" spans="1:39">
      <c r="A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row>
    <row r="201" spans="1:39">
      <c r="A201" s="193"/>
      <c r="R201" s="193"/>
      <c r="S201" s="193"/>
      <c r="T201" s="193"/>
      <c r="U201" s="193"/>
      <c r="V201" s="193"/>
      <c r="W201" s="193"/>
      <c r="X201" s="193"/>
      <c r="Y201" s="193"/>
      <c r="Z201" s="193"/>
      <c r="AA201" s="193"/>
      <c r="AB201" s="193"/>
      <c r="AC201" s="193"/>
      <c r="AD201" s="193"/>
      <c r="AE201" s="193"/>
      <c r="AF201" s="193"/>
      <c r="AG201" s="193"/>
      <c r="AH201" s="193"/>
      <c r="AI201" s="193"/>
      <c r="AJ201" s="193"/>
      <c r="AK201" s="193"/>
      <c r="AL201" s="193"/>
      <c r="AM201" s="193"/>
    </row>
    <row r="202" spans="1:39">
      <c r="A202" s="193"/>
      <c r="R202" s="193"/>
      <c r="S202" s="193"/>
      <c r="T202" s="193"/>
      <c r="U202" s="193"/>
      <c r="V202" s="193"/>
      <c r="W202" s="193"/>
      <c r="X202" s="193"/>
      <c r="Y202" s="193"/>
      <c r="Z202" s="193"/>
      <c r="AA202" s="193"/>
      <c r="AB202" s="193"/>
      <c r="AC202" s="193"/>
      <c r="AD202" s="193"/>
      <c r="AE202" s="193"/>
      <c r="AF202" s="193"/>
      <c r="AG202" s="193"/>
      <c r="AH202" s="193"/>
      <c r="AI202" s="193"/>
      <c r="AJ202" s="193"/>
      <c r="AK202" s="193"/>
      <c r="AL202" s="193"/>
      <c r="AM202" s="193"/>
    </row>
    <row r="203" spans="1:39">
      <c r="A203" s="193"/>
      <c r="R203" s="193"/>
      <c r="S203" s="193"/>
      <c r="T203" s="193"/>
      <c r="U203" s="193"/>
      <c r="V203" s="193"/>
      <c r="W203" s="193"/>
      <c r="X203" s="193"/>
      <c r="Y203" s="193"/>
      <c r="Z203" s="193"/>
      <c r="AA203" s="193"/>
      <c r="AB203" s="193"/>
      <c r="AC203" s="193"/>
      <c r="AD203" s="193"/>
      <c r="AE203" s="193"/>
      <c r="AF203" s="193"/>
      <c r="AG203" s="193"/>
      <c r="AH203" s="193"/>
      <c r="AI203" s="193"/>
      <c r="AJ203" s="193"/>
      <c r="AK203" s="193"/>
      <c r="AL203" s="193"/>
      <c r="AM203" s="193"/>
    </row>
    <row r="204" spans="1:39">
      <c r="A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193"/>
      <c r="AM204" s="193"/>
    </row>
  </sheetData>
  <sheetProtection algorithmName="SHA-512" hashValue="QvMLqSTps76D8TxI1n/9MhC9ymCICdCL6xoBYqUO3LFTNBSWEDRU/DCDhkx7YNCzkc8dZdtczrM4tbznvT1GLQ==" saltValue="Rn/BuE9D/QHtZzK77dUaQA==" spinCount="100000" sheet="1" selectLockedCells="1"/>
  <mergeCells count="2">
    <mergeCell ref="G3:I3"/>
    <mergeCell ref="B2:N2"/>
  </mergeCells>
  <conditionalFormatting sqref="G5:I34">
    <cfRule type="expression" dxfId="208" priority="8">
      <formula>$E5=""</formula>
    </cfRule>
  </conditionalFormatting>
  <dataValidations count="1">
    <dataValidation type="list" allowBlank="1" showInputMessage="1" showErrorMessage="1" sqref="E5:E34" xr:uid="{5B50157E-9B79-4E32-996C-BF9CD323E81E}">
      <formula1>List_ComKitch_Measure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04B9-C36D-4929-9F40-E83688F76ACE}">
  <sheetPr>
    <tabColor theme="4"/>
  </sheetPr>
  <dimension ref="A1:AN204"/>
  <sheetViews>
    <sheetView showGridLines="0" showRowColHeaders="0" workbookViewId="0">
      <selection activeCell="D5" sqref="D5"/>
    </sheetView>
  </sheetViews>
  <sheetFormatPr defaultColWidth="9.140625" defaultRowHeight="12.75"/>
  <cols>
    <col min="1" max="1" width="2.140625" style="189" customWidth="1"/>
    <col min="2" max="2" width="5.28515625" style="189" customWidth="1"/>
    <col min="3" max="3" width="9.5703125" style="189" customWidth="1"/>
    <col min="4" max="4" width="17.140625" style="189" customWidth="1"/>
    <col min="5" max="6" width="29.85546875" style="189" customWidth="1"/>
    <col min="7" max="7" width="21.5703125" style="189" customWidth="1"/>
    <col min="8" max="8" width="11.5703125" style="189" customWidth="1"/>
    <col min="9" max="9" width="12.42578125" style="189" customWidth="1"/>
    <col min="10" max="10" width="9.85546875" style="189" customWidth="1"/>
    <col min="11" max="11" width="10" style="189" customWidth="1"/>
    <col min="12" max="12" width="11" style="189" customWidth="1"/>
    <col min="13" max="13" width="12" style="189" customWidth="1"/>
    <col min="14" max="14" width="11.85546875" style="189" customWidth="1"/>
    <col min="15" max="16" width="10.28515625" style="189" customWidth="1"/>
    <col min="17" max="17" width="13.42578125" style="189" customWidth="1"/>
    <col min="18" max="18" width="9.5703125" style="189" customWidth="1"/>
    <col min="19" max="19" width="25.85546875" style="247" hidden="1" customWidth="1"/>
    <col min="20" max="16384" width="9.140625" style="189"/>
  </cols>
  <sheetData>
    <row r="1" spans="1:40" ht="55.5" customHeight="1"/>
    <row r="2" spans="1:40" ht="42.75" customHeight="1">
      <c r="B2" s="307" t="s">
        <v>128</v>
      </c>
      <c r="C2" s="307"/>
      <c r="D2" s="307"/>
      <c r="E2" s="307"/>
      <c r="F2" s="307"/>
      <c r="G2" s="307"/>
      <c r="H2" s="307"/>
      <c r="I2" s="307"/>
      <c r="J2" s="307"/>
      <c r="K2" s="307"/>
      <c r="L2" s="307"/>
      <c r="M2" s="307"/>
      <c r="N2" s="307"/>
      <c r="O2" s="307"/>
      <c r="P2" s="200"/>
      <c r="Q2" s="200"/>
      <c r="R2" s="200"/>
    </row>
    <row r="3" spans="1:40">
      <c r="A3" s="193"/>
      <c r="G3" s="311" t="s">
        <v>98</v>
      </c>
      <c r="H3" s="311"/>
      <c r="I3" s="311"/>
      <c r="J3" s="311"/>
      <c r="K3" s="216" t="s">
        <v>99</v>
      </c>
      <c r="L3" s="236">
        <f>SUM(Table_Controls_Input23[Estimated incentive])</f>
        <v>0</v>
      </c>
      <c r="M3" s="248">
        <f>SUM(Table_Controls_Input23[Energy savings (kWh)])</f>
        <v>0</v>
      </c>
      <c r="N3" s="249">
        <f>SUM(Table_Controls_Input23[Demand reduction (kW)])</f>
        <v>0</v>
      </c>
      <c r="O3" s="236">
        <f>SUM(Table_Controls_Input23[Cost savings])</f>
        <v>0</v>
      </c>
      <c r="P3" s="236">
        <f>SUM(Table_Controls_Input23[Gross measure cost])</f>
        <v>0</v>
      </c>
      <c r="Q3" s="236">
        <f>SUM(Table_Controls_Input23[Net measure cost])</f>
        <v>0</v>
      </c>
      <c r="R3" s="218" t="str">
        <f>IFERROR(Q3/O3,"")</f>
        <v/>
      </c>
      <c r="S3" s="250"/>
      <c r="T3" s="193"/>
      <c r="U3" s="193"/>
      <c r="V3" s="193"/>
      <c r="W3" s="193"/>
      <c r="X3" s="193"/>
      <c r="Y3" s="193"/>
      <c r="Z3" s="193"/>
      <c r="AA3" s="193"/>
      <c r="AB3" s="193"/>
      <c r="AC3" s="193"/>
      <c r="AD3" s="193"/>
      <c r="AE3" s="193"/>
      <c r="AF3" s="193"/>
      <c r="AG3" s="193"/>
      <c r="AH3" s="193"/>
      <c r="AI3" s="193"/>
      <c r="AJ3" s="193"/>
      <c r="AK3" s="193"/>
      <c r="AL3" s="193"/>
      <c r="AM3" s="193"/>
      <c r="AN3" s="193"/>
    </row>
    <row r="4" spans="1:40" s="194" customFormat="1" ht="38.25">
      <c r="A4" s="204"/>
      <c r="B4" s="230" t="s">
        <v>100</v>
      </c>
      <c r="C4" s="231" t="s">
        <v>101</v>
      </c>
      <c r="D4" s="232" t="s">
        <v>102</v>
      </c>
      <c r="E4" s="231" t="s">
        <v>129</v>
      </c>
      <c r="F4" s="233" t="s">
        <v>104</v>
      </c>
      <c r="G4" s="235" t="s">
        <v>130</v>
      </c>
      <c r="H4" s="235" t="s">
        <v>131</v>
      </c>
      <c r="I4" s="235" t="s">
        <v>113</v>
      </c>
      <c r="J4" s="235" t="s">
        <v>114</v>
      </c>
      <c r="K4" s="233" t="s">
        <v>115</v>
      </c>
      <c r="L4" s="233" t="s">
        <v>116</v>
      </c>
      <c r="M4" s="233" t="s">
        <v>117</v>
      </c>
      <c r="N4" s="233" t="s">
        <v>118</v>
      </c>
      <c r="O4" s="233" t="s">
        <v>119</v>
      </c>
      <c r="P4" s="233" t="s">
        <v>120</v>
      </c>
      <c r="Q4" s="233" t="s">
        <v>121</v>
      </c>
      <c r="R4" s="233" t="s">
        <v>122</v>
      </c>
      <c r="S4" s="251" t="s">
        <v>132</v>
      </c>
      <c r="T4" s="204"/>
      <c r="U4" s="204"/>
      <c r="V4" s="204"/>
      <c r="W4" s="204"/>
      <c r="X4" s="204"/>
      <c r="Y4" s="204"/>
      <c r="Z4" s="204"/>
      <c r="AA4" s="204"/>
      <c r="AB4" s="204"/>
      <c r="AC4" s="204"/>
      <c r="AD4" s="204"/>
      <c r="AE4" s="204"/>
      <c r="AF4" s="204"/>
      <c r="AG4" s="204"/>
      <c r="AH4" s="204"/>
      <c r="AI4" s="204"/>
      <c r="AJ4" s="204"/>
      <c r="AK4" s="204"/>
      <c r="AL4" s="204"/>
      <c r="AM4" s="204"/>
      <c r="AN4" s="204"/>
    </row>
    <row r="5" spans="1:40">
      <c r="A5" s="222"/>
      <c r="B5" s="223">
        <v>1</v>
      </c>
      <c r="C5" s="192" t="str">
        <f>IFERROR(INDEX(Table_WinFilm_Savings[Measure No], MATCH(Table_Controls_Input23[[#This Row],[Measure Lookup Detail]], Table_WinFilm_Savings[Lookup Detail], 0)), "")</f>
        <v/>
      </c>
      <c r="D5" s="252"/>
      <c r="E5" s="253"/>
      <c r="F5" s="192" t="str">
        <f>IFERROR(INDEX(Table_Prescript_Meas[Units], MATCH(Table_Controls_Input23[[#This Row],[Measure number]], Table_Prescript_Meas[Measure Number], 0)), "")</f>
        <v/>
      </c>
      <c r="G5" s="201"/>
      <c r="H5" s="191"/>
      <c r="I5" s="226"/>
      <c r="J5" s="226"/>
      <c r="K5"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5" s="227" t="str">
        <f>IFERROR(Table_Controls_Input23[[#This Row],[Number of units (Sq.Ft.)]]*Table_Controls_Input23[[#This Row],[Per-unit incentive]], "")</f>
        <v/>
      </c>
      <c r="M5" s="228" t="str">
        <f>IFERROR(Table_Controls_Input23[[#This Row],[Number of units (Sq.Ft.)]]*INDEX(Table_WinFilm_Savings[Deemed kWh Savings], MATCH(Table_Controls_Input23[[#This Row],[Measure Lookup Detail]], Table_WinFilm_Savings[Lookup Detail], 0)),"" )</f>
        <v/>
      </c>
      <c r="N5" s="229" t="str">
        <f>IFERROR(Table_Controls_Input23[[#This Row],[Number of units (Sq.Ft.)]]*INDEX(Table_WinFilm_Savings[Deemed kW Savings], MATCH(Table_Controls_Input23[[#This Row],[Measure Lookup Detail]], Table_WinFilm_Savings[Lookup Detail], 0)),"" )</f>
        <v/>
      </c>
      <c r="O5" s="227" t="str">
        <f t="shared" ref="O5:O34" si="0">IFERROR(M5*Input_AvgkWhRate, "")</f>
        <v/>
      </c>
      <c r="P5" s="227" t="str">
        <f>IF(Table_Controls_Input23[[#This Row],[Measure number]]="", "", Table_Controls_Input23[[#This Row],[Total equipment cost]]+Table_Controls_Input23[[#This Row],[Total labor cost]])</f>
        <v/>
      </c>
      <c r="Q5" s="227" t="str">
        <f>IFERROR(Table_Controls_Input23[[#This Row],[Gross measure cost]]-Table_Controls_Input23[[#This Row],[Estimated incentive]], "")</f>
        <v/>
      </c>
      <c r="R5" s="228" t="str">
        <f t="shared" ref="R5:R34" si="1">IFERROR($Q5/$O5,"")</f>
        <v/>
      </c>
      <c r="S5" s="254" t="str">
        <f>_xlfn.CONCAT(Table_Controls_Input23[[#This Row],[Window film measure]], Table_Controls_Input23[[#This Row],[Window direction]])</f>
        <v/>
      </c>
      <c r="T5" s="222"/>
      <c r="U5" s="222"/>
      <c r="V5" s="222"/>
      <c r="W5" s="222"/>
      <c r="X5" s="222"/>
      <c r="Y5" s="222"/>
      <c r="Z5" s="222"/>
      <c r="AA5" s="222"/>
      <c r="AB5" s="222"/>
      <c r="AC5" s="222"/>
      <c r="AD5" s="222"/>
      <c r="AE5" s="222"/>
      <c r="AF5" s="222"/>
      <c r="AG5" s="222"/>
      <c r="AH5" s="222"/>
      <c r="AI5" s="222"/>
      <c r="AJ5" s="222"/>
      <c r="AK5" s="222"/>
      <c r="AL5" s="222"/>
      <c r="AM5" s="222"/>
      <c r="AN5" s="222"/>
    </row>
    <row r="6" spans="1:40">
      <c r="A6" s="222"/>
      <c r="B6" s="223">
        <v>2</v>
      </c>
      <c r="C6" s="192" t="str">
        <f>IFERROR(INDEX(Table_WinFilm_Savings[Measure No], MATCH(Table_Controls_Input23[[#This Row],[Measure Lookup Detail]], Table_WinFilm_Savings[Lookup Detail], 0)), "")</f>
        <v/>
      </c>
      <c r="D6" s="252"/>
      <c r="E6" s="253"/>
      <c r="F6" s="192" t="str">
        <f>IFERROR(INDEX(Table_Prescript_Meas[Units], MATCH(Table_Controls_Input23[[#This Row],[Measure number]], Table_Prescript_Meas[Measure Number], 0)), "")</f>
        <v/>
      </c>
      <c r="G6" s="201"/>
      <c r="H6" s="191"/>
      <c r="I6" s="226"/>
      <c r="J6" s="226"/>
      <c r="K6"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6" s="227" t="str">
        <f>IFERROR(Table_Controls_Input23[[#This Row],[Number of units (Sq.Ft.)]]*Table_Controls_Input23[[#This Row],[Per-unit incentive]], "")</f>
        <v/>
      </c>
      <c r="M6" s="228" t="str">
        <f>IFERROR(Table_Controls_Input23[[#This Row],[Number of units (Sq.Ft.)]]*INDEX(Table_WinFilm_Savings[Deemed kWh Savings], MATCH(Table_Controls_Input23[[#This Row],[Measure Lookup Detail]], Table_WinFilm_Savings[Lookup Detail], 0)),"" )</f>
        <v/>
      </c>
      <c r="N6" s="229" t="str">
        <f>IFERROR(Table_Controls_Input23[[#This Row],[Number of units (Sq.Ft.)]]*INDEX(Table_WinFilm_Savings[Deemed kW Savings], MATCH(Table_Controls_Input23[[#This Row],[Measure Lookup Detail]], Table_WinFilm_Savings[Lookup Detail], 0)),"" )</f>
        <v/>
      </c>
      <c r="O6" s="227" t="str">
        <f t="shared" si="0"/>
        <v/>
      </c>
      <c r="P6" s="227" t="str">
        <f>IF(Table_Controls_Input23[[#This Row],[Measure number]]="", "", Table_Controls_Input23[[#This Row],[Total equipment cost]]+Table_Controls_Input23[[#This Row],[Total labor cost]])</f>
        <v/>
      </c>
      <c r="Q6" s="227" t="str">
        <f>IFERROR(Table_Controls_Input23[[#This Row],[Gross measure cost]]-Table_Controls_Input23[[#This Row],[Estimated incentive]], "")</f>
        <v/>
      </c>
      <c r="R6" s="228" t="str">
        <f t="shared" si="1"/>
        <v/>
      </c>
      <c r="S6" s="254" t="str">
        <f>_xlfn.CONCAT(Table_Controls_Input23[[#This Row],[Window film measure]], Table_Controls_Input23[[#This Row],[Window direction]])</f>
        <v/>
      </c>
      <c r="T6" s="222"/>
      <c r="U6" s="222"/>
      <c r="V6" s="222"/>
      <c r="W6" s="222"/>
      <c r="X6" s="222"/>
      <c r="Y6" s="222"/>
      <c r="Z6" s="222"/>
      <c r="AA6" s="222"/>
      <c r="AB6" s="222"/>
      <c r="AC6" s="222"/>
      <c r="AD6" s="222"/>
      <c r="AE6" s="222"/>
      <c r="AF6" s="222"/>
      <c r="AG6" s="222"/>
      <c r="AH6" s="222"/>
      <c r="AI6" s="222"/>
      <c r="AJ6" s="222"/>
      <c r="AK6" s="222"/>
      <c r="AL6" s="222"/>
      <c r="AM6" s="222"/>
      <c r="AN6" s="222"/>
    </row>
    <row r="7" spans="1:40">
      <c r="A7" s="222"/>
      <c r="B7" s="223">
        <v>3</v>
      </c>
      <c r="C7" s="192" t="str">
        <f>IFERROR(INDEX(Table_WinFilm_Savings[Measure No], MATCH(Table_Controls_Input23[[#This Row],[Measure Lookup Detail]], Table_WinFilm_Savings[Lookup Detail], 0)), "")</f>
        <v/>
      </c>
      <c r="D7" s="252"/>
      <c r="E7" s="253"/>
      <c r="F7" s="192" t="str">
        <f>IFERROR(INDEX(Table_Prescript_Meas[Units], MATCH(Table_Controls_Input23[[#This Row],[Measure number]], Table_Prescript_Meas[Measure Number], 0)), "")</f>
        <v/>
      </c>
      <c r="G7" s="201"/>
      <c r="H7" s="191"/>
      <c r="I7" s="226"/>
      <c r="J7" s="226"/>
      <c r="K7"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7" s="227" t="str">
        <f>IFERROR(Table_Controls_Input23[[#This Row],[Number of units (Sq.Ft.)]]*Table_Controls_Input23[[#This Row],[Per-unit incentive]], "")</f>
        <v/>
      </c>
      <c r="M7" s="228" t="str">
        <f>IFERROR(Table_Controls_Input23[[#This Row],[Number of units (Sq.Ft.)]]*INDEX(Table_WinFilm_Savings[Deemed kWh Savings], MATCH(Table_Controls_Input23[[#This Row],[Measure Lookup Detail]], Table_WinFilm_Savings[Lookup Detail], 0)),"" )</f>
        <v/>
      </c>
      <c r="N7" s="229" t="str">
        <f>IFERROR(Table_Controls_Input23[[#This Row],[Number of units (Sq.Ft.)]]*INDEX(Table_WinFilm_Savings[Deemed kW Savings], MATCH(Table_Controls_Input23[[#This Row],[Measure Lookup Detail]], Table_WinFilm_Savings[Lookup Detail], 0)),"" )</f>
        <v/>
      </c>
      <c r="O7" s="227" t="str">
        <f t="shared" si="0"/>
        <v/>
      </c>
      <c r="P7" s="227" t="str">
        <f>IF(Table_Controls_Input23[[#This Row],[Measure number]]="", "", Table_Controls_Input23[[#This Row],[Total equipment cost]]+Table_Controls_Input23[[#This Row],[Total labor cost]])</f>
        <v/>
      </c>
      <c r="Q7" s="227" t="str">
        <f>IFERROR(Table_Controls_Input23[[#This Row],[Gross measure cost]]-Table_Controls_Input23[[#This Row],[Estimated incentive]], "")</f>
        <v/>
      </c>
      <c r="R7" s="228" t="str">
        <f t="shared" si="1"/>
        <v/>
      </c>
      <c r="S7" s="254" t="str">
        <f>_xlfn.CONCAT(Table_Controls_Input23[[#This Row],[Window film measure]], Table_Controls_Input23[[#This Row],[Window direction]])</f>
        <v/>
      </c>
      <c r="T7" s="222"/>
      <c r="U7" s="222"/>
      <c r="V7" s="222"/>
      <c r="W7" s="222"/>
      <c r="X7" s="222"/>
      <c r="Y7" s="222"/>
      <c r="Z7" s="222"/>
      <c r="AA7" s="222"/>
      <c r="AB7" s="222"/>
      <c r="AC7" s="222"/>
      <c r="AD7" s="222"/>
      <c r="AE7" s="222"/>
      <c r="AF7" s="222"/>
      <c r="AG7" s="222"/>
      <c r="AH7" s="222"/>
      <c r="AI7" s="222"/>
      <c r="AJ7" s="222"/>
      <c r="AK7" s="222"/>
      <c r="AL7" s="222"/>
      <c r="AM7" s="222"/>
      <c r="AN7" s="222"/>
    </row>
    <row r="8" spans="1:40">
      <c r="A8" s="222"/>
      <c r="B8" s="223">
        <v>4</v>
      </c>
      <c r="C8" s="192" t="str">
        <f>IFERROR(INDEX(Table_WinFilm_Savings[Measure No], MATCH(Table_Controls_Input23[[#This Row],[Measure Lookup Detail]], Table_WinFilm_Savings[Lookup Detail], 0)), "")</f>
        <v/>
      </c>
      <c r="D8" s="252"/>
      <c r="E8" s="253"/>
      <c r="F8" s="192" t="str">
        <f>IFERROR(INDEX(Table_Prescript_Meas[Units], MATCH(Table_Controls_Input23[[#This Row],[Measure number]], Table_Prescript_Meas[Measure Number], 0)), "")</f>
        <v/>
      </c>
      <c r="G8" s="201"/>
      <c r="H8" s="191"/>
      <c r="I8" s="226"/>
      <c r="J8" s="226"/>
      <c r="K8"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8" s="227" t="str">
        <f>IFERROR(Table_Controls_Input23[[#This Row],[Number of units (Sq.Ft.)]]*Table_Controls_Input23[[#This Row],[Per-unit incentive]], "")</f>
        <v/>
      </c>
      <c r="M8" s="228" t="str">
        <f>IFERROR(Table_Controls_Input23[[#This Row],[Number of units (Sq.Ft.)]]*INDEX(Table_WinFilm_Savings[Deemed kWh Savings], MATCH(Table_Controls_Input23[[#This Row],[Measure Lookup Detail]], Table_WinFilm_Savings[Lookup Detail], 0)),"" )</f>
        <v/>
      </c>
      <c r="N8" s="229" t="str">
        <f>IFERROR(Table_Controls_Input23[[#This Row],[Number of units (Sq.Ft.)]]*INDEX(Table_WinFilm_Savings[Deemed kW Savings], MATCH(Table_Controls_Input23[[#This Row],[Measure Lookup Detail]], Table_WinFilm_Savings[Lookup Detail], 0)),"" )</f>
        <v/>
      </c>
      <c r="O8" s="227" t="str">
        <f t="shared" si="0"/>
        <v/>
      </c>
      <c r="P8" s="227" t="str">
        <f>IF(Table_Controls_Input23[[#This Row],[Measure number]]="", "", Table_Controls_Input23[[#This Row],[Total equipment cost]]+Table_Controls_Input23[[#This Row],[Total labor cost]])</f>
        <v/>
      </c>
      <c r="Q8" s="227" t="str">
        <f>IFERROR(Table_Controls_Input23[[#This Row],[Gross measure cost]]-Table_Controls_Input23[[#This Row],[Estimated incentive]], "")</f>
        <v/>
      </c>
      <c r="R8" s="228" t="str">
        <f t="shared" si="1"/>
        <v/>
      </c>
      <c r="S8" s="254" t="str">
        <f>_xlfn.CONCAT(Table_Controls_Input23[[#This Row],[Window film measure]], Table_Controls_Input23[[#This Row],[Window direction]])</f>
        <v/>
      </c>
      <c r="T8" s="222"/>
      <c r="U8" s="222"/>
      <c r="V8" s="222"/>
      <c r="W8" s="222"/>
      <c r="X8" s="222"/>
      <c r="Y8" s="222"/>
      <c r="Z8" s="222"/>
      <c r="AA8" s="222"/>
      <c r="AB8" s="222"/>
      <c r="AC8" s="222"/>
      <c r="AD8" s="222"/>
      <c r="AE8" s="222"/>
      <c r="AF8" s="222"/>
      <c r="AG8" s="222"/>
      <c r="AH8" s="222"/>
      <c r="AI8" s="222"/>
      <c r="AJ8" s="222"/>
      <c r="AK8" s="222"/>
      <c r="AL8" s="222"/>
      <c r="AM8" s="222"/>
      <c r="AN8" s="222"/>
    </row>
    <row r="9" spans="1:40">
      <c r="A9" s="222"/>
      <c r="B9" s="223">
        <v>5</v>
      </c>
      <c r="C9" s="192" t="str">
        <f>IFERROR(INDEX(Table_WinFilm_Savings[Measure No], MATCH(Table_Controls_Input23[[#This Row],[Measure Lookup Detail]], Table_WinFilm_Savings[Lookup Detail], 0)), "")</f>
        <v/>
      </c>
      <c r="D9" s="252"/>
      <c r="E9" s="253"/>
      <c r="F9" s="192" t="str">
        <f>IFERROR(INDEX(Table_Prescript_Meas[Units], MATCH(Table_Controls_Input23[[#This Row],[Measure number]], Table_Prescript_Meas[Measure Number], 0)), "")</f>
        <v/>
      </c>
      <c r="G9" s="201"/>
      <c r="H9" s="191"/>
      <c r="I9" s="226"/>
      <c r="J9" s="226"/>
      <c r="K9"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9" s="227" t="str">
        <f>IFERROR(Table_Controls_Input23[[#This Row],[Number of units (Sq.Ft.)]]*Table_Controls_Input23[[#This Row],[Per-unit incentive]], "")</f>
        <v/>
      </c>
      <c r="M9" s="228" t="str">
        <f>IFERROR(Table_Controls_Input23[[#This Row],[Number of units (Sq.Ft.)]]*INDEX(Table_WinFilm_Savings[Deemed kWh Savings], MATCH(Table_Controls_Input23[[#This Row],[Measure Lookup Detail]], Table_WinFilm_Savings[Lookup Detail], 0)),"" )</f>
        <v/>
      </c>
      <c r="N9" s="229" t="str">
        <f>IFERROR(Table_Controls_Input23[[#This Row],[Number of units (Sq.Ft.)]]*INDEX(Table_WinFilm_Savings[Deemed kW Savings], MATCH(Table_Controls_Input23[[#This Row],[Measure Lookup Detail]], Table_WinFilm_Savings[Lookup Detail], 0)),"" )</f>
        <v/>
      </c>
      <c r="O9" s="227" t="str">
        <f t="shared" si="0"/>
        <v/>
      </c>
      <c r="P9" s="227" t="str">
        <f>IF(Table_Controls_Input23[[#This Row],[Measure number]]="", "", Table_Controls_Input23[[#This Row],[Total equipment cost]]+Table_Controls_Input23[[#This Row],[Total labor cost]])</f>
        <v/>
      </c>
      <c r="Q9" s="227" t="str">
        <f>IFERROR(Table_Controls_Input23[[#This Row],[Gross measure cost]]-Table_Controls_Input23[[#This Row],[Estimated incentive]], "")</f>
        <v/>
      </c>
      <c r="R9" s="228" t="str">
        <f t="shared" si="1"/>
        <v/>
      </c>
      <c r="S9" s="254" t="str">
        <f>_xlfn.CONCAT(Table_Controls_Input23[[#This Row],[Window film measure]], Table_Controls_Input23[[#This Row],[Window direction]])</f>
        <v/>
      </c>
      <c r="T9" s="222"/>
      <c r="U9" s="222"/>
      <c r="V9" s="222"/>
      <c r="W9" s="222"/>
      <c r="X9" s="222"/>
      <c r="Y9" s="222"/>
      <c r="Z9" s="222"/>
      <c r="AA9" s="222"/>
      <c r="AB9" s="222"/>
      <c r="AC9" s="222"/>
      <c r="AD9" s="222"/>
      <c r="AE9" s="222"/>
      <c r="AF9" s="222"/>
      <c r="AG9" s="222"/>
      <c r="AH9" s="222"/>
      <c r="AI9" s="222"/>
      <c r="AJ9" s="222"/>
      <c r="AK9" s="222"/>
      <c r="AL9" s="222"/>
      <c r="AM9" s="222"/>
      <c r="AN9" s="222"/>
    </row>
    <row r="10" spans="1:40">
      <c r="A10" s="222"/>
      <c r="B10" s="223">
        <v>6</v>
      </c>
      <c r="C10" s="192" t="str">
        <f>IFERROR(INDEX(Table_WinFilm_Savings[Measure No], MATCH(Table_Controls_Input23[[#This Row],[Measure Lookup Detail]], Table_WinFilm_Savings[Lookup Detail], 0)), "")</f>
        <v/>
      </c>
      <c r="D10" s="252"/>
      <c r="E10" s="253"/>
      <c r="F10" s="192" t="str">
        <f>IFERROR(INDEX(Table_Prescript_Meas[Units], MATCH(Table_Controls_Input23[[#This Row],[Measure number]], Table_Prescript_Meas[Measure Number], 0)), "")</f>
        <v/>
      </c>
      <c r="G10" s="201"/>
      <c r="H10" s="191"/>
      <c r="I10" s="226"/>
      <c r="J10" s="226"/>
      <c r="K10"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0" s="227" t="str">
        <f>IFERROR(Table_Controls_Input23[[#This Row],[Number of units (Sq.Ft.)]]*Table_Controls_Input23[[#This Row],[Per-unit incentive]], "")</f>
        <v/>
      </c>
      <c r="M10" s="228" t="str">
        <f>IFERROR(Table_Controls_Input23[[#This Row],[Number of units (Sq.Ft.)]]*INDEX(Table_WinFilm_Savings[Deemed kWh Savings], MATCH(Table_Controls_Input23[[#This Row],[Measure Lookup Detail]], Table_WinFilm_Savings[Lookup Detail], 0)),"" )</f>
        <v/>
      </c>
      <c r="N10" s="229" t="str">
        <f>IFERROR(Table_Controls_Input23[[#This Row],[Number of units (Sq.Ft.)]]*INDEX(Table_WinFilm_Savings[Deemed kW Savings], MATCH(Table_Controls_Input23[[#This Row],[Measure Lookup Detail]], Table_WinFilm_Savings[Lookup Detail], 0)),"" )</f>
        <v/>
      </c>
      <c r="O10" s="227" t="str">
        <f t="shared" si="0"/>
        <v/>
      </c>
      <c r="P10" s="227" t="str">
        <f>IF(Table_Controls_Input23[[#This Row],[Measure number]]="", "", Table_Controls_Input23[[#This Row],[Total equipment cost]]+Table_Controls_Input23[[#This Row],[Total labor cost]])</f>
        <v/>
      </c>
      <c r="Q10" s="227" t="str">
        <f>IFERROR(Table_Controls_Input23[[#This Row],[Gross measure cost]]-Table_Controls_Input23[[#This Row],[Estimated incentive]], "")</f>
        <v/>
      </c>
      <c r="R10" s="228" t="str">
        <f t="shared" si="1"/>
        <v/>
      </c>
      <c r="S10" s="254" t="str">
        <f>_xlfn.CONCAT(Table_Controls_Input23[[#This Row],[Window film measure]], Table_Controls_Input23[[#This Row],[Window direction]])</f>
        <v/>
      </c>
      <c r="T10" s="222"/>
      <c r="U10" s="222"/>
      <c r="V10" s="222"/>
      <c r="W10" s="222"/>
      <c r="X10" s="222"/>
      <c r="Y10" s="222"/>
      <c r="Z10" s="222"/>
      <c r="AA10" s="222"/>
      <c r="AB10" s="222"/>
      <c r="AC10" s="222"/>
      <c r="AD10" s="222"/>
      <c r="AE10" s="222"/>
      <c r="AF10" s="222"/>
      <c r="AG10" s="222"/>
      <c r="AH10" s="222"/>
      <c r="AI10" s="222"/>
      <c r="AJ10" s="222"/>
      <c r="AK10" s="222"/>
      <c r="AL10" s="222"/>
      <c r="AM10" s="222"/>
      <c r="AN10" s="222"/>
    </row>
    <row r="11" spans="1:40">
      <c r="A11" s="222"/>
      <c r="B11" s="223">
        <v>7</v>
      </c>
      <c r="C11" s="192" t="str">
        <f>IFERROR(INDEX(Table_WinFilm_Savings[Measure No], MATCH(Table_Controls_Input23[[#This Row],[Measure Lookup Detail]], Table_WinFilm_Savings[Lookup Detail], 0)), "")</f>
        <v/>
      </c>
      <c r="D11" s="252"/>
      <c r="E11" s="253"/>
      <c r="F11" s="192" t="str">
        <f>IFERROR(INDEX(Table_Prescript_Meas[Units], MATCH(Table_Controls_Input23[[#This Row],[Measure number]], Table_Prescript_Meas[Measure Number], 0)), "")</f>
        <v/>
      </c>
      <c r="G11" s="201"/>
      <c r="H11" s="191"/>
      <c r="I11" s="226"/>
      <c r="J11" s="226"/>
      <c r="K11"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1" s="227" t="str">
        <f>IFERROR(Table_Controls_Input23[[#This Row],[Number of units (Sq.Ft.)]]*Table_Controls_Input23[[#This Row],[Per-unit incentive]], "")</f>
        <v/>
      </c>
      <c r="M11" s="228" t="str">
        <f>IFERROR(Table_Controls_Input23[[#This Row],[Number of units (Sq.Ft.)]]*INDEX(Table_WinFilm_Savings[Deemed kWh Savings], MATCH(Table_Controls_Input23[[#This Row],[Measure Lookup Detail]], Table_WinFilm_Savings[Lookup Detail], 0)),"" )</f>
        <v/>
      </c>
      <c r="N11" s="229" t="str">
        <f>IFERROR(Table_Controls_Input23[[#This Row],[Number of units (Sq.Ft.)]]*INDEX(Table_WinFilm_Savings[Deemed kW Savings], MATCH(Table_Controls_Input23[[#This Row],[Measure Lookup Detail]], Table_WinFilm_Savings[Lookup Detail], 0)),"" )</f>
        <v/>
      </c>
      <c r="O11" s="227" t="str">
        <f t="shared" si="0"/>
        <v/>
      </c>
      <c r="P11" s="227" t="str">
        <f>IF(Table_Controls_Input23[[#This Row],[Measure number]]="", "", Table_Controls_Input23[[#This Row],[Total equipment cost]]+Table_Controls_Input23[[#This Row],[Total labor cost]])</f>
        <v/>
      </c>
      <c r="Q11" s="227" t="str">
        <f>IFERROR(Table_Controls_Input23[[#This Row],[Gross measure cost]]-Table_Controls_Input23[[#This Row],[Estimated incentive]], "")</f>
        <v/>
      </c>
      <c r="R11" s="228" t="str">
        <f t="shared" si="1"/>
        <v/>
      </c>
      <c r="S11" s="254" t="str">
        <f>_xlfn.CONCAT(Table_Controls_Input23[[#This Row],[Window film measure]], Table_Controls_Input23[[#This Row],[Window direction]])</f>
        <v/>
      </c>
      <c r="T11" s="222"/>
      <c r="U11" s="222"/>
      <c r="V11" s="222"/>
      <c r="W11" s="222"/>
      <c r="X11" s="222"/>
      <c r="Y11" s="222"/>
      <c r="Z11" s="222"/>
      <c r="AA11" s="222"/>
      <c r="AB11" s="222"/>
      <c r="AC11" s="222"/>
      <c r="AD11" s="222"/>
      <c r="AE11" s="222"/>
      <c r="AF11" s="222"/>
      <c r="AG11" s="222"/>
      <c r="AH11" s="222"/>
      <c r="AI11" s="222"/>
      <c r="AJ11" s="222"/>
      <c r="AK11" s="222"/>
      <c r="AL11" s="222"/>
      <c r="AM11" s="222"/>
      <c r="AN11" s="222"/>
    </row>
    <row r="12" spans="1:40">
      <c r="A12" s="222"/>
      <c r="B12" s="223">
        <v>8</v>
      </c>
      <c r="C12" s="192" t="str">
        <f>IFERROR(INDEX(Table_WinFilm_Savings[Measure No], MATCH(Table_Controls_Input23[[#This Row],[Measure Lookup Detail]], Table_WinFilm_Savings[Lookup Detail], 0)), "")</f>
        <v/>
      </c>
      <c r="D12" s="252"/>
      <c r="E12" s="253"/>
      <c r="F12" s="192" t="str">
        <f>IFERROR(INDEX(Table_Prescript_Meas[Units], MATCH(Table_Controls_Input23[[#This Row],[Measure number]], Table_Prescript_Meas[Measure Number], 0)), "")</f>
        <v/>
      </c>
      <c r="G12" s="201"/>
      <c r="H12" s="191"/>
      <c r="I12" s="226"/>
      <c r="J12" s="226"/>
      <c r="K12"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2" s="227" t="str">
        <f>IFERROR(Table_Controls_Input23[[#This Row],[Number of units (Sq.Ft.)]]*Table_Controls_Input23[[#This Row],[Per-unit incentive]], "")</f>
        <v/>
      </c>
      <c r="M12" s="228" t="str">
        <f>IFERROR(Table_Controls_Input23[[#This Row],[Number of units (Sq.Ft.)]]*INDEX(Table_WinFilm_Savings[Deemed kWh Savings], MATCH(Table_Controls_Input23[[#This Row],[Measure Lookup Detail]], Table_WinFilm_Savings[Lookup Detail], 0)),"" )</f>
        <v/>
      </c>
      <c r="N12" s="229" t="str">
        <f>IFERROR(Table_Controls_Input23[[#This Row],[Number of units (Sq.Ft.)]]*INDEX(Table_WinFilm_Savings[Deemed kW Savings], MATCH(Table_Controls_Input23[[#This Row],[Measure Lookup Detail]], Table_WinFilm_Savings[Lookup Detail], 0)),"" )</f>
        <v/>
      </c>
      <c r="O12" s="227" t="str">
        <f t="shared" si="0"/>
        <v/>
      </c>
      <c r="P12" s="227" t="str">
        <f>IF(Table_Controls_Input23[[#This Row],[Measure number]]="", "", Table_Controls_Input23[[#This Row],[Total equipment cost]]+Table_Controls_Input23[[#This Row],[Total labor cost]])</f>
        <v/>
      </c>
      <c r="Q12" s="227" t="str">
        <f>IFERROR(Table_Controls_Input23[[#This Row],[Gross measure cost]]-Table_Controls_Input23[[#This Row],[Estimated incentive]], "")</f>
        <v/>
      </c>
      <c r="R12" s="228" t="str">
        <f t="shared" si="1"/>
        <v/>
      </c>
      <c r="S12" s="254" t="str">
        <f>_xlfn.CONCAT(Table_Controls_Input23[[#This Row],[Window film measure]], Table_Controls_Input23[[#This Row],[Window direction]])</f>
        <v/>
      </c>
      <c r="T12" s="222"/>
      <c r="U12" s="222"/>
      <c r="V12" s="222"/>
      <c r="W12" s="222"/>
      <c r="X12" s="222"/>
      <c r="Y12" s="222"/>
      <c r="Z12" s="222"/>
      <c r="AA12" s="222"/>
      <c r="AB12" s="222"/>
      <c r="AC12" s="222"/>
      <c r="AD12" s="222"/>
      <c r="AE12" s="222"/>
      <c r="AF12" s="222"/>
      <c r="AG12" s="222"/>
      <c r="AH12" s="222"/>
      <c r="AI12" s="222"/>
      <c r="AJ12" s="222"/>
      <c r="AK12" s="222"/>
      <c r="AL12" s="222"/>
      <c r="AM12" s="222"/>
      <c r="AN12" s="222"/>
    </row>
    <row r="13" spans="1:40">
      <c r="A13" s="222"/>
      <c r="B13" s="223">
        <v>9</v>
      </c>
      <c r="C13" s="192" t="str">
        <f>IFERROR(INDEX(Table_WinFilm_Savings[Measure No], MATCH(Table_Controls_Input23[[#This Row],[Measure Lookup Detail]], Table_WinFilm_Savings[Lookup Detail], 0)), "")</f>
        <v/>
      </c>
      <c r="D13" s="252"/>
      <c r="E13" s="253"/>
      <c r="F13" s="192" t="str">
        <f>IFERROR(INDEX(Table_Prescript_Meas[Units], MATCH(Table_Controls_Input23[[#This Row],[Measure number]], Table_Prescript_Meas[Measure Number], 0)), "")</f>
        <v/>
      </c>
      <c r="G13" s="201"/>
      <c r="H13" s="191"/>
      <c r="I13" s="226"/>
      <c r="J13" s="226"/>
      <c r="K13"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3" s="227" t="str">
        <f>IFERROR(Table_Controls_Input23[[#This Row],[Number of units (Sq.Ft.)]]*Table_Controls_Input23[[#This Row],[Per-unit incentive]], "")</f>
        <v/>
      </c>
      <c r="M13" s="228" t="str">
        <f>IFERROR(Table_Controls_Input23[[#This Row],[Number of units (Sq.Ft.)]]*INDEX(Table_WinFilm_Savings[Deemed kWh Savings], MATCH(Table_Controls_Input23[[#This Row],[Measure Lookup Detail]], Table_WinFilm_Savings[Lookup Detail], 0)),"" )</f>
        <v/>
      </c>
      <c r="N13" s="229" t="str">
        <f>IFERROR(Table_Controls_Input23[[#This Row],[Number of units (Sq.Ft.)]]*INDEX(Table_WinFilm_Savings[Deemed kW Savings], MATCH(Table_Controls_Input23[[#This Row],[Measure Lookup Detail]], Table_WinFilm_Savings[Lookup Detail], 0)),"" )</f>
        <v/>
      </c>
      <c r="O13" s="227" t="str">
        <f t="shared" si="0"/>
        <v/>
      </c>
      <c r="P13" s="227" t="str">
        <f>IF(Table_Controls_Input23[[#This Row],[Measure number]]="", "", Table_Controls_Input23[[#This Row],[Total equipment cost]]+Table_Controls_Input23[[#This Row],[Total labor cost]])</f>
        <v/>
      </c>
      <c r="Q13" s="227" t="str">
        <f>IFERROR(Table_Controls_Input23[[#This Row],[Gross measure cost]]-Table_Controls_Input23[[#This Row],[Estimated incentive]], "")</f>
        <v/>
      </c>
      <c r="R13" s="228" t="str">
        <f t="shared" si="1"/>
        <v/>
      </c>
      <c r="S13" s="254" t="str">
        <f>_xlfn.CONCAT(Table_Controls_Input23[[#This Row],[Window film measure]], Table_Controls_Input23[[#This Row],[Window direction]])</f>
        <v/>
      </c>
      <c r="T13" s="222"/>
      <c r="U13" s="222"/>
      <c r="V13" s="222"/>
      <c r="W13" s="222"/>
      <c r="X13" s="222"/>
      <c r="Y13" s="222"/>
      <c r="Z13" s="222"/>
      <c r="AA13" s="222"/>
      <c r="AB13" s="222"/>
      <c r="AC13" s="222"/>
      <c r="AD13" s="222"/>
      <c r="AE13" s="222"/>
      <c r="AF13" s="222"/>
      <c r="AG13" s="222"/>
      <c r="AH13" s="222"/>
      <c r="AI13" s="222"/>
      <c r="AJ13" s="222"/>
      <c r="AK13" s="222"/>
      <c r="AL13" s="222"/>
      <c r="AM13" s="222"/>
      <c r="AN13" s="222"/>
    </row>
    <row r="14" spans="1:40">
      <c r="A14" s="222"/>
      <c r="B14" s="223">
        <v>10</v>
      </c>
      <c r="C14" s="192" t="str">
        <f>IFERROR(INDEX(Table_WinFilm_Savings[Measure No], MATCH(Table_Controls_Input23[[#This Row],[Measure Lookup Detail]], Table_WinFilm_Savings[Lookup Detail], 0)), "")</f>
        <v/>
      </c>
      <c r="D14" s="252"/>
      <c r="E14" s="253"/>
      <c r="F14" s="192" t="str">
        <f>IFERROR(INDEX(Table_Prescript_Meas[Units], MATCH(Table_Controls_Input23[[#This Row],[Measure number]], Table_Prescript_Meas[Measure Number], 0)), "")</f>
        <v/>
      </c>
      <c r="G14" s="201"/>
      <c r="H14" s="191"/>
      <c r="I14" s="226"/>
      <c r="J14" s="226"/>
      <c r="K14"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4" s="227" t="str">
        <f>IFERROR(Table_Controls_Input23[[#This Row],[Number of units (Sq.Ft.)]]*Table_Controls_Input23[[#This Row],[Per-unit incentive]], "")</f>
        <v/>
      </c>
      <c r="M14" s="228" t="str">
        <f>IFERROR(Table_Controls_Input23[[#This Row],[Number of units (Sq.Ft.)]]*INDEX(Table_WinFilm_Savings[Deemed kWh Savings], MATCH(Table_Controls_Input23[[#This Row],[Measure Lookup Detail]], Table_WinFilm_Savings[Lookup Detail], 0)),"" )</f>
        <v/>
      </c>
      <c r="N14" s="229" t="str">
        <f>IFERROR(Table_Controls_Input23[[#This Row],[Number of units (Sq.Ft.)]]*INDEX(Table_WinFilm_Savings[Deemed kW Savings], MATCH(Table_Controls_Input23[[#This Row],[Measure Lookup Detail]], Table_WinFilm_Savings[Lookup Detail], 0)),"" )</f>
        <v/>
      </c>
      <c r="O14" s="227" t="str">
        <f t="shared" si="0"/>
        <v/>
      </c>
      <c r="P14" s="227" t="str">
        <f>IF(Table_Controls_Input23[[#This Row],[Measure number]]="", "", Table_Controls_Input23[[#This Row],[Total equipment cost]]+Table_Controls_Input23[[#This Row],[Total labor cost]])</f>
        <v/>
      </c>
      <c r="Q14" s="227" t="str">
        <f>IFERROR(Table_Controls_Input23[[#This Row],[Gross measure cost]]-Table_Controls_Input23[[#This Row],[Estimated incentive]], "")</f>
        <v/>
      </c>
      <c r="R14" s="228" t="str">
        <f t="shared" si="1"/>
        <v/>
      </c>
      <c r="S14" s="254" t="str">
        <f>_xlfn.CONCAT(Table_Controls_Input23[[#This Row],[Window film measure]], Table_Controls_Input23[[#This Row],[Window direction]])</f>
        <v/>
      </c>
      <c r="T14" s="222"/>
      <c r="U14" s="222"/>
      <c r="V14" s="222"/>
      <c r="W14" s="222"/>
      <c r="X14" s="222"/>
      <c r="Y14" s="222"/>
      <c r="Z14" s="222"/>
      <c r="AA14" s="222"/>
      <c r="AB14" s="222"/>
      <c r="AC14" s="222"/>
      <c r="AD14" s="222"/>
      <c r="AE14" s="222"/>
      <c r="AF14" s="222"/>
      <c r="AG14" s="222"/>
      <c r="AH14" s="222"/>
      <c r="AI14" s="222"/>
      <c r="AJ14" s="222"/>
      <c r="AK14" s="222"/>
      <c r="AL14" s="222"/>
      <c r="AM14" s="222"/>
      <c r="AN14" s="222"/>
    </row>
    <row r="15" spans="1:40">
      <c r="A15" s="222"/>
      <c r="B15" s="223">
        <v>11</v>
      </c>
      <c r="C15" s="192" t="str">
        <f>IFERROR(INDEX(Table_WinFilm_Savings[Measure No], MATCH(Table_Controls_Input23[[#This Row],[Measure Lookup Detail]], Table_WinFilm_Savings[Lookup Detail], 0)), "")</f>
        <v/>
      </c>
      <c r="D15" s="252"/>
      <c r="E15" s="253"/>
      <c r="F15" s="192" t="str">
        <f>IFERROR(INDEX(Table_Prescript_Meas[Units], MATCH(Table_Controls_Input23[[#This Row],[Measure number]], Table_Prescript_Meas[Measure Number], 0)), "")</f>
        <v/>
      </c>
      <c r="G15" s="201"/>
      <c r="H15" s="191"/>
      <c r="I15" s="226"/>
      <c r="J15" s="226"/>
      <c r="K15"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5" s="227" t="str">
        <f>IFERROR(Table_Controls_Input23[[#This Row],[Number of units (Sq.Ft.)]]*Table_Controls_Input23[[#This Row],[Per-unit incentive]], "")</f>
        <v/>
      </c>
      <c r="M15" s="228" t="str">
        <f>IFERROR(Table_Controls_Input23[[#This Row],[Number of units (Sq.Ft.)]]*INDEX(Table_WinFilm_Savings[Deemed kWh Savings], MATCH(Table_Controls_Input23[[#This Row],[Measure Lookup Detail]], Table_WinFilm_Savings[Lookup Detail], 0)),"" )</f>
        <v/>
      </c>
      <c r="N15" s="229" t="str">
        <f>IFERROR(Table_Controls_Input23[[#This Row],[Number of units (Sq.Ft.)]]*INDEX(Table_WinFilm_Savings[Deemed kW Savings], MATCH(Table_Controls_Input23[[#This Row],[Measure Lookup Detail]], Table_WinFilm_Savings[Lookup Detail], 0)),"" )</f>
        <v/>
      </c>
      <c r="O15" s="227" t="str">
        <f t="shared" si="0"/>
        <v/>
      </c>
      <c r="P15" s="227" t="str">
        <f>IF(Table_Controls_Input23[[#This Row],[Measure number]]="", "", Table_Controls_Input23[[#This Row],[Total equipment cost]]+Table_Controls_Input23[[#This Row],[Total labor cost]])</f>
        <v/>
      </c>
      <c r="Q15" s="227" t="str">
        <f>IFERROR(Table_Controls_Input23[[#This Row],[Gross measure cost]]-Table_Controls_Input23[[#This Row],[Estimated incentive]], "")</f>
        <v/>
      </c>
      <c r="R15" s="228" t="str">
        <f t="shared" si="1"/>
        <v/>
      </c>
      <c r="S15" s="254" t="str">
        <f>_xlfn.CONCAT(Table_Controls_Input23[[#This Row],[Window film measure]], Table_Controls_Input23[[#This Row],[Window direction]])</f>
        <v/>
      </c>
      <c r="T15" s="222"/>
      <c r="U15" s="222"/>
      <c r="V15" s="222"/>
      <c r="W15" s="222"/>
      <c r="X15" s="222"/>
      <c r="Y15" s="222"/>
      <c r="Z15" s="222"/>
      <c r="AA15" s="222"/>
      <c r="AB15" s="222"/>
      <c r="AC15" s="222"/>
      <c r="AD15" s="222"/>
      <c r="AE15" s="222"/>
      <c r="AF15" s="222"/>
      <c r="AG15" s="222"/>
      <c r="AH15" s="222"/>
      <c r="AI15" s="222"/>
      <c r="AJ15" s="222"/>
      <c r="AK15" s="222"/>
      <c r="AL15" s="222"/>
      <c r="AM15" s="222"/>
      <c r="AN15" s="222"/>
    </row>
    <row r="16" spans="1:40">
      <c r="A16" s="222"/>
      <c r="B16" s="223">
        <v>12</v>
      </c>
      <c r="C16" s="192" t="str">
        <f>IFERROR(INDEX(Table_WinFilm_Savings[Measure No], MATCH(Table_Controls_Input23[[#This Row],[Measure Lookup Detail]], Table_WinFilm_Savings[Lookup Detail], 0)), "")</f>
        <v/>
      </c>
      <c r="D16" s="252"/>
      <c r="E16" s="253"/>
      <c r="F16" s="192" t="str">
        <f>IFERROR(INDEX(Table_Prescript_Meas[Units], MATCH(Table_Controls_Input23[[#This Row],[Measure number]], Table_Prescript_Meas[Measure Number], 0)), "")</f>
        <v/>
      </c>
      <c r="G16" s="201"/>
      <c r="H16" s="191"/>
      <c r="I16" s="226"/>
      <c r="J16" s="226"/>
      <c r="K16"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6" s="227" t="str">
        <f>IFERROR(Table_Controls_Input23[[#This Row],[Number of units (Sq.Ft.)]]*Table_Controls_Input23[[#This Row],[Per-unit incentive]], "")</f>
        <v/>
      </c>
      <c r="M16" s="228" t="str">
        <f>IFERROR(Table_Controls_Input23[[#This Row],[Number of units (Sq.Ft.)]]*INDEX(Table_WinFilm_Savings[Deemed kWh Savings], MATCH(Table_Controls_Input23[[#This Row],[Measure Lookup Detail]], Table_WinFilm_Savings[Lookup Detail], 0)),"" )</f>
        <v/>
      </c>
      <c r="N16" s="229" t="str">
        <f>IFERROR(Table_Controls_Input23[[#This Row],[Number of units (Sq.Ft.)]]*INDEX(Table_WinFilm_Savings[Deemed kW Savings], MATCH(Table_Controls_Input23[[#This Row],[Measure Lookup Detail]], Table_WinFilm_Savings[Lookup Detail], 0)),"" )</f>
        <v/>
      </c>
      <c r="O16" s="227" t="str">
        <f t="shared" si="0"/>
        <v/>
      </c>
      <c r="P16" s="227" t="str">
        <f>IF(Table_Controls_Input23[[#This Row],[Measure number]]="", "", Table_Controls_Input23[[#This Row],[Total equipment cost]]+Table_Controls_Input23[[#This Row],[Total labor cost]])</f>
        <v/>
      </c>
      <c r="Q16" s="227" t="str">
        <f>IFERROR(Table_Controls_Input23[[#This Row],[Gross measure cost]]-Table_Controls_Input23[[#This Row],[Estimated incentive]], "")</f>
        <v/>
      </c>
      <c r="R16" s="228" t="str">
        <f t="shared" si="1"/>
        <v/>
      </c>
      <c r="S16" s="254" t="str">
        <f>_xlfn.CONCAT(Table_Controls_Input23[[#This Row],[Window film measure]], Table_Controls_Input23[[#This Row],[Window direction]])</f>
        <v/>
      </c>
      <c r="T16" s="222"/>
      <c r="U16" s="222"/>
      <c r="V16" s="222"/>
      <c r="W16" s="222"/>
      <c r="X16" s="222"/>
      <c r="Y16" s="222"/>
      <c r="Z16" s="222"/>
      <c r="AA16" s="222"/>
      <c r="AB16" s="222"/>
      <c r="AC16" s="222"/>
      <c r="AD16" s="222"/>
      <c r="AE16" s="222"/>
      <c r="AF16" s="222"/>
      <c r="AG16" s="222"/>
      <c r="AH16" s="222"/>
      <c r="AI16" s="222"/>
      <c r="AJ16" s="222"/>
      <c r="AK16" s="222"/>
      <c r="AL16" s="222"/>
      <c r="AM16" s="222"/>
      <c r="AN16" s="222"/>
    </row>
    <row r="17" spans="1:40">
      <c r="A17" s="222"/>
      <c r="B17" s="223">
        <v>13</v>
      </c>
      <c r="C17" s="192" t="str">
        <f>IFERROR(INDEX(Table_WinFilm_Savings[Measure No], MATCH(Table_Controls_Input23[[#This Row],[Measure Lookup Detail]], Table_WinFilm_Savings[Lookup Detail], 0)), "")</f>
        <v/>
      </c>
      <c r="D17" s="252"/>
      <c r="E17" s="253"/>
      <c r="F17" s="192" t="str">
        <f>IFERROR(INDEX(Table_Prescript_Meas[Units], MATCH(Table_Controls_Input23[[#This Row],[Measure number]], Table_Prescript_Meas[Measure Number], 0)), "")</f>
        <v/>
      </c>
      <c r="G17" s="201"/>
      <c r="H17" s="191"/>
      <c r="I17" s="226"/>
      <c r="J17" s="226"/>
      <c r="K17"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7" s="227" t="str">
        <f>IFERROR(Table_Controls_Input23[[#This Row],[Number of units (Sq.Ft.)]]*Table_Controls_Input23[[#This Row],[Per-unit incentive]], "")</f>
        <v/>
      </c>
      <c r="M17" s="228" t="str">
        <f>IFERROR(Table_Controls_Input23[[#This Row],[Number of units (Sq.Ft.)]]*INDEX(Table_WinFilm_Savings[Deemed kWh Savings], MATCH(Table_Controls_Input23[[#This Row],[Measure Lookup Detail]], Table_WinFilm_Savings[Lookup Detail], 0)),"" )</f>
        <v/>
      </c>
      <c r="N17" s="229" t="str">
        <f>IFERROR(Table_Controls_Input23[[#This Row],[Number of units (Sq.Ft.)]]*INDEX(Table_WinFilm_Savings[Deemed kW Savings], MATCH(Table_Controls_Input23[[#This Row],[Measure Lookup Detail]], Table_WinFilm_Savings[Lookup Detail], 0)),"" )</f>
        <v/>
      </c>
      <c r="O17" s="227" t="str">
        <f t="shared" si="0"/>
        <v/>
      </c>
      <c r="P17" s="227" t="str">
        <f>IF(Table_Controls_Input23[[#This Row],[Measure number]]="", "", Table_Controls_Input23[[#This Row],[Total equipment cost]]+Table_Controls_Input23[[#This Row],[Total labor cost]])</f>
        <v/>
      </c>
      <c r="Q17" s="227" t="str">
        <f>IFERROR(Table_Controls_Input23[[#This Row],[Gross measure cost]]-Table_Controls_Input23[[#This Row],[Estimated incentive]], "")</f>
        <v/>
      </c>
      <c r="R17" s="228" t="str">
        <f t="shared" si="1"/>
        <v/>
      </c>
      <c r="S17" s="254" t="str">
        <f>_xlfn.CONCAT(Table_Controls_Input23[[#This Row],[Window film measure]], Table_Controls_Input23[[#This Row],[Window direction]])</f>
        <v/>
      </c>
      <c r="T17" s="222"/>
      <c r="U17" s="222"/>
      <c r="V17" s="222"/>
      <c r="W17" s="222"/>
      <c r="X17" s="222"/>
      <c r="Y17" s="222"/>
      <c r="Z17" s="222"/>
      <c r="AA17" s="222"/>
      <c r="AB17" s="222"/>
      <c r="AC17" s="222"/>
      <c r="AD17" s="222"/>
      <c r="AE17" s="222"/>
      <c r="AF17" s="222"/>
      <c r="AG17" s="222"/>
      <c r="AH17" s="222"/>
      <c r="AI17" s="222"/>
      <c r="AJ17" s="222"/>
      <c r="AK17" s="222"/>
      <c r="AL17" s="222"/>
      <c r="AM17" s="222"/>
      <c r="AN17" s="222"/>
    </row>
    <row r="18" spans="1:40">
      <c r="A18" s="222"/>
      <c r="B18" s="223">
        <v>14</v>
      </c>
      <c r="C18" s="192" t="str">
        <f>IFERROR(INDEX(Table_WinFilm_Savings[Measure No], MATCH(Table_Controls_Input23[[#This Row],[Measure Lookup Detail]], Table_WinFilm_Savings[Lookup Detail], 0)), "")</f>
        <v/>
      </c>
      <c r="D18" s="252"/>
      <c r="E18" s="253"/>
      <c r="F18" s="192" t="str">
        <f>IFERROR(INDEX(Table_Prescript_Meas[Units], MATCH(Table_Controls_Input23[[#This Row],[Measure number]], Table_Prescript_Meas[Measure Number], 0)), "")</f>
        <v/>
      </c>
      <c r="G18" s="201"/>
      <c r="H18" s="191"/>
      <c r="I18" s="226"/>
      <c r="J18" s="226"/>
      <c r="K18"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8" s="227" t="str">
        <f>IFERROR(Table_Controls_Input23[[#This Row],[Number of units (Sq.Ft.)]]*Table_Controls_Input23[[#This Row],[Per-unit incentive]], "")</f>
        <v/>
      </c>
      <c r="M18" s="228" t="str">
        <f>IFERROR(Table_Controls_Input23[[#This Row],[Number of units (Sq.Ft.)]]*INDEX(Table_WinFilm_Savings[Deemed kWh Savings], MATCH(Table_Controls_Input23[[#This Row],[Measure Lookup Detail]], Table_WinFilm_Savings[Lookup Detail], 0)),"" )</f>
        <v/>
      </c>
      <c r="N18" s="229" t="str">
        <f>IFERROR(Table_Controls_Input23[[#This Row],[Number of units (Sq.Ft.)]]*INDEX(Table_WinFilm_Savings[Deemed kW Savings], MATCH(Table_Controls_Input23[[#This Row],[Measure Lookup Detail]], Table_WinFilm_Savings[Lookup Detail], 0)),"" )</f>
        <v/>
      </c>
      <c r="O18" s="227" t="str">
        <f t="shared" si="0"/>
        <v/>
      </c>
      <c r="P18" s="227" t="str">
        <f>IF(Table_Controls_Input23[[#This Row],[Measure number]]="", "", Table_Controls_Input23[[#This Row],[Total equipment cost]]+Table_Controls_Input23[[#This Row],[Total labor cost]])</f>
        <v/>
      </c>
      <c r="Q18" s="227" t="str">
        <f>IFERROR(Table_Controls_Input23[[#This Row],[Gross measure cost]]-Table_Controls_Input23[[#This Row],[Estimated incentive]], "")</f>
        <v/>
      </c>
      <c r="R18" s="228" t="str">
        <f t="shared" si="1"/>
        <v/>
      </c>
      <c r="S18" s="254" t="str">
        <f>_xlfn.CONCAT(Table_Controls_Input23[[#This Row],[Window film measure]], Table_Controls_Input23[[#This Row],[Window direction]])</f>
        <v/>
      </c>
      <c r="T18" s="222"/>
      <c r="U18" s="222"/>
      <c r="V18" s="222"/>
      <c r="W18" s="222"/>
      <c r="X18" s="222"/>
      <c r="Y18" s="222"/>
      <c r="Z18" s="222"/>
      <c r="AA18" s="222"/>
      <c r="AB18" s="222"/>
      <c r="AC18" s="222"/>
      <c r="AD18" s="222"/>
      <c r="AE18" s="222"/>
      <c r="AF18" s="222"/>
      <c r="AG18" s="222"/>
      <c r="AH18" s="222"/>
      <c r="AI18" s="222"/>
      <c r="AJ18" s="222"/>
      <c r="AK18" s="222"/>
      <c r="AL18" s="222"/>
      <c r="AM18" s="222"/>
      <c r="AN18" s="222"/>
    </row>
    <row r="19" spans="1:40">
      <c r="A19" s="222"/>
      <c r="B19" s="223">
        <v>15</v>
      </c>
      <c r="C19" s="192" t="str">
        <f>IFERROR(INDEX(Table_WinFilm_Savings[Measure No], MATCH(Table_Controls_Input23[[#This Row],[Measure Lookup Detail]], Table_WinFilm_Savings[Lookup Detail], 0)), "")</f>
        <v/>
      </c>
      <c r="D19" s="252"/>
      <c r="E19" s="253"/>
      <c r="F19" s="192" t="str">
        <f>IFERROR(INDEX(Table_Prescript_Meas[Units], MATCH(Table_Controls_Input23[[#This Row],[Measure number]], Table_Prescript_Meas[Measure Number], 0)), "")</f>
        <v/>
      </c>
      <c r="G19" s="201"/>
      <c r="H19" s="191"/>
      <c r="I19" s="226"/>
      <c r="J19" s="226"/>
      <c r="K19"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9" s="227" t="str">
        <f>IFERROR(Table_Controls_Input23[[#This Row],[Number of units (Sq.Ft.)]]*Table_Controls_Input23[[#This Row],[Per-unit incentive]], "")</f>
        <v/>
      </c>
      <c r="M19" s="228" t="str">
        <f>IFERROR(Table_Controls_Input23[[#This Row],[Number of units (Sq.Ft.)]]*INDEX(Table_WinFilm_Savings[Deemed kWh Savings], MATCH(Table_Controls_Input23[[#This Row],[Measure Lookup Detail]], Table_WinFilm_Savings[Lookup Detail], 0)),"" )</f>
        <v/>
      </c>
      <c r="N19" s="229" t="str">
        <f>IFERROR(Table_Controls_Input23[[#This Row],[Number of units (Sq.Ft.)]]*INDEX(Table_WinFilm_Savings[Deemed kW Savings], MATCH(Table_Controls_Input23[[#This Row],[Measure Lookup Detail]], Table_WinFilm_Savings[Lookup Detail], 0)),"" )</f>
        <v/>
      </c>
      <c r="O19" s="227" t="str">
        <f t="shared" si="0"/>
        <v/>
      </c>
      <c r="P19" s="227" t="str">
        <f>IF(Table_Controls_Input23[[#This Row],[Measure number]]="", "", Table_Controls_Input23[[#This Row],[Total equipment cost]]+Table_Controls_Input23[[#This Row],[Total labor cost]])</f>
        <v/>
      </c>
      <c r="Q19" s="227" t="str">
        <f>IFERROR(Table_Controls_Input23[[#This Row],[Gross measure cost]]-Table_Controls_Input23[[#This Row],[Estimated incentive]], "")</f>
        <v/>
      </c>
      <c r="R19" s="228" t="str">
        <f t="shared" si="1"/>
        <v/>
      </c>
      <c r="S19" s="254" t="str">
        <f>_xlfn.CONCAT(Table_Controls_Input23[[#This Row],[Window film measure]], Table_Controls_Input23[[#This Row],[Window direction]])</f>
        <v/>
      </c>
      <c r="T19" s="222"/>
      <c r="U19" s="222"/>
      <c r="V19" s="222"/>
      <c r="W19" s="222"/>
      <c r="X19" s="222"/>
      <c r="Y19" s="222"/>
      <c r="Z19" s="222"/>
      <c r="AA19" s="222"/>
      <c r="AB19" s="222"/>
      <c r="AC19" s="222"/>
      <c r="AD19" s="222"/>
      <c r="AE19" s="222"/>
      <c r="AF19" s="222"/>
      <c r="AG19" s="222"/>
      <c r="AH19" s="222"/>
      <c r="AI19" s="222"/>
      <c r="AJ19" s="222"/>
      <c r="AK19" s="222"/>
      <c r="AL19" s="222"/>
      <c r="AM19" s="222"/>
      <c r="AN19" s="222"/>
    </row>
    <row r="20" spans="1:40">
      <c r="A20" s="222"/>
      <c r="B20" s="223">
        <v>16</v>
      </c>
      <c r="C20" s="192" t="str">
        <f>IFERROR(INDEX(Table_WinFilm_Savings[Measure No], MATCH(Table_Controls_Input23[[#This Row],[Measure Lookup Detail]], Table_WinFilm_Savings[Lookup Detail], 0)), "")</f>
        <v/>
      </c>
      <c r="D20" s="252"/>
      <c r="E20" s="253"/>
      <c r="F20" s="192" t="str">
        <f>IFERROR(INDEX(Table_Prescript_Meas[Units], MATCH(Table_Controls_Input23[[#This Row],[Measure number]], Table_Prescript_Meas[Measure Number], 0)), "")</f>
        <v/>
      </c>
      <c r="G20" s="201"/>
      <c r="H20" s="191"/>
      <c r="I20" s="226"/>
      <c r="J20" s="226"/>
      <c r="K20"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0" s="227" t="str">
        <f>IFERROR(Table_Controls_Input23[[#This Row],[Number of units (Sq.Ft.)]]*Table_Controls_Input23[[#This Row],[Per-unit incentive]], "")</f>
        <v/>
      </c>
      <c r="M20" s="228" t="str">
        <f>IFERROR(Table_Controls_Input23[[#This Row],[Number of units (Sq.Ft.)]]*INDEX(Table_WinFilm_Savings[Deemed kWh Savings], MATCH(Table_Controls_Input23[[#This Row],[Measure Lookup Detail]], Table_WinFilm_Savings[Lookup Detail], 0)),"" )</f>
        <v/>
      </c>
      <c r="N20" s="229" t="str">
        <f>IFERROR(Table_Controls_Input23[[#This Row],[Number of units (Sq.Ft.)]]*INDEX(Table_WinFilm_Savings[Deemed kW Savings], MATCH(Table_Controls_Input23[[#This Row],[Measure Lookup Detail]], Table_WinFilm_Savings[Lookup Detail], 0)),"" )</f>
        <v/>
      </c>
      <c r="O20" s="227" t="str">
        <f t="shared" si="0"/>
        <v/>
      </c>
      <c r="P20" s="227" t="str">
        <f>IF(Table_Controls_Input23[[#This Row],[Measure number]]="", "", Table_Controls_Input23[[#This Row],[Total equipment cost]]+Table_Controls_Input23[[#This Row],[Total labor cost]])</f>
        <v/>
      </c>
      <c r="Q20" s="227" t="str">
        <f>IFERROR(Table_Controls_Input23[[#This Row],[Gross measure cost]]-Table_Controls_Input23[[#This Row],[Estimated incentive]], "")</f>
        <v/>
      </c>
      <c r="R20" s="228" t="str">
        <f t="shared" si="1"/>
        <v/>
      </c>
      <c r="S20" s="254" t="str">
        <f>_xlfn.CONCAT(Table_Controls_Input23[[#This Row],[Window film measure]], Table_Controls_Input23[[#This Row],[Window direction]])</f>
        <v/>
      </c>
      <c r="T20" s="222"/>
      <c r="U20" s="222"/>
      <c r="V20" s="222"/>
      <c r="W20" s="222"/>
      <c r="X20" s="222"/>
      <c r="Y20" s="222"/>
      <c r="Z20" s="222"/>
      <c r="AA20" s="222"/>
      <c r="AB20" s="222"/>
      <c r="AC20" s="222"/>
      <c r="AD20" s="222"/>
      <c r="AE20" s="222"/>
      <c r="AF20" s="222"/>
      <c r="AG20" s="222"/>
      <c r="AH20" s="222"/>
      <c r="AI20" s="222"/>
      <c r="AJ20" s="222"/>
      <c r="AK20" s="222"/>
      <c r="AL20" s="222"/>
      <c r="AM20" s="222"/>
      <c r="AN20" s="222"/>
    </row>
    <row r="21" spans="1:40">
      <c r="A21" s="222"/>
      <c r="B21" s="223">
        <v>17</v>
      </c>
      <c r="C21" s="192" t="str">
        <f>IFERROR(INDEX(Table_WinFilm_Savings[Measure No], MATCH(Table_Controls_Input23[[#This Row],[Measure Lookup Detail]], Table_WinFilm_Savings[Lookup Detail], 0)), "")</f>
        <v/>
      </c>
      <c r="D21" s="252"/>
      <c r="E21" s="253"/>
      <c r="F21" s="192" t="str">
        <f>IFERROR(INDEX(Table_Prescript_Meas[Units], MATCH(Table_Controls_Input23[[#This Row],[Measure number]], Table_Prescript_Meas[Measure Number], 0)), "")</f>
        <v/>
      </c>
      <c r="G21" s="201"/>
      <c r="H21" s="191"/>
      <c r="I21" s="226"/>
      <c r="J21" s="226"/>
      <c r="K21"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1" s="227" t="str">
        <f>IFERROR(Table_Controls_Input23[[#This Row],[Number of units (Sq.Ft.)]]*Table_Controls_Input23[[#This Row],[Per-unit incentive]], "")</f>
        <v/>
      </c>
      <c r="M21" s="228" t="str">
        <f>IFERROR(Table_Controls_Input23[[#This Row],[Number of units (Sq.Ft.)]]*INDEX(Table_WinFilm_Savings[Deemed kWh Savings], MATCH(Table_Controls_Input23[[#This Row],[Measure Lookup Detail]], Table_WinFilm_Savings[Lookup Detail], 0)),"" )</f>
        <v/>
      </c>
      <c r="N21" s="229" t="str">
        <f>IFERROR(Table_Controls_Input23[[#This Row],[Number of units (Sq.Ft.)]]*INDEX(Table_WinFilm_Savings[Deemed kW Savings], MATCH(Table_Controls_Input23[[#This Row],[Measure Lookup Detail]], Table_WinFilm_Savings[Lookup Detail], 0)),"" )</f>
        <v/>
      </c>
      <c r="O21" s="227" t="str">
        <f t="shared" si="0"/>
        <v/>
      </c>
      <c r="P21" s="227" t="str">
        <f>IF(Table_Controls_Input23[[#This Row],[Measure number]]="", "", Table_Controls_Input23[[#This Row],[Total equipment cost]]+Table_Controls_Input23[[#This Row],[Total labor cost]])</f>
        <v/>
      </c>
      <c r="Q21" s="227" t="str">
        <f>IFERROR(Table_Controls_Input23[[#This Row],[Gross measure cost]]-Table_Controls_Input23[[#This Row],[Estimated incentive]], "")</f>
        <v/>
      </c>
      <c r="R21" s="228" t="str">
        <f t="shared" si="1"/>
        <v/>
      </c>
      <c r="S21" s="254" t="str">
        <f>_xlfn.CONCAT(Table_Controls_Input23[[#This Row],[Window film measure]], Table_Controls_Input23[[#This Row],[Window direction]])</f>
        <v/>
      </c>
      <c r="T21" s="222"/>
      <c r="U21" s="222"/>
      <c r="V21" s="222"/>
      <c r="W21" s="222"/>
      <c r="X21" s="222"/>
      <c r="Y21" s="222"/>
      <c r="Z21" s="222"/>
      <c r="AA21" s="222"/>
      <c r="AB21" s="222"/>
      <c r="AC21" s="222"/>
      <c r="AD21" s="222"/>
      <c r="AE21" s="222"/>
      <c r="AF21" s="222"/>
      <c r="AG21" s="222"/>
      <c r="AH21" s="222"/>
      <c r="AI21" s="222"/>
      <c r="AJ21" s="222"/>
      <c r="AK21" s="222"/>
      <c r="AL21" s="222"/>
      <c r="AM21" s="222"/>
      <c r="AN21" s="222"/>
    </row>
    <row r="22" spans="1:40">
      <c r="A22" s="222"/>
      <c r="B22" s="223">
        <v>18</v>
      </c>
      <c r="C22" s="192" t="str">
        <f>IFERROR(INDEX(Table_WinFilm_Savings[Measure No], MATCH(Table_Controls_Input23[[#This Row],[Measure Lookup Detail]], Table_WinFilm_Savings[Lookup Detail], 0)), "")</f>
        <v/>
      </c>
      <c r="D22" s="252"/>
      <c r="E22" s="253"/>
      <c r="F22" s="192" t="str">
        <f>IFERROR(INDEX(Table_Prescript_Meas[Units], MATCH(Table_Controls_Input23[[#This Row],[Measure number]], Table_Prescript_Meas[Measure Number], 0)), "")</f>
        <v/>
      </c>
      <c r="G22" s="201"/>
      <c r="H22" s="191"/>
      <c r="I22" s="226"/>
      <c r="J22" s="226"/>
      <c r="K22"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2" s="227" t="str">
        <f>IFERROR(Table_Controls_Input23[[#This Row],[Number of units (Sq.Ft.)]]*Table_Controls_Input23[[#This Row],[Per-unit incentive]], "")</f>
        <v/>
      </c>
      <c r="M22" s="228" t="str">
        <f>IFERROR(Table_Controls_Input23[[#This Row],[Number of units (Sq.Ft.)]]*INDEX(Table_WinFilm_Savings[Deemed kWh Savings], MATCH(Table_Controls_Input23[[#This Row],[Measure Lookup Detail]], Table_WinFilm_Savings[Lookup Detail], 0)),"" )</f>
        <v/>
      </c>
      <c r="N22" s="229" t="str">
        <f>IFERROR(Table_Controls_Input23[[#This Row],[Number of units (Sq.Ft.)]]*INDEX(Table_WinFilm_Savings[Deemed kW Savings], MATCH(Table_Controls_Input23[[#This Row],[Measure Lookup Detail]], Table_WinFilm_Savings[Lookup Detail], 0)),"" )</f>
        <v/>
      </c>
      <c r="O22" s="227" t="str">
        <f t="shared" si="0"/>
        <v/>
      </c>
      <c r="P22" s="227" t="str">
        <f>IF(Table_Controls_Input23[[#This Row],[Measure number]]="", "", Table_Controls_Input23[[#This Row],[Total equipment cost]]+Table_Controls_Input23[[#This Row],[Total labor cost]])</f>
        <v/>
      </c>
      <c r="Q22" s="227" t="str">
        <f>IFERROR(Table_Controls_Input23[[#This Row],[Gross measure cost]]-Table_Controls_Input23[[#This Row],[Estimated incentive]], "")</f>
        <v/>
      </c>
      <c r="R22" s="228" t="str">
        <f t="shared" si="1"/>
        <v/>
      </c>
      <c r="S22" s="254" t="str">
        <f>_xlfn.CONCAT(Table_Controls_Input23[[#This Row],[Window film measure]], Table_Controls_Input23[[#This Row],[Window direction]])</f>
        <v/>
      </c>
      <c r="T22" s="222"/>
      <c r="U22" s="222"/>
      <c r="V22" s="222"/>
      <c r="W22" s="222"/>
      <c r="X22" s="222"/>
      <c r="Y22" s="222"/>
      <c r="Z22" s="222"/>
      <c r="AA22" s="222"/>
      <c r="AB22" s="222"/>
      <c r="AC22" s="222"/>
      <c r="AD22" s="222"/>
      <c r="AE22" s="222"/>
      <c r="AF22" s="222"/>
      <c r="AG22" s="222"/>
      <c r="AH22" s="222"/>
      <c r="AI22" s="222"/>
      <c r="AJ22" s="222"/>
      <c r="AK22" s="222"/>
      <c r="AL22" s="222"/>
      <c r="AM22" s="222"/>
      <c r="AN22" s="222"/>
    </row>
    <row r="23" spans="1:40">
      <c r="A23" s="222"/>
      <c r="B23" s="223">
        <v>19</v>
      </c>
      <c r="C23" s="192" t="str">
        <f>IFERROR(INDEX(Table_WinFilm_Savings[Measure No], MATCH(Table_Controls_Input23[[#This Row],[Measure Lookup Detail]], Table_WinFilm_Savings[Lookup Detail], 0)), "")</f>
        <v/>
      </c>
      <c r="D23" s="252"/>
      <c r="E23" s="253"/>
      <c r="F23" s="192" t="str">
        <f>IFERROR(INDEX(Table_Prescript_Meas[Units], MATCH(Table_Controls_Input23[[#This Row],[Measure number]], Table_Prescript_Meas[Measure Number], 0)), "")</f>
        <v/>
      </c>
      <c r="G23" s="201"/>
      <c r="H23" s="191"/>
      <c r="I23" s="226"/>
      <c r="J23" s="226"/>
      <c r="K23"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3" s="227" t="str">
        <f>IFERROR(Table_Controls_Input23[[#This Row],[Number of units (Sq.Ft.)]]*Table_Controls_Input23[[#This Row],[Per-unit incentive]], "")</f>
        <v/>
      </c>
      <c r="M23" s="228" t="str">
        <f>IFERROR(Table_Controls_Input23[[#This Row],[Number of units (Sq.Ft.)]]*INDEX(Table_WinFilm_Savings[Deemed kWh Savings], MATCH(Table_Controls_Input23[[#This Row],[Measure Lookup Detail]], Table_WinFilm_Savings[Lookup Detail], 0)),"" )</f>
        <v/>
      </c>
      <c r="N23" s="229" t="str">
        <f>IFERROR(Table_Controls_Input23[[#This Row],[Number of units (Sq.Ft.)]]*INDEX(Table_WinFilm_Savings[Deemed kW Savings], MATCH(Table_Controls_Input23[[#This Row],[Measure Lookup Detail]], Table_WinFilm_Savings[Lookup Detail], 0)),"" )</f>
        <v/>
      </c>
      <c r="O23" s="227" t="str">
        <f t="shared" si="0"/>
        <v/>
      </c>
      <c r="P23" s="227" t="str">
        <f>IF(Table_Controls_Input23[[#This Row],[Measure number]]="", "", Table_Controls_Input23[[#This Row],[Total equipment cost]]+Table_Controls_Input23[[#This Row],[Total labor cost]])</f>
        <v/>
      </c>
      <c r="Q23" s="227" t="str">
        <f>IFERROR(Table_Controls_Input23[[#This Row],[Gross measure cost]]-Table_Controls_Input23[[#This Row],[Estimated incentive]], "")</f>
        <v/>
      </c>
      <c r="R23" s="228" t="str">
        <f t="shared" si="1"/>
        <v/>
      </c>
      <c r="S23" s="254" t="str">
        <f>_xlfn.CONCAT(Table_Controls_Input23[[#This Row],[Window film measure]], Table_Controls_Input23[[#This Row],[Window direction]])</f>
        <v/>
      </c>
      <c r="T23" s="222"/>
      <c r="U23" s="222"/>
      <c r="V23" s="222"/>
      <c r="W23" s="222"/>
      <c r="X23" s="222"/>
      <c r="Y23" s="222"/>
      <c r="Z23" s="222"/>
      <c r="AA23" s="222"/>
      <c r="AB23" s="222"/>
      <c r="AC23" s="222"/>
      <c r="AD23" s="222"/>
      <c r="AE23" s="222"/>
      <c r="AF23" s="222"/>
      <c r="AG23" s="222"/>
      <c r="AH23" s="222"/>
      <c r="AI23" s="222"/>
      <c r="AJ23" s="222"/>
      <c r="AK23" s="222"/>
      <c r="AL23" s="222"/>
      <c r="AM23" s="222"/>
      <c r="AN23" s="222"/>
    </row>
    <row r="24" spans="1:40">
      <c r="A24" s="222"/>
      <c r="B24" s="223">
        <v>20</v>
      </c>
      <c r="C24" s="192" t="str">
        <f>IFERROR(INDEX(Table_WinFilm_Savings[Measure No], MATCH(Table_Controls_Input23[[#This Row],[Measure Lookup Detail]], Table_WinFilm_Savings[Lookup Detail], 0)), "")</f>
        <v/>
      </c>
      <c r="D24" s="252"/>
      <c r="E24" s="253"/>
      <c r="F24" s="192" t="str">
        <f>IFERROR(INDEX(Table_Prescript_Meas[Units], MATCH(Table_Controls_Input23[[#This Row],[Measure number]], Table_Prescript_Meas[Measure Number], 0)), "")</f>
        <v/>
      </c>
      <c r="G24" s="201"/>
      <c r="H24" s="191"/>
      <c r="I24" s="226"/>
      <c r="J24" s="226"/>
      <c r="K24"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4" s="227" t="str">
        <f>IFERROR(Table_Controls_Input23[[#This Row],[Number of units (Sq.Ft.)]]*Table_Controls_Input23[[#This Row],[Per-unit incentive]], "")</f>
        <v/>
      </c>
      <c r="M24" s="228" t="str">
        <f>IFERROR(Table_Controls_Input23[[#This Row],[Number of units (Sq.Ft.)]]*INDEX(Table_WinFilm_Savings[Deemed kWh Savings], MATCH(Table_Controls_Input23[[#This Row],[Measure Lookup Detail]], Table_WinFilm_Savings[Lookup Detail], 0)),"" )</f>
        <v/>
      </c>
      <c r="N24" s="229" t="str">
        <f>IFERROR(Table_Controls_Input23[[#This Row],[Number of units (Sq.Ft.)]]*INDEX(Table_WinFilm_Savings[Deemed kW Savings], MATCH(Table_Controls_Input23[[#This Row],[Measure Lookup Detail]], Table_WinFilm_Savings[Lookup Detail], 0)),"" )</f>
        <v/>
      </c>
      <c r="O24" s="227" t="str">
        <f t="shared" si="0"/>
        <v/>
      </c>
      <c r="P24" s="227" t="str">
        <f>IF(Table_Controls_Input23[[#This Row],[Measure number]]="", "", Table_Controls_Input23[[#This Row],[Total equipment cost]]+Table_Controls_Input23[[#This Row],[Total labor cost]])</f>
        <v/>
      </c>
      <c r="Q24" s="227" t="str">
        <f>IFERROR(Table_Controls_Input23[[#This Row],[Gross measure cost]]-Table_Controls_Input23[[#This Row],[Estimated incentive]], "")</f>
        <v/>
      </c>
      <c r="R24" s="228" t="str">
        <f t="shared" si="1"/>
        <v/>
      </c>
      <c r="S24" s="254" t="str">
        <f>_xlfn.CONCAT(Table_Controls_Input23[[#This Row],[Window film measure]], Table_Controls_Input23[[#This Row],[Window direction]])</f>
        <v/>
      </c>
      <c r="T24" s="222"/>
      <c r="U24" s="222"/>
      <c r="V24" s="222"/>
      <c r="W24" s="222"/>
      <c r="X24" s="222"/>
      <c r="Y24" s="222"/>
      <c r="Z24" s="222"/>
      <c r="AA24" s="222"/>
      <c r="AB24" s="222"/>
      <c r="AC24" s="222"/>
      <c r="AD24" s="222"/>
      <c r="AE24" s="222"/>
      <c r="AF24" s="222"/>
      <c r="AG24" s="222"/>
      <c r="AH24" s="222"/>
      <c r="AI24" s="222"/>
      <c r="AJ24" s="222"/>
      <c r="AK24" s="222"/>
      <c r="AL24" s="222"/>
      <c r="AM24" s="222"/>
      <c r="AN24" s="222"/>
    </row>
    <row r="25" spans="1:40">
      <c r="A25" s="222"/>
      <c r="B25" s="223">
        <v>21</v>
      </c>
      <c r="C25" s="192" t="str">
        <f>IFERROR(INDEX(Table_WinFilm_Savings[Measure No], MATCH(Table_Controls_Input23[[#This Row],[Measure Lookup Detail]], Table_WinFilm_Savings[Lookup Detail], 0)), "")</f>
        <v/>
      </c>
      <c r="D25" s="252"/>
      <c r="E25" s="253"/>
      <c r="F25" s="192" t="str">
        <f>IFERROR(INDEX(Table_Prescript_Meas[Units], MATCH(Table_Controls_Input23[[#This Row],[Measure number]], Table_Prescript_Meas[Measure Number], 0)), "")</f>
        <v/>
      </c>
      <c r="G25" s="201"/>
      <c r="H25" s="191"/>
      <c r="I25" s="226"/>
      <c r="J25" s="226"/>
      <c r="K25"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5" s="227" t="str">
        <f>IFERROR(Table_Controls_Input23[[#This Row],[Number of units (Sq.Ft.)]]*Table_Controls_Input23[[#This Row],[Per-unit incentive]], "")</f>
        <v/>
      </c>
      <c r="M25" s="228" t="str">
        <f>IFERROR(Table_Controls_Input23[[#This Row],[Number of units (Sq.Ft.)]]*INDEX(Table_WinFilm_Savings[Deemed kWh Savings], MATCH(Table_Controls_Input23[[#This Row],[Measure Lookup Detail]], Table_WinFilm_Savings[Lookup Detail], 0)),"" )</f>
        <v/>
      </c>
      <c r="N25" s="229" t="str">
        <f>IFERROR(Table_Controls_Input23[[#This Row],[Number of units (Sq.Ft.)]]*INDEX(Table_WinFilm_Savings[Deemed kW Savings], MATCH(Table_Controls_Input23[[#This Row],[Measure Lookup Detail]], Table_WinFilm_Savings[Lookup Detail], 0)),"" )</f>
        <v/>
      </c>
      <c r="O25" s="227" t="str">
        <f t="shared" si="0"/>
        <v/>
      </c>
      <c r="P25" s="227" t="str">
        <f>IF(Table_Controls_Input23[[#This Row],[Measure number]]="", "", Table_Controls_Input23[[#This Row],[Total equipment cost]]+Table_Controls_Input23[[#This Row],[Total labor cost]])</f>
        <v/>
      </c>
      <c r="Q25" s="227" t="str">
        <f>IFERROR(Table_Controls_Input23[[#This Row],[Gross measure cost]]-Table_Controls_Input23[[#This Row],[Estimated incentive]], "")</f>
        <v/>
      </c>
      <c r="R25" s="228" t="str">
        <f t="shared" si="1"/>
        <v/>
      </c>
      <c r="S25" s="254" t="str">
        <f>_xlfn.CONCAT(Table_Controls_Input23[[#This Row],[Window film measure]], Table_Controls_Input23[[#This Row],[Window direction]])</f>
        <v/>
      </c>
      <c r="T25" s="222"/>
      <c r="U25" s="222"/>
      <c r="V25" s="222"/>
      <c r="W25" s="222"/>
      <c r="X25" s="222"/>
      <c r="Y25" s="222"/>
      <c r="Z25" s="222"/>
      <c r="AA25" s="222"/>
      <c r="AB25" s="222"/>
      <c r="AC25" s="222"/>
      <c r="AD25" s="222"/>
      <c r="AE25" s="222"/>
      <c r="AF25" s="222"/>
      <c r="AG25" s="222"/>
      <c r="AH25" s="222"/>
      <c r="AI25" s="222"/>
      <c r="AJ25" s="222"/>
      <c r="AK25" s="222"/>
      <c r="AL25" s="222"/>
      <c r="AM25" s="222"/>
      <c r="AN25" s="222"/>
    </row>
    <row r="26" spans="1:40">
      <c r="A26" s="222"/>
      <c r="B26" s="223">
        <v>22</v>
      </c>
      <c r="C26" s="192" t="str">
        <f>IFERROR(INDEX(Table_WinFilm_Savings[Measure No], MATCH(Table_Controls_Input23[[#This Row],[Measure Lookup Detail]], Table_WinFilm_Savings[Lookup Detail], 0)), "")</f>
        <v/>
      </c>
      <c r="D26" s="252"/>
      <c r="E26" s="253"/>
      <c r="F26" s="192" t="str">
        <f>IFERROR(INDEX(Table_Prescript_Meas[Units], MATCH(Table_Controls_Input23[[#This Row],[Measure number]], Table_Prescript_Meas[Measure Number], 0)), "")</f>
        <v/>
      </c>
      <c r="G26" s="201"/>
      <c r="H26" s="191"/>
      <c r="I26" s="226"/>
      <c r="J26" s="226"/>
      <c r="K26"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6" s="227" t="str">
        <f>IFERROR(Table_Controls_Input23[[#This Row],[Number of units (Sq.Ft.)]]*Table_Controls_Input23[[#This Row],[Per-unit incentive]], "")</f>
        <v/>
      </c>
      <c r="M26" s="228" t="str">
        <f>IFERROR(Table_Controls_Input23[[#This Row],[Number of units (Sq.Ft.)]]*INDEX(Table_WinFilm_Savings[Deemed kWh Savings], MATCH(Table_Controls_Input23[[#This Row],[Measure Lookup Detail]], Table_WinFilm_Savings[Lookup Detail], 0)),"" )</f>
        <v/>
      </c>
      <c r="N26" s="229" t="str">
        <f>IFERROR(Table_Controls_Input23[[#This Row],[Number of units (Sq.Ft.)]]*INDEX(Table_WinFilm_Savings[Deemed kW Savings], MATCH(Table_Controls_Input23[[#This Row],[Measure Lookup Detail]], Table_WinFilm_Savings[Lookup Detail], 0)),"" )</f>
        <v/>
      </c>
      <c r="O26" s="227" t="str">
        <f t="shared" si="0"/>
        <v/>
      </c>
      <c r="P26" s="227" t="str">
        <f>IF(Table_Controls_Input23[[#This Row],[Measure number]]="", "", Table_Controls_Input23[[#This Row],[Total equipment cost]]+Table_Controls_Input23[[#This Row],[Total labor cost]])</f>
        <v/>
      </c>
      <c r="Q26" s="227" t="str">
        <f>IFERROR(Table_Controls_Input23[[#This Row],[Gross measure cost]]-Table_Controls_Input23[[#This Row],[Estimated incentive]], "")</f>
        <v/>
      </c>
      <c r="R26" s="228" t="str">
        <f t="shared" si="1"/>
        <v/>
      </c>
      <c r="S26" s="254" t="str">
        <f>_xlfn.CONCAT(Table_Controls_Input23[[#This Row],[Window film measure]], Table_Controls_Input23[[#This Row],[Window direction]])</f>
        <v/>
      </c>
      <c r="T26" s="222"/>
      <c r="U26" s="222"/>
      <c r="V26" s="222"/>
      <c r="W26" s="222"/>
      <c r="X26" s="222"/>
      <c r="Y26" s="222"/>
      <c r="Z26" s="222"/>
      <c r="AA26" s="222"/>
      <c r="AB26" s="222"/>
      <c r="AC26" s="222"/>
      <c r="AD26" s="222"/>
      <c r="AE26" s="222"/>
      <c r="AF26" s="222"/>
      <c r="AG26" s="222"/>
      <c r="AH26" s="222"/>
      <c r="AI26" s="222"/>
      <c r="AJ26" s="222"/>
      <c r="AK26" s="222"/>
      <c r="AL26" s="222"/>
      <c r="AM26" s="222"/>
      <c r="AN26" s="222"/>
    </row>
    <row r="27" spans="1:40">
      <c r="A27" s="222"/>
      <c r="B27" s="223">
        <v>23</v>
      </c>
      <c r="C27" s="192" t="str">
        <f>IFERROR(INDEX(Table_WinFilm_Savings[Measure No], MATCH(Table_Controls_Input23[[#This Row],[Measure Lookup Detail]], Table_WinFilm_Savings[Lookup Detail], 0)), "")</f>
        <v/>
      </c>
      <c r="D27" s="252"/>
      <c r="E27" s="253"/>
      <c r="F27" s="192" t="str">
        <f>IFERROR(INDEX(Table_Prescript_Meas[Units], MATCH(Table_Controls_Input23[[#This Row],[Measure number]], Table_Prescript_Meas[Measure Number], 0)), "")</f>
        <v/>
      </c>
      <c r="G27" s="201"/>
      <c r="H27" s="191"/>
      <c r="I27" s="226"/>
      <c r="J27" s="226"/>
      <c r="K27"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7" s="227" t="str">
        <f>IFERROR(Table_Controls_Input23[[#This Row],[Number of units (Sq.Ft.)]]*Table_Controls_Input23[[#This Row],[Per-unit incentive]], "")</f>
        <v/>
      </c>
      <c r="M27" s="228" t="str">
        <f>IFERROR(Table_Controls_Input23[[#This Row],[Number of units (Sq.Ft.)]]*INDEX(Table_WinFilm_Savings[Deemed kWh Savings], MATCH(Table_Controls_Input23[[#This Row],[Measure Lookup Detail]], Table_WinFilm_Savings[Lookup Detail], 0)),"" )</f>
        <v/>
      </c>
      <c r="N27" s="229" t="str">
        <f>IFERROR(Table_Controls_Input23[[#This Row],[Number of units (Sq.Ft.)]]*INDEX(Table_WinFilm_Savings[Deemed kW Savings], MATCH(Table_Controls_Input23[[#This Row],[Measure Lookup Detail]], Table_WinFilm_Savings[Lookup Detail], 0)),"" )</f>
        <v/>
      </c>
      <c r="O27" s="227" t="str">
        <f t="shared" si="0"/>
        <v/>
      </c>
      <c r="P27" s="227" t="str">
        <f>IF(Table_Controls_Input23[[#This Row],[Measure number]]="", "", Table_Controls_Input23[[#This Row],[Total equipment cost]]+Table_Controls_Input23[[#This Row],[Total labor cost]])</f>
        <v/>
      </c>
      <c r="Q27" s="227" t="str">
        <f>IFERROR(Table_Controls_Input23[[#This Row],[Gross measure cost]]-Table_Controls_Input23[[#This Row],[Estimated incentive]], "")</f>
        <v/>
      </c>
      <c r="R27" s="228" t="str">
        <f t="shared" si="1"/>
        <v/>
      </c>
      <c r="S27" s="254" t="str">
        <f>_xlfn.CONCAT(Table_Controls_Input23[[#This Row],[Window film measure]], Table_Controls_Input23[[#This Row],[Window direction]])</f>
        <v/>
      </c>
      <c r="T27" s="222"/>
      <c r="U27" s="222"/>
      <c r="V27" s="222"/>
      <c r="W27" s="222"/>
      <c r="X27" s="222"/>
      <c r="Y27" s="222"/>
      <c r="Z27" s="222"/>
      <c r="AA27" s="222"/>
      <c r="AB27" s="222"/>
      <c r="AC27" s="222"/>
      <c r="AD27" s="222"/>
      <c r="AE27" s="222"/>
      <c r="AF27" s="222"/>
      <c r="AG27" s="222"/>
      <c r="AH27" s="222"/>
      <c r="AI27" s="222"/>
      <c r="AJ27" s="222"/>
      <c r="AK27" s="222"/>
      <c r="AL27" s="222"/>
      <c r="AM27" s="222"/>
      <c r="AN27" s="222"/>
    </row>
    <row r="28" spans="1:40">
      <c r="A28" s="222"/>
      <c r="B28" s="223">
        <v>24</v>
      </c>
      <c r="C28" s="192" t="str">
        <f>IFERROR(INDEX(Table_WinFilm_Savings[Measure No], MATCH(Table_Controls_Input23[[#This Row],[Measure Lookup Detail]], Table_WinFilm_Savings[Lookup Detail], 0)), "")</f>
        <v/>
      </c>
      <c r="D28" s="252"/>
      <c r="E28" s="253"/>
      <c r="F28" s="192" t="str">
        <f>IFERROR(INDEX(Table_Prescript_Meas[Units], MATCH(Table_Controls_Input23[[#This Row],[Measure number]], Table_Prescript_Meas[Measure Number], 0)), "")</f>
        <v/>
      </c>
      <c r="G28" s="201"/>
      <c r="H28" s="191"/>
      <c r="I28" s="226"/>
      <c r="J28" s="226"/>
      <c r="K28"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8" s="227" t="str">
        <f>IFERROR(Table_Controls_Input23[[#This Row],[Number of units (Sq.Ft.)]]*Table_Controls_Input23[[#This Row],[Per-unit incentive]], "")</f>
        <v/>
      </c>
      <c r="M28" s="228" t="str">
        <f>IFERROR(Table_Controls_Input23[[#This Row],[Number of units (Sq.Ft.)]]*INDEX(Table_WinFilm_Savings[Deemed kWh Savings], MATCH(Table_Controls_Input23[[#This Row],[Measure Lookup Detail]], Table_WinFilm_Savings[Lookup Detail], 0)),"" )</f>
        <v/>
      </c>
      <c r="N28" s="229" t="str">
        <f>IFERROR(Table_Controls_Input23[[#This Row],[Number of units (Sq.Ft.)]]*INDEX(Table_WinFilm_Savings[Deemed kW Savings], MATCH(Table_Controls_Input23[[#This Row],[Measure Lookup Detail]], Table_WinFilm_Savings[Lookup Detail], 0)),"" )</f>
        <v/>
      </c>
      <c r="O28" s="227" t="str">
        <f t="shared" si="0"/>
        <v/>
      </c>
      <c r="P28" s="227" t="str">
        <f>IF(Table_Controls_Input23[[#This Row],[Measure number]]="", "", Table_Controls_Input23[[#This Row],[Total equipment cost]]+Table_Controls_Input23[[#This Row],[Total labor cost]])</f>
        <v/>
      </c>
      <c r="Q28" s="227" t="str">
        <f>IFERROR(Table_Controls_Input23[[#This Row],[Gross measure cost]]-Table_Controls_Input23[[#This Row],[Estimated incentive]], "")</f>
        <v/>
      </c>
      <c r="R28" s="228" t="str">
        <f t="shared" si="1"/>
        <v/>
      </c>
      <c r="S28" s="254" t="str">
        <f>_xlfn.CONCAT(Table_Controls_Input23[[#This Row],[Window film measure]], Table_Controls_Input23[[#This Row],[Window direction]])</f>
        <v/>
      </c>
      <c r="T28" s="222"/>
      <c r="U28" s="222"/>
      <c r="V28" s="222"/>
      <c r="W28" s="222"/>
      <c r="X28" s="222"/>
      <c r="Y28" s="222"/>
      <c r="Z28" s="222"/>
      <c r="AA28" s="222"/>
      <c r="AB28" s="222"/>
      <c r="AC28" s="222"/>
      <c r="AD28" s="222"/>
      <c r="AE28" s="222"/>
      <c r="AF28" s="222"/>
      <c r="AG28" s="222"/>
      <c r="AH28" s="222"/>
      <c r="AI28" s="222"/>
      <c r="AJ28" s="222"/>
      <c r="AK28" s="222"/>
      <c r="AL28" s="222"/>
      <c r="AM28" s="222"/>
      <c r="AN28" s="222"/>
    </row>
    <row r="29" spans="1:40">
      <c r="A29" s="222"/>
      <c r="B29" s="223">
        <v>25</v>
      </c>
      <c r="C29" s="192" t="str">
        <f>IFERROR(INDEX(Table_WinFilm_Savings[Measure No], MATCH(Table_Controls_Input23[[#This Row],[Measure Lookup Detail]], Table_WinFilm_Savings[Lookup Detail], 0)), "")</f>
        <v/>
      </c>
      <c r="D29" s="252"/>
      <c r="E29" s="253"/>
      <c r="F29" s="192" t="str">
        <f>IFERROR(INDEX(Table_Prescript_Meas[Units], MATCH(Table_Controls_Input23[[#This Row],[Measure number]], Table_Prescript_Meas[Measure Number], 0)), "")</f>
        <v/>
      </c>
      <c r="G29" s="201"/>
      <c r="H29" s="191"/>
      <c r="I29" s="226"/>
      <c r="J29" s="226"/>
      <c r="K29"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9" s="227" t="str">
        <f>IFERROR(Table_Controls_Input23[[#This Row],[Number of units (Sq.Ft.)]]*Table_Controls_Input23[[#This Row],[Per-unit incentive]], "")</f>
        <v/>
      </c>
      <c r="M29" s="228" t="str">
        <f>IFERROR(Table_Controls_Input23[[#This Row],[Number of units (Sq.Ft.)]]*INDEX(Table_WinFilm_Savings[Deemed kWh Savings], MATCH(Table_Controls_Input23[[#This Row],[Measure Lookup Detail]], Table_WinFilm_Savings[Lookup Detail], 0)),"" )</f>
        <v/>
      </c>
      <c r="N29" s="229" t="str">
        <f>IFERROR(Table_Controls_Input23[[#This Row],[Number of units (Sq.Ft.)]]*INDEX(Table_WinFilm_Savings[Deemed kW Savings], MATCH(Table_Controls_Input23[[#This Row],[Measure Lookup Detail]], Table_WinFilm_Savings[Lookup Detail], 0)),"" )</f>
        <v/>
      </c>
      <c r="O29" s="227" t="str">
        <f t="shared" si="0"/>
        <v/>
      </c>
      <c r="P29" s="227" t="str">
        <f>IF(Table_Controls_Input23[[#This Row],[Measure number]]="", "", Table_Controls_Input23[[#This Row],[Total equipment cost]]+Table_Controls_Input23[[#This Row],[Total labor cost]])</f>
        <v/>
      </c>
      <c r="Q29" s="227" t="str">
        <f>IFERROR(Table_Controls_Input23[[#This Row],[Gross measure cost]]-Table_Controls_Input23[[#This Row],[Estimated incentive]], "")</f>
        <v/>
      </c>
      <c r="R29" s="228" t="str">
        <f t="shared" si="1"/>
        <v/>
      </c>
      <c r="S29" s="254" t="str">
        <f>_xlfn.CONCAT(Table_Controls_Input23[[#This Row],[Window film measure]], Table_Controls_Input23[[#This Row],[Window direction]])</f>
        <v/>
      </c>
      <c r="T29" s="222"/>
      <c r="U29" s="222"/>
      <c r="V29" s="222"/>
      <c r="W29" s="222"/>
      <c r="X29" s="222"/>
      <c r="Y29" s="222"/>
      <c r="Z29" s="222"/>
      <c r="AA29" s="222"/>
      <c r="AB29" s="222"/>
      <c r="AC29" s="222"/>
      <c r="AD29" s="222"/>
      <c r="AE29" s="222"/>
      <c r="AF29" s="222"/>
      <c r="AG29" s="222"/>
      <c r="AH29" s="222"/>
      <c r="AI29" s="222"/>
      <c r="AJ29" s="222"/>
      <c r="AK29" s="222"/>
      <c r="AL29" s="222"/>
      <c r="AM29" s="222"/>
      <c r="AN29" s="222"/>
    </row>
    <row r="30" spans="1:40">
      <c r="A30" s="222"/>
      <c r="B30" s="223">
        <v>26</v>
      </c>
      <c r="C30" s="192" t="str">
        <f>IFERROR(INDEX(Table_WinFilm_Savings[Measure No], MATCH(Table_Controls_Input23[[#This Row],[Measure Lookup Detail]], Table_WinFilm_Savings[Lookup Detail], 0)), "")</f>
        <v/>
      </c>
      <c r="D30" s="252"/>
      <c r="E30" s="253"/>
      <c r="F30" s="192" t="str">
        <f>IFERROR(INDEX(Table_Prescript_Meas[Units], MATCH(Table_Controls_Input23[[#This Row],[Measure number]], Table_Prescript_Meas[Measure Number], 0)), "")</f>
        <v/>
      </c>
      <c r="G30" s="201"/>
      <c r="H30" s="191"/>
      <c r="I30" s="226"/>
      <c r="J30" s="226"/>
      <c r="K30"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0" s="227" t="str">
        <f>IFERROR(Table_Controls_Input23[[#This Row],[Number of units (Sq.Ft.)]]*Table_Controls_Input23[[#This Row],[Per-unit incentive]], "")</f>
        <v/>
      </c>
      <c r="M30" s="228" t="str">
        <f>IFERROR(Table_Controls_Input23[[#This Row],[Number of units (Sq.Ft.)]]*INDEX(Table_WinFilm_Savings[Deemed kWh Savings], MATCH(Table_Controls_Input23[[#This Row],[Measure Lookup Detail]], Table_WinFilm_Savings[Lookup Detail], 0)),"" )</f>
        <v/>
      </c>
      <c r="N30" s="229" t="str">
        <f>IFERROR(Table_Controls_Input23[[#This Row],[Number of units (Sq.Ft.)]]*INDEX(Table_WinFilm_Savings[Deemed kW Savings], MATCH(Table_Controls_Input23[[#This Row],[Measure Lookup Detail]], Table_WinFilm_Savings[Lookup Detail], 0)),"" )</f>
        <v/>
      </c>
      <c r="O30" s="227" t="str">
        <f t="shared" si="0"/>
        <v/>
      </c>
      <c r="P30" s="227" t="str">
        <f>IF(Table_Controls_Input23[[#This Row],[Measure number]]="", "", Table_Controls_Input23[[#This Row],[Total equipment cost]]+Table_Controls_Input23[[#This Row],[Total labor cost]])</f>
        <v/>
      </c>
      <c r="Q30" s="227" t="str">
        <f>IFERROR(Table_Controls_Input23[[#This Row],[Gross measure cost]]-Table_Controls_Input23[[#This Row],[Estimated incentive]], "")</f>
        <v/>
      </c>
      <c r="R30" s="228" t="str">
        <f t="shared" si="1"/>
        <v/>
      </c>
      <c r="S30" s="254" t="str">
        <f>_xlfn.CONCAT(Table_Controls_Input23[[#This Row],[Window film measure]], Table_Controls_Input23[[#This Row],[Window direction]])</f>
        <v/>
      </c>
      <c r="T30" s="222"/>
      <c r="U30" s="222"/>
      <c r="V30" s="222"/>
      <c r="W30" s="222"/>
      <c r="X30" s="222"/>
      <c r="Y30" s="222"/>
      <c r="Z30" s="222"/>
      <c r="AA30" s="222"/>
      <c r="AB30" s="222"/>
      <c r="AC30" s="222"/>
      <c r="AD30" s="222"/>
      <c r="AE30" s="222"/>
      <c r="AF30" s="222"/>
      <c r="AG30" s="222"/>
      <c r="AH30" s="222"/>
      <c r="AI30" s="222"/>
      <c r="AJ30" s="222"/>
      <c r="AK30" s="222"/>
      <c r="AL30" s="222"/>
      <c r="AM30" s="222"/>
      <c r="AN30" s="222"/>
    </row>
    <row r="31" spans="1:40">
      <c r="A31" s="193"/>
      <c r="B31" s="223">
        <v>27</v>
      </c>
      <c r="C31" s="192" t="str">
        <f>IFERROR(INDEX(Table_WinFilm_Savings[Measure No], MATCH(Table_Controls_Input23[[#This Row],[Measure Lookup Detail]], Table_WinFilm_Savings[Lookup Detail], 0)), "")</f>
        <v/>
      </c>
      <c r="D31" s="252"/>
      <c r="E31" s="253"/>
      <c r="F31" s="192" t="str">
        <f>IFERROR(INDEX(Table_Prescript_Meas[Units], MATCH(Table_Controls_Input23[[#This Row],[Measure number]], Table_Prescript_Meas[Measure Number], 0)), "")</f>
        <v/>
      </c>
      <c r="G31" s="201"/>
      <c r="H31" s="191"/>
      <c r="I31" s="226"/>
      <c r="J31" s="226"/>
      <c r="K31"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1" s="227" t="str">
        <f>IFERROR(Table_Controls_Input23[[#This Row],[Number of units (Sq.Ft.)]]*Table_Controls_Input23[[#This Row],[Per-unit incentive]], "")</f>
        <v/>
      </c>
      <c r="M31" s="228" t="str">
        <f>IFERROR(Table_Controls_Input23[[#This Row],[Number of units (Sq.Ft.)]]*INDEX(Table_WinFilm_Savings[Deemed kWh Savings], MATCH(Table_Controls_Input23[[#This Row],[Measure Lookup Detail]], Table_WinFilm_Savings[Lookup Detail], 0)),"" )</f>
        <v/>
      </c>
      <c r="N31" s="229" t="str">
        <f>IFERROR(Table_Controls_Input23[[#This Row],[Number of units (Sq.Ft.)]]*INDEX(Table_WinFilm_Savings[Deemed kW Savings], MATCH(Table_Controls_Input23[[#This Row],[Measure Lookup Detail]], Table_WinFilm_Savings[Lookup Detail], 0)),"" )</f>
        <v/>
      </c>
      <c r="O31" s="227" t="str">
        <f t="shared" si="0"/>
        <v/>
      </c>
      <c r="P31" s="227" t="str">
        <f>IF(Table_Controls_Input23[[#This Row],[Measure number]]="", "", Table_Controls_Input23[[#This Row],[Total equipment cost]]+Table_Controls_Input23[[#This Row],[Total labor cost]])</f>
        <v/>
      </c>
      <c r="Q31" s="227" t="str">
        <f>IFERROR(Table_Controls_Input23[[#This Row],[Gross measure cost]]-Table_Controls_Input23[[#This Row],[Estimated incentive]], "")</f>
        <v/>
      </c>
      <c r="R31" s="228" t="str">
        <f t="shared" si="1"/>
        <v/>
      </c>
      <c r="S31" s="254" t="str">
        <f>_xlfn.CONCAT(Table_Controls_Input23[[#This Row],[Window film measure]], Table_Controls_Input23[[#This Row],[Window direction]])</f>
        <v/>
      </c>
      <c r="T31" s="193"/>
      <c r="U31" s="193"/>
      <c r="V31" s="193"/>
      <c r="W31" s="193"/>
      <c r="X31" s="193"/>
      <c r="Y31" s="193"/>
      <c r="Z31" s="193"/>
      <c r="AA31" s="193"/>
      <c r="AB31" s="193"/>
      <c r="AC31" s="193"/>
      <c r="AD31" s="193"/>
      <c r="AE31" s="193"/>
      <c r="AF31" s="193"/>
      <c r="AG31" s="193"/>
      <c r="AH31" s="193"/>
      <c r="AI31" s="193"/>
      <c r="AJ31" s="193"/>
      <c r="AK31" s="193"/>
      <c r="AL31" s="193"/>
      <c r="AM31" s="193"/>
      <c r="AN31" s="193"/>
    </row>
    <row r="32" spans="1:40">
      <c r="A32" s="193"/>
      <c r="B32" s="223">
        <v>28</v>
      </c>
      <c r="C32" s="192" t="str">
        <f>IFERROR(INDEX(Table_WinFilm_Savings[Measure No], MATCH(Table_Controls_Input23[[#This Row],[Measure Lookup Detail]], Table_WinFilm_Savings[Lookup Detail], 0)), "")</f>
        <v/>
      </c>
      <c r="D32" s="252"/>
      <c r="E32" s="253"/>
      <c r="F32" s="192" t="str">
        <f>IFERROR(INDEX(Table_Prescript_Meas[Units], MATCH(Table_Controls_Input23[[#This Row],[Measure number]], Table_Prescript_Meas[Measure Number], 0)), "")</f>
        <v/>
      </c>
      <c r="G32" s="201"/>
      <c r="H32" s="191"/>
      <c r="I32" s="226"/>
      <c r="J32" s="226"/>
      <c r="K32"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2" s="227" t="str">
        <f>IFERROR(Table_Controls_Input23[[#This Row],[Number of units (Sq.Ft.)]]*Table_Controls_Input23[[#This Row],[Per-unit incentive]], "")</f>
        <v/>
      </c>
      <c r="M32" s="228" t="str">
        <f>IFERROR(Table_Controls_Input23[[#This Row],[Number of units (Sq.Ft.)]]*INDEX(Table_WinFilm_Savings[Deemed kWh Savings], MATCH(Table_Controls_Input23[[#This Row],[Measure Lookup Detail]], Table_WinFilm_Savings[Lookup Detail], 0)),"" )</f>
        <v/>
      </c>
      <c r="N32" s="229" t="str">
        <f>IFERROR(Table_Controls_Input23[[#This Row],[Number of units (Sq.Ft.)]]*INDEX(Table_WinFilm_Savings[Deemed kW Savings], MATCH(Table_Controls_Input23[[#This Row],[Measure Lookup Detail]], Table_WinFilm_Savings[Lookup Detail], 0)),"" )</f>
        <v/>
      </c>
      <c r="O32" s="227" t="str">
        <f t="shared" si="0"/>
        <v/>
      </c>
      <c r="P32" s="227" t="str">
        <f>IF(Table_Controls_Input23[[#This Row],[Measure number]]="", "", Table_Controls_Input23[[#This Row],[Total equipment cost]]+Table_Controls_Input23[[#This Row],[Total labor cost]])</f>
        <v/>
      </c>
      <c r="Q32" s="227" t="str">
        <f>IFERROR(Table_Controls_Input23[[#This Row],[Gross measure cost]]-Table_Controls_Input23[[#This Row],[Estimated incentive]], "")</f>
        <v/>
      </c>
      <c r="R32" s="228" t="str">
        <f t="shared" si="1"/>
        <v/>
      </c>
      <c r="S32" s="254" t="str">
        <f>_xlfn.CONCAT(Table_Controls_Input23[[#This Row],[Window film measure]], Table_Controls_Input23[[#This Row],[Window direction]])</f>
        <v/>
      </c>
      <c r="T32" s="193"/>
      <c r="U32" s="193"/>
      <c r="V32" s="193"/>
      <c r="W32" s="193"/>
      <c r="X32" s="193"/>
      <c r="Y32" s="193"/>
      <c r="Z32" s="193"/>
      <c r="AA32" s="193"/>
      <c r="AB32" s="193"/>
      <c r="AC32" s="193"/>
      <c r="AD32" s="193"/>
      <c r="AE32" s="193"/>
      <c r="AF32" s="193"/>
      <c r="AG32" s="193"/>
      <c r="AH32" s="193"/>
      <c r="AI32" s="193"/>
      <c r="AJ32" s="193"/>
      <c r="AK32" s="193"/>
      <c r="AL32" s="193"/>
      <c r="AM32" s="193"/>
      <c r="AN32" s="193"/>
    </row>
    <row r="33" spans="1:40">
      <c r="A33" s="193"/>
      <c r="B33" s="223">
        <v>29</v>
      </c>
      <c r="C33" s="192" t="str">
        <f>IFERROR(INDEX(Table_WinFilm_Savings[Measure No], MATCH(Table_Controls_Input23[[#This Row],[Measure Lookup Detail]], Table_WinFilm_Savings[Lookup Detail], 0)), "")</f>
        <v/>
      </c>
      <c r="D33" s="252"/>
      <c r="E33" s="253"/>
      <c r="F33" s="192" t="str">
        <f>IFERROR(INDEX(Table_Prescript_Meas[Units], MATCH(Table_Controls_Input23[[#This Row],[Measure number]], Table_Prescript_Meas[Measure Number], 0)), "")</f>
        <v/>
      </c>
      <c r="G33" s="201"/>
      <c r="H33" s="191"/>
      <c r="I33" s="226"/>
      <c r="J33" s="226"/>
      <c r="K33"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3" s="227" t="str">
        <f>IFERROR(Table_Controls_Input23[[#This Row],[Number of units (Sq.Ft.)]]*Table_Controls_Input23[[#This Row],[Per-unit incentive]], "")</f>
        <v/>
      </c>
      <c r="M33" s="228" t="str">
        <f>IFERROR(Table_Controls_Input23[[#This Row],[Number of units (Sq.Ft.)]]*INDEX(Table_WinFilm_Savings[Deemed kWh Savings], MATCH(Table_Controls_Input23[[#This Row],[Measure Lookup Detail]], Table_WinFilm_Savings[Lookup Detail], 0)),"" )</f>
        <v/>
      </c>
      <c r="N33" s="229" t="str">
        <f>IFERROR(Table_Controls_Input23[[#This Row],[Number of units (Sq.Ft.)]]*INDEX(Table_WinFilm_Savings[Deemed kW Savings], MATCH(Table_Controls_Input23[[#This Row],[Measure Lookup Detail]], Table_WinFilm_Savings[Lookup Detail], 0)),"" )</f>
        <v/>
      </c>
      <c r="O33" s="227" t="str">
        <f t="shared" si="0"/>
        <v/>
      </c>
      <c r="P33" s="227" t="str">
        <f>IF(Table_Controls_Input23[[#This Row],[Measure number]]="", "", Table_Controls_Input23[[#This Row],[Total equipment cost]]+Table_Controls_Input23[[#This Row],[Total labor cost]])</f>
        <v/>
      </c>
      <c r="Q33" s="227" t="str">
        <f>IFERROR(Table_Controls_Input23[[#This Row],[Gross measure cost]]-Table_Controls_Input23[[#This Row],[Estimated incentive]], "")</f>
        <v/>
      </c>
      <c r="R33" s="228" t="str">
        <f t="shared" si="1"/>
        <v/>
      </c>
      <c r="S33" s="254" t="str">
        <f>_xlfn.CONCAT(Table_Controls_Input23[[#This Row],[Window film measure]], Table_Controls_Input23[[#This Row],[Window direction]])</f>
        <v/>
      </c>
      <c r="T33" s="193"/>
      <c r="U33" s="193"/>
      <c r="V33" s="193"/>
      <c r="W33" s="193"/>
      <c r="X33" s="193"/>
      <c r="Y33" s="193"/>
      <c r="Z33" s="193"/>
      <c r="AA33" s="193"/>
      <c r="AB33" s="193"/>
      <c r="AC33" s="193"/>
      <c r="AD33" s="193"/>
      <c r="AE33" s="193"/>
      <c r="AF33" s="193"/>
      <c r="AG33" s="193"/>
      <c r="AH33" s="193"/>
      <c r="AI33" s="193"/>
      <c r="AJ33" s="193"/>
      <c r="AK33" s="193"/>
      <c r="AL33" s="193"/>
      <c r="AM33" s="193"/>
      <c r="AN33" s="193"/>
    </row>
    <row r="34" spans="1:40">
      <c r="A34" s="193"/>
      <c r="B34" s="223">
        <v>30</v>
      </c>
      <c r="C34" s="192" t="str">
        <f>IFERROR(INDEX(Table_WinFilm_Savings[Measure No], MATCH(Table_Controls_Input23[[#This Row],[Measure Lookup Detail]], Table_WinFilm_Savings[Lookup Detail], 0)), "")</f>
        <v/>
      </c>
      <c r="D34" s="252"/>
      <c r="E34" s="253"/>
      <c r="F34" s="192" t="str">
        <f>IFERROR(INDEX(Table_Prescript_Meas[Units], MATCH(Table_Controls_Input23[[#This Row],[Measure number]], Table_Prescript_Meas[Measure Number], 0)), "")</f>
        <v/>
      </c>
      <c r="G34" s="201"/>
      <c r="H34" s="191"/>
      <c r="I34" s="226"/>
      <c r="J34" s="226"/>
      <c r="K34" s="227"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4" s="227" t="str">
        <f>IFERROR(Table_Controls_Input23[[#This Row],[Number of units (Sq.Ft.)]]*Table_Controls_Input23[[#This Row],[Per-unit incentive]], "")</f>
        <v/>
      </c>
      <c r="M34" s="228" t="str">
        <f>IFERROR(Table_Controls_Input23[[#This Row],[Number of units (Sq.Ft.)]]*INDEX(Table_WinFilm_Savings[Deemed kWh Savings], MATCH(Table_Controls_Input23[[#This Row],[Measure Lookup Detail]], Table_WinFilm_Savings[Lookup Detail], 0)),"" )</f>
        <v/>
      </c>
      <c r="N34" s="229" t="str">
        <f>IFERROR(Table_Controls_Input23[[#This Row],[Number of units (Sq.Ft.)]]*INDEX(Table_WinFilm_Savings[Deemed kW Savings], MATCH(Table_Controls_Input23[[#This Row],[Measure Lookup Detail]], Table_WinFilm_Savings[Lookup Detail], 0)),"" )</f>
        <v/>
      </c>
      <c r="O34" s="227" t="str">
        <f t="shared" si="0"/>
        <v/>
      </c>
      <c r="P34" s="227" t="str">
        <f>IF(Table_Controls_Input23[[#This Row],[Measure number]]="", "", Table_Controls_Input23[[#This Row],[Total equipment cost]]+Table_Controls_Input23[[#This Row],[Total labor cost]])</f>
        <v/>
      </c>
      <c r="Q34" s="227" t="str">
        <f>IFERROR(Table_Controls_Input23[[#This Row],[Gross measure cost]]-Table_Controls_Input23[[#This Row],[Estimated incentive]], "")</f>
        <v/>
      </c>
      <c r="R34" s="228" t="str">
        <f t="shared" si="1"/>
        <v/>
      </c>
      <c r="S34" s="254" t="str">
        <f>_xlfn.CONCAT(Table_Controls_Input23[[#This Row],[Window film measure]], Table_Controls_Input23[[#This Row],[Window direction]])</f>
        <v/>
      </c>
      <c r="T34" s="193"/>
      <c r="U34" s="193"/>
      <c r="V34" s="193"/>
      <c r="W34" s="193"/>
      <c r="X34" s="193"/>
      <c r="Y34" s="193"/>
      <c r="Z34" s="193"/>
      <c r="AA34" s="193"/>
      <c r="AB34" s="193"/>
      <c r="AC34" s="193"/>
      <c r="AD34" s="193"/>
      <c r="AE34" s="193"/>
      <c r="AF34" s="193"/>
      <c r="AG34" s="193"/>
      <c r="AH34" s="193"/>
      <c r="AI34" s="193"/>
      <c r="AJ34" s="193"/>
      <c r="AK34" s="193"/>
      <c r="AL34" s="193"/>
      <c r="AM34" s="193"/>
      <c r="AN34" s="193"/>
    </row>
    <row r="35" spans="1:40">
      <c r="A35" s="193"/>
      <c r="S35" s="250"/>
      <c r="T35" s="193"/>
      <c r="U35" s="193"/>
      <c r="V35" s="193"/>
      <c r="W35" s="193"/>
      <c r="X35" s="193"/>
      <c r="Y35" s="193"/>
      <c r="Z35" s="193"/>
      <c r="AA35" s="193"/>
      <c r="AB35" s="193"/>
      <c r="AC35" s="193"/>
      <c r="AD35" s="193"/>
      <c r="AE35" s="193"/>
      <c r="AF35" s="193"/>
      <c r="AG35" s="193"/>
      <c r="AH35" s="193"/>
      <c r="AI35" s="193"/>
      <c r="AJ35" s="193"/>
      <c r="AK35" s="193"/>
      <c r="AL35" s="193"/>
      <c r="AM35" s="193"/>
      <c r="AN35" s="193"/>
    </row>
    <row r="36" spans="1:40">
      <c r="S36" s="189"/>
    </row>
    <row r="37" spans="1:40">
      <c r="B37" s="189" t="s">
        <v>37</v>
      </c>
      <c r="S37" s="189"/>
    </row>
    <row r="38" spans="1:40">
      <c r="B38" s="189" t="str">
        <f>Value_Application_Version</f>
        <v>Version 5.0 - 2025</v>
      </c>
      <c r="S38" s="189"/>
    </row>
    <row r="39" spans="1:40">
      <c r="S39" s="189"/>
    </row>
    <row r="40" spans="1:40">
      <c r="A40" s="193"/>
      <c r="S40" s="250"/>
      <c r="T40" s="193"/>
      <c r="U40" s="193"/>
      <c r="V40" s="193"/>
      <c r="W40" s="193"/>
      <c r="X40" s="193"/>
      <c r="Y40" s="193"/>
      <c r="Z40" s="193"/>
      <c r="AA40" s="193"/>
      <c r="AB40" s="193"/>
      <c r="AC40" s="193"/>
      <c r="AD40" s="193"/>
      <c r="AE40" s="193"/>
      <c r="AF40" s="193"/>
      <c r="AG40" s="193"/>
      <c r="AH40" s="193"/>
      <c r="AI40" s="193"/>
      <c r="AJ40" s="193"/>
      <c r="AK40" s="193"/>
      <c r="AL40" s="193"/>
      <c r="AM40" s="193"/>
      <c r="AN40" s="193"/>
    </row>
    <row r="41" spans="1:40">
      <c r="A41" s="193"/>
      <c r="S41" s="250"/>
      <c r="T41" s="193"/>
      <c r="U41" s="193"/>
      <c r="V41" s="193"/>
      <c r="W41" s="193"/>
      <c r="X41" s="193"/>
      <c r="Y41" s="193"/>
      <c r="Z41" s="193"/>
      <c r="AA41" s="193"/>
      <c r="AB41" s="193"/>
      <c r="AC41" s="193"/>
      <c r="AD41" s="193"/>
      <c r="AE41" s="193"/>
      <c r="AF41" s="193"/>
      <c r="AG41" s="193"/>
      <c r="AH41" s="193"/>
      <c r="AI41" s="193"/>
      <c r="AJ41" s="193"/>
      <c r="AK41" s="193"/>
      <c r="AL41" s="193"/>
      <c r="AM41" s="193"/>
      <c r="AN41" s="193"/>
    </row>
    <row r="42" spans="1:40">
      <c r="A42" s="193"/>
      <c r="S42" s="250"/>
      <c r="T42" s="193"/>
      <c r="U42" s="193"/>
      <c r="V42" s="193"/>
      <c r="W42" s="193"/>
      <c r="X42" s="193"/>
      <c r="Y42" s="193"/>
      <c r="Z42" s="193"/>
      <c r="AA42" s="193"/>
      <c r="AB42" s="193"/>
      <c r="AC42" s="193"/>
      <c r="AD42" s="193"/>
      <c r="AE42" s="193"/>
      <c r="AF42" s="193"/>
      <c r="AG42" s="193"/>
      <c r="AH42" s="193"/>
      <c r="AI42" s="193"/>
      <c r="AJ42" s="193"/>
      <c r="AK42" s="193"/>
      <c r="AL42" s="193"/>
      <c r="AM42" s="193"/>
      <c r="AN42" s="193"/>
    </row>
    <row r="43" spans="1:40">
      <c r="A43" s="193"/>
      <c r="S43" s="250"/>
      <c r="T43" s="193"/>
      <c r="U43" s="193"/>
      <c r="V43" s="193"/>
      <c r="W43" s="193"/>
      <c r="X43" s="193"/>
      <c r="Y43" s="193"/>
      <c r="Z43" s="193"/>
      <c r="AA43" s="193"/>
      <c r="AB43" s="193"/>
      <c r="AC43" s="193"/>
      <c r="AD43" s="193"/>
      <c r="AE43" s="193"/>
      <c r="AF43" s="193"/>
      <c r="AG43" s="193"/>
      <c r="AH43" s="193"/>
      <c r="AI43" s="193"/>
      <c r="AJ43" s="193"/>
      <c r="AK43" s="193"/>
      <c r="AL43" s="193"/>
      <c r="AM43" s="193"/>
      <c r="AN43" s="193"/>
    </row>
    <row r="44" spans="1:40">
      <c r="A44" s="193"/>
      <c r="S44" s="250"/>
      <c r="T44" s="193"/>
      <c r="U44" s="193"/>
      <c r="V44" s="193"/>
      <c r="W44" s="193"/>
      <c r="X44" s="193"/>
      <c r="Y44" s="193"/>
      <c r="Z44" s="193"/>
      <c r="AA44" s="193"/>
      <c r="AB44" s="193"/>
      <c r="AC44" s="193"/>
      <c r="AD44" s="193"/>
      <c r="AE44" s="193"/>
      <c r="AF44" s="193"/>
      <c r="AG44" s="193"/>
      <c r="AH44" s="193"/>
      <c r="AI44" s="193"/>
      <c r="AJ44" s="193"/>
      <c r="AK44" s="193"/>
      <c r="AL44" s="193"/>
      <c r="AM44" s="193"/>
      <c r="AN44" s="193"/>
    </row>
    <row r="45" spans="1:40">
      <c r="A45" s="193"/>
      <c r="S45" s="250"/>
      <c r="T45" s="193"/>
      <c r="U45" s="193"/>
      <c r="V45" s="193"/>
      <c r="W45" s="193"/>
      <c r="X45" s="193"/>
      <c r="Y45" s="193"/>
      <c r="Z45" s="193"/>
      <c r="AA45" s="193"/>
      <c r="AB45" s="193"/>
      <c r="AC45" s="193"/>
      <c r="AD45" s="193"/>
      <c r="AE45" s="193"/>
      <c r="AF45" s="193"/>
      <c r="AG45" s="193"/>
      <c r="AH45" s="193"/>
      <c r="AI45" s="193"/>
      <c r="AJ45" s="193"/>
      <c r="AK45" s="193"/>
      <c r="AL45" s="193"/>
      <c r="AM45" s="193"/>
      <c r="AN45" s="193"/>
    </row>
    <row r="46" spans="1:40">
      <c r="A46" s="193"/>
      <c r="S46" s="250"/>
      <c r="T46" s="193"/>
      <c r="U46" s="193"/>
      <c r="V46" s="193"/>
      <c r="W46" s="193"/>
      <c r="X46" s="193"/>
      <c r="Y46" s="193"/>
      <c r="Z46" s="193"/>
      <c r="AA46" s="193"/>
      <c r="AB46" s="193"/>
      <c r="AC46" s="193"/>
      <c r="AD46" s="193"/>
      <c r="AE46" s="193"/>
      <c r="AF46" s="193"/>
      <c r="AG46" s="193"/>
      <c r="AH46" s="193"/>
      <c r="AI46" s="193"/>
      <c r="AJ46" s="193"/>
      <c r="AK46" s="193"/>
      <c r="AL46" s="193"/>
      <c r="AM46" s="193"/>
      <c r="AN46" s="193"/>
    </row>
    <row r="47" spans="1:40">
      <c r="A47" s="193"/>
      <c r="S47" s="250"/>
      <c r="T47" s="193"/>
      <c r="U47" s="193"/>
      <c r="V47" s="193"/>
      <c r="W47" s="193"/>
      <c r="X47" s="193"/>
      <c r="Y47" s="193"/>
      <c r="Z47" s="193"/>
      <c r="AA47" s="193"/>
      <c r="AB47" s="193"/>
      <c r="AC47" s="193"/>
      <c r="AD47" s="193"/>
      <c r="AE47" s="193"/>
      <c r="AF47" s="193"/>
      <c r="AG47" s="193"/>
      <c r="AH47" s="193"/>
      <c r="AI47" s="193"/>
      <c r="AJ47" s="193"/>
      <c r="AK47" s="193"/>
      <c r="AL47" s="193"/>
      <c r="AM47" s="193"/>
      <c r="AN47" s="193"/>
    </row>
    <row r="48" spans="1:40">
      <c r="A48" s="193"/>
      <c r="S48" s="250"/>
      <c r="T48" s="193"/>
      <c r="U48" s="193"/>
      <c r="V48" s="193"/>
      <c r="W48" s="193"/>
      <c r="X48" s="193"/>
      <c r="Y48" s="193"/>
      <c r="Z48" s="193"/>
      <c r="AA48" s="193"/>
      <c r="AB48" s="193"/>
      <c r="AC48" s="193"/>
      <c r="AD48" s="193"/>
      <c r="AE48" s="193"/>
      <c r="AF48" s="193"/>
      <c r="AG48" s="193"/>
      <c r="AH48" s="193"/>
      <c r="AI48" s="193"/>
      <c r="AJ48" s="193"/>
      <c r="AK48" s="193"/>
      <c r="AL48" s="193"/>
      <c r="AM48" s="193"/>
      <c r="AN48" s="193"/>
    </row>
    <row r="49" spans="1:40">
      <c r="A49" s="193"/>
      <c r="S49" s="250"/>
      <c r="T49" s="193"/>
      <c r="U49" s="193"/>
      <c r="V49" s="193"/>
      <c r="W49" s="193"/>
      <c r="X49" s="193"/>
      <c r="Y49" s="193"/>
      <c r="Z49" s="193"/>
      <c r="AA49" s="193"/>
      <c r="AB49" s="193"/>
      <c r="AC49" s="193"/>
      <c r="AD49" s="193"/>
      <c r="AE49" s="193"/>
      <c r="AF49" s="193"/>
      <c r="AG49" s="193"/>
      <c r="AH49" s="193"/>
      <c r="AI49" s="193"/>
      <c r="AJ49" s="193"/>
      <c r="AK49" s="193"/>
      <c r="AL49" s="193"/>
      <c r="AM49" s="193"/>
      <c r="AN49" s="193"/>
    </row>
    <row r="50" spans="1:40">
      <c r="A50" s="193"/>
      <c r="S50" s="250"/>
      <c r="T50" s="193"/>
      <c r="U50" s="193"/>
      <c r="V50" s="193"/>
      <c r="W50" s="193"/>
      <c r="X50" s="193"/>
      <c r="Y50" s="193"/>
      <c r="Z50" s="193"/>
      <c r="AA50" s="193"/>
      <c r="AB50" s="193"/>
      <c r="AC50" s="193"/>
      <c r="AD50" s="193"/>
      <c r="AE50" s="193"/>
      <c r="AF50" s="193"/>
      <c r="AG50" s="193"/>
      <c r="AH50" s="193"/>
      <c r="AI50" s="193"/>
      <c r="AJ50" s="193"/>
      <c r="AK50" s="193"/>
      <c r="AL50" s="193"/>
      <c r="AM50" s="193"/>
      <c r="AN50" s="193"/>
    </row>
    <row r="51" spans="1:40">
      <c r="A51" s="193"/>
      <c r="S51" s="250"/>
      <c r="T51" s="193"/>
      <c r="U51" s="193"/>
      <c r="V51" s="193"/>
      <c r="W51" s="193"/>
      <c r="X51" s="193"/>
      <c r="Y51" s="193"/>
      <c r="Z51" s="193"/>
      <c r="AA51" s="193"/>
      <c r="AB51" s="193"/>
      <c r="AC51" s="193"/>
      <c r="AD51" s="193"/>
      <c r="AE51" s="193"/>
      <c r="AF51" s="193"/>
      <c r="AG51" s="193"/>
      <c r="AH51" s="193"/>
      <c r="AI51" s="193"/>
      <c r="AJ51" s="193"/>
      <c r="AK51" s="193"/>
      <c r="AL51" s="193"/>
      <c r="AM51" s="193"/>
      <c r="AN51" s="193"/>
    </row>
    <row r="52" spans="1:40">
      <c r="A52" s="193"/>
      <c r="S52" s="250"/>
      <c r="T52" s="193"/>
      <c r="U52" s="193"/>
      <c r="V52" s="193"/>
      <c r="W52" s="193"/>
      <c r="X52" s="193"/>
      <c r="Y52" s="193"/>
      <c r="Z52" s="193"/>
      <c r="AA52" s="193"/>
      <c r="AB52" s="193"/>
      <c r="AC52" s="193"/>
      <c r="AD52" s="193"/>
      <c r="AE52" s="193"/>
      <c r="AF52" s="193"/>
      <c r="AG52" s="193"/>
      <c r="AH52" s="193"/>
      <c r="AI52" s="193"/>
      <c r="AJ52" s="193"/>
      <c r="AK52" s="193"/>
      <c r="AL52" s="193"/>
      <c r="AM52" s="193"/>
      <c r="AN52" s="193"/>
    </row>
    <row r="53" spans="1:40">
      <c r="A53" s="193"/>
      <c r="S53" s="250"/>
      <c r="T53" s="193"/>
      <c r="U53" s="193"/>
      <c r="V53" s="193"/>
      <c r="W53" s="193"/>
      <c r="X53" s="193"/>
      <c r="Y53" s="193"/>
      <c r="Z53" s="193"/>
      <c r="AA53" s="193"/>
      <c r="AB53" s="193"/>
      <c r="AC53" s="193"/>
      <c r="AD53" s="193"/>
      <c r="AE53" s="193"/>
      <c r="AF53" s="193"/>
      <c r="AG53" s="193"/>
      <c r="AH53" s="193"/>
      <c r="AI53" s="193"/>
      <c r="AJ53" s="193"/>
      <c r="AK53" s="193"/>
      <c r="AL53" s="193"/>
      <c r="AM53" s="193"/>
      <c r="AN53" s="193"/>
    </row>
    <row r="54" spans="1:40">
      <c r="A54" s="193"/>
      <c r="S54" s="250"/>
      <c r="T54" s="193"/>
      <c r="U54" s="193"/>
      <c r="V54" s="193"/>
      <c r="W54" s="193"/>
      <c r="X54" s="193"/>
      <c r="Y54" s="193"/>
      <c r="Z54" s="193"/>
      <c r="AA54" s="193"/>
      <c r="AB54" s="193"/>
      <c r="AC54" s="193"/>
      <c r="AD54" s="193"/>
      <c r="AE54" s="193"/>
      <c r="AF54" s="193"/>
      <c r="AG54" s="193"/>
      <c r="AH54" s="193"/>
      <c r="AI54" s="193"/>
      <c r="AJ54" s="193"/>
      <c r="AK54" s="193"/>
      <c r="AL54" s="193"/>
      <c r="AM54" s="193"/>
      <c r="AN54" s="193"/>
    </row>
    <row r="55" spans="1:40">
      <c r="A55" s="193"/>
      <c r="S55" s="250"/>
      <c r="T55" s="193"/>
      <c r="U55" s="193"/>
      <c r="V55" s="193"/>
      <c r="W55" s="193"/>
      <c r="X55" s="193"/>
      <c r="Y55" s="193"/>
      <c r="Z55" s="193"/>
      <c r="AA55" s="193"/>
      <c r="AB55" s="193"/>
      <c r="AC55" s="193"/>
      <c r="AD55" s="193"/>
      <c r="AE55" s="193"/>
      <c r="AF55" s="193"/>
      <c r="AG55" s="193"/>
      <c r="AH55" s="193"/>
      <c r="AI55" s="193"/>
      <c r="AJ55" s="193"/>
      <c r="AK55" s="193"/>
      <c r="AL55" s="193"/>
      <c r="AM55" s="193"/>
      <c r="AN55" s="193"/>
    </row>
    <row r="56" spans="1:40">
      <c r="A56" s="193"/>
      <c r="S56" s="250"/>
      <c r="T56" s="193"/>
      <c r="U56" s="193"/>
      <c r="V56" s="193"/>
      <c r="W56" s="193"/>
      <c r="X56" s="193"/>
      <c r="Y56" s="193"/>
      <c r="Z56" s="193"/>
      <c r="AA56" s="193"/>
      <c r="AB56" s="193"/>
      <c r="AC56" s="193"/>
      <c r="AD56" s="193"/>
      <c r="AE56" s="193"/>
      <c r="AF56" s="193"/>
      <c r="AG56" s="193"/>
      <c r="AH56" s="193"/>
      <c r="AI56" s="193"/>
      <c r="AJ56" s="193"/>
      <c r="AK56" s="193"/>
      <c r="AL56" s="193"/>
      <c r="AM56" s="193"/>
      <c r="AN56" s="193"/>
    </row>
    <row r="57" spans="1:40">
      <c r="A57" s="193"/>
      <c r="S57" s="250"/>
      <c r="T57" s="193"/>
      <c r="U57" s="193"/>
      <c r="V57" s="193"/>
      <c r="W57" s="193"/>
      <c r="X57" s="193"/>
      <c r="Y57" s="193"/>
      <c r="Z57" s="193"/>
      <c r="AA57" s="193"/>
      <c r="AB57" s="193"/>
      <c r="AC57" s="193"/>
      <c r="AD57" s="193"/>
      <c r="AE57" s="193"/>
      <c r="AF57" s="193"/>
      <c r="AG57" s="193"/>
      <c r="AH57" s="193"/>
      <c r="AI57" s="193"/>
      <c r="AJ57" s="193"/>
      <c r="AK57" s="193"/>
      <c r="AL57" s="193"/>
      <c r="AM57" s="193"/>
      <c r="AN57" s="193"/>
    </row>
    <row r="58" spans="1:40">
      <c r="A58" s="193"/>
      <c r="S58" s="250"/>
      <c r="T58" s="193"/>
      <c r="U58" s="193"/>
      <c r="V58" s="193"/>
      <c r="W58" s="193"/>
      <c r="X58" s="193"/>
      <c r="Y58" s="193"/>
      <c r="Z58" s="193"/>
      <c r="AA58" s="193"/>
      <c r="AB58" s="193"/>
      <c r="AC58" s="193"/>
      <c r="AD58" s="193"/>
      <c r="AE58" s="193"/>
      <c r="AF58" s="193"/>
      <c r="AG58" s="193"/>
      <c r="AH58" s="193"/>
      <c r="AI58" s="193"/>
      <c r="AJ58" s="193"/>
      <c r="AK58" s="193"/>
      <c r="AL58" s="193"/>
      <c r="AM58" s="193"/>
      <c r="AN58" s="193"/>
    </row>
    <row r="59" spans="1:40">
      <c r="A59" s="193"/>
      <c r="S59" s="250"/>
      <c r="T59" s="193"/>
      <c r="U59" s="193"/>
      <c r="V59" s="193"/>
      <c r="W59" s="193"/>
      <c r="X59" s="193"/>
      <c r="Y59" s="193"/>
      <c r="Z59" s="193"/>
      <c r="AA59" s="193"/>
      <c r="AB59" s="193"/>
      <c r="AC59" s="193"/>
      <c r="AD59" s="193"/>
      <c r="AE59" s="193"/>
      <c r="AF59" s="193"/>
      <c r="AG59" s="193"/>
      <c r="AH59" s="193"/>
      <c r="AI59" s="193"/>
      <c r="AJ59" s="193"/>
      <c r="AK59" s="193"/>
      <c r="AL59" s="193"/>
      <c r="AM59" s="193"/>
      <c r="AN59" s="193"/>
    </row>
    <row r="60" spans="1:40">
      <c r="A60" s="193"/>
      <c r="S60" s="250"/>
      <c r="T60" s="193"/>
      <c r="U60" s="193"/>
      <c r="V60" s="193"/>
      <c r="W60" s="193"/>
      <c r="X60" s="193"/>
      <c r="Y60" s="193"/>
      <c r="Z60" s="193"/>
      <c r="AA60" s="193"/>
      <c r="AB60" s="193"/>
      <c r="AC60" s="193"/>
      <c r="AD60" s="193"/>
      <c r="AE60" s="193"/>
      <c r="AF60" s="193"/>
      <c r="AG60" s="193"/>
      <c r="AH60" s="193"/>
      <c r="AI60" s="193"/>
      <c r="AJ60" s="193"/>
      <c r="AK60" s="193"/>
      <c r="AL60" s="193"/>
      <c r="AM60" s="193"/>
      <c r="AN60" s="193"/>
    </row>
    <row r="61" spans="1:40">
      <c r="A61" s="193"/>
      <c r="S61" s="250"/>
      <c r="T61" s="193"/>
      <c r="U61" s="193"/>
      <c r="V61" s="193"/>
      <c r="W61" s="193"/>
      <c r="X61" s="193"/>
      <c r="Y61" s="193"/>
      <c r="Z61" s="193"/>
      <c r="AA61" s="193"/>
      <c r="AB61" s="193"/>
      <c r="AC61" s="193"/>
      <c r="AD61" s="193"/>
      <c r="AE61" s="193"/>
      <c r="AF61" s="193"/>
      <c r="AG61" s="193"/>
      <c r="AH61" s="193"/>
      <c r="AI61" s="193"/>
      <c r="AJ61" s="193"/>
      <c r="AK61" s="193"/>
      <c r="AL61" s="193"/>
      <c r="AM61" s="193"/>
      <c r="AN61" s="193"/>
    </row>
    <row r="62" spans="1:40">
      <c r="A62" s="193"/>
      <c r="S62" s="250"/>
      <c r="T62" s="193"/>
      <c r="U62" s="193"/>
      <c r="V62" s="193"/>
      <c r="W62" s="193"/>
      <c r="X62" s="193"/>
      <c r="Y62" s="193"/>
      <c r="Z62" s="193"/>
      <c r="AA62" s="193"/>
      <c r="AB62" s="193"/>
      <c r="AC62" s="193"/>
      <c r="AD62" s="193"/>
      <c r="AE62" s="193"/>
      <c r="AF62" s="193"/>
      <c r="AG62" s="193"/>
      <c r="AH62" s="193"/>
      <c r="AI62" s="193"/>
      <c r="AJ62" s="193"/>
      <c r="AK62" s="193"/>
      <c r="AL62" s="193"/>
      <c r="AM62" s="193"/>
      <c r="AN62" s="193"/>
    </row>
    <row r="63" spans="1:40">
      <c r="A63" s="193"/>
      <c r="S63" s="250"/>
      <c r="T63" s="193"/>
      <c r="U63" s="193"/>
      <c r="V63" s="193"/>
      <c r="W63" s="193"/>
      <c r="X63" s="193"/>
      <c r="Y63" s="193"/>
      <c r="Z63" s="193"/>
      <c r="AA63" s="193"/>
      <c r="AB63" s="193"/>
      <c r="AC63" s="193"/>
      <c r="AD63" s="193"/>
      <c r="AE63" s="193"/>
      <c r="AF63" s="193"/>
      <c r="AG63" s="193"/>
      <c r="AH63" s="193"/>
      <c r="AI63" s="193"/>
      <c r="AJ63" s="193"/>
      <c r="AK63" s="193"/>
      <c r="AL63" s="193"/>
      <c r="AM63" s="193"/>
      <c r="AN63" s="193"/>
    </row>
    <row r="64" spans="1:40">
      <c r="A64" s="193"/>
      <c r="S64" s="250"/>
      <c r="T64" s="193"/>
      <c r="U64" s="193"/>
      <c r="V64" s="193"/>
      <c r="W64" s="193"/>
      <c r="X64" s="193"/>
      <c r="Y64" s="193"/>
      <c r="Z64" s="193"/>
      <c r="AA64" s="193"/>
      <c r="AB64" s="193"/>
      <c r="AC64" s="193"/>
      <c r="AD64" s="193"/>
      <c r="AE64" s="193"/>
      <c r="AF64" s="193"/>
      <c r="AG64" s="193"/>
      <c r="AH64" s="193"/>
      <c r="AI64" s="193"/>
      <c r="AJ64" s="193"/>
      <c r="AK64" s="193"/>
      <c r="AL64" s="193"/>
      <c r="AM64" s="193"/>
      <c r="AN64" s="193"/>
    </row>
    <row r="65" spans="1:40">
      <c r="A65" s="193"/>
      <c r="S65" s="250"/>
      <c r="T65" s="193"/>
      <c r="U65" s="193"/>
      <c r="V65" s="193"/>
      <c r="W65" s="193"/>
      <c r="X65" s="193"/>
      <c r="Y65" s="193"/>
      <c r="Z65" s="193"/>
      <c r="AA65" s="193"/>
      <c r="AB65" s="193"/>
      <c r="AC65" s="193"/>
      <c r="AD65" s="193"/>
      <c r="AE65" s="193"/>
      <c r="AF65" s="193"/>
      <c r="AG65" s="193"/>
      <c r="AH65" s="193"/>
      <c r="AI65" s="193"/>
      <c r="AJ65" s="193"/>
      <c r="AK65" s="193"/>
      <c r="AL65" s="193"/>
      <c r="AM65" s="193"/>
      <c r="AN65" s="193"/>
    </row>
    <row r="66" spans="1:40">
      <c r="A66" s="193"/>
      <c r="S66" s="250"/>
      <c r="T66" s="193"/>
      <c r="U66" s="193"/>
      <c r="V66" s="193"/>
      <c r="W66" s="193"/>
      <c r="X66" s="193"/>
      <c r="Y66" s="193"/>
      <c r="Z66" s="193"/>
      <c r="AA66" s="193"/>
      <c r="AB66" s="193"/>
      <c r="AC66" s="193"/>
      <c r="AD66" s="193"/>
      <c r="AE66" s="193"/>
      <c r="AF66" s="193"/>
      <c r="AG66" s="193"/>
      <c r="AH66" s="193"/>
      <c r="AI66" s="193"/>
      <c r="AJ66" s="193"/>
      <c r="AK66" s="193"/>
      <c r="AL66" s="193"/>
      <c r="AM66" s="193"/>
      <c r="AN66" s="193"/>
    </row>
    <row r="67" spans="1:40">
      <c r="A67" s="193"/>
      <c r="S67" s="250"/>
      <c r="T67" s="193"/>
      <c r="U67" s="193"/>
      <c r="V67" s="193"/>
      <c r="W67" s="193"/>
      <c r="X67" s="193"/>
      <c r="Y67" s="193"/>
      <c r="Z67" s="193"/>
      <c r="AA67" s="193"/>
      <c r="AB67" s="193"/>
      <c r="AC67" s="193"/>
      <c r="AD67" s="193"/>
      <c r="AE67" s="193"/>
      <c r="AF67" s="193"/>
      <c r="AG67" s="193"/>
      <c r="AH67" s="193"/>
      <c r="AI67" s="193"/>
      <c r="AJ67" s="193"/>
      <c r="AK67" s="193"/>
      <c r="AL67" s="193"/>
      <c r="AM67" s="193"/>
      <c r="AN67" s="193"/>
    </row>
    <row r="68" spans="1:40">
      <c r="A68" s="193"/>
      <c r="S68" s="250"/>
      <c r="T68" s="193"/>
      <c r="U68" s="193"/>
      <c r="V68" s="193"/>
      <c r="W68" s="193"/>
      <c r="X68" s="193"/>
      <c r="Y68" s="193"/>
      <c r="Z68" s="193"/>
      <c r="AA68" s="193"/>
      <c r="AB68" s="193"/>
      <c r="AC68" s="193"/>
      <c r="AD68" s="193"/>
      <c r="AE68" s="193"/>
      <c r="AF68" s="193"/>
      <c r="AG68" s="193"/>
      <c r="AH68" s="193"/>
      <c r="AI68" s="193"/>
      <c r="AJ68" s="193"/>
      <c r="AK68" s="193"/>
      <c r="AL68" s="193"/>
      <c r="AM68" s="193"/>
      <c r="AN68" s="193"/>
    </row>
    <row r="69" spans="1:40">
      <c r="A69" s="193"/>
      <c r="S69" s="250"/>
      <c r="T69" s="193"/>
      <c r="U69" s="193"/>
      <c r="V69" s="193"/>
      <c r="W69" s="193"/>
      <c r="X69" s="193"/>
      <c r="Y69" s="193"/>
      <c r="Z69" s="193"/>
      <c r="AA69" s="193"/>
      <c r="AB69" s="193"/>
      <c r="AC69" s="193"/>
      <c r="AD69" s="193"/>
      <c r="AE69" s="193"/>
      <c r="AF69" s="193"/>
      <c r="AG69" s="193"/>
      <c r="AH69" s="193"/>
      <c r="AI69" s="193"/>
      <c r="AJ69" s="193"/>
      <c r="AK69" s="193"/>
      <c r="AL69" s="193"/>
      <c r="AM69" s="193"/>
      <c r="AN69" s="193"/>
    </row>
    <row r="70" spans="1:40">
      <c r="A70" s="193"/>
      <c r="S70" s="250"/>
      <c r="T70" s="193"/>
      <c r="U70" s="193"/>
      <c r="V70" s="193"/>
      <c r="W70" s="193"/>
      <c r="X70" s="193"/>
      <c r="Y70" s="193"/>
      <c r="Z70" s="193"/>
      <c r="AA70" s="193"/>
      <c r="AB70" s="193"/>
      <c r="AC70" s="193"/>
      <c r="AD70" s="193"/>
      <c r="AE70" s="193"/>
      <c r="AF70" s="193"/>
      <c r="AG70" s="193"/>
      <c r="AH70" s="193"/>
      <c r="AI70" s="193"/>
      <c r="AJ70" s="193"/>
      <c r="AK70" s="193"/>
      <c r="AL70" s="193"/>
      <c r="AM70" s="193"/>
      <c r="AN70" s="193"/>
    </row>
    <row r="71" spans="1:40">
      <c r="A71" s="193"/>
      <c r="S71" s="250"/>
      <c r="T71" s="193"/>
      <c r="U71" s="193"/>
      <c r="V71" s="193"/>
      <c r="W71" s="193"/>
      <c r="X71" s="193"/>
      <c r="Y71" s="193"/>
      <c r="Z71" s="193"/>
      <c r="AA71" s="193"/>
      <c r="AB71" s="193"/>
      <c r="AC71" s="193"/>
      <c r="AD71" s="193"/>
      <c r="AE71" s="193"/>
      <c r="AF71" s="193"/>
      <c r="AG71" s="193"/>
      <c r="AH71" s="193"/>
      <c r="AI71" s="193"/>
      <c r="AJ71" s="193"/>
      <c r="AK71" s="193"/>
      <c r="AL71" s="193"/>
      <c r="AM71" s="193"/>
      <c r="AN71" s="193"/>
    </row>
    <row r="72" spans="1:40">
      <c r="A72" s="193"/>
      <c r="S72" s="250"/>
      <c r="T72" s="193"/>
      <c r="U72" s="193"/>
      <c r="V72" s="193"/>
      <c r="W72" s="193"/>
      <c r="X72" s="193"/>
      <c r="Y72" s="193"/>
      <c r="Z72" s="193"/>
      <c r="AA72" s="193"/>
      <c r="AB72" s="193"/>
      <c r="AC72" s="193"/>
      <c r="AD72" s="193"/>
      <c r="AE72" s="193"/>
      <c r="AF72" s="193"/>
      <c r="AG72" s="193"/>
      <c r="AH72" s="193"/>
      <c r="AI72" s="193"/>
      <c r="AJ72" s="193"/>
      <c r="AK72" s="193"/>
      <c r="AL72" s="193"/>
      <c r="AM72" s="193"/>
      <c r="AN72" s="193"/>
    </row>
    <row r="73" spans="1:40">
      <c r="A73" s="193"/>
      <c r="S73" s="250"/>
      <c r="T73" s="193"/>
      <c r="U73" s="193"/>
      <c r="V73" s="193"/>
      <c r="W73" s="193"/>
      <c r="X73" s="193"/>
      <c r="Y73" s="193"/>
      <c r="Z73" s="193"/>
      <c r="AA73" s="193"/>
      <c r="AB73" s="193"/>
      <c r="AC73" s="193"/>
      <c r="AD73" s="193"/>
      <c r="AE73" s="193"/>
      <c r="AF73" s="193"/>
      <c r="AG73" s="193"/>
      <c r="AH73" s="193"/>
      <c r="AI73" s="193"/>
      <c r="AJ73" s="193"/>
      <c r="AK73" s="193"/>
      <c r="AL73" s="193"/>
      <c r="AM73" s="193"/>
      <c r="AN73" s="193"/>
    </row>
    <row r="74" spans="1:40">
      <c r="A74" s="193"/>
      <c r="S74" s="250"/>
      <c r="T74" s="193"/>
      <c r="U74" s="193"/>
      <c r="V74" s="193"/>
      <c r="W74" s="193"/>
      <c r="X74" s="193"/>
      <c r="Y74" s="193"/>
      <c r="Z74" s="193"/>
      <c r="AA74" s="193"/>
      <c r="AB74" s="193"/>
      <c r="AC74" s="193"/>
      <c r="AD74" s="193"/>
      <c r="AE74" s="193"/>
      <c r="AF74" s="193"/>
      <c r="AG74" s="193"/>
      <c r="AH74" s="193"/>
      <c r="AI74" s="193"/>
      <c r="AJ74" s="193"/>
      <c r="AK74" s="193"/>
      <c r="AL74" s="193"/>
      <c r="AM74" s="193"/>
      <c r="AN74" s="193"/>
    </row>
    <row r="75" spans="1:40">
      <c r="A75" s="193"/>
      <c r="S75" s="250"/>
      <c r="T75" s="193"/>
      <c r="U75" s="193"/>
      <c r="V75" s="193"/>
      <c r="W75" s="193"/>
      <c r="X75" s="193"/>
      <c r="Y75" s="193"/>
      <c r="Z75" s="193"/>
      <c r="AA75" s="193"/>
      <c r="AB75" s="193"/>
      <c r="AC75" s="193"/>
      <c r="AD75" s="193"/>
      <c r="AE75" s="193"/>
      <c r="AF75" s="193"/>
      <c r="AG75" s="193"/>
      <c r="AH75" s="193"/>
      <c r="AI75" s="193"/>
      <c r="AJ75" s="193"/>
      <c r="AK75" s="193"/>
      <c r="AL75" s="193"/>
      <c r="AM75" s="193"/>
      <c r="AN75" s="193"/>
    </row>
    <row r="76" spans="1:40">
      <c r="A76" s="193"/>
      <c r="S76" s="250"/>
      <c r="T76" s="193"/>
      <c r="U76" s="193"/>
      <c r="V76" s="193"/>
      <c r="W76" s="193"/>
      <c r="X76" s="193"/>
      <c r="Y76" s="193"/>
      <c r="Z76" s="193"/>
      <c r="AA76" s="193"/>
      <c r="AB76" s="193"/>
      <c r="AC76" s="193"/>
      <c r="AD76" s="193"/>
      <c r="AE76" s="193"/>
      <c r="AF76" s="193"/>
      <c r="AG76" s="193"/>
      <c r="AH76" s="193"/>
      <c r="AI76" s="193"/>
      <c r="AJ76" s="193"/>
      <c r="AK76" s="193"/>
      <c r="AL76" s="193"/>
      <c r="AM76" s="193"/>
      <c r="AN76" s="193"/>
    </row>
    <row r="77" spans="1:40">
      <c r="A77" s="193"/>
      <c r="S77" s="250"/>
      <c r="T77" s="193"/>
      <c r="U77" s="193"/>
      <c r="V77" s="193"/>
      <c r="W77" s="193"/>
      <c r="X77" s="193"/>
      <c r="Y77" s="193"/>
      <c r="Z77" s="193"/>
      <c r="AA77" s="193"/>
      <c r="AB77" s="193"/>
      <c r="AC77" s="193"/>
      <c r="AD77" s="193"/>
      <c r="AE77" s="193"/>
      <c r="AF77" s="193"/>
      <c r="AG77" s="193"/>
      <c r="AH77" s="193"/>
      <c r="AI77" s="193"/>
      <c r="AJ77" s="193"/>
      <c r="AK77" s="193"/>
      <c r="AL77" s="193"/>
      <c r="AM77" s="193"/>
      <c r="AN77" s="193"/>
    </row>
    <row r="78" spans="1:40">
      <c r="A78" s="193"/>
      <c r="S78" s="250"/>
      <c r="T78" s="193"/>
      <c r="U78" s="193"/>
      <c r="V78" s="193"/>
      <c r="W78" s="193"/>
      <c r="X78" s="193"/>
      <c r="Y78" s="193"/>
      <c r="Z78" s="193"/>
      <c r="AA78" s="193"/>
      <c r="AB78" s="193"/>
      <c r="AC78" s="193"/>
      <c r="AD78" s="193"/>
      <c r="AE78" s="193"/>
      <c r="AF78" s="193"/>
      <c r="AG78" s="193"/>
      <c r="AH78" s="193"/>
      <c r="AI78" s="193"/>
      <c r="AJ78" s="193"/>
      <c r="AK78" s="193"/>
      <c r="AL78" s="193"/>
      <c r="AM78" s="193"/>
      <c r="AN78" s="193"/>
    </row>
    <row r="79" spans="1:40">
      <c r="A79" s="193"/>
      <c r="S79" s="250"/>
      <c r="T79" s="193"/>
      <c r="U79" s="193"/>
      <c r="V79" s="193"/>
      <c r="W79" s="193"/>
      <c r="X79" s="193"/>
      <c r="Y79" s="193"/>
      <c r="Z79" s="193"/>
      <c r="AA79" s="193"/>
      <c r="AB79" s="193"/>
      <c r="AC79" s="193"/>
      <c r="AD79" s="193"/>
      <c r="AE79" s="193"/>
      <c r="AF79" s="193"/>
      <c r="AG79" s="193"/>
      <c r="AH79" s="193"/>
      <c r="AI79" s="193"/>
      <c r="AJ79" s="193"/>
      <c r="AK79" s="193"/>
      <c r="AL79" s="193"/>
      <c r="AM79" s="193"/>
      <c r="AN79" s="193"/>
    </row>
    <row r="80" spans="1:40">
      <c r="A80" s="193"/>
      <c r="S80" s="250"/>
      <c r="T80" s="193"/>
      <c r="U80" s="193"/>
      <c r="V80" s="193"/>
      <c r="W80" s="193"/>
      <c r="X80" s="193"/>
      <c r="Y80" s="193"/>
      <c r="Z80" s="193"/>
      <c r="AA80" s="193"/>
      <c r="AB80" s="193"/>
      <c r="AC80" s="193"/>
      <c r="AD80" s="193"/>
      <c r="AE80" s="193"/>
      <c r="AF80" s="193"/>
      <c r="AG80" s="193"/>
      <c r="AH80" s="193"/>
      <c r="AI80" s="193"/>
      <c r="AJ80" s="193"/>
      <c r="AK80" s="193"/>
      <c r="AL80" s="193"/>
      <c r="AM80" s="193"/>
      <c r="AN80" s="193"/>
    </row>
    <row r="81" spans="1:40">
      <c r="A81" s="193"/>
      <c r="S81" s="250"/>
      <c r="T81" s="193"/>
      <c r="U81" s="193"/>
      <c r="V81" s="193"/>
      <c r="W81" s="193"/>
      <c r="X81" s="193"/>
      <c r="Y81" s="193"/>
      <c r="Z81" s="193"/>
      <c r="AA81" s="193"/>
      <c r="AB81" s="193"/>
      <c r="AC81" s="193"/>
      <c r="AD81" s="193"/>
      <c r="AE81" s="193"/>
      <c r="AF81" s="193"/>
      <c r="AG81" s="193"/>
      <c r="AH81" s="193"/>
      <c r="AI81" s="193"/>
      <c r="AJ81" s="193"/>
      <c r="AK81" s="193"/>
      <c r="AL81" s="193"/>
      <c r="AM81" s="193"/>
      <c r="AN81" s="193"/>
    </row>
    <row r="82" spans="1:40">
      <c r="A82" s="193"/>
      <c r="S82" s="250"/>
      <c r="T82" s="193"/>
      <c r="U82" s="193"/>
      <c r="V82" s="193"/>
      <c r="W82" s="193"/>
      <c r="X82" s="193"/>
      <c r="Y82" s="193"/>
      <c r="Z82" s="193"/>
      <c r="AA82" s="193"/>
      <c r="AB82" s="193"/>
      <c r="AC82" s="193"/>
      <c r="AD82" s="193"/>
      <c r="AE82" s="193"/>
      <c r="AF82" s="193"/>
      <c r="AG82" s="193"/>
      <c r="AH82" s="193"/>
      <c r="AI82" s="193"/>
      <c r="AJ82" s="193"/>
      <c r="AK82" s="193"/>
      <c r="AL82" s="193"/>
      <c r="AM82" s="193"/>
      <c r="AN82" s="193"/>
    </row>
    <row r="83" spans="1:40">
      <c r="A83" s="193"/>
      <c r="S83" s="250"/>
      <c r="T83" s="193"/>
      <c r="U83" s="193"/>
      <c r="V83" s="193"/>
      <c r="W83" s="193"/>
      <c r="X83" s="193"/>
      <c r="Y83" s="193"/>
      <c r="Z83" s="193"/>
      <c r="AA83" s="193"/>
      <c r="AB83" s="193"/>
      <c r="AC83" s="193"/>
      <c r="AD83" s="193"/>
      <c r="AE83" s="193"/>
      <c r="AF83" s="193"/>
      <c r="AG83" s="193"/>
      <c r="AH83" s="193"/>
      <c r="AI83" s="193"/>
      <c r="AJ83" s="193"/>
      <c r="AK83" s="193"/>
      <c r="AL83" s="193"/>
      <c r="AM83" s="193"/>
      <c r="AN83" s="193"/>
    </row>
    <row r="84" spans="1:40">
      <c r="A84" s="193"/>
      <c r="S84" s="250"/>
      <c r="T84" s="193"/>
      <c r="U84" s="193"/>
      <c r="V84" s="193"/>
      <c r="W84" s="193"/>
      <c r="X84" s="193"/>
      <c r="Y84" s="193"/>
      <c r="Z84" s="193"/>
      <c r="AA84" s="193"/>
      <c r="AB84" s="193"/>
      <c r="AC84" s="193"/>
      <c r="AD84" s="193"/>
      <c r="AE84" s="193"/>
      <c r="AF84" s="193"/>
      <c r="AG84" s="193"/>
      <c r="AH84" s="193"/>
      <c r="AI84" s="193"/>
      <c r="AJ84" s="193"/>
      <c r="AK84" s="193"/>
      <c r="AL84" s="193"/>
      <c r="AM84" s="193"/>
      <c r="AN84" s="193"/>
    </row>
    <row r="85" spans="1:40">
      <c r="A85" s="193"/>
      <c r="S85" s="250"/>
      <c r="T85" s="193"/>
      <c r="U85" s="193"/>
      <c r="V85" s="193"/>
      <c r="W85" s="193"/>
      <c r="X85" s="193"/>
      <c r="Y85" s="193"/>
      <c r="Z85" s="193"/>
      <c r="AA85" s="193"/>
      <c r="AB85" s="193"/>
      <c r="AC85" s="193"/>
      <c r="AD85" s="193"/>
      <c r="AE85" s="193"/>
      <c r="AF85" s="193"/>
      <c r="AG85" s="193"/>
      <c r="AH85" s="193"/>
      <c r="AI85" s="193"/>
      <c r="AJ85" s="193"/>
      <c r="AK85" s="193"/>
      <c r="AL85" s="193"/>
      <c r="AM85" s="193"/>
      <c r="AN85" s="193"/>
    </row>
    <row r="86" spans="1:40">
      <c r="A86" s="193"/>
      <c r="S86" s="250"/>
      <c r="T86" s="193"/>
      <c r="U86" s="193"/>
      <c r="V86" s="193"/>
      <c r="W86" s="193"/>
      <c r="X86" s="193"/>
      <c r="Y86" s="193"/>
      <c r="Z86" s="193"/>
      <c r="AA86" s="193"/>
      <c r="AB86" s="193"/>
      <c r="AC86" s="193"/>
      <c r="AD86" s="193"/>
      <c r="AE86" s="193"/>
      <c r="AF86" s="193"/>
      <c r="AG86" s="193"/>
      <c r="AH86" s="193"/>
      <c r="AI86" s="193"/>
      <c r="AJ86" s="193"/>
      <c r="AK86" s="193"/>
      <c r="AL86" s="193"/>
      <c r="AM86" s="193"/>
      <c r="AN86" s="193"/>
    </row>
    <row r="87" spans="1:40">
      <c r="A87" s="193"/>
      <c r="S87" s="250"/>
      <c r="T87" s="193"/>
      <c r="U87" s="193"/>
      <c r="V87" s="193"/>
      <c r="W87" s="193"/>
      <c r="X87" s="193"/>
      <c r="Y87" s="193"/>
      <c r="Z87" s="193"/>
      <c r="AA87" s="193"/>
      <c r="AB87" s="193"/>
      <c r="AC87" s="193"/>
      <c r="AD87" s="193"/>
      <c r="AE87" s="193"/>
      <c r="AF87" s="193"/>
      <c r="AG87" s="193"/>
      <c r="AH87" s="193"/>
      <c r="AI87" s="193"/>
      <c r="AJ87" s="193"/>
      <c r="AK87" s="193"/>
      <c r="AL87" s="193"/>
      <c r="AM87" s="193"/>
      <c r="AN87" s="193"/>
    </row>
    <row r="88" spans="1:40">
      <c r="A88" s="193"/>
      <c r="S88" s="250"/>
      <c r="T88" s="193"/>
      <c r="U88" s="193"/>
      <c r="V88" s="193"/>
      <c r="W88" s="193"/>
      <c r="X88" s="193"/>
      <c r="Y88" s="193"/>
      <c r="Z88" s="193"/>
      <c r="AA88" s="193"/>
      <c r="AB88" s="193"/>
      <c r="AC88" s="193"/>
      <c r="AD88" s="193"/>
      <c r="AE88" s="193"/>
      <c r="AF88" s="193"/>
      <c r="AG88" s="193"/>
      <c r="AH88" s="193"/>
      <c r="AI88" s="193"/>
      <c r="AJ88" s="193"/>
      <c r="AK88" s="193"/>
      <c r="AL88" s="193"/>
      <c r="AM88" s="193"/>
      <c r="AN88" s="193"/>
    </row>
    <row r="89" spans="1:40">
      <c r="A89" s="193"/>
      <c r="S89" s="250"/>
      <c r="T89" s="193"/>
      <c r="U89" s="193"/>
      <c r="V89" s="193"/>
      <c r="W89" s="193"/>
      <c r="X89" s="193"/>
      <c r="Y89" s="193"/>
      <c r="Z89" s="193"/>
      <c r="AA89" s="193"/>
      <c r="AB89" s="193"/>
      <c r="AC89" s="193"/>
      <c r="AD89" s="193"/>
      <c r="AE89" s="193"/>
      <c r="AF89" s="193"/>
      <c r="AG89" s="193"/>
      <c r="AH89" s="193"/>
      <c r="AI89" s="193"/>
      <c r="AJ89" s="193"/>
      <c r="AK89" s="193"/>
      <c r="AL89" s="193"/>
      <c r="AM89" s="193"/>
      <c r="AN89" s="193"/>
    </row>
    <row r="90" spans="1:40">
      <c r="A90" s="193"/>
      <c r="S90" s="250"/>
      <c r="T90" s="193"/>
      <c r="U90" s="193"/>
      <c r="V90" s="193"/>
      <c r="W90" s="193"/>
      <c r="X90" s="193"/>
      <c r="Y90" s="193"/>
      <c r="Z90" s="193"/>
      <c r="AA90" s="193"/>
      <c r="AB90" s="193"/>
      <c r="AC90" s="193"/>
      <c r="AD90" s="193"/>
      <c r="AE90" s="193"/>
      <c r="AF90" s="193"/>
      <c r="AG90" s="193"/>
      <c r="AH90" s="193"/>
      <c r="AI90" s="193"/>
      <c r="AJ90" s="193"/>
      <c r="AK90" s="193"/>
      <c r="AL90" s="193"/>
      <c r="AM90" s="193"/>
      <c r="AN90" s="193"/>
    </row>
    <row r="91" spans="1:40">
      <c r="A91" s="193"/>
      <c r="S91" s="250"/>
      <c r="T91" s="193"/>
      <c r="U91" s="193"/>
      <c r="V91" s="193"/>
      <c r="W91" s="193"/>
      <c r="X91" s="193"/>
      <c r="Y91" s="193"/>
      <c r="Z91" s="193"/>
      <c r="AA91" s="193"/>
      <c r="AB91" s="193"/>
      <c r="AC91" s="193"/>
      <c r="AD91" s="193"/>
      <c r="AE91" s="193"/>
      <c r="AF91" s="193"/>
      <c r="AG91" s="193"/>
      <c r="AH91" s="193"/>
      <c r="AI91" s="193"/>
      <c r="AJ91" s="193"/>
      <c r="AK91" s="193"/>
      <c r="AL91" s="193"/>
      <c r="AM91" s="193"/>
      <c r="AN91" s="193"/>
    </row>
    <row r="92" spans="1:40">
      <c r="A92" s="193"/>
      <c r="S92" s="250"/>
      <c r="T92" s="193"/>
      <c r="U92" s="193"/>
      <c r="V92" s="193"/>
      <c r="W92" s="193"/>
      <c r="X92" s="193"/>
      <c r="Y92" s="193"/>
      <c r="Z92" s="193"/>
      <c r="AA92" s="193"/>
      <c r="AB92" s="193"/>
      <c r="AC92" s="193"/>
      <c r="AD92" s="193"/>
      <c r="AE92" s="193"/>
      <c r="AF92" s="193"/>
      <c r="AG92" s="193"/>
      <c r="AH92" s="193"/>
      <c r="AI92" s="193"/>
      <c r="AJ92" s="193"/>
      <c r="AK92" s="193"/>
      <c r="AL92" s="193"/>
      <c r="AM92" s="193"/>
      <c r="AN92" s="193"/>
    </row>
    <row r="93" spans="1:40">
      <c r="A93" s="193"/>
      <c r="S93" s="250"/>
      <c r="T93" s="193"/>
      <c r="U93" s="193"/>
      <c r="V93" s="193"/>
      <c r="W93" s="193"/>
      <c r="X93" s="193"/>
      <c r="Y93" s="193"/>
      <c r="Z93" s="193"/>
      <c r="AA93" s="193"/>
      <c r="AB93" s="193"/>
      <c r="AC93" s="193"/>
      <c r="AD93" s="193"/>
      <c r="AE93" s="193"/>
      <c r="AF93" s="193"/>
      <c r="AG93" s="193"/>
      <c r="AH93" s="193"/>
      <c r="AI93" s="193"/>
      <c r="AJ93" s="193"/>
      <c r="AK93" s="193"/>
      <c r="AL93" s="193"/>
      <c r="AM93" s="193"/>
      <c r="AN93" s="193"/>
    </row>
    <row r="94" spans="1:40">
      <c r="A94" s="193"/>
      <c r="S94" s="250"/>
      <c r="T94" s="193"/>
      <c r="U94" s="193"/>
      <c r="V94" s="193"/>
      <c r="W94" s="193"/>
      <c r="X94" s="193"/>
      <c r="Y94" s="193"/>
      <c r="Z94" s="193"/>
      <c r="AA94" s="193"/>
      <c r="AB94" s="193"/>
      <c r="AC94" s="193"/>
      <c r="AD94" s="193"/>
      <c r="AE94" s="193"/>
      <c r="AF94" s="193"/>
      <c r="AG94" s="193"/>
      <c r="AH94" s="193"/>
      <c r="AI94" s="193"/>
      <c r="AJ94" s="193"/>
      <c r="AK94" s="193"/>
      <c r="AL94" s="193"/>
      <c r="AM94" s="193"/>
      <c r="AN94" s="193"/>
    </row>
    <row r="95" spans="1:40">
      <c r="A95" s="193"/>
      <c r="S95" s="250"/>
      <c r="T95" s="193"/>
      <c r="U95" s="193"/>
      <c r="V95" s="193"/>
      <c r="W95" s="193"/>
      <c r="X95" s="193"/>
      <c r="Y95" s="193"/>
      <c r="Z95" s="193"/>
      <c r="AA95" s="193"/>
      <c r="AB95" s="193"/>
      <c r="AC95" s="193"/>
      <c r="AD95" s="193"/>
      <c r="AE95" s="193"/>
      <c r="AF95" s="193"/>
      <c r="AG95" s="193"/>
      <c r="AH95" s="193"/>
      <c r="AI95" s="193"/>
      <c r="AJ95" s="193"/>
      <c r="AK95" s="193"/>
      <c r="AL95" s="193"/>
      <c r="AM95" s="193"/>
      <c r="AN95" s="193"/>
    </row>
    <row r="96" spans="1:40">
      <c r="A96" s="193"/>
      <c r="S96" s="250"/>
      <c r="T96" s="193"/>
      <c r="U96" s="193"/>
      <c r="V96" s="193"/>
      <c r="W96" s="193"/>
      <c r="X96" s="193"/>
      <c r="Y96" s="193"/>
      <c r="Z96" s="193"/>
      <c r="AA96" s="193"/>
      <c r="AB96" s="193"/>
      <c r="AC96" s="193"/>
      <c r="AD96" s="193"/>
      <c r="AE96" s="193"/>
      <c r="AF96" s="193"/>
      <c r="AG96" s="193"/>
      <c r="AH96" s="193"/>
      <c r="AI96" s="193"/>
      <c r="AJ96" s="193"/>
      <c r="AK96" s="193"/>
      <c r="AL96" s="193"/>
      <c r="AM96" s="193"/>
      <c r="AN96" s="193"/>
    </row>
    <row r="97" spans="1:40">
      <c r="A97" s="193"/>
      <c r="S97" s="250"/>
      <c r="T97" s="193"/>
      <c r="U97" s="193"/>
      <c r="V97" s="193"/>
      <c r="W97" s="193"/>
      <c r="X97" s="193"/>
      <c r="Y97" s="193"/>
      <c r="Z97" s="193"/>
      <c r="AA97" s="193"/>
      <c r="AB97" s="193"/>
      <c r="AC97" s="193"/>
      <c r="AD97" s="193"/>
      <c r="AE97" s="193"/>
      <c r="AF97" s="193"/>
      <c r="AG97" s="193"/>
      <c r="AH97" s="193"/>
      <c r="AI97" s="193"/>
      <c r="AJ97" s="193"/>
      <c r="AK97" s="193"/>
      <c r="AL97" s="193"/>
      <c r="AM97" s="193"/>
      <c r="AN97" s="193"/>
    </row>
    <row r="98" spans="1:40">
      <c r="A98" s="193"/>
      <c r="S98" s="250"/>
      <c r="T98" s="193"/>
      <c r="U98" s="193"/>
      <c r="V98" s="193"/>
      <c r="W98" s="193"/>
      <c r="X98" s="193"/>
      <c r="Y98" s="193"/>
      <c r="Z98" s="193"/>
      <c r="AA98" s="193"/>
      <c r="AB98" s="193"/>
      <c r="AC98" s="193"/>
      <c r="AD98" s="193"/>
      <c r="AE98" s="193"/>
      <c r="AF98" s="193"/>
      <c r="AG98" s="193"/>
      <c r="AH98" s="193"/>
      <c r="AI98" s="193"/>
      <c r="AJ98" s="193"/>
      <c r="AK98" s="193"/>
      <c r="AL98" s="193"/>
      <c r="AM98" s="193"/>
      <c r="AN98" s="193"/>
    </row>
    <row r="99" spans="1:40">
      <c r="A99" s="193"/>
      <c r="S99" s="250"/>
      <c r="T99" s="193"/>
      <c r="U99" s="193"/>
      <c r="V99" s="193"/>
      <c r="W99" s="193"/>
      <c r="X99" s="193"/>
      <c r="Y99" s="193"/>
      <c r="Z99" s="193"/>
      <c r="AA99" s="193"/>
      <c r="AB99" s="193"/>
      <c r="AC99" s="193"/>
      <c r="AD99" s="193"/>
      <c r="AE99" s="193"/>
      <c r="AF99" s="193"/>
      <c r="AG99" s="193"/>
      <c r="AH99" s="193"/>
      <c r="AI99" s="193"/>
      <c r="AJ99" s="193"/>
      <c r="AK99" s="193"/>
      <c r="AL99" s="193"/>
      <c r="AM99" s="193"/>
      <c r="AN99" s="193"/>
    </row>
    <row r="100" spans="1:40">
      <c r="A100" s="193"/>
      <c r="S100" s="250"/>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row>
    <row r="101" spans="1:40">
      <c r="A101" s="193"/>
      <c r="S101" s="250"/>
      <c r="T101" s="193"/>
      <c r="U101" s="193"/>
      <c r="V101" s="193"/>
      <c r="W101" s="193"/>
      <c r="X101" s="193"/>
      <c r="Y101" s="193"/>
      <c r="Z101" s="193"/>
      <c r="AA101" s="193"/>
      <c r="AB101" s="193"/>
      <c r="AC101" s="193"/>
      <c r="AD101" s="193"/>
      <c r="AE101" s="193"/>
      <c r="AF101" s="193"/>
      <c r="AG101" s="193"/>
      <c r="AH101" s="193"/>
      <c r="AI101" s="193"/>
      <c r="AJ101" s="193"/>
      <c r="AK101" s="193"/>
      <c r="AL101" s="193"/>
      <c r="AM101" s="193"/>
      <c r="AN101" s="193"/>
    </row>
    <row r="102" spans="1:40">
      <c r="A102" s="193"/>
      <c r="S102" s="250"/>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row>
    <row r="103" spans="1:40">
      <c r="A103" s="193"/>
      <c r="S103" s="250"/>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row>
    <row r="104" spans="1:40">
      <c r="A104" s="193"/>
      <c r="S104" s="250"/>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row>
    <row r="105" spans="1:40">
      <c r="A105" s="193"/>
      <c r="S105" s="250"/>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row>
    <row r="106" spans="1:40">
      <c r="A106" s="193"/>
      <c r="S106" s="250"/>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row>
    <row r="107" spans="1:40">
      <c r="A107" s="193"/>
      <c r="S107" s="250"/>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row>
    <row r="108" spans="1:40">
      <c r="A108" s="193"/>
      <c r="S108" s="250"/>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row>
    <row r="109" spans="1:40">
      <c r="A109" s="193"/>
      <c r="S109" s="250"/>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row>
    <row r="110" spans="1:40">
      <c r="A110" s="193"/>
      <c r="S110" s="250"/>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row>
    <row r="111" spans="1:40">
      <c r="A111" s="193"/>
      <c r="S111" s="250"/>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row>
    <row r="112" spans="1:40">
      <c r="A112" s="193"/>
      <c r="S112" s="250"/>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row>
    <row r="113" spans="1:40">
      <c r="A113" s="193"/>
      <c r="S113" s="250"/>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row>
    <row r="114" spans="1:40">
      <c r="A114" s="193"/>
      <c r="S114" s="250"/>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row>
    <row r="115" spans="1:40">
      <c r="A115" s="193"/>
      <c r="S115" s="250"/>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row>
    <row r="116" spans="1:40">
      <c r="A116" s="193"/>
      <c r="S116" s="250"/>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row>
    <row r="117" spans="1:40">
      <c r="A117" s="193"/>
      <c r="S117" s="250"/>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row>
    <row r="118" spans="1:40">
      <c r="A118" s="193"/>
      <c r="S118" s="250"/>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row>
    <row r="119" spans="1:40">
      <c r="A119" s="193"/>
      <c r="S119" s="250"/>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row>
    <row r="120" spans="1:40">
      <c r="A120" s="193"/>
      <c r="S120" s="250"/>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row>
    <row r="121" spans="1:40">
      <c r="A121" s="193"/>
      <c r="S121" s="250"/>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row>
    <row r="122" spans="1:40">
      <c r="A122" s="193"/>
      <c r="S122" s="250"/>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row>
    <row r="123" spans="1:40">
      <c r="A123" s="193"/>
      <c r="S123" s="250"/>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row>
    <row r="124" spans="1:40">
      <c r="A124" s="193"/>
      <c r="S124" s="250"/>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row>
    <row r="125" spans="1:40">
      <c r="A125" s="193"/>
      <c r="S125" s="250"/>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row>
    <row r="126" spans="1:40">
      <c r="A126" s="193"/>
      <c r="S126" s="250"/>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row>
    <row r="127" spans="1:40">
      <c r="A127" s="193"/>
      <c r="S127" s="250"/>
      <c r="T127" s="193"/>
      <c r="U127" s="193"/>
      <c r="V127" s="193"/>
      <c r="W127" s="193"/>
      <c r="X127" s="193"/>
      <c r="Y127" s="193"/>
      <c r="Z127" s="193"/>
      <c r="AA127" s="193"/>
      <c r="AB127" s="193"/>
      <c r="AC127" s="193"/>
      <c r="AD127" s="193"/>
      <c r="AE127" s="193"/>
      <c r="AF127" s="193"/>
      <c r="AG127" s="193"/>
      <c r="AH127" s="193"/>
      <c r="AI127" s="193"/>
      <c r="AJ127" s="193"/>
      <c r="AK127" s="193"/>
      <c r="AL127" s="193"/>
      <c r="AM127" s="193"/>
      <c r="AN127" s="193"/>
    </row>
    <row r="128" spans="1:40">
      <c r="A128" s="193"/>
      <c r="S128" s="250"/>
      <c r="T128" s="193"/>
      <c r="U128" s="193"/>
      <c r="V128" s="193"/>
      <c r="W128" s="193"/>
      <c r="X128" s="193"/>
      <c r="Y128" s="193"/>
      <c r="Z128" s="193"/>
      <c r="AA128" s="193"/>
      <c r="AB128" s="193"/>
      <c r="AC128" s="193"/>
      <c r="AD128" s="193"/>
      <c r="AE128" s="193"/>
      <c r="AF128" s="193"/>
      <c r="AG128" s="193"/>
      <c r="AH128" s="193"/>
      <c r="AI128" s="193"/>
      <c r="AJ128" s="193"/>
      <c r="AK128" s="193"/>
      <c r="AL128" s="193"/>
      <c r="AM128" s="193"/>
      <c r="AN128" s="193"/>
    </row>
    <row r="129" spans="1:40">
      <c r="A129" s="193"/>
      <c r="S129" s="250"/>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row>
    <row r="130" spans="1:40">
      <c r="A130" s="193"/>
      <c r="S130" s="250"/>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row>
    <row r="131" spans="1:40">
      <c r="A131" s="193"/>
      <c r="S131" s="250"/>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row>
    <row r="132" spans="1:40">
      <c r="A132" s="193"/>
      <c r="S132" s="250"/>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row>
    <row r="133" spans="1:40">
      <c r="A133" s="193"/>
      <c r="S133" s="250"/>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row>
    <row r="134" spans="1:40">
      <c r="A134" s="193"/>
      <c r="S134" s="250"/>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row>
    <row r="135" spans="1:40">
      <c r="A135" s="193"/>
      <c r="S135" s="250"/>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row>
    <row r="136" spans="1:40">
      <c r="A136" s="193"/>
      <c r="S136" s="250"/>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row>
    <row r="137" spans="1:40">
      <c r="A137" s="193"/>
      <c r="S137" s="250"/>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row>
    <row r="138" spans="1:40">
      <c r="A138" s="193"/>
      <c r="S138" s="250"/>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row>
    <row r="139" spans="1:40">
      <c r="A139" s="193"/>
      <c r="S139" s="250"/>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row>
    <row r="140" spans="1:40">
      <c r="A140" s="193"/>
      <c r="S140" s="250"/>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row>
    <row r="141" spans="1:40">
      <c r="A141" s="193"/>
      <c r="S141" s="250"/>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row>
    <row r="142" spans="1:40">
      <c r="A142" s="193"/>
      <c r="S142" s="250"/>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row>
    <row r="143" spans="1:40">
      <c r="A143" s="193"/>
      <c r="S143" s="250"/>
      <c r="T143" s="193"/>
      <c r="U143" s="193"/>
      <c r="V143" s="193"/>
      <c r="W143" s="193"/>
      <c r="X143" s="193"/>
      <c r="Y143" s="193"/>
      <c r="Z143" s="193"/>
      <c r="AA143" s="193"/>
      <c r="AB143" s="193"/>
      <c r="AC143" s="193"/>
      <c r="AD143" s="193"/>
      <c r="AE143" s="193"/>
      <c r="AF143" s="193"/>
      <c r="AG143" s="193"/>
      <c r="AH143" s="193"/>
      <c r="AI143" s="193"/>
      <c r="AJ143" s="193"/>
      <c r="AK143" s="193"/>
      <c r="AL143" s="193"/>
      <c r="AM143" s="193"/>
      <c r="AN143" s="193"/>
    </row>
    <row r="144" spans="1:40">
      <c r="A144" s="193"/>
      <c r="S144" s="250"/>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row>
    <row r="145" spans="1:40">
      <c r="A145" s="193"/>
      <c r="S145" s="250"/>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row>
    <row r="146" spans="1:40">
      <c r="A146" s="193"/>
      <c r="S146" s="250"/>
      <c r="T146" s="193"/>
      <c r="U146" s="193"/>
      <c r="V146" s="193"/>
      <c r="W146" s="193"/>
      <c r="X146" s="193"/>
      <c r="Y146" s="193"/>
      <c r="Z146" s="193"/>
      <c r="AA146" s="193"/>
      <c r="AB146" s="193"/>
      <c r="AC146" s="193"/>
      <c r="AD146" s="193"/>
      <c r="AE146" s="193"/>
      <c r="AF146" s="193"/>
      <c r="AG146" s="193"/>
      <c r="AH146" s="193"/>
      <c r="AI146" s="193"/>
      <c r="AJ146" s="193"/>
      <c r="AK146" s="193"/>
      <c r="AL146" s="193"/>
      <c r="AM146" s="193"/>
      <c r="AN146" s="193"/>
    </row>
    <row r="147" spans="1:40">
      <c r="A147" s="193"/>
      <c r="S147" s="250"/>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row>
    <row r="148" spans="1:40">
      <c r="A148" s="193"/>
      <c r="S148" s="250"/>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row>
    <row r="149" spans="1:40">
      <c r="A149" s="193"/>
      <c r="S149" s="250"/>
      <c r="T149" s="193"/>
      <c r="U149" s="193"/>
      <c r="V149" s="193"/>
      <c r="W149" s="193"/>
      <c r="X149" s="193"/>
      <c r="Y149" s="193"/>
      <c r="Z149" s="193"/>
      <c r="AA149" s="193"/>
      <c r="AB149" s="193"/>
      <c r="AC149" s="193"/>
      <c r="AD149" s="193"/>
      <c r="AE149" s="193"/>
      <c r="AF149" s="193"/>
      <c r="AG149" s="193"/>
      <c r="AH149" s="193"/>
      <c r="AI149" s="193"/>
      <c r="AJ149" s="193"/>
      <c r="AK149" s="193"/>
      <c r="AL149" s="193"/>
      <c r="AM149" s="193"/>
      <c r="AN149" s="193"/>
    </row>
    <row r="150" spans="1:40">
      <c r="A150" s="193"/>
      <c r="S150" s="250"/>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row>
    <row r="151" spans="1:40">
      <c r="A151" s="193"/>
      <c r="S151" s="250"/>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row>
    <row r="152" spans="1:40">
      <c r="A152" s="193"/>
      <c r="S152" s="250"/>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row>
    <row r="153" spans="1:40">
      <c r="A153" s="193"/>
      <c r="S153" s="250"/>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row>
    <row r="154" spans="1:40">
      <c r="A154" s="193"/>
      <c r="S154" s="250"/>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row>
    <row r="155" spans="1:40">
      <c r="A155" s="193"/>
      <c r="S155" s="250"/>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row>
    <row r="156" spans="1:40">
      <c r="A156" s="193"/>
      <c r="S156" s="250"/>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row>
    <row r="157" spans="1:40">
      <c r="A157" s="193"/>
      <c r="S157" s="250"/>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row>
    <row r="158" spans="1:40">
      <c r="A158" s="193"/>
      <c r="S158" s="250"/>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row>
    <row r="159" spans="1:40">
      <c r="A159" s="193"/>
      <c r="S159" s="250"/>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row>
    <row r="160" spans="1:40">
      <c r="A160" s="193"/>
      <c r="S160" s="250"/>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row>
    <row r="161" spans="1:40">
      <c r="A161" s="193"/>
      <c r="S161" s="250"/>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row>
    <row r="162" spans="1:40">
      <c r="A162" s="193"/>
      <c r="S162" s="250"/>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row>
    <row r="163" spans="1:40">
      <c r="A163" s="193"/>
      <c r="S163" s="250"/>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row>
    <row r="164" spans="1:40">
      <c r="A164" s="193"/>
      <c r="S164" s="250"/>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row>
    <row r="165" spans="1:40">
      <c r="A165" s="193"/>
      <c r="S165" s="250"/>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row>
    <row r="166" spans="1:40">
      <c r="A166" s="193"/>
      <c r="S166" s="250"/>
      <c r="T166" s="193"/>
      <c r="U166" s="193"/>
      <c r="V166" s="193"/>
      <c r="W166" s="193"/>
      <c r="X166" s="193"/>
      <c r="Y166" s="193"/>
      <c r="Z166" s="193"/>
      <c r="AA166" s="193"/>
      <c r="AB166" s="193"/>
      <c r="AC166" s="193"/>
      <c r="AD166" s="193"/>
      <c r="AE166" s="193"/>
      <c r="AF166" s="193"/>
      <c r="AG166" s="193"/>
      <c r="AH166" s="193"/>
      <c r="AI166" s="193"/>
      <c r="AJ166" s="193"/>
      <c r="AK166" s="193"/>
      <c r="AL166" s="193"/>
      <c r="AM166" s="193"/>
      <c r="AN166" s="193"/>
    </row>
    <row r="167" spans="1:40">
      <c r="A167" s="193"/>
      <c r="S167" s="250"/>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row>
    <row r="168" spans="1:40">
      <c r="A168" s="193"/>
      <c r="S168" s="250"/>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row>
    <row r="169" spans="1:40">
      <c r="A169" s="193"/>
      <c r="S169" s="250"/>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row>
    <row r="170" spans="1:40">
      <c r="A170" s="193"/>
      <c r="S170" s="250"/>
      <c r="T170" s="193"/>
      <c r="U170" s="193"/>
      <c r="V170" s="193"/>
      <c r="W170" s="193"/>
      <c r="X170" s="193"/>
      <c r="Y170" s="193"/>
      <c r="Z170" s="193"/>
      <c r="AA170" s="193"/>
      <c r="AB170" s="193"/>
      <c r="AC170" s="193"/>
      <c r="AD170" s="193"/>
      <c r="AE170" s="193"/>
      <c r="AF170" s="193"/>
      <c r="AG170" s="193"/>
      <c r="AH170" s="193"/>
      <c r="AI170" s="193"/>
      <c r="AJ170" s="193"/>
      <c r="AK170" s="193"/>
      <c r="AL170" s="193"/>
      <c r="AM170" s="193"/>
      <c r="AN170" s="193"/>
    </row>
    <row r="171" spans="1:40">
      <c r="A171" s="193"/>
      <c r="S171" s="250"/>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row>
    <row r="172" spans="1:40">
      <c r="A172" s="193"/>
      <c r="S172" s="250"/>
      <c r="T172" s="193"/>
      <c r="U172" s="193"/>
      <c r="V172" s="193"/>
      <c r="W172" s="193"/>
      <c r="X172" s="193"/>
      <c r="Y172" s="193"/>
      <c r="Z172" s="193"/>
      <c r="AA172" s="193"/>
      <c r="AB172" s="193"/>
      <c r="AC172" s="193"/>
      <c r="AD172" s="193"/>
      <c r="AE172" s="193"/>
      <c r="AF172" s="193"/>
      <c r="AG172" s="193"/>
      <c r="AH172" s="193"/>
      <c r="AI172" s="193"/>
      <c r="AJ172" s="193"/>
      <c r="AK172" s="193"/>
      <c r="AL172" s="193"/>
      <c r="AM172" s="193"/>
      <c r="AN172" s="193"/>
    </row>
    <row r="173" spans="1:40">
      <c r="A173" s="193"/>
      <c r="S173" s="250"/>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row>
    <row r="174" spans="1:40">
      <c r="A174" s="193"/>
      <c r="S174" s="250"/>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row>
    <row r="175" spans="1:40">
      <c r="A175" s="193"/>
      <c r="S175" s="250"/>
      <c r="T175" s="193"/>
      <c r="U175" s="193"/>
      <c r="V175" s="193"/>
      <c r="W175" s="193"/>
      <c r="X175" s="193"/>
      <c r="Y175" s="193"/>
      <c r="Z175" s="193"/>
      <c r="AA175" s="193"/>
      <c r="AB175" s="193"/>
      <c r="AC175" s="193"/>
      <c r="AD175" s="193"/>
      <c r="AE175" s="193"/>
      <c r="AF175" s="193"/>
      <c r="AG175" s="193"/>
      <c r="AH175" s="193"/>
      <c r="AI175" s="193"/>
      <c r="AJ175" s="193"/>
      <c r="AK175" s="193"/>
      <c r="AL175" s="193"/>
      <c r="AM175" s="193"/>
      <c r="AN175" s="193"/>
    </row>
    <row r="176" spans="1:40">
      <c r="A176" s="193"/>
      <c r="S176" s="250"/>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row>
    <row r="177" spans="1:40">
      <c r="A177" s="193"/>
      <c r="S177" s="250"/>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row>
    <row r="178" spans="1:40">
      <c r="A178" s="193"/>
      <c r="S178" s="250"/>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row>
    <row r="179" spans="1:40">
      <c r="A179" s="193"/>
      <c r="S179" s="250"/>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row>
    <row r="180" spans="1:40">
      <c r="A180" s="193"/>
      <c r="S180" s="250"/>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row>
    <row r="181" spans="1:40">
      <c r="A181" s="193"/>
      <c r="S181" s="250"/>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row>
    <row r="182" spans="1:40">
      <c r="A182" s="193"/>
      <c r="S182" s="250"/>
      <c r="T182" s="193"/>
      <c r="U182" s="193"/>
      <c r="V182" s="193"/>
      <c r="W182" s="193"/>
      <c r="X182" s="193"/>
      <c r="Y182" s="193"/>
      <c r="Z182" s="193"/>
      <c r="AA182" s="193"/>
      <c r="AB182" s="193"/>
      <c r="AC182" s="193"/>
      <c r="AD182" s="193"/>
      <c r="AE182" s="193"/>
      <c r="AF182" s="193"/>
      <c r="AG182" s="193"/>
      <c r="AH182" s="193"/>
      <c r="AI182" s="193"/>
      <c r="AJ182" s="193"/>
      <c r="AK182" s="193"/>
      <c r="AL182" s="193"/>
      <c r="AM182" s="193"/>
      <c r="AN182" s="193"/>
    </row>
    <row r="183" spans="1:40">
      <c r="A183" s="193"/>
      <c r="S183" s="250"/>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row>
    <row r="184" spans="1:40">
      <c r="A184" s="193"/>
      <c r="S184" s="250"/>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row>
    <row r="185" spans="1:40">
      <c r="A185" s="193"/>
      <c r="S185" s="250"/>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row>
    <row r="186" spans="1:40">
      <c r="A186" s="193"/>
      <c r="S186" s="250"/>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row>
    <row r="187" spans="1:40">
      <c r="A187" s="193"/>
      <c r="S187" s="250"/>
      <c r="T187" s="193"/>
      <c r="U187" s="193"/>
      <c r="V187" s="193"/>
      <c r="W187" s="193"/>
      <c r="X187" s="193"/>
      <c r="Y187" s="193"/>
      <c r="Z187" s="193"/>
      <c r="AA187" s="193"/>
      <c r="AB187" s="193"/>
      <c r="AC187" s="193"/>
      <c r="AD187" s="193"/>
      <c r="AE187" s="193"/>
      <c r="AF187" s="193"/>
      <c r="AG187" s="193"/>
      <c r="AH187" s="193"/>
      <c r="AI187" s="193"/>
      <c r="AJ187" s="193"/>
      <c r="AK187" s="193"/>
      <c r="AL187" s="193"/>
      <c r="AM187" s="193"/>
      <c r="AN187" s="193"/>
    </row>
    <row r="188" spans="1:40">
      <c r="A188" s="193"/>
      <c r="S188" s="250"/>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row>
    <row r="189" spans="1:40">
      <c r="A189" s="193"/>
      <c r="S189" s="250"/>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row>
    <row r="190" spans="1:40">
      <c r="A190" s="193"/>
      <c r="S190" s="250"/>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row>
    <row r="191" spans="1:40">
      <c r="A191" s="193"/>
      <c r="S191" s="250"/>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row>
    <row r="192" spans="1:40">
      <c r="A192" s="193"/>
      <c r="S192" s="250"/>
      <c r="T192" s="193"/>
      <c r="U192" s="193"/>
      <c r="V192" s="193"/>
      <c r="W192" s="193"/>
      <c r="X192" s="193"/>
      <c r="Y192" s="193"/>
      <c r="Z192" s="193"/>
      <c r="AA192" s="193"/>
      <c r="AB192" s="193"/>
      <c r="AC192" s="193"/>
      <c r="AD192" s="193"/>
      <c r="AE192" s="193"/>
      <c r="AF192" s="193"/>
      <c r="AG192" s="193"/>
      <c r="AH192" s="193"/>
      <c r="AI192" s="193"/>
      <c r="AJ192" s="193"/>
      <c r="AK192" s="193"/>
      <c r="AL192" s="193"/>
      <c r="AM192" s="193"/>
      <c r="AN192" s="193"/>
    </row>
    <row r="193" spans="1:40">
      <c r="A193" s="193"/>
      <c r="S193" s="250"/>
      <c r="T193" s="193"/>
      <c r="U193" s="193"/>
      <c r="V193" s="193"/>
      <c r="W193" s="193"/>
      <c r="X193" s="193"/>
      <c r="Y193" s="193"/>
      <c r="Z193" s="193"/>
      <c r="AA193" s="193"/>
      <c r="AB193" s="193"/>
      <c r="AC193" s="193"/>
      <c r="AD193" s="193"/>
      <c r="AE193" s="193"/>
      <c r="AF193" s="193"/>
      <c r="AG193" s="193"/>
      <c r="AH193" s="193"/>
      <c r="AI193" s="193"/>
      <c r="AJ193" s="193"/>
      <c r="AK193" s="193"/>
      <c r="AL193" s="193"/>
      <c r="AM193" s="193"/>
      <c r="AN193" s="193"/>
    </row>
    <row r="194" spans="1:40">
      <c r="A194" s="193"/>
      <c r="S194" s="250"/>
      <c r="T194" s="193"/>
      <c r="U194" s="193"/>
      <c r="V194" s="193"/>
      <c r="W194" s="193"/>
      <c r="X194" s="193"/>
      <c r="Y194" s="193"/>
      <c r="Z194" s="193"/>
      <c r="AA194" s="193"/>
      <c r="AB194" s="193"/>
      <c r="AC194" s="193"/>
      <c r="AD194" s="193"/>
      <c r="AE194" s="193"/>
      <c r="AF194" s="193"/>
      <c r="AG194" s="193"/>
      <c r="AH194" s="193"/>
      <c r="AI194" s="193"/>
      <c r="AJ194" s="193"/>
      <c r="AK194" s="193"/>
      <c r="AL194" s="193"/>
      <c r="AM194" s="193"/>
      <c r="AN194" s="193"/>
    </row>
    <row r="195" spans="1:40">
      <c r="A195" s="193"/>
      <c r="S195" s="250"/>
      <c r="T195" s="193"/>
      <c r="U195" s="193"/>
      <c r="V195" s="193"/>
      <c r="W195" s="193"/>
      <c r="X195" s="193"/>
      <c r="Y195" s="193"/>
      <c r="Z195" s="193"/>
      <c r="AA195" s="193"/>
      <c r="AB195" s="193"/>
      <c r="AC195" s="193"/>
      <c r="AD195" s="193"/>
      <c r="AE195" s="193"/>
      <c r="AF195" s="193"/>
      <c r="AG195" s="193"/>
      <c r="AH195" s="193"/>
      <c r="AI195" s="193"/>
      <c r="AJ195" s="193"/>
      <c r="AK195" s="193"/>
      <c r="AL195" s="193"/>
      <c r="AM195" s="193"/>
      <c r="AN195" s="193"/>
    </row>
    <row r="196" spans="1:40">
      <c r="A196" s="193"/>
      <c r="S196" s="250"/>
      <c r="T196" s="193"/>
      <c r="U196" s="193"/>
      <c r="V196" s="193"/>
      <c r="W196" s="193"/>
      <c r="X196" s="193"/>
      <c r="Y196" s="193"/>
      <c r="Z196" s="193"/>
      <c r="AA196" s="193"/>
      <c r="AB196" s="193"/>
      <c r="AC196" s="193"/>
      <c r="AD196" s="193"/>
      <c r="AE196" s="193"/>
      <c r="AF196" s="193"/>
      <c r="AG196" s="193"/>
      <c r="AH196" s="193"/>
      <c r="AI196" s="193"/>
      <c r="AJ196" s="193"/>
      <c r="AK196" s="193"/>
      <c r="AL196" s="193"/>
      <c r="AM196" s="193"/>
      <c r="AN196" s="193"/>
    </row>
    <row r="197" spans="1:40">
      <c r="A197" s="193"/>
      <c r="S197" s="250"/>
      <c r="T197" s="193"/>
      <c r="U197" s="193"/>
      <c r="V197" s="193"/>
      <c r="W197" s="193"/>
      <c r="X197" s="193"/>
      <c r="Y197" s="193"/>
      <c r="Z197" s="193"/>
      <c r="AA197" s="193"/>
      <c r="AB197" s="193"/>
      <c r="AC197" s="193"/>
      <c r="AD197" s="193"/>
      <c r="AE197" s="193"/>
      <c r="AF197" s="193"/>
      <c r="AG197" s="193"/>
      <c r="AH197" s="193"/>
      <c r="AI197" s="193"/>
      <c r="AJ197" s="193"/>
      <c r="AK197" s="193"/>
      <c r="AL197" s="193"/>
      <c r="AM197" s="193"/>
      <c r="AN197" s="193"/>
    </row>
    <row r="198" spans="1:40">
      <c r="A198" s="193"/>
      <c r="S198" s="250"/>
      <c r="T198" s="193"/>
      <c r="U198" s="193"/>
      <c r="V198" s="193"/>
      <c r="W198" s="193"/>
      <c r="X198" s="193"/>
      <c r="Y198" s="193"/>
      <c r="Z198" s="193"/>
      <c r="AA198" s="193"/>
      <c r="AB198" s="193"/>
      <c r="AC198" s="193"/>
      <c r="AD198" s="193"/>
      <c r="AE198" s="193"/>
      <c r="AF198" s="193"/>
      <c r="AG198" s="193"/>
      <c r="AH198" s="193"/>
      <c r="AI198" s="193"/>
      <c r="AJ198" s="193"/>
      <c r="AK198" s="193"/>
      <c r="AL198" s="193"/>
      <c r="AM198" s="193"/>
      <c r="AN198" s="193"/>
    </row>
    <row r="199" spans="1:40">
      <c r="A199" s="193"/>
      <c r="S199" s="250"/>
      <c r="T199" s="193"/>
      <c r="U199" s="193"/>
      <c r="V199" s="193"/>
      <c r="W199" s="193"/>
      <c r="X199" s="193"/>
      <c r="Y199" s="193"/>
      <c r="Z199" s="193"/>
      <c r="AA199" s="193"/>
      <c r="AB199" s="193"/>
      <c r="AC199" s="193"/>
      <c r="AD199" s="193"/>
      <c r="AE199" s="193"/>
      <c r="AF199" s="193"/>
      <c r="AG199" s="193"/>
      <c r="AH199" s="193"/>
      <c r="AI199" s="193"/>
      <c r="AJ199" s="193"/>
      <c r="AK199" s="193"/>
      <c r="AL199" s="193"/>
      <c r="AM199" s="193"/>
      <c r="AN199" s="193"/>
    </row>
    <row r="200" spans="1:40">
      <c r="A200" s="193"/>
      <c r="S200" s="250"/>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row>
    <row r="201" spans="1:40">
      <c r="A201" s="193"/>
      <c r="S201" s="250"/>
      <c r="T201" s="193"/>
      <c r="U201" s="193"/>
      <c r="V201" s="193"/>
      <c r="W201" s="193"/>
      <c r="X201" s="193"/>
      <c r="Y201" s="193"/>
      <c r="Z201" s="193"/>
      <c r="AA201" s="193"/>
      <c r="AB201" s="193"/>
      <c r="AC201" s="193"/>
      <c r="AD201" s="193"/>
      <c r="AE201" s="193"/>
      <c r="AF201" s="193"/>
      <c r="AG201" s="193"/>
      <c r="AH201" s="193"/>
      <c r="AI201" s="193"/>
      <c r="AJ201" s="193"/>
      <c r="AK201" s="193"/>
      <c r="AL201" s="193"/>
      <c r="AM201" s="193"/>
      <c r="AN201" s="193"/>
    </row>
    <row r="202" spans="1:40">
      <c r="A202" s="193"/>
      <c r="S202" s="250"/>
      <c r="T202" s="193"/>
      <c r="U202" s="193"/>
      <c r="V202" s="193"/>
      <c r="W202" s="193"/>
      <c r="X202" s="193"/>
      <c r="Y202" s="193"/>
      <c r="Z202" s="193"/>
      <c r="AA202" s="193"/>
      <c r="AB202" s="193"/>
      <c r="AC202" s="193"/>
      <c r="AD202" s="193"/>
      <c r="AE202" s="193"/>
      <c r="AF202" s="193"/>
      <c r="AG202" s="193"/>
      <c r="AH202" s="193"/>
      <c r="AI202" s="193"/>
      <c r="AJ202" s="193"/>
      <c r="AK202" s="193"/>
      <c r="AL202" s="193"/>
      <c r="AM202" s="193"/>
      <c r="AN202" s="193"/>
    </row>
    <row r="203" spans="1:40">
      <c r="A203" s="193"/>
      <c r="S203" s="250"/>
      <c r="T203" s="193"/>
      <c r="U203" s="193"/>
      <c r="V203" s="193"/>
      <c r="W203" s="193"/>
      <c r="X203" s="193"/>
      <c r="Y203" s="193"/>
      <c r="Z203" s="193"/>
      <c r="AA203" s="193"/>
      <c r="AB203" s="193"/>
      <c r="AC203" s="193"/>
      <c r="AD203" s="193"/>
      <c r="AE203" s="193"/>
      <c r="AF203" s="193"/>
      <c r="AG203" s="193"/>
      <c r="AH203" s="193"/>
      <c r="AI203" s="193"/>
      <c r="AJ203" s="193"/>
      <c r="AK203" s="193"/>
      <c r="AL203" s="193"/>
      <c r="AM203" s="193"/>
      <c r="AN203" s="193"/>
    </row>
    <row r="204" spans="1:40">
      <c r="A204" s="193"/>
      <c r="S204" s="250"/>
      <c r="T204" s="193"/>
      <c r="U204" s="193"/>
      <c r="V204" s="193"/>
      <c r="W204" s="193"/>
      <c r="X204" s="193"/>
      <c r="Y204" s="193"/>
      <c r="Z204" s="193"/>
      <c r="AA204" s="193"/>
      <c r="AB204" s="193"/>
      <c r="AC204" s="193"/>
      <c r="AD204" s="193"/>
      <c r="AE204" s="193"/>
      <c r="AF204" s="193"/>
      <c r="AG204" s="193"/>
      <c r="AH204" s="193"/>
      <c r="AI204" s="193"/>
      <c r="AJ204" s="193"/>
      <c r="AK204" s="193"/>
      <c r="AL204" s="193"/>
      <c r="AM204" s="193"/>
      <c r="AN204" s="193"/>
    </row>
  </sheetData>
  <sheetProtection algorithmName="SHA-512" hashValue="nLzaYKvrkkHarQipnepNHcnpSm+cQCJzphvYydQlfZwtx+VCHo4HxAjNXiTrGm1pGY2Ad63dsqq1Uro54Md71Q==" saltValue="h3p2NnDjy1EHjkrutiABpw==" spinCount="100000" sheet="1" selectLockedCells="1"/>
  <mergeCells count="2">
    <mergeCell ref="G3:J3"/>
    <mergeCell ref="B2:O2"/>
  </mergeCells>
  <conditionalFormatting sqref="G5:J34">
    <cfRule type="expression" dxfId="186" priority="1">
      <formula>$E5=""</formula>
    </cfRule>
  </conditionalFormatting>
  <dataValidations count="2">
    <dataValidation type="list" allowBlank="1" showInputMessage="1" showErrorMessage="1" sqref="E5:E34" xr:uid="{552C2BFF-90EE-40F2-90A0-77815D73FDC7}">
      <formula1>List_WinFilm_Measure</formula1>
    </dataValidation>
    <dataValidation type="list" allowBlank="1" showInputMessage="1" showErrorMessage="1" sqref="G5:G34" xr:uid="{AB066A27-A6C5-4DA8-A1EC-350D47031E57}">
      <formula1>List_WinFilm_Direction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1330-8F56-4B89-86F8-392EAC01700B}">
  <sheetPr>
    <tabColor theme="4"/>
  </sheetPr>
  <dimension ref="A1:AN205"/>
  <sheetViews>
    <sheetView showGridLines="0" showRowColHeaders="0" workbookViewId="0">
      <selection activeCell="D6" sqref="D6"/>
    </sheetView>
  </sheetViews>
  <sheetFormatPr defaultColWidth="9.140625" defaultRowHeight="12.75"/>
  <cols>
    <col min="1" max="1" width="2.140625" style="189" customWidth="1"/>
    <col min="2" max="2" width="5.28515625" style="189" customWidth="1"/>
    <col min="3" max="3" width="9.5703125" style="189" customWidth="1"/>
    <col min="4" max="4" width="17.140625" style="189" customWidth="1"/>
    <col min="5" max="6" width="29.85546875" style="189" customWidth="1"/>
    <col min="7" max="7" width="21.5703125" style="189" customWidth="1"/>
    <col min="8" max="8" width="11.5703125" style="189" customWidth="1"/>
    <col min="9" max="9" width="12.42578125" style="189" customWidth="1"/>
    <col min="10" max="10" width="9.85546875" style="189" customWidth="1"/>
    <col min="11" max="11" width="10" style="189" customWidth="1"/>
    <col min="12" max="12" width="11" style="189" customWidth="1"/>
    <col min="13" max="13" width="12" style="189" customWidth="1"/>
    <col min="14" max="14" width="11.85546875" style="189" customWidth="1"/>
    <col min="15" max="16" width="10.28515625" style="189" customWidth="1"/>
    <col min="17" max="17" width="13.42578125" style="189" customWidth="1"/>
    <col min="18" max="18" width="9.5703125" style="189" customWidth="1"/>
    <col min="19" max="19" width="25.85546875" style="247" hidden="1" customWidth="1"/>
    <col min="20" max="16384" width="9.140625" style="189"/>
  </cols>
  <sheetData>
    <row r="1" spans="1:40" ht="50.25" customHeight="1"/>
    <row r="2" spans="1:40" s="209" customFormat="1" ht="37.5" customHeight="1">
      <c r="B2" s="307" t="s">
        <v>133</v>
      </c>
      <c r="C2" s="307"/>
      <c r="D2" s="307"/>
      <c r="E2" s="307"/>
      <c r="F2" s="307"/>
      <c r="G2" s="307"/>
      <c r="H2" s="307"/>
      <c r="I2" s="307"/>
      <c r="J2" s="307"/>
      <c r="K2" s="307"/>
      <c r="L2" s="307"/>
      <c r="M2" s="307"/>
      <c r="N2" s="307"/>
      <c r="O2" s="307"/>
      <c r="P2" s="240"/>
      <c r="Q2" s="240"/>
      <c r="R2" s="240"/>
    </row>
    <row r="3" spans="1:40">
      <c r="L3" s="193"/>
    </row>
    <row r="4" spans="1:40">
      <c r="A4" s="193"/>
      <c r="G4" s="311" t="s">
        <v>98</v>
      </c>
      <c r="H4" s="311"/>
      <c r="I4" s="311"/>
      <c r="J4" s="311"/>
      <c r="K4" s="216" t="s">
        <v>99</v>
      </c>
      <c r="L4" s="217">
        <f>SUM(Table_Controls_Input235[Estimated incentive])</f>
        <v>0</v>
      </c>
      <c r="M4" s="255">
        <f>SUM(Table_Controls_Input235[Energy savings (kWh)])</f>
        <v>0</v>
      </c>
      <c r="N4" s="256">
        <f>SUM(Table_Controls_Input235[Demand reduction (kW)])</f>
        <v>0</v>
      </c>
      <c r="O4" s="217">
        <f>SUM(Table_Controls_Input235[Cost savings])</f>
        <v>0</v>
      </c>
      <c r="P4" s="217">
        <f>SUM(Table_Controls_Input235[Gross measure cost])</f>
        <v>0</v>
      </c>
      <c r="Q4" s="217">
        <f>SUM(Table_Controls_Input235[Net measure cost])</f>
        <v>0</v>
      </c>
      <c r="R4" s="218" t="str">
        <f>IFERROR(Q4/O4,"")</f>
        <v/>
      </c>
      <c r="S4" s="250"/>
      <c r="T4" s="193"/>
      <c r="U4" s="193"/>
      <c r="V4" s="193"/>
      <c r="W4" s="193"/>
      <c r="X4" s="193"/>
      <c r="Y4" s="193"/>
      <c r="Z4" s="193"/>
      <c r="AA4" s="193"/>
      <c r="AB4" s="193"/>
      <c r="AC4" s="193"/>
      <c r="AD4" s="193"/>
      <c r="AE4" s="193"/>
      <c r="AF4" s="193"/>
      <c r="AG4" s="193"/>
      <c r="AH4" s="193"/>
      <c r="AI4" s="193"/>
      <c r="AJ4" s="193"/>
      <c r="AK4" s="193"/>
      <c r="AL4" s="193"/>
      <c r="AM4" s="193"/>
      <c r="AN4" s="193"/>
    </row>
    <row r="5" spans="1:40" s="194" customFormat="1" ht="38.25">
      <c r="A5" s="204"/>
      <c r="B5" s="230" t="s">
        <v>100</v>
      </c>
      <c r="C5" s="231" t="s">
        <v>101</v>
      </c>
      <c r="D5" s="232" t="s">
        <v>102</v>
      </c>
      <c r="E5" s="231" t="s">
        <v>134</v>
      </c>
      <c r="F5" s="233" t="s">
        <v>104</v>
      </c>
      <c r="G5" s="235" t="s">
        <v>130</v>
      </c>
      <c r="H5" s="235" t="s">
        <v>131</v>
      </c>
      <c r="I5" s="235" t="s">
        <v>113</v>
      </c>
      <c r="J5" s="235" t="s">
        <v>114</v>
      </c>
      <c r="K5" s="233" t="s">
        <v>115</v>
      </c>
      <c r="L5" s="233" t="s">
        <v>116</v>
      </c>
      <c r="M5" s="233" t="s">
        <v>117</v>
      </c>
      <c r="N5" s="233" t="s">
        <v>118</v>
      </c>
      <c r="O5" s="233" t="s">
        <v>119</v>
      </c>
      <c r="P5" s="233" t="s">
        <v>120</v>
      </c>
      <c r="Q5" s="233" t="s">
        <v>121</v>
      </c>
      <c r="R5" s="233" t="s">
        <v>122</v>
      </c>
      <c r="S5" s="251" t="s">
        <v>132</v>
      </c>
      <c r="T5" s="204"/>
      <c r="U5" s="204"/>
      <c r="V5" s="204"/>
      <c r="W5" s="204"/>
      <c r="X5" s="204"/>
      <c r="Y5" s="204"/>
      <c r="Z5" s="204"/>
      <c r="AA5" s="204"/>
      <c r="AB5" s="204"/>
      <c r="AC5" s="204"/>
      <c r="AD5" s="204"/>
      <c r="AE5" s="204"/>
      <c r="AF5" s="204"/>
      <c r="AG5" s="204"/>
      <c r="AH5" s="204"/>
      <c r="AI5" s="204"/>
      <c r="AJ5" s="204"/>
      <c r="AK5" s="204"/>
      <c r="AL5" s="204"/>
      <c r="AM5" s="204"/>
      <c r="AN5" s="204"/>
    </row>
    <row r="6" spans="1:40">
      <c r="A6" s="222"/>
      <c r="B6" s="223">
        <v>1</v>
      </c>
      <c r="C6" s="192" t="str">
        <f>IFERROR(INDEX(Table_EffWindow_Savings[Measure No], MATCH(Table_Controls_Input235[[#This Row],[Measure Lookup Detail]], Table_EffWindow_Savings[Lookup Detail], 0)), "")</f>
        <v/>
      </c>
      <c r="D6" s="252"/>
      <c r="E6" s="253"/>
      <c r="F6" s="192" t="str">
        <f>IFERROR(INDEX(Table_Prescript_Meas[Units], MATCH(Table_Controls_Input235[[#This Row],[Measure number]], Table_Prescript_Meas[Measure Number], 0)), "")</f>
        <v/>
      </c>
      <c r="G6" s="201"/>
      <c r="H6" s="191"/>
      <c r="I6" s="226"/>
      <c r="J6" s="226"/>
      <c r="K6"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6" s="227" t="str">
        <f>IFERROR(Table_Controls_Input235[[#This Row],[Number of units (Sq.Ft.)]]*Table_Controls_Input235[[#This Row],[Per-unit incentive]], "")</f>
        <v/>
      </c>
      <c r="M6" s="228" t="str">
        <f>IFERROR(Table_Controls_Input235[[#This Row],[Number of units (Sq.Ft.)]]*INDEX(Table_EffWindow_Savings[Deemed kWh Savings], MATCH(Table_Controls_Input235[[#This Row],[Measure Lookup Detail]], Table_EffWindow_Savings[Lookup Detail], 0)),"" )</f>
        <v/>
      </c>
      <c r="N6" s="229" t="str">
        <f>IFERROR(Table_Controls_Input235[[#This Row],[Number of units (Sq.Ft.)]]*INDEX(Table_EffWindow_Savings[Deemed kW Savings], MATCH(Table_Controls_Input235[[#This Row],[Measure Lookup Detail]], Table_EffWindow_Savings[Lookup Detail], 0)),"" )</f>
        <v/>
      </c>
      <c r="O6" s="227" t="str">
        <f t="shared" ref="O6:O35" si="0">IFERROR(M6*Input_AvgkWhRate, "")</f>
        <v/>
      </c>
      <c r="P6" s="227" t="str">
        <f>IF(Table_Controls_Input235[[#This Row],[Measure number]]="", "", Table_Controls_Input235[[#This Row],[Total equipment cost]]+Table_Controls_Input235[[#This Row],[Total labor cost]])</f>
        <v/>
      </c>
      <c r="Q6" s="227" t="str">
        <f>IFERROR(Table_Controls_Input235[[#This Row],[Gross measure cost]]-Table_Controls_Input235[[#This Row],[Estimated incentive]], "")</f>
        <v/>
      </c>
      <c r="R6" s="228" t="str">
        <f t="shared" ref="R6:R35" si="1">IFERROR($Q6/$O6,"")</f>
        <v/>
      </c>
      <c r="S6" s="254" t="str">
        <f>_xlfn.CONCAT(Table_Controls_Input235[[#This Row],[Window replacement measure]],Table_Controls_Input235[[#This Row],[Window direction]])</f>
        <v/>
      </c>
      <c r="T6" s="222"/>
      <c r="U6" s="222"/>
      <c r="V6" s="222"/>
      <c r="W6" s="222"/>
      <c r="X6" s="222"/>
      <c r="Y6" s="222"/>
      <c r="Z6" s="222"/>
      <c r="AA6" s="222"/>
      <c r="AB6" s="222"/>
      <c r="AC6" s="222"/>
      <c r="AD6" s="222"/>
      <c r="AE6" s="222"/>
      <c r="AF6" s="222"/>
      <c r="AG6" s="222"/>
      <c r="AH6" s="222"/>
      <c r="AI6" s="222"/>
      <c r="AJ6" s="222"/>
      <c r="AK6" s="222"/>
      <c r="AL6" s="222"/>
      <c r="AM6" s="222"/>
      <c r="AN6" s="222"/>
    </row>
    <row r="7" spans="1:40">
      <c r="A7" s="222"/>
      <c r="B7" s="223">
        <v>2</v>
      </c>
      <c r="C7" s="192" t="str">
        <f>IFERROR(INDEX(Table_EffWindow_Savings[Measure No], MATCH(Table_Controls_Input235[[#This Row],[Measure Lookup Detail]], Table_EffWindow_Savings[Lookup Detail], 0)), "")</f>
        <v/>
      </c>
      <c r="D7" s="252"/>
      <c r="E7" s="253"/>
      <c r="F7" s="192" t="str">
        <f>IFERROR(INDEX(Table_Prescript_Meas[Units], MATCH(Table_Controls_Input235[[#This Row],[Measure number]], Table_Prescript_Meas[Measure Number], 0)), "")</f>
        <v/>
      </c>
      <c r="G7" s="201"/>
      <c r="H7" s="191"/>
      <c r="I7" s="226"/>
      <c r="J7" s="226"/>
      <c r="K7"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7" s="227" t="str">
        <f>IFERROR(Table_Controls_Input235[[#This Row],[Number of units (Sq.Ft.)]]*Table_Controls_Input235[[#This Row],[Per-unit incentive]], "")</f>
        <v/>
      </c>
      <c r="M7" s="228" t="str">
        <f>IFERROR(Table_Controls_Input235[[#This Row],[Number of units (Sq.Ft.)]]*INDEX(Table_EffWindow_Savings[Deemed kWh Savings], MATCH(Table_Controls_Input235[[#This Row],[Measure Lookup Detail]], Table_EffWindow_Savings[Lookup Detail], 0)),"" )</f>
        <v/>
      </c>
      <c r="N7" s="229" t="str">
        <f>IFERROR(Table_Controls_Input235[[#This Row],[Number of units (Sq.Ft.)]]*INDEX(Table_EffWindow_Savings[Deemed kW Savings], MATCH(Table_Controls_Input235[[#This Row],[Measure Lookup Detail]], Table_EffWindow_Savings[Lookup Detail], 0)),"" )</f>
        <v/>
      </c>
      <c r="O7" s="227" t="str">
        <f t="shared" si="0"/>
        <v/>
      </c>
      <c r="P7" s="227" t="str">
        <f>IF(Table_Controls_Input235[[#This Row],[Measure number]]="", "", Table_Controls_Input235[[#This Row],[Total equipment cost]]+Table_Controls_Input235[[#This Row],[Total labor cost]])</f>
        <v/>
      </c>
      <c r="Q7" s="227" t="str">
        <f>IFERROR(Table_Controls_Input235[[#This Row],[Gross measure cost]]-Table_Controls_Input235[[#This Row],[Estimated incentive]], "")</f>
        <v/>
      </c>
      <c r="R7" s="228" t="str">
        <f t="shared" si="1"/>
        <v/>
      </c>
      <c r="S7" s="254" t="str">
        <f>_xlfn.CONCAT(Table_Controls_Input235[[#This Row],[Window replacement measure]],Table_Controls_Input235[[#This Row],[Window direction]])</f>
        <v/>
      </c>
      <c r="T7" s="222"/>
      <c r="U7" s="222"/>
      <c r="V7" s="222"/>
      <c r="W7" s="222"/>
      <c r="X7" s="222"/>
      <c r="Y7" s="222"/>
      <c r="Z7" s="222"/>
      <c r="AA7" s="222"/>
      <c r="AB7" s="222"/>
      <c r="AC7" s="222"/>
      <c r="AD7" s="222"/>
      <c r="AE7" s="222"/>
      <c r="AF7" s="222"/>
      <c r="AG7" s="222"/>
      <c r="AH7" s="222"/>
      <c r="AI7" s="222"/>
      <c r="AJ7" s="222"/>
      <c r="AK7" s="222"/>
      <c r="AL7" s="222"/>
      <c r="AM7" s="222"/>
      <c r="AN7" s="222"/>
    </row>
    <row r="8" spans="1:40">
      <c r="A8" s="222"/>
      <c r="B8" s="223">
        <v>3</v>
      </c>
      <c r="C8" s="192" t="str">
        <f>IFERROR(INDEX(Table_EffWindow_Savings[Measure No], MATCH(Table_Controls_Input235[[#This Row],[Measure Lookup Detail]], Table_EffWindow_Savings[Lookup Detail], 0)), "")</f>
        <v/>
      </c>
      <c r="D8" s="252"/>
      <c r="E8" s="253"/>
      <c r="F8" s="192" t="str">
        <f>IFERROR(INDEX(Table_Prescript_Meas[Units], MATCH(Table_Controls_Input235[[#This Row],[Measure number]], Table_Prescript_Meas[Measure Number], 0)), "")</f>
        <v/>
      </c>
      <c r="G8" s="201"/>
      <c r="H8" s="191"/>
      <c r="I8" s="226"/>
      <c r="J8" s="226"/>
      <c r="K8"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8" s="227" t="str">
        <f>IFERROR(Table_Controls_Input235[[#This Row],[Number of units (Sq.Ft.)]]*Table_Controls_Input235[[#This Row],[Per-unit incentive]], "")</f>
        <v/>
      </c>
      <c r="M8" s="228" t="str">
        <f>IFERROR(Table_Controls_Input235[[#This Row],[Number of units (Sq.Ft.)]]*INDEX(Table_EffWindow_Savings[Deemed kWh Savings], MATCH(Table_Controls_Input235[[#This Row],[Measure Lookup Detail]], Table_EffWindow_Savings[Lookup Detail], 0)),"" )</f>
        <v/>
      </c>
      <c r="N8" s="229" t="str">
        <f>IFERROR(Table_Controls_Input235[[#This Row],[Number of units (Sq.Ft.)]]*INDEX(Table_EffWindow_Savings[Deemed kW Savings], MATCH(Table_Controls_Input235[[#This Row],[Measure Lookup Detail]], Table_EffWindow_Savings[Lookup Detail], 0)),"" )</f>
        <v/>
      </c>
      <c r="O8" s="227" t="str">
        <f t="shared" si="0"/>
        <v/>
      </c>
      <c r="P8" s="227" t="str">
        <f>IF(Table_Controls_Input235[[#This Row],[Measure number]]="", "", Table_Controls_Input235[[#This Row],[Total equipment cost]]+Table_Controls_Input235[[#This Row],[Total labor cost]])</f>
        <v/>
      </c>
      <c r="Q8" s="227" t="str">
        <f>IFERROR(Table_Controls_Input235[[#This Row],[Gross measure cost]]-Table_Controls_Input235[[#This Row],[Estimated incentive]], "")</f>
        <v/>
      </c>
      <c r="R8" s="228" t="str">
        <f t="shared" si="1"/>
        <v/>
      </c>
      <c r="S8" s="254" t="str">
        <f>_xlfn.CONCAT(Table_Controls_Input235[[#This Row],[Window replacement measure]],Table_Controls_Input235[[#This Row],[Window direction]])</f>
        <v/>
      </c>
      <c r="T8" s="222"/>
      <c r="U8" s="222"/>
      <c r="V8" s="222"/>
      <c r="W8" s="222"/>
      <c r="X8" s="222"/>
      <c r="Y8" s="222"/>
      <c r="Z8" s="222"/>
      <c r="AA8" s="222"/>
      <c r="AB8" s="222"/>
      <c r="AC8" s="222"/>
      <c r="AD8" s="222"/>
      <c r="AE8" s="222"/>
      <c r="AF8" s="222"/>
      <c r="AG8" s="222"/>
      <c r="AH8" s="222"/>
      <c r="AI8" s="222"/>
      <c r="AJ8" s="222"/>
      <c r="AK8" s="222"/>
      <c r="AL8" s="222"/>
      <c r="AM8" s="222"/>
      <c r="AN8" s="222"/>
    </row>
    <row r="9" spans="1:40">
      <c r="A9" s="222"/>
      <c r="B9" s="223">
        <v>4</v>
      </c>
      <c r="C9" s="192" t="str">
        <f>IFERROR(INDEX(Table_EffWindow_Savings[Measure No], MATCH(Table_Controls_Input235[[#This Row],[Measure Lookup Detail]], Table_EffWindow_Savings[Lookup Detail], 0)), "")</f>
        <v/>
      </c>
      <c r="D9" s="252"/>
      <c r="E9" s="253"/>
      <c r="F9" s="192" t="str">
        <f>IFERROR(INDEX(Table_Prescript_Meas[Units], MATCH(Table_Controls_Input235[[#This Row],[Measure number]], Table_Prescript_Meas[Measure Number], 0)), "")</f>
        <v/>
      </c>
      <c r="G9" s="201"/>
      <c r="H9" s="191"/>
      <c r="I9" s="226"/>
      <c r="J9" s="226"/>
      <c r="K9"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9" s="227" t="str">
        <f>IFERROR(Table_Controls_Input235[[#This Row],[Number of units (Sq.Ft.)]]*Table_Controls_Input235[[#This Row],[Per-unit incentive]], "")</f>
        <v/>
      </c>
      <c r="M9" s="228" t="str">
        <f>IFERROR(Table_Controls_Input235[[#This Row],[Number of units (Sq.Ft.)]]*INDEX(Table_EffWindow_Savings[Deemed kWh Savings], MATCH(Table_Controls_Input235[[#This Row],[Measure Lookup Detail]], Table_EffWindow_Savings[Lookup Detail], 0)),"" )</f>
        <v/>
      </c>
      <c r="N9" s="229" t="str">
        <f>IFERROR(Table_Controls_Input235[[#This Row],[Number of units (Sq.Ft.)]]*INDEX(Table_EffWindow_Savings[Deemed kW Savings], MATCH(Table_Controls_Input235[[#This Row],[Measure Lookup Detail]], Table_EffWindow_Savings[Lookup Detail], 0)),"" )</f>
        <v/>
      </c>
      <c r="O9" s="227" t="str">
        <f t="shared" si="0"/>
        <v/>
      </c>
      <c r="P9" s="227" t="str">
        <f>IF(Table_Controls_Input235[[#This Row],[Measure number]]="", "", Table_Controls_Input235[[#This Row],[Total equipment cost]]+Table_Controls_Input235[[#This Row],[Total labor cost]])</f>
        <v/>
      </c>
      <c r="Q9" s="227" t="str">
        <f>IFERROR(Table_Controls_Input235[[#This Row],[Gross measure cost]]-Table_Controls_Input235[[#This Row],[Estimated incentive]], "")</f>
        <v/>
      </c>
      <c r="R9" s="228" t="str">
        <f t="shared" si="1"/>
        <v/>
      </c>
      <c r="S9" s="254" t="str">
        <f>_xlfn.CONCAT(Table_Controls_Input235[[#This Row],[Window replacement measure]],Table_Controls_Input235[[#This Row],[Window direction]])</f>
        <v/>
      </c>
      <c r="T9" s="222"/>
      <c r="U9" s="222"/>
      <c r="V9" s="222"/>
      <c r="W9" s="222"/>
      <c r="X9" s="222"/>
      <c r="Y9" s="222"/>
      <c r="Z9" s="222"/>
      <c r="AA9" s="222"/>
      <c r="AB9" s="222"/>
      <c r="AC9" s="222"/>
      <c r="AD9" s="222"/>
      <c r="AE9" s="222"/>
      <c r="AF9" s="222"/>
      <c r="AG9" s="222"/>
      <c r="AH9" s="222"/>
      <c r="AI9" s="222"/>
      <c r="AJ9" s="222"/>
      <c r="AK9" s="222"/>
      <c r="AL9" s="222"/>
      <c r="AM9" s="222"/>
      <c r="AN9" s="222"/>
    </row>
    <row r="10" spans="1:40">
      <c r="A10" s="222"/>
      <c r="B10" s="223">
        <v>5</v>
      </c>
      <c r="C10" s="192" t="str">
        <f>IFERROR(INDEX(Table_EffWindow_Savings[Measure No], MATCH(Table_Controls_Input235[[#This Row],[Measure Lookup Detail]], Table_EffWindow_Savings[Lookup Detail], 0)), "")</f>
        <v/>
      </c>
      <c r="D10" s="252"/>
      <c r="E10" s="253"/>
      <c r="F10" s="192" t="str">
        <f>IFERROR(INDEX(Table_Prescript_Meas[Units], MATCH(Table_Controls_Input235[[#This Row],[Measure number]], Table_Prescript_Meas[Measure Number], 0)), "")</f>
        <v/>
      </c>
      <c r="G10" s="201"/>
      <c r="H10" s="191"/>
      <c r="I10" s="226"/>
      <c r="J10" s="226"/>
      <c r="K10"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0" s="227" t="str">
        <f>IFERROR(Table_Controls_Input235[[#This Row],[Number of units (Sq.Ft.)]]*Table_Controls_Input235[[#This Row],[Per-unit incentive]], "")</f>
        <v/>
      </c>
      <c r="M10" s="228" t="str">
        <f>IFERROR(Table_Controls_Input235[[#This Row],[Number of units (Sq.Ft.)]]*INDEX(Table_EffWindow_Savings[Deemed kWh Savings], MATCH(Table_Controls_Input235[[#This Row],[Measure Lookup Detail]], Table_EffWindow_Savings[Lookup Detail], 0)),"" )</f>
        <v/>
      </c>
      <c r="N10" s="229" t="str">
        <f>IFERROR(Table_Controls_Input235[[#This Row],[Number of units (Sq.Ft.)]]*INDEX(Table_EffWindow_Savings[Deemed kW Savings], MATCH(Table_Controls_Input235[[#This Row],[Measure Lookup Detail]], Table_EffWindow_Savings[Lookup Detail], 0)),"" )</f>
        <v/>
      </c>
      <c r="O10" s="227" t="str">
        <f t="shared" si="0"/>
        <v/>
      </c>
      <c r="P10" s="227" t="str">
        <f>IF(Table_Controls_Input235[[#This Row],[Measure number]]="", "", Table_Controls_Input235[[#This Row],[Total equipment cost]]+Table_Controls_Input235[[#This Row],[Total labor cost]])</f>
        <v/>
      </c>
      <c r="Q10" s="227" t="str">
        <f>IFERROR(Table_Controls_Input235[[#This Row],[Gross measure cost]]-Table_Controls_Input235[[#This Row],[Estimated incentive]], "")</f>
        <v/>
      </c>
      <c r="R10" s="228" t="str">
        <f t="shared" si="1"/>
        <v/>
      </c>
      <c r="S10" s="254" t="str">
        <f>_xlfn.CONCAT(Table_Controls_Input235[[#This Row],[Window replacement measure]],Table_Controls_Input235[[#This Row],[Window direction]])</f>
        <v/>
      </c>
      <c r="T10" s="222"/>
      <c r="U10" s="222"/>
      <c r="V10" s="222"/>
      <c r="W10" s="222"/>
      <c r="X10" s="222"/>
      <c r="Y10" s="222"/>
      <c r="Z10" s="222"/>
      <c r="AA10" s="222"/>
      <c r="AB10" s="222"/>
      <c r="AC10" s="222"/>
      <c r="AD10" s="222"/>
      <c r="AE10" s="222"/>
      <c r="AF10" s="222"/>
      <c r="AG10" s="222"/>
      <c r="AH10" s="222"/>
      <c r="AI10" s="222"/>
      <c r="AJ10" s="222"/>
      <c r="AK10" s="222"/>
      <c r="AL10" s="222"/>
      <c r="AM10" s="222"/>
      <c r="AN10" s="222"/>
    </row>
    <row r="11" spans="1:40">
      <c r="A11" s="222"/>
      <c r="B11" s="223">
        <v>6</v>
      </c>
      <c r="C11" s="192" t="str">
        <f>IFERROR(INDEX(Table_EffWindow_Savings[Measure No], MATCH(Table_Controls_Input235[[#This Row],[Measure Lookup Detail]], Table_EffWindow_Savings[Lookup Detail], 0)), "")</f>
        <v/>
      </c>
      <c r="D11" s="252"/>
      <c r="E11" s="253"/>
      <c r="F11" s="192" t="str">
        <f>IFERROR(INDEX(Table_Prescript_Meas[Units], MATCH(Table_Controls_Input235[[#This Row],[Measure number]], Table_Prescript_Meas[Measure Number], 0)), "")</f>
        <v/>
      </c>
      <c r="G11" s="201"/>
      <c r="H11" s="191"/>
      <c r="I11" s="226"/>
      <c r="J11" s="226"/>
      <c r="K11"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1" s="227" t="str">
        <f>IFERROR(Table_Controls_Input235[[#This Row],[Number of units (Sq.Ft.)]]*Table_Controls_Input235[[#This Row],[Per-unit incentive]], "")</f>
        <v/>
      </c>
      <c r="M11" s="228" t="str">
        <f>IFERROR(Table_Controls_Input235[[#This Row],[Number of units (Sq.Ft.)]]*INDEX(Table_EffWindow_Savings[Deemed kWh Savings], MATCH(Table_Controls_Input235[[#This Row],[Measure Lookup Detail]], Table_EffWindow_Savings[Lookup Detail], 0)),"" )</f>
        <v/>
      </c>
      <c r="N11" s="229" t="str">
        <f>IFERROR(Table_Controls_Input235[[#This Row],[Number of units (Sq.Ft.)]]*INDEX(Table_EffWindow_Savings[Deemed kW Savings], MATCH(Table_Controls_Input235[[#This Row],[Measure Lookup Detail]], Table_EffWindow_Savings[Lookup Detail], 0)),"" )</f>
        <v/>
      </c>
      <c r="O11" s="227" t="str">
        <f t="shared" si="0"/>
        <v/>
      </c>
      <c r="P11" s="227" t="str">
        <f>IF(Table_Controls_Input235[[#This Row],[Measure number]]="", "", Table_Controls_Input235[[#This Row],[Total equipment cost]]+Table_Controls_Input235[[#This Row],[Total labor cost]])</f>
        <v/>
      </c>
      <c r="Q11" s="227" t="str">
        <f>IFERROR(Table_Controls_Input235[[#This Row],[Gross measure cost]]-Table_Controls_Input235[[#This Row],[Estimated incentive]], "")</f>
        <v/>
      </c>
      <c r="R11" s="228" t="str">
        <f t="shared" si="1"/>
        <v/>
      </c>
      <c r="S11" s="254" t="str">
        <f>_xlfn.CONCAT(Table_Controls_Input235[[#This Row],[Window replacement measure]],Table_Controls_Input235[[#This Row],[Window direction]])</f>
        <v/>
      </c>
      <c r="T11" s="222"/>
      <c r="U11" s="222"/>
      <c r="V11" s="222"/>
      <c r="W11" s="222"/>
      <c r="X11" s="222"/>
      <c r="Y11" s="222"/>
      <c r="Z11" s="222"/>
      <c r="AA11" s="222"/>
      <c r="AB11" s="222"/>
      <c r="AC11" s="222"/>
      <c r="AD11" s="222"/>
      <c r="AE11" s="222"/>
      <c r="AF11" s="222"/>
      <c r="AG11" s="222"/>
      <c r="AH11" s="222"/>
      <c r="AI11" s="222"/>
      <c r="AJ11" s="222"/>
      <c r="AK11" s="222"/>
      <c r="AL11" s="222"/>
      <c r="AM11" s="222"/>
      <c r="AN11" s="222"/>
    </row>
    <row r="12" spans="1:40">
      <c r="A12" s="222"/>
      <c r="B12" s="223">
        <v>7</v>
      </c>
      <c r="C12" s="192" t="str">
        <f>IFERROR(INDEX(Table_EffWindow_Savings[Measure No], MATCH(Table_Controls_Input235[[#This Row],[Measure Lookup Detail]], Table_EffWindow_Savings[Lookup Detail], 0)), "")</f>
        <v/>
      </c>
      <c r="D12" s="252"/>
      <c r="E12" s="253"/>
      <c r="F12" s="192" t="str">
        <f>IFERROR(INDEX(Table_Prescript_Meas[Units], MATCH(Table_Controls_Input235[[#This Row],[Measure number]], Table_Prescript_Meas[Measure Number], 0)), "")</f>
        <v/>
      </c>
      <c r="G12" s="201"/>
      <c r="H12" s="191"/>
      <c r="I12" s="226"/>
      <c r="J12" s="226"/>
      <c r="K12"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2" s="227" t="str">
        <f>IFERROR(Table_Controls_Input235[[#This Row],[Number of units (Sq.Ft.)]]*Table_Controls_Input235[[#This Row],[Per-unit incentive]], "")</f>
        <v/>
      </c>
      <c r="M12" s="228" t="str">
        <f>IFERROR(Table_Controls_Input235[[#This Row],[Number of units (Sq.Ft.)]]*INDEX(Table_EffWindow_Savings[Deemed kWh Savings], MATCH(Table_Controls_Input235[[#This Row],[Measure Lookup Detail]], Table_EffWindow_Savings[Lookup Detail], 0)),"" )</f>
        <v/>
      </c>
      <c r="N12" s="229" t="str">
        <f>IFERROR(Table_Controls_Input235[[#This Row],[Number of units (Sq.Ft.)]]*INDEX(Table_EffWindow_Savings[Deemed kW Savings], MATCH(Table_Controls_Input235[[#This Row],[Measure Lookup Detail]], Table_EffWindow_Savings[Lookup Detail], 0)),"" )</f>
        <v/>
      </c>
      <c r="O12" s="227" t="str">
        <f t="shared" si="0"/>
        <v/>
      </c>
      <c r="P12" s="227" t="str">
        <f>IF(Table_Controls_Input235[[#This Row],[Measure number]]="", "", Table_Controls_Input235[[#This Row],[Total equipment cost]]+Table_Controls_Input235[[#This Row],[Total labor cost]])</f>
        <v/>
      </c>
      <c r="Q12" s="227" t="str">
        <f>IFERROR(Table_Controls_Input235[[#This Row],[Gross measure cost]]-Table_Controls_Input235[[#This Row],[Estimated incentive]], "")</f>
        <v/>
      </c>
      <c r="R12" s="228" t="str">
        <f t="shared" si="1"/>
        <v/>
      </c>
      <c r="S12" s="254" t="str">
        <f>_xlfn.CONCAT(Table_Controls_Input235[[#This Row],[Window replacement measure]],Table_Controls_Input235[[#This Row],[Window direction]])</f>
        <v/>
      </c>
      <c r="T12" s="222"/>
      <c r="U12" s="222"/>
      <c r="V12" s="222"/>
      <c r="W12" s="222"/>
      <c r="X12" s="222"/>
      <c r="Y12" s="222"/>
      <c r="Z12" s="222"/>
      <c r="AA12" s="222"/>
      <c r="AB12" s="222"/>
      <c r="AC12" s="222"/>
      <c r="AD12" s="222"/>
      <c r="AE12" s="222"/>
      <c r="AF12" s="222"/>
      <c r="AG12" s="222"/>
      <c r="AH12" s="222"/>
      <c r="AI12" s="222"/>
      <c r="AJ12" s="222"/>
      <c r="AK12" s="222"/>
      <c r="AL12" s="222"/>
      <c r="AM12" s="222"/>
      <c r="AN12" s="222"/>
    </row>
    <row r="13" spans="1:40" ht="10.5" customHeight="1">
      <c r="A13" s="222"/>
      <c r="B13" s="223">
        <v>8</v>
      </c>
      <c r="C13" s="192" t="str">
        <f>IFERROR(INDEX(Table_EffWindow_Savings[Measure No], MATCH(Table_Controls_Input235[[#This Row],[Measure Lookup Detail]], Table_EffWindow_Savings[Lookup Detail], 0)), "")</f>
        <v/>
      </c>
      <c r="D13" s="252"/>
      <c r="E13" s="253"/>
      <c r="F13" s="192" t="str">
        <f>IFERROR(INDEX(Table_Prescript_Meas[Units], MATCH(Table_Controls_Input235[[#This Row],[Measure number]], Table_Prescript_Meas[Measure Number], 0)), "")</f>
        <v/>
      </c>
      <c r="G13" s="201"/>
      <c r="H13" s="191"/>
      <c r="I13" s="226"/>
      <c r="J13" s="226"/>
      <c r="K13"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3" s="227" t="str">
        <f>IFERROR(Table_Controls_Input235[[#This Row],[Number of units (Sq.Ft.)]]*Table_Controls_Input235[[#This Row],[Per-unit incentive]], "")</f>
        <v/>
      </c>
      <c r="M13" s="228" t="str">
        <f>IFERROR(Table_Controls_Input235[[#This Row],[Number of units (Sq.Ft.)]]*INDEX(Table_EffWindow_Savings[Deemed kWh Savings], MATCH(Table_Controls_Input235[[#This Row],[Measure Lookup Detail]], Table_EffWindow_Savings[Lookup Detail], 0)),"" )</f>
        <v/>
      </c>
      <c r="N13" s="229" t="str">
        <f>IFERROR(Table_Controls_Input235[[#This Row],[Number of units (Sq.Ft.)]]*INDEX(Table_EffWindow_Savings[Deemed kW Savings], MATCH(Table_Controls_Input235[[#This Row],[Measure Lookup Detail]], Table_EffWindow_Savings[Lookup Detail], 0)),"" )</f>
        <v/>
      </c>
      <c r="O13" s="227" t="str">
        <f t="shared" si="0"/>
        <v/>
      </c>
      <c r="P13" s="227" t="str">
        <f>IF(Table_Controls_Input235[[#This Row],[Measure number]]="", "", Table_Controls_Input235[[#This Row],[Total equipment cost]]+Table_Controls_Input235[[#This Row],[Total labor cost]])</f>
        <v/>
      </c>
      <c r="Q13" s="227" t="str">
        <f>IFERROR(Table_Controls_Input235[[#This Row],[Gross measure cost]]-Table_Controls_Input235[[#This Row],[Estimated incentive]], "")</f>
        <v/>
      </c>
      <c r="R13" s="228" t="str">
        <f t="shared" si="1"/>
        <v/>
      </c>
      <c r="S13" s="254" t="str">
        <f>_xlfn.CONCAT(Table_Controls_Input235[[#This Row],[Window replacement measure]],Table_Controls_Input235[[#This Row],[Window direction]])</f>
        <v/>
      </c>
      <c r="T13" s="222"/>
      <c r="U13" s="222"/>
      <c r="V13" s="222"/>
      <c r="W13" s="222"/>
      <c r="X13" s="222"/>
      <c r="Y13" s="222"/>
      <c r="Z13" s="222"/>
      <c r="AA13" s="222"/>
      <c r="AB13" s="222"/>
      <c r="AC13" s="222"/>
      <c r="AD13" s="222"/>
      <c r="AE13" s="222"/>
      <c r="AF13" s="222"/>
      <c r="AG13" s="222"/>
      <c r="AH13" s="222"/>
      <c r="AI13" s="222"/>
      <c r="AJ13" s="222"/>
      <c r="AK13" s="222"/>
      <c r="AL13" s="222"/>
      <c r="AM13" s="222"/>
      <c r="AN13" s="222"/>
    </row>
    <row r="14" spans="1:40">
      <c r="A14" s="222"/>
      <c r="B14" s="223">
        <v>9</v>
      </c>
      <c r="C14" s="192" t="str">
        <f>IFERROR(INDEX(Table_EffWindow_Savings[Measure No], MATCH(Table_Controls_Input235[[#This Row],[Measure Lookup Detail]], Table_EffWindow_Savings[Lookup Detail], 0)), "")</f>
        <v/>
      </c>
      <c r="D14" s="252"/>
      <c r="E14" s="253"/>
      <c r="F14" s="192" t="str">
        <f>IFERROR(INDEX(Table_Prescript_Meas[Units], MATCH(Table_Controls_Input235[[#This Row],[Measure number]], Table_Prescript_Meas[Measure Number], 0)), "")</f>
        <v/>
      </c>
      <c r="G14" s="201"/>
      <c r="H14" s="191"/>
      <c r="I14" s="226"/>
      <c r="J14" s="226"/>
      <c r="K14"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4" s="227" t="str">
        <f>IFERROR(Table_Controls_Input235[[#This Row],[Number of units (Sq.Ft.)]]*Table_Controls_Input235[[#This Row],[Per-unit incentive]], "")</f>
        <v/>
      </c>
      <c r="M14" s="228" t="str">
        <f>IFERROR(Table_Controls_Input235[[#This Row],[Number of units (Sq.Ft.)]]*INDEX(Table_EffWindow_Savings[Deemed kWh Savings], MATCH(Table_Controls_Input235[[#This Row],[Measure Lookup Detail]], Table_EffWindow_Savings[Lookup Detail], 0)),"" )</f>
        <v/>
      </c>
      <c r="N14" s="229" t="str">
        <f>IFERROR(Table_Controls_Input235[[#This Row],[Number of units (Sq.Ft.)]]*INDEX(Table_EffWindow_Savings[Deemed kW Savings], MATCH(Table_Controls_Input235[[#This Row],[Measure Lookup Detail]], Table_EffWindow_Savings[Lookup Detail], 0)),"" )</f>
        <v/>
      </c>
      <c r="O14" s="227" t="str">
        <f t="shared" si="0"/>
        <v/>
      </c>
      <c r="P14" s="227" t="str">
        <f>IF(Table_Controls_Input235[[#This Row],[Measure number]]="", "", Table_Controls_Input235[[#This Row],[Total equipment cost]]+Table_Controls_Input235[[#This Row],[Total labor cost]])</f>
        <v/>
      </c>
      <c r="Q14" s="227" t="str">
        <f>IFERROR(Table_Controls_Input235[[#This Row],[Gross measure cost]]-Table_Controls_Input235[[#This Row],[Estimated incentive]], "")</f>
        <v/>
      </c>
      <c r="R14" s="228" t="str">
        <f t="shared" si="1"/>
        <v/>
      </c>
      <c r="S14" s="254" t="str">
        <f>_xlfn.CONCAT(Table_Controls_Input235[[#This Row],[Window replacement measure]],Table_Controls_Input235[[#This Row],[Window direction]])</f>
        <v/>
      </c>
      <c r="T14" s="222"/>
      <c r="U14" s="222"/>
      <c r="V14" s="222"/>
      <c r="W14" s="222"/>
      <c r="X14" s="222"/>
      <c r="Y14" s="222"/>
      <c r="Z14" s="222"/>
      <c r="AA14" s="222"/>
      <c r="AB14" s="222"/>
      <c r="AC14" s="222"/>
      <c r="AD14" s="222"/>
      <c r="AE14" s="222"/>
      <c r="AF14" s="222"/>
      <c r="AG14" s="222"/>
      <c r="AH14" s="222"/>
      <c r="AI14" s="222"/>
      <c r="AJ14" s="222"/>
      <c r="AK14" s="222"/>
      <c r="AL14" s="222"/>
      <c r="AM14" s="222"/>
      <c r="AN14" s="222"/>
    </row>
    <row r="15" spans="1:40">
      <c r="A15" s="222"/>
      <c r="B15" s="223">
        <v>10</v>
      </c>
      <c r="C15" s="192" t="str">
        <f>IFERROR(INDEX(Table_EffWindow_Savings[Measure No], MATCH(Table_Controls_Input235[[#This Row],[Measure Lookup Detail]], Table_EffWindow_Savings[Lookup Detail], 0)), "")</f>
        <v/>
      </c>
      <c r="D15" s="252"/>
      <c r="E15" s="253"/>
      <c r="F15" s="192" t="str">
        <f>IFERROR(INDEX(Table_Prescript_Meas[Units], MATCH(Table_Controls_Input235[[#This Row],[Measure number]], Table_Prescript_Meas[Measure Number], 0)), "")</f>
        <v/>
      </c>
      <c r="G15" s="201"/>
      <c r="H15" s="191"/>
      <c r="I15" s="226"/>
      <c r="J15" s="226"/>
      <c r="K15"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5" s="227" t="str">
        <f>IFERROR(Table_Controls_Input235[[#This Row],[Number of units (Sq.Ft.)]]*Table_Controls_Input235[[#This Row],[Per-unit incentive]], "")</f>
        <v/>
      </c>
      <c r="M15" s="228" t="str">
        <f>IFERROR(Table_Controls_Input235[[#This Row],[Number of units (Sq.Ft.)]]*INDEX(Table_EffWindow_Savings[Deemed kWh Savings], MATCH(Table_Controls_Input235[[#This Row],[Measure Lookup Detail]], Table_EffWindow_Savings[Lookup Detail], 0)),"" )</f>
        <v/>
      </c>
      <c r="N15" s="229" t="str">
        <f>IFERROR(Table_Controls_Input235[[#This Row],[Number of units (Sq.Ft.)]]*INDEX(Table_EffWindow_Savings[Deemed kW Savings], MATCH(Table_Controls_Input235[[#This Row],[Measure Lookup Detail]], Table_EffWindow_Savings[Lookup Detail], 0)),"" )</f>
        <v/>
      </c>
      <c r="O15" s="227" t="str">
        <f t="shared" si="0"/>
        <v/>
      </c>
      <c r="P15" s="227" t="str">
        <f>IF(Table_Controls_Input235[[#This Row],[Measure number]]="", "", Table_Controls_Input235[[#This Row],[Total equipment cost]]+Table_Controls_Input235[[#This Row],[Total labor cost]])</f>
        <v/>
      </c>
      <c r="Q15" s="227" t="str">
        <f>IFERROR(Table_Controls_Input235[[#This Row],[Gross measure cost]]-Table_Controls_Input235[[#This Row],[Estimated incentive]], "")</f>
        <v/>
      </c>
      <c r="R15" s="228" t="str">
        <f t="shared" si="1"/>
        <v/>
      </c>
      <c r="S15" s="254" t="str">
        <f>_xlfn.CONCAT(Table_Controls_Input235[[#This Row],[Window replacement measure]],Table_Controls_Input235[[#This Row],[Window direction]])</f>
        <v/>
      </c>
      <c r="T15" s="222"/>
      <c r="U15" s="222"/>
      <c r="V15" s="222"/>
      <c r="W15" s="222"/>
      <c r="X15" s="222"/>
      <c r="Y15" s="222"/>
      <c r="Z15" s="222"/>
      <c r="AA15" s="222"/>
      <c r="AB15" s="222"/>
      <c r="AC15" s="222"/>
      <c r="AD15" s="222"/>
      <c r="AE15" s="222"/>
      <c r="AF15" s="222"/>
      <c r="AG15" s="222"/>
      <c r="AH15" s="222"/>
      <c r="AI15" s="222"/>
      <c r="AJ15" s="222"/>
      <c r="AK15" s="222"/>
      <c r="AL15" s="222"/>
      <c r="AM15" s="222"/>
      <c r="AN15" s="222"/>
    </row>
    <row r="16" spans="1:40">
      <c r="A16" s="222"/>
      <c r="B16" s="223">
        <v>11</v>
      </c>
      <c r="C16" s="192" t="str">
        <f>IFERROR(INDEX(Table_EffWindow_Savings[Measure No], MATCH(Table_Controls_Input235[[#This Row],[Measure Lookup Detail]], Table_EffWindow_Savings[Lookup Detail], 0)), "")</f>
        <v/>
      </c>
      <c r="D16" s="252"/>
      <c r="E16" s="253"/>
      <c r="F16" s="192" t="str">
        <f>IFERROR(INDEX(Table_Prescript_Meas[Units], MATCH(Table_Controls_Input235[[#This Row],[Measure number]], Table_Prescript_Meas[Measure Number], 0)), "")</f>
        <v/>
      </c>
      <c r="G16" s="201"/>
      <c r="H16" s="191"/>
      <c r="I16" s="226"/>
      <c r="J16" s="226"/>
      <c r="K16"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6" s="227" t="str">
        <f>IFERROR(Table_Controls_Input235[[#This Row],[Number of units (Sq.Ft.)]]*Table_Controls_Input235[[#This Row],[Per-unit incentive]], "")</f>
        <v/>
      </c>
      <c r="M16" s="228" t="str">
        <f>IFERROR(Table_Controls_Input235[[#This Row],[Number of units (Sq.Ft.)]]*INDEX(Table_EffWindow_Savings[Deemed kWh Savings], MATCH(Table_Controls_Input235[[#This Row],[Measure Lookup Detail]], Table_EffWindow_Savings[Lookup Detail], 0)),"" )</f>
        <v/>
      </c>
      <c r="N16" s="229" t="str">
        <f>IFERROR(Table_Controls_Input235[[#This Row],[Number of units (Sq.Ft.)]]*INDEX(Table_EffWindow_Savings[Deemed kW Savings], MATCH(Table_Controls_Input235[[#This Row],[Measure Lookup Detail]], Table_EffWindow_Savings[Lookup Detail], 0)),"" )</f>
        <v/>
      </c>
      <c r="O16" s="227" t="str">
        <f t="shared" si="0"/>
        <v/>
      </c>
      <c r="P16" s="227" t="str">
        <f>IF(Table_Controls_Input235[[#This Row],[Measure number]]="", "", Table_Controls_Input235[[#This Row],[Total equipment cost]]+Table_Controls_Input235[[#This Row],[Total labor cost]])</f>
        <v/>
      </c>
      <c r="Q16" s="227" t="str">
        <f>IFERROR(Table_Controls_Input235[[#This Row],[Gross measure cost]]-Table_Controls_Input235[[#This Row],[Estimated incentive]], "")</f>
        <v/>
      </c>
      <c r="R16" s="228" t="str">
        <f t="shared" si="1"/>
        <v/>
      </c>
      <c r="S16" s="254" t="str">
        <f>_xlfn.CONCAT(Table_Controls_Input235[[#This Row],[Window replacement measure]],Table_Controls_Input235[[#This Row],[Window direction]])</f>
        <v/>
      </c>
      <c r="T16" s="222"/>
      <c r="U16" s="222"/>
      <c r="V16" s="222"/>
      <c r="W16" s="222"/>
      <c r="X16" s="222"/>
      <c r="Y16" s="222"/>
      <c r="Z16" s="222"/>
      <c r="AA16" s="222"/>
      <c r="AB16" s="222"/>
      <c r="AC16" s="222"/>
      <c r="AD16" s="222"/>
      <c r="AE16" s="222"/>
      <c r="AF16" s="222"/>
      <c r="AG16" s="222"/>
      <c r="AH16" s="222"/>
      <c r="AI16" s="222"/>
      <c r="AJ16" s="222"/>
      <c r="AK16" s="222"/>
      <c r="AL16" s="222"/>
      <c r="AM16" s="222"/>
      <c r="AN16" s="222"/>
    </row>
    <row r="17" spans="1:40">
      <c r="A17" s="222"/>
      <c r="B17" s="223">
        <v>12</v>
      </c>
      <c r="C17" s="192" t="str">
        <f>IFERROR(INDEX(Table_EffWindow_Savings[Measure No], MATCH(Table_Controls_Input235[[#This Row],[Measure Lookup Detail]], Table_EffWindow_Savings[Lookup Detail], 0)), "")</f>
        <v/>
      </c>
      <c r="D17" s="252"/>
      <c r="E17" s="253"/>
      <c r="F17" s="192" t="str">
        <f>IFERROR(INDEX(Table_Prescript_Meas[Units], MATCH(Table_Controls_Input235[[#This Row],[Measure number]], Table_Prescript_Meas[Measure Number], 0)), "")</f>
        <v/>
      </c>
      <c r="G17" s="201"/>
      <c r="H17" s="191"/>
      <c r="I17" s="226"/>
      <c r="J17" s="226"/>
      <c r="K17"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7" s="227" t="str">
        <f>IFERROR(Table_Controls_Input235[[#This Row],[Number of units (Sq.Ft.)]]*Table_Controls_Input235[[#This Row],[Per-unit incentive]], "")</f>
        <v/>
      </c>
      <c r="M17" s="228" t="str">
        <f>IFERROR(Table_Controls_Input235[[#This Row],[Number of units (Sq.Ft.)]]*INDEX(Table_EffWindow_Savings[Deemed kWh Savings], MATCH(Table_Controls_Input235[[#This Row],[Measure Lookup Detail]], Table_EffWindow_Savings[Lookup Detail], 0)),"" )</f>
        <v/>
      </c>
      <c r="N17" s="229" t="str">
        <f>IFERROR(Table_Controls_Input235[[#This Row],[Number of units (Sq.Ft.)]]*INDEX(Table_EffWindow_Savings[Deemed kW Savings], MATCH(Table_Controls_Input235[[#This Row],[Measure Lookup Detail]], Table_EffWindow_Savings[Lookup Detail], 0)),"" )</f>
        <v/>
      </c>
      <c r="O17" s="227" t="str">
        <f t="shared" si="0"/>
        <v/>
      </c>
      <c r="P17" s="227" t="str">
        <f>IF(Table_Controls_Input235[[#This Row],[Measure number]]="", "", Table_Controls_Input235[[#This Row],[Total equipment cost]]+Table_Controls_Input235[[#This Row],[Total labor cost]])</f>
        <v/>
      </c>
      <c r="Q17" s="227" t="str">
        <f>IFERROR(Table_Controls_Input235[[#This Row],[Gross measure cost]]-Table_Controls_Input235[[#This Row],[Estimated incentive]], "")</f>
        <v/>
      </c>
      <c r="R17" s="228" t="str">
        <f t="shared" si="1"/>
        <v/>
      </c>
      <c r="S17" s="254" t="str">
        <f>_xlfn.CONCAT(Table_Controls_Input235[[#This Row],[Window replacement measure]],Table_Controls_Input235[[#This Row],[Window direction]])</f>
        <v/>
      </c>
      <c r="T17" s="222"/>
      <c r="U17" s="222"/>
      <c r="V17" s="222"/>
      <c r="W17" s="222"/>
      <c r="X17" s="222"/>
      <c r="Y17" s="222"/>
      <c r="Z17" s="222"/>
      <c r="AA17" s="222"/>
      <c r="AB17" s="222"/>
      <c r="AC17" s="222"/>
      <c r="AD17" s="222"/>
      <c r="AE17" s="222"/>
      <c r="AF17" s="222"/>
      <c r="AG17" s="222"/>
      <c r="AH17" s="222"/>
      <c r="AI17" s="222"/>
      <c r="AJ17" s="222"/>
      <c r="AK17" s="222"/>
      <c r="AL17" s="222"/>
      <c r="AM17" s="222"/>
      <c r="AN17" s="222"/>
    </row>
    <row r="18" spans="1:40">
      <c r="A18" s="222"/>
      <c r="B18" s="223">
        <v>13</v>
      </c>
      <c r="C18" s="192" t="str">
        <f>IFERROR(INDEX(Table_EffWindow_Savings[Measure No], MATCH(Table_Controls_Input235[[#This Row],[Measure Lookup Detail]], Table_EffWindow_Savings[Lookup Detail], 0)), "")</f>
        <v/>
      </c>
      <c r="D18" s="252"/>
      <c r="E18" s="253"/>
      <c r="F18" s="192" t="str">
        <f>IFERROR(INDEX(Table_Prescript_Meas[Units], MATCH(Table_Controls_Input235[[#This Row],[Measure number]], Table_Prescript_Meas[Measure Number], 0)), "")</f>
        <v/>
      </c>
      <c r="G18" s="201"/>
      <c r="H18" s="191"/>
      <c r="I18" s="226"/>
      <c r="J18" s="226"/>
      <c r="K18"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8" s="227" t="str">
        <f>IFERROR(Table_Controls_Input235[[#This Row],[Number of units (Sq.Ft.)]]*Table_Controls_Input235[[#This Row],[Per-unit incentive]], "")</f>
        <v/>
      </c>
      <c r="M18" s="228" t="str">
        <f>IFERROR(Table_Controls_Input235[[#This Row],[Number of units (Sq.Ft.)]]*INDEX(Table_EffWindow_Savings[Deemed kWh Savings], MATCH(Table_Controls_Input235[[#This Row],[Measure Lookup Detail]], Table_EffWindow_Savings[Lookup Detail], 0)),"" )</f>
        <v/>
      </c>
      <c r="N18" s="229" t="str">
        <f>IFERROR(Table_Controls_Input235[[#This Row],[Number of units (Sq.Ft.)]]*INDEX(Table_EffWindow_Savings[Deemed kW Savings], MATCH(Table_Controls_Input235[[#This Row],[Measure Lookup Detail]], Table_EffWindow_Savings[Lookup Detail], 0)),"" )</f>
        <v/>
      </c>
      <c r="O18" s="227" t="str">
        <f t="shared" si="0"/>
        <v/>
      </c>
      <c r="P18" s="227" t="str">
        <f>IF(Table_Controls_Input235[[#This Row],[Measure number]]="", "", Table_Controls_Input235[[#This Row],[Total equipment cost]]+Table_Controls_Input235[[#This Row],[Total labor cost]])</f>
        <v/>
      </c>
      <c r="Q18" s="227" t="str">
        <f>IFERROR(Table_Controls_Input235[[#This Row],[Gross measure cost]]-Table_Controls_Input235[[#This Row],[Estimated incentive]], "")</f>
        <v/>
      </c>
      <c r="R18" s="228" t="str">
        <f t="shared" si="1"/>
        <v/>
      </c>
      <c r="S18" s="254" t="str">
        <f>_xlfn.CONCAT(Table_Controls_Input235[[#This Row],[Window replacement measure]],Table_Controls_Input235[[#This Row],[Window direction]])</f>
        <v/>
      </c>
      <c r="T18" s="222"/>
      <c r="U18" s="222"/>
      <c r="V18" s="222"/>
      <c r="W18" s="222"/>
      <c r="X18" s="222"/>
      <c r="Y18" s="222"/>
      <c r="Z18" s="222"/>
      <c r="AA18" s="222"/>
      <c r="AB18" s="222"/>
      <c r="AC18" s="222"/>
      <c r="AD18" s="222"/>
      <c r="AE18" s="222"/>
      <c r="AF18" s="222"/>
      <c r="AG18" s="222"/>
      <c r="AH18" s="222"/>
      <c r="AI18" s="222"/>
      <c r="AJ18" s="222"/>
      <c r="AK18" s="222"/>
      <c r="AL18" s="222"/>
      <c r="AM18" s="222"/>
      <c r="AN18" s="222"/>
    </row>
    <row r="19" spans="1:40">
      <c r="A19" s="222"/>
      <c r="B19" s="223">
        <v>14</v>
      </c>
      <c r="C19" s="192" t="str">
        <f>IFERROR(INDEX(Table_EffWindow_Savings[Measure No], MATCH(Table_Controls_Input235[[#This Row],[Measure Lookup Detail]], Table_EffWindow_Savings[Lookup Detail], 0)), "")</f>
        <v/>
      </c>
      <c r="D19" s="252"/>
      <c r="E19" s="253"/>
      <c r="F19" s="192" t="str">
        <f>IFERROR(INDEX(Table_Prescript_Meas[Units], MATCH(Table_Controls_Input235[[#This Row],[Measure number]], Table_Prescript_Meas[Measure Number], 0)), "")</f>
        <v/>
      </c>
      <c r="G19" s="201"/>
      <c r="H19" s="191"/>
      <c r="I19" s="226"/>
      <c r="J19" s="226"/>
      <c r="K19"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9" s="227" t="str">
        <f>IFERROR(Table_Controls_Input235[[#This Row],[Number of units (Sq.Ft.)]]*Table_Controls_Input235[[#This Row],[Per-unit incentive]], "")</f>
        <v/>
      </c>
      <c r="M19" s="228" t="str">
        <f>IFERROR(Table_Controls_Input235[[#This Row],[Number of units (Sq.Ft.)]]*INDEX(Table_EffWindow_Savings[Deemed kWh Savings], MATCH(Table_Controls_Input235[[#This Row],[Measure Lookup Detail]], Table_EffWindow_Savings[Lookup Detail], 0)),"" )</f>
        <v/>
      </c>
      <c r="N19" s="229" t="str">
        <f>IFERROR(Table_Controls_Input235[[#This Row],[Number of units (Sq.Ft.)]]*INDEX(Table_EffWindow_Savings[Deemed kW Savings], MATCH(Table_Controls_Input235[[#This Row],[Measure Lookup Detail]], Table_EffWindow_Savings[Lookup Detail], 0)),"" )</f>
        <v/>
      </c>
      <c r="O19" s="227" t="str">
        <f t="shared" si="0"/>
        <v/>
      </c>
      <c r="P19" s="227" t="str">
        <f>IF(Table_Controls_Input235[[#This Row],[Measure number]]="", "", Table_Controls_Input235[[#This Row],[Total equipment cost]]+Table_Controls_Input235[[#This Row],[Total labor cost]])</f>
        <v/>
      </c>
      <c r="Q19" s="227" t="str">
        <f>IFERROR(Table_Controls_Input235[[#This Row],[Gross measure cost]]-Table_Controls_Input235[[#This Row],[Estimated incentive]], "")</f>
        <v/>
      </c>
      <c r="R19" s="228" t="str">
        <f t="shared" si="1"/>
        <v/>
      </c>
      <c r="S19" s="254" t="str">
        <f>_xlfn.CONCAT(Table_Controls_Input235[[#This Row],[Window replacement measure]],Table_Controls_Input235[[#This Row],[Window direction]])</f>
        <v/>
      </c>
      <c r="T19" s="222"/>
      <c r="U19" s="222"/>
      <c r="V19" s="222"/>
      <c r="W19" s="222"/>
      <c r="X19" s="222"/>
      <c r="Y19" s="222"/>
      <c r="Z19" s="222"/>
      <c r="AA19" s="222"/>
      <c r="AB19" s="222"/>
      <c r="AC19" s="222"/>
      <c r="AD19" s="222"/>
      <c r="AE19" s="222"/>
      <c r="AF19" s="222"/>
      <c r="AG19" s="222"/>
      <c r="AH19" s="222"/>
      <c r="AI19" s="222"/>
      <c r="AJ19" s="222"/>
      <c r="AK19" s="222"/>
      <c r="AL19" s="222"/>
      <c r="AM19" s="222"/>
      <c r="AN19" s="222"/>
    </row>
    <row r="20" spans="1:40" ht="15" customHeight="1">
      <c r="A20" s="222"/>
      <c r="B20" s="223">
        <v>15</v>
      </c>
      <c r="C20" s="192" t="str">
        <f>IFERROR(INDEX(Table_EffWindow_Savings[Measure No], MATCH(Table_Controls_Input235[[#This Row],[Measure Lookup Detail]], Table_EffWindow_Savings[Lookup Detail], 0)), "")</f>
        <v/>
      </c>
      <c r="D20" s="252"/>
      <c r="E20" s="253"/>
      <c r="F20" s="192" t="str">
        <f>IFERROR(INDEX(Table_Prescript_Meas[Units], MATCH(Table_Controls_Input235[[#This Row],[Measure number]], Table_Prescript_Meas[Measure Number], 0)), "")</f>
        <v/>
      </c>
      <c r="G20" s="201"/>
      <c r="H20" s="191"/>
      <c r="I20" s="226"/>
      <c r="J20" s="226"/>
      <c r="K20"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0" s="227" t="str">
        <f>IFERROR(Table_Controls_Input235[[#This Row],[Number of units (Sq.Ft.)]]*Table_Controls_Input235[[#This Row],[Per-unit incentive]], "")</f>
        <v/>
      </c>
      <c r="M20" s="228" t="str">
        <f>IFERROR(Table_Controls_Input235[[#This Row],[Number of units (Sq.Ft.)]]*INDEX(Table_EffWindow_Savings[Deemed kWh Savings], MATCH(Table_Controls_Input235[[#This Row],[Measure Lookup Detail]], Table_EffWindow_Savings[Lookup Detail], 0)),"" )</f>
        <v/>
      </c>
      <c r="N20" s="229" t="str">
        <f>IFERROR(Table_Controls_Input235[[#This Row],[Number of units (Sq.Ft.)]]*INDEX(Table_EffWindow_Savings[Deemed kW Savings], MATCH(Table_Controls_Input235[[#This Row],[Measure Lookup Detail]], Table_EffWindow_Savings[Lookup Detail], 0)),"" )</f>
        <v/>
      </c>
      <c r="O20" s="227" t="str">
        <f t="shared" si="0"/>
        <v/>
      </c>
      <c r="P20" s="227" t="str">
        <f>IF(Table_Controls_Input235[[#This Row],[Measure number]]="", "", Table_Controls_Input235[[#This Row],[Total equipment cost]]+Table_Controls_Input235[[#This Row],[Total labor cost]])</f>
        <v/>
      </c>
      <c r="Q20" s="227" t="str">
        <f>IFERROR(Table_Controls_Input235[[#This Row],[Gross measure cost]]-Table_Controls_Input235[[#This Row],[Estimated incentive]], "")</f>
        <v/>
      </c>
      <c r="R20" s="228" t="str">
        <f t="shared" si="1"/>
        <v/>
      </c>
      <c r="S20" s="254" t="str">
        <f>_xlfn.CONCAT(Table_Controls_Input235[[#This Row],[Window replacement measure]],Table_Controls_Input235[[#This Row],[Window direction]])</f>
        <v/>
      </c>
      <c r="T20" s="222"/>
      <c r="U20" s="222"/>
      <c r="V20" s="222"/>
      <c r="W20" s="222"/>
      <c r="X20" s="222"/>
      <c r="Y20" s="222"/>
      <c r="Z20" s="222"/>
      <c r="AA20" s="222"/>
      <c r="AB20" s="222"/>
      <c r="AC20" s="222"/>
      <c r="AD20" s="222"/>
      <c r="AE20" s="222"/>
      <c r="AF20" s="222"/>
      <c r="AG20" s="222"/>
      <c r="AH20" s="222"/>
      <c r="AI20" s="222"/>
      <c r="AJ20" s="222"/>
      <c r="AK20" s="222"/>
      <c r="AL20" s="222"/>
      <c r="AM20" s="222"/>
      <c r="AN20" s="222"/>
    </row>
    <row r="21" spans="1:40">
      <c r="A21" s="222"/>
      <c r="B21" s="223">
        <v>16</v>
      </c>
      <c r="C21" s="192" t="str">
        <f>IFERROR(INDEX(Table_EffWindow_Savings[Measure No], MATCH(Table_Controls_Input235[[#This Row],[Measure Lookup Detail]], Table_EffWindow_Savings[Lookup Detail], 0)), "")</f>
        <v/>
      </c>
      <c r="D21" s="252"/>
      <c r="E21" s="253"/>
      <c r="F21" s="192" t="str">
        <f>IFERROR(INDEX(Table_Prescript_Meas[Units], MATCH(Table_Controls_Input235[[#This Row],[Measure number]], Table_Prescript_Meas[Measure Number], 0)), "")</f>
        <v/>
      </c>
      <c r="G21" s="201"/>
      <c r="H21" s="191"/>
      <c r="I21" s="226"/>
      <c r="J21" s="226"/>
      <c r="K21"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1" s="227" t="str">
        <f>IFERROR(Table_Controls_Input235[[#This Row],[Number of units (Sq.Ft.)]]*Table_Controls_Input235[[#This Row],[Per-unit incentive]], "")</f>
        <v/>
      </c>
      <c r="M21" s="228" t="str">
        <f>IFERROR(Table_Controls_Input235[[#This Row],[Number of units (Sq.Ft.)]]*INDEX(Table_EffWindow_Savings[Deemed kWh Savings], MATCH(Table_Controls_Input235[[#This Row],[Measure Lookup Detail]], Table_EffWindow_Savings[Lookup Detail], 0)),"" )</f>
        <v/>
      </c>
      <c r="N21" s="229" t="str">
        <f>IFERROR(Table_Controls_Input235[[#This Row],[Number of units (Sq.Ft.)]]*INDEX(Table_EffWindow_Savings[Deemed kW Savings], MATCH(Table_Controls_Input235[[#This Row],[Measure Lookup Detail]], Table_EffWindow_Savings[Lookup Detail], 0)),"" )</f>
        <v/>
      </c>
      <c r="O21" s="227" t="str">
        <f t="shared" si="0"/>
        <v/>
      </c>
      <c r="P21" s="227" t="str">
        <f>IF(Table_Controls_Input235[[#This Row],[Measure number]]="", "", Table_Controls_Input235[[#This Row],[Total equipment cost]]+Table_Controls_Input235[[#This Row],[Total labor cost]])</f>
        <v/>
      </c>
      <c r="Q21" s="227" t="str">
        <f>IFERROR(Table_Controls_Input235[[#This Row],[Gross measure cost]]-Table_Controls_Input235[[#This Row],[Estimated incentive]], "")</f>
        <v/>
      </c>
      <c r="R21" s="228" t="str">
        <f t="shared" si="1"/>
        <v/>
      </c>
      <c r="S21" s="254" t="str">
        <f>_xlfn.CONCAT(Table_Controls_Input235[[#This Row],[Window replacement measure]],Table_Controls_Input235[[#This Row],[Window direction]])</f>
        <v/>
      </c>
      <c r="T21" s="222"/>
      <c r="U21" s="222"/>
      <c r="V21" s="222"/>
      <c r="W21" s="222"/>
      <c r="X21" s="222"/>
      <c r="Y21" s="222"/>
      <c r="Z21" s="222"/>
      <c r="AA21" s="222"/>
      <c r="AB21" s="222"/>
      <c r="AC21" s="222"/>
      <c r="AD21" s="222"/>
      <c r="AE21" s="222"/>
      <c r="AF21" s="222"/>
      <c r="AG21" s="222"/>
      <c r="AH21" s="222"/>
      <c r="AI21" s="222"/>
      <c r="AJ21" s="222"/>
      <c r="AK21" s="222"/>
      <c r="AL21" s="222"/>
      <c r="AM21" s="222"/>
      <c r="AN21" s="222"/>
    </row>
    <row r="22" spans="1:40">
      <c r="A22" s="222"/>
      <c r="B22" s="223">
        <v>17</v>
      </c>
      <c r="C22" s="192" t="str">
        <f>IFERROR(INDEX(Table_EffWindow_Savings[Measure No], MATCH(Table_Controls_Input235[[#This Row],[Measure Lookup Detail]], Table_EffWindow_Savings[Lookup Detail], 0)), "")</f>
        <v/>
      </c>
      <c r="D22" s="252"/>
      <c r="E22" s="253"/>
      <c r="F22" s="192" t="str">
        <f>IFERROR(INDEX(Table_Prescript_Meas[Units], MATCH(Table_Controls_Input235[[#This Row],[Measure number]], Table_Prescript_Meas[Measure Number], 0)), "")</f>
        <v/>
      </c>
      <c r="G22" s="201"/>
      <c r="H22" s="191"/>
      <c r="I22" s="226"/>
      <c r="J22" s="226"/>
      <c r="K22"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2" s="227" t="str">
        <f>IFERROR(Table_Controls_Input235[[#This Row],[Number of units (Sq.Ft.)]]*Table_Controls_Input235[[#This Row],[Per-unit incentive]], "")</f>
        <v/>
      </c>
      <c r="M22" s="228" t="str">
        <f>IFERROR(Table_Controls_Input235[[#This Row],[Number of units (Sq.Ft.)]]*INDEX(Table_EffWindow_Savings[Deemed kWh Savings], MATCH(Table_Controls_Input235[[#This Row],[Measure Lookup Detail]], Table_EffWindow_Savings[Lookup Detail], 0)),"" )</f>
        <v/>
      </c>
      <c r="N22" s="229" t="str">
        <f>IFERROR(Table_Controls_Input235[[#This Row],[Number of units (Sq.Ft.)]]*INDEX(Table_EffWindow_Savings[Deemed kW Savings], MATCH(Table_Controls_Input235[[#This Row],[Measure Lookup Detail]], Table_EffWindow_Savings[Lookup Detail], 0)),"" )</f>
        <v/>
      </c>
      <c r="O22" s="227" t="str">
        <f t="shared" si="0"/>
        <v/>
      </c>
      <c r="P22" s="227" t="str">
        <f>IF(Table_Controls_Input235[[#This Row],[Measure number]]="", "", Table_Controls_Input235[[#This Row],[Total equipment cost]]+Table_Controls_Input235[[#This Row],[Total labor cost]])</f>
        <v/>
      </c>
      <c r="Q22" s="227" t="str">
        <f>IFERROR(Table_Controls_Input235[[#This Row],[Gross measure cost]]-Table_Controls_Input235[[#This Row],[Estimated incentive]], "")</f>
        <v/>
      </c>
      <c r="R22" s="228" t="str">
        <f t="shared" si="1"/>
        <v/>
      </c>
      <c r="S22" s="254" t="str">
        <f>_xlfn.CONCAT(Table_Controls_Input235[[#This Row],[Window replacement measure]],Table_Controls_Input235[[#This Row],[Window direction]])</f>
        <v/>
      </c>
      <c r="T22" s="222"/>
      <c r="U22" s="222"/>
      <c r="V22" s="222"/>
      <c r="W22" s="222"/>
      <c r="X22" s="222"/>
      <c r="Y22" s="222"/>
      <c r="Z22" s="222"/>
      <c r="AA22" s="222"/>
      <c r="AB22" s="222"/>
      <c r="AC22" s="222"/>
      <c r="AD22" s="222"/>
      <c r="AE22" s="222"/>
      <c r="AF22" s="222"/>
      <c r="AG22" s="222"/>
      <c r="AH22" s="222"/>
      <c r="AI22" s="222"/>
      <c r="AJ22" s="222"/>
      <c r="AK22" s="222"/>
      <c r="AL22" s="222"/>
      <c r="AM22" s="222"/>
      <c r="AN22" s="222"/>
    </row>
    <row r="23" spans="1:40">
      <c r="A23" s="222"/>
      <c r="B23" s="223">
        <v>18</v>
      </c>
      <c r="C23" s="192" t="str">
        <f>IFERROR(INDEX(Table_EffWindow_Savings[Measure No], MATCH(Table_Controls_Input235[[#This Row],[Measure Lookup Detail]], Table_EffWindow_Savings[Lookup Detail], 0)), "")</f>
        <v/>
      </c>
      <c r="D23" s="252"/>
      <c r="E23" s="253"/>
      <c r="F23" s="192" t="str">
        <f>IFERROR(INDEX(Table_Prescript_Meas[Units], MATCH(Table_Controls_Input235[[#This Row],[Measure number]], Table_Prescript_Meas[Measure Number], 0)), "")</f>
        <v/>
      </c>
      <c r="G23" s="201"/>
      <c r="H23" s="191"/>
      <c r="I23" s="226"/>
      <c r="J23" s="226"/>
      <c r="K23"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3" s="227" t="str">
        <f>IFERROR(Table_Controls_Input235[[#This Row],[Number of units (Sq.Ft.)]]*Table_Controls_Input235[[#This Row],[Per-unit incentive]], "")</f>
        <v/>
      </c>
      <c r="M23" s="228" t="str">
        <f>IFERROR(Table_Controls_Input235[[#This Row],[Number of units (Sq.Ft.)]]*INDEX(Table_EffWindow_Savings[Deemed kWh Savings], MATCH(Table_Controls_Input235[[#This Row],[Measure Lookup Detail]], Table_EffWindow_Savings[Lookup Detail], 0)),"" )</f>
        <v/>
      </c>
      <c r="N23" s="229" t="str">
        <f>IFERROR(Table_Controls_Input235[[#This Row],[Number of units (Sq.Ft.)]]*INDEX(Table_EffWindow_Savings[Deemed kW Savings], MATCH(Table_Controls_Input235[[#This Row],[Measure Lookup Detail]], Table_EffWindow_Savings[Lookup Detail], 0)),"" )</f>
        <v/>
      </c>
      <c r="O23" s="227" t="str">
        <f t="shared" si="0"/>
        <v/>
      </c>
      <c r="P23" s="227" t="str">
        <f>IF(Table_Controls_Input235[[#This Row],[Measure number]]="", "", Table_Controls_Input235[[#This Row],[Total equipment cost]]+Table_Controls_Input235[[#This Row],[Total labor cost]])</f>
        <v/>
      </c>
      <c r="Q23" s="227" t="str">
        <f>IFERROR(Table_Controls_Input235[[#This Row],[Gross measure cost]]-Table_Controls_Input235[[#This Row],[Estimated incentive]], "")</f>
        <v/>
      </c>
      <c r="R23" s="228" t="str">
        <f t="shared" si="1"/>
        <v/>
      </c>
      <c r="S23" s="254" t="str">
        <f>_xlfn.CONCAT(Table_Controls_Input235[[#This Row],[Window replacement measure]],Table_Controls_Input235[[#This Row],[Window direction]])</f>
        <v/>
      </c>
      <c r="T23" s="222"/>
      <c r="U23" s="222"/>
      <c r="V23" s="222"/>
      <c r="W23" s="222"/>
      <c r="X23" s="222"/>
      <c r="Y23" s="222"/>
      <c r="Z23" s="222"/>
      <c r="AA23" s="222"/>
      <c r="AB23" s="222"/>
      <c r="AC23" s="222"/>
      <c r="AD23" s="222"/>
      <c r="AE23" s="222"/>
      <c r="AF23" s="222"/>
      <c r="AG23" s="222"/>
      <c r="AH23" s="222"/>
      <c r="AI23" s="222"/>
      <c r="AJ23" s="222"/>
      <c r="AK23" s="222"/>
      <c r="AL23" s="222"/>
      <c r="AM23" s="222"/>
      <c r="AN23" s="222"/>
    </row>
    <row r="24" spans="1:40">
      <c r="A24" s="222"/>
      <c r="B24" s="223">
        <v>19</v>
      </c>
      <c r="C24" s="192" t="str">
        <f>IFERROR(INDEX(Table_EffWindow_Savings[Measure No], MATCH(Table_Controls_Input235[[#This Row],[Measure Lookup Detail]], Table_EffWindow_Savings[Lookup Detail], 0)), "")</f>
        <v/>
      </c>
      <c r="D24" s="252"/>
      <c r="E24" s="253"/>
      <c r="F24" s="192" t="str">
        <f>IFERROR(INDEX(Table_Prescript_Meas[Units], MATCH(Table_Controls_Input235[[#This Row],[Measure number]], Table_Prescript_Meas[Measure Number], 0)), "")</f>
        <v/>
      </c>
      <c r="G24" s="201"/>
      <c r="H24" s="191"/>
      <c r="I24" s="226"/>
      <c r="J24" s="226"/>
      <c r="K24"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4" s="227" t="str">
        <f>IFERROR(Table_Controls_Input235[[#This Row],[Number of units (Sq.Ft.)]]*Table_Controls_Input235[[#This Row],[Per-unit incentive]], "")</f>
        <v/>
      </c>
      <c r="M24" s="228" t="str">
        <f>IFERROR(Table_Controls_Input235[[#This Row],[Number of units (Sq.Ft.)]]*INDEX(Table_EffWindow_Savings[Deemed kWh Savings], MATCH(Table_Controls_Input235[[#This Row],[Measure Lookup Detail]], Table_EffWindow_Savings[Lookup Detail], 0)),"" )</f>
        <v/>
      </c>
      <c r="N24" s="229" t="str">
        <f>IFERROR(Table_Controls_Input235[[#This Row],[Number of units (Sq.Ft.)]]*INDEX(Table_EffWindow_Savings[Deemed kW Savings], MATCH(Table_Controls_Input235[[#This Row],[Measure Lookup Detail]], Table_EffWindow_Savings[Lookup Detail], 0)),"" )</f>
        <v/>
      </c>
      <c r="O24" s="227" t="str">
        <f t="shared" si="0"/>
        <v/>
      </c>
      <c r="P24" s="227" t="str">
        <f>IF(Table_Controls_Input235[[#This Row],[Measure number]]="", "", Table_Controls_Input235[[#This Row],[Total equipment cost]]+Table_Controls_Input235[[#This Row],[Total labor cost]])</f>
        <v/>
      </c>
      <c r="Q24" s="227" t="str">
        <f>IFERROR(Table_Controls_Input235[[#This Row],[Gross measure cost]]-Table_Controls_Input235[[#This Row],[Estimated incentive]], "")</f>
        <v/>
      </c>
      <c r="R24" s="228" t="str">
        <f t="shared" si="1"/>
        <v/>
      </c>
      <c r="S24" s="254" t="str">
        <f>_xlfn.CONCAT(Table_Controls_Input235[[#This Row],[Window replacement measure]],Table_Controls_Input235[[#This Row],[Window direction]])</f>
        <v/>
      </c>
      <c r="T24" s="222"/>
      <c r="U24" s="222"/>
      <c r="V24" s="222"/>
      <c r="W24" s="222"/>
      <c r="X24" s="222"/>
      <c r="Y24" s="222"/>
      <c r="Z24" s="222"/>
      <c r="AA24" s="222"/>
      <c r="AB24" s="222"/>
      <c r="AC24" s="222"/>
      <c r="AD24" s="222"/>
      <c r="AE24" s="222"/>
      <c r="AF24" s="222"/>
      <c r="AG24" s="222"/>
      <c r="AH24" s="222"/>
      <c r="AI24" s="222"/>
      <c r="AJ24" s="222"/>
      <c r="AK24" s="222"/>
      <c r="AL24" s="222"/>
      <c r="AM24" s="222"/>
      <c r="AN24" s="222"/>
    </row>
    <row r="25" spans="1:40">
      <c r="A25" s="222"/>
      <c r="B25" s="223">
        <v>20</v>
      </c>
      <c r="C25" s="192" t="str">
        <f>IFERROR(INDEX(Table_EffWindow_Savings[Measure No], MATCH(Table_Controls_Input235[[#This Row],[Measure Lookup Detail]], Table_EffWindow_Savings[Lookup Detail], 0)), "")</f>
        <v/>
      </c>
      <c r="D25" s="252"/>
      <c r="E25" s="253"/>
      <c r="F25" s="192" t="str">
        <f>IFERROR(INDEX(Table_Prescript_Meas[Units], MATCH(Table_Controls_Input235[[#This Row],[Measure number]], Table_Prescript_Meas[Measure Number], 0)), "")</f>
        <v/>
      </c>
      <c r="G25" s="201"/>
      <c r="H25" s="191"/>
      <c r="I25" s="226"/>
      <c r="J25" s="226"/>
      <c r="K25"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5" s="227" t="str">
        <f>IFERROR(Table_Controls_Input235[[#This Row],[Number of units (Sq.Ft.)]]*Table_Controls_Input235[[#This Row],[Per-unit incentive]], "")</f>
        <v/>
      </c>
      <c r="M25" s="228" t="str">
        <f>IFERROR(Table_Controls_Input235[[#This Row],[Number of units (Sq.Ft.)]]*INDEX(Table_EffWindow_Savings[Deemed kWh Savings], MATCH(Table_Controls_Input235[[#This Row],[Measure Lookup Detail]], Table_EffWindow_Savings[Lookup Detail], 0)),"" )</f>
        <v/>
      </c>
      <c r="N25" s="229" t="str">
        <f>IFERROR(Table_Controls_Input235[[#This Row],[Number of units (Sq.Ft.)]]*INDEX(Table_EffWindow_Savings[Deemed kW Savings], MATCH(Table_Controls_Input235[[#This Row],[Measure Lookup Detail]], Table_EffWindow_Savings[Lookup Detail], 0)),"" )</f>
        <v/>
      </c>
      <c r="O25" s="227" t="str">
        <f t="shared" si="0"/>
        <v/>
      </c>
      <c r="P25" s="227" t="str">
        <f>IF(Table_Controls_Input235[[#This Row],[Measure number]]="", "", Table_Controls_Input235[[#This Row],[Total equipment cost]]+Table_Controls_Input235[[#This Row],[Total labor cost]])</f>
        <v/>
      </c>
      <c r="Q25" s="227" t="str">
        <f>IFERROR(Table_Controls_Input235[[#This Row],[Gross measure cost]]-Table_Controls_Input235[[#This Row],[Estimated incentive]], "")</f>
        <v/>
      </c>
      <c r="R25" s="228" t="str">
        <f t="shared" si="1"/>
        <v/>
      </c>
      <c r="S25" s="254" t="str">
        <f>_xlfn.CONCAT(Table_Controls_Input235[[#This Row],[Window replacement measure]],Table_Controls_Input235[[#This Row],[Window direction]])</f>
        <v/>
      </c>
      <c r="T25" s="222"/>
      <c r="U25" s="222"/>
      <c r="V25" s="222"/>
      <c r="W25" s="222"/>
      <c r="X25" s="222"/>
      <c r="Y25" s="222"/>
      <c r="Z25" s="222"/>
      <c r="AA25" s="222"/>
      <c r="AB25" s="222"/>
      <c r="AC25" s="222"/>
      <c r="AD25" s="222"/>
      <c r="AE25" s="222"/>
      <c r="AF25" s="222"/>
      <c r="AG25" s="222"/>
      <c r="AH25" s="222"/>
      <c r="AI25" s="222"/>
      <c r="AJ25" s="222"/>
      <c r="AK25" s="222"/>
      <c r="AL25" s="222"/>
      <c r="AM25" s="222"/>
      <c r="AN25" s="222"/>
    </row>
    <row r="26" spans="1:40">
      <c r="A26" s="222"/>
      <c r="B26" s="223">
        <v>21</v>
      </c>
      <c r="C26" s="192" t="str">
        <f>IFERROR(INDEX(Table_EffWindow_Savings[Measure No], MATCH(Table_Controls_Input235[[#This Row],[Measure Lookup Detail]], Table_EffWindow_Savings[Lookup Detail], 0)), "")</f>
        <v/>
      </c>
      <c r="D26" s="252"/>
      <c r="E26" s="253"/>
      <c r="F26" s="192" t="str">
        <f>IFERROR(INDEX(Table_Prescript_Meas[Units], MATCH(Table_Controls_Input235[[#This Row],[Measure number]], Table_Prescript_Meas[Measure Number], 0)), "")</f>
        <v/>
      </c>
      <c r="G26" s="201"/>
      <c r="H26" s="191"/>
      <c r="I26" s="226"/>
      <c r="J26" s="226"/>
      <c r="K26"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6" s="227" t="str">
        <f>IFERROR(Table_Controls_Input235[[#This Row],[Number of units (Sq.Ft.)]]*Table_Controls_Input235[[#This Row],[Per-unit incentive]], "")</f>
        <v/>
      </c>
      <c r="M26" s="228" t="str">
        <f>IFERROR(Table_Controls_Input235[[#This Row],[Number of units (Sq.Ft.)]]*INDEX(Table_EffWindow_Savings[Deemed kWh Savings], MATCH(Table_Controls_Input235[[#This Row],[Measure Lookup Detail]], Table_EffWindow_Savings[Lookup Detail], 0)),"" )</f>
        <v/>
      </c>
      <c r="N26" s="229" t="str">
        <f>IFERROR(Table_Controls_Input235[[#This Row],[Number of units (Sq.Ft.)]]*INDEX(Table_EffWindow_Savings[Deemed kW Savings], MATCH(Table_Controls_Input235[[#This Row],[Measure Lookup Detail]], Table_EffWindow_Savings[Lookup Detail], 0)),"" )</f>
        <v/>
      </c>
      <c r="O26" s="227" t="str">
        <f t="shared" si="0"/>
        <v/>
      </c>
      <c r="P26" s="227" t="str">
        <f>IF(Table_Controls_Input235[[#This Row],[Measure number]]="", "", Table_Controls_Input235[[#This Row],[Total equipment cost]]+Table_Controls_Input235[[#This Row],[Total labor cost]])</f>
        <v/>
      </c>
      <c r="Q26" s="227" t="str">
        <f>IFERROR(Table_Controls_Input235[[#This Row],[Gross measure cost]]-Table_Controls_Input235[[#This Row],[Estimated incentive]], "")</f>
        <v/>
      </c>
      <c r="R26" s="228" t="str">
        <f t="shared" si="1"/>
        <v/>
      </c>
      <c r="S26" s="254" t="str">
        <f>_xlfn.CONCAT(Table_Controls_Input235[[#This Row],[Window replacement measure]],Table_Controls_Input235[[#This Row],[Window direction]])</f>
        <v/>
      </c>
      <c r="T26" s="222"/>
      <c r="U26" s="222"/>
      <c r="V26" s="222"/>
      <c r="W26" s="222"/>
      <c r="X26" s="222"/>
      <c r="Y26" s="222"/>
      <c r="Z26" s="222"/>
      <c r="AA26" s="222"/>
      <c r="AB26" s="222"/>
      <c r="AC26" s="222"/>
      <c r="AD26" s="222"/>
      <c r="AE26" s="222"/>
      <c r="AF26" s="222"/>
      <c r="AG26" s="222"/>
      <c r="AH26" s="222"/>
      <c r="AI26" s="222"/>
      <c r="AJ26" s="222"/>
      <c r="AK26" s="222"/>
      <c r="AL26" s="222"/>
      <c r="AM26" s="222"/>
      <c r="AN26" s="222"/>
    </row>
    <row r="27" spans="1:40">
      <c r="A27" s="222"/>
      <c r="B27" s="223">
        <v>22</v>
      </c>
      <c r="C27" s="192" t="str">
        <f>IFERROR(INDEX(Table_EffWindow_Savings[Measure No], MATCH(Table_Controls_Input235[[#This Row],[Measure Lookup Detail]], Table_EffWindow_Savings[Lookup Detail], 0)), "")</f>
        <v/>
      </c>
      <c r="D27" s="252"/>
      <c r="E27" s="253"/>
      <c r="F27" s="192" t="str">
        <f>IFERROR(INDEX(Table_Prescript_Meas[Units], MATCH(Table_Controls_Input235[[#This Row],[Measure number]], Table_Prescript_Meas[Measure Number], 0)), "")</f>
        <v/>
      </c>
      <c r="G27" s="201"/>
      <c r="H27" s="191"/>
      <c r="I27" s="226"/>
      <c r="J27" s="226"/>
      <c r="K27"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7" s="227" t="str">
        <f>IFERROR(Table_Controls_Input235[[#This Row],[Number of units (Sq.Ft.)]]*Table_Controls_Input235[[#This Row],[Per-unit incentive]], "")</f>
        <v/>
      </c>
      <c r="M27" s="228" t="str">
        <f>IFERROR(Table_Controls_Input235[[#This Row],[Number of units (Sq.Ft.)]]*INDEX(Table_EffWindow_Savings[Deemed kWh Savings], MATCH(Table_Controls_Input235[[#This Row],[Measure Lookup Detail]], Table_EffWindow_Savings[Lookup Detail], 0)),"" )</f>
        <v/>
      </c>
      <c r="N27" s="229" t="str">
        <f>IFERROR(Table_Controls_Input235[[#This Row],[Number of units (Sq.Ft.)]]*INDEX(Table_EffWindow_Savings[Deemed kW Savings], MATCH(Table_Controls_Input235[[#This Row],[Measure Lookup Detail]], Table_EffWindow_Savings[Lookup Detail], 0)),"" )</f>
        <v/>
      </c>
      <c r="O27" s="227" t="str">
        <f t="shared" si="0"/>
        <v/>
      </c>
      <c r="P27" s="227" t="str">
        <f>IF(Table_Controls_Input235[[#This Row],[Measure number]]="", "", Table_Controls_Input235[[#This Row],[Total equipment cost]]+Table_Controls_Input235[[#This Row],[Total labor cost]])</f>
        <v/>
      </c>
      <c r="Q27" s="227" t="str">
        <f>IFERROR(Table_Controls_Input235[[#This Row],[Gross measure cost]]-Table_Controls_Input235[[#This Row],[Estimated incentive]], "")</f>
        <v/>
      </c>
      <c r="R27" s="228" t="str">
        <f t="shared" si="1"/>
        <v/>
      </c>
      <c r="S27" s="254" t="str">
        <f>_xlfn.CONCAT(Table_Controls_Input235[[#This Row],[Window replacement measure]],Table_Controls_Input235[[#This Row],[Window direction]])</f>
        <v/>
      </c>
      <c r="T27" s="222"/>
      <c r="U27" s="222"/>
      <c r="V27" s="222"/>
      <c r="W27" s="222"/>
      <c r="X27" s="222"/>
      <c r="Y27" s="222"/>
      <c r="Z27" s="222"/>
      <c r="AA27" s="222"/>
      <c r="AB27" s="222"/>
      <c r="AC27" s="222"/>
      <c r="AD27" s="222"/>
      <c r="AE27" s="222"/>
      <c r="AF27" s="222"/>
      <c r="AG27" s="222"/>
      <c r="AH27" s="222"/>
      <c r="AI27" s="222"/>
      <c r="AJ27" s="222"/>
      <c r="AK27" s="222"/>
      <c r="AL27" s="222"/>
      <c r="AM27" s="222"/>
      <c r="AN27" s="222"/>
    </row>
    <row r="28" spans="1:40">
      <c r="A28" s="222"/>
      <c r="B28" s="223">
        <v>23</v>
      </c>
      <c r="C28" s="192" t="str">
        <f>IFERROR(INDEX(Table_EffWindow_Savings[Measure No], MATCH(Table_Controls_Input235[[#This Row],[Measure Lookup Detail]], Table_EffWindow_Savings[Lookup Detail], 0)), "")</f>
        <v/>
      </c>
      <c r="D28" s="252"/>
      <c r="E28" s="253"/>
      <c r="F28" s="192" t="str">
        <f>IFERROR(INDEX(Table_Prescript_Meas[Units], MATCH(Table_Controls_Input235[[#This Row],[Measure number]], Table_Prescript_Meas[Measure Number], 0)), "")</f>
        <v/>
      </c>
      <c r="G28" s="201"/>
      <c r="H28" s="191"/>
      <c r="I28" s="226"/>
      <c r="J28" s="226"/>
      <c r="K28"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8" s="227" t="str">
        <f>IFERROR(Table_Controls_Input235[[#This Row],[Number of units (Sq.Ft.)]]*Table_Controls_Input235[[#This Row],[Per-unit incentive]], "")</f>
        <v/>
      </c>
      <c r="M28" s="228" t="str">
        <f>IFERROR(Table_Controls_Input235[[#This Row],[Number of units (Sq.Ft.)]]*INDEX(Table_EffWindow_Savings[Deemed kWh Savings], MATCH(Table_Controls_Input235[[#This Row],[Measure Lookup Detail]], Table_EffWindow_Savings[Lookup Detail], 0)),"" )</f>
        <v/>
      </c>
      <c r="N28" s="229" t="str">
        <f>IFERROR(Table_Controls_Input235[[#This Row],[Number of units (Sq.Ft.)]]*INDEX(Table_EffWindow_Savings[Deemed kW Savings], MATCH(Table_Controls_Input235[[#This Row],[Measure Lookup Detail]], Table_EffWindow_Savings[Lookup Detail], 0)),"" )</f>
        <v/>
      </c>
      <c r="O28" s="227" t="str">
        <f t="shared" si="0"/>
        <v/>
      </c>
      <c r="P28" s="227" t="str">
        <f>IF(Table_Controls_Input235[[#This Row],[Measure number]]="", "", Table_Controls_Input235[[#This Row],[Total equipment cost]]+Table_Controls_Input235[[#This Row],[Total labor cost]])</f>
        <v/>
      </c>
      <c r="Q28" s="227" t="str">
        <f>IFERROR(Table_Controls_Input235[[#This Row],[Gross measure cost]]-Table_Controls_Input235[[#This Row],[Estimated incentive]], "")</f>
        <v/>
      </c>
      <c r="R28" s="228" t="str">
        <f t="shared" si="1"/>
        <v/>
      </c>
      <c r="S28" s="254" t="str">
        <f>_xlfn.CONCAT(Table_Controls_Input235[[#This Row],[Window replacement measure]],Table_Controls_Input235[[#This Row],[Window direction]])</f>
        <v/>
      </c>
      <c r="T28" s="222"/>
      <c r="U28" s="222"/>
      <c r="V28" s="222"/>
      <c r="W28" s="222"/>
      <c r="X28" s="222"/>
      <c r="Y28" s="222"/>
      <c r="Z28" s="222"/>
      <c r="AA28" s="222"/>
      <c r="AB28" s="222"/>
      <c r="AC28" s="222"/>
      <c r="AD28" s="222"/>
      <c r="AE28" s="222"/>
      <c r="AF28" s="222"/>
      <c r="AG28" s="222"/>
      <c r="AH28" s="222"/>
      <c r="AI28" s="222"/>
      <c r="AJ28" s="222"/>
      <c r="AK28" s="222"/>
      <c r="AL28" s="222"/>
      <c r="AM28" s="222"/>
      <c r="AN28" s="222"/>
    </row>
    <row r="29" spans="1:40">
      <c r="A29" s="222"/>
      <c r="B29" s="223">
        <v>24</v>
      </c>
      <c r="C29" s="192" t="str">
        <f>IFERROR(INDEX(Table_EffWindow_Savings[Measure No], MATCH(Table_Controls_Input235[[#This Row],[Measure Lookup Detail]], Table_EffWindow_Savings[Lookup Detail], 0)), "")</f>
        <v/>
      </c>
      <c r="D29" s="252"/>
      <c r="E29" s="253"/>
      <c r="F29" s="192" t="str">
        <f>IFERROR(INDEX(Table_Prescript_Meas[Units], MATCH(Table_Controls_Input235[[#This Row],[Measure number]], Table_Prescript_Meas[Measure Number], 0)), "")</f>
        <v/>
      </c>
      <c r="G29" s="201"/>
      <c r="H29" s="191"/>
      <c r="I29" s="226"/>
      <c r="J29" s="226"/>
      <c r="K29"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9" s="227" t="str">
        <f>IFERROR(Table_Controls_Input235[[#This Row],[Number of units (Sq.Ft.)]]*Table_Controls_Input235[[#This Row],[Per-unit incentive]], "")</f>
        <v/>
      </c>
      <c r="M29" s="228" t="str">
        <f>IFERROR(Table_Controls_Input235[[#This Row],[Number of units (Sq.Ft.)]]*INDEX(Table_EffWindow_Savings[Deemed kWh Savings], MATCH(Table_Controls_Input235[[#This Row],[Measure Lookup Detail]], Table_EffWindow_Savings[Lookup Detail], 0)),"" )</f>
        <v/>
      </c>
      <c r="N29" s="229" t="str">
        <f>IFERROR(Table_Controls_Input235[[#This Row],[Number of units (Sq.Ft.)]]*INDEX(Table_EffWindow_Savings[Deemed kW Savings], MATCH(Table_Controls_Input235[[#This Row],[Measure Lookup Detail]], Table_EffWindow_Savings[Lookup Detail], 0)),"" )</f>
        <v/>
      </c>
      <c r="O29" s="227" t="str">
        <f t="shared" si="0"/>
        <v/>
      </c>
      <c r="P29" s="227" t="str">
        <f>IF(Table_Controls_Input235[[#This Row],[Measure number]]="", "", Table_Controls_Input235[[#This Row],[Total equipment cost]]+Table_Controls_Input235[[#This Row],[Total labor cost]])</f>
        <v/>
      </c>
      <c r="Q29" s="227" t="str">
        <f>IFERROR(Table_Controls_Input235[[#This Row],[Gross measure cost]]-Table_Controls_Input235[[#This Row],[Estimated incentive]], "")</f>
        <v/>
      </c>
      <c r="R29" s="228" t="str">
        <f t="shared" si="1"/>
        <v/>
      </c>
      <c r="S29" s="254" t="str">
        <f>_xlfn.CONCAT(Table_Controls_Input235[[#This Row],[Window replacement measure]],Table_Controls_Input235[[#This Row],[Window direction]])</f>
        <v/>
      </c>
      <c r="T29" s="222"/>
      <c r="U29" s="222"/>
      <c r="V29" s="222"/>
      <c r="W29" s="222"/>
      <c r="X29" s="222"/>
      <c r="Y29" s="222"/>
      <c r="Z29" s="222"/>
      <c r="AA29" s="222"/>
      <c r="AB29" s="222"/>
      <c r="AC29" s="222"/>
      <c r="AD29" s="222"/>
      <c r="AE29" s="222"/>
      <c r="AF29" s="222"/>
      <c r="AG29" s="222"/>
      <c r="AH29" s="222"/>
      <c r="AI29" s="222"/>
      <c r="AJ29" s="222"/>
      <c r="AK29" s="222"/>
      <c r="AL29" s="222"/>
      <c r="AM29" s="222"/>
      <c r="AN29" s="222"/>
    </row>
    <row r="30" spans="1:40">
      <c r="A30" s="222"/>
      <c r="B30" s="223">
        <v>25</v>
      </c>
      <c r="C30" s="192" t="str">
        <f>IFERROR(INDEX(Table_EffWindow_Savings[Measure No], MATCH(Table_Controls_Input235[[#This Row],[Measure Lookup Detail]], Table_EffWindow_Savings[Lookup Detail], 0)), "")</f>
        <v/>
      </c>
      <c r="D30" s="252"/>
      <c r="E30" s="253"/>
      <c r="F30" s="192" t="str">
        <f>IFERROR(INDEX(Table_Prescript_Meas[Units], MATCH(Table_Controls_Input235[[#This Row],[Measure number]], Table_Prescript_Meas[Measure Number], 0)), "")</f>
        <v/>
      </c>
      <c r="G30" s="201"/>
      <c r="H30" s="191"/>
      <c r="I30" s="226"/>
      <c r="J30" s="226"/>
      <c r="K30"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0" s="227" t="str">
        <f>IFERROR(Table_Controls_Input235[[#This Row],[Number of units (Sq.Ft.)]]*Table_Controls_Input235[[#This Row],[Per-unit incentive]], "")</f>
        <v/>
      </c>
      <c r="M30" s="228" t="str">
        <f>IFERROR(Table_Controls_Input235[[#This Row],[Number of units (Sq.Ft.)]]*INDEX(Table_EffWindow_Savings[Deemed kWh Savings], MATCH(Table_Controls_Input235[[#This Row],[Measure Lookup Detail]], Table_EffWindow_Savings[Lookup Detail], 0)),"" )</f>
        <v/>
      </c>
      <c r="N30" s="229" t="str">
        <f>IFERROR(Table_Controls_Input235[[#This Row],[Number of units (Sq.Ft.)]]*INDEX(Table_EffWindow_Savings[Deemed kW Savings], MATCH(Table_Controls_Input235[[#This Row],[Measure Lookup Detail]], Table_EffWindow_Savings[Lookup Detail], 0)),"" )</f>
        <v/>
      </c>
      <c r="O30" s="227" t="str">
        <f t="shared" si="0"/>
        <v/>
      </c>
      <c r="P30" s="227" t="str">
        <f>IF(Table_Controls_Input235[[#This Row],[Measure number]]="", "", Table_Controls_Input235[[#This Row],[Total equipment cost]]+Table_Controls_Input235[[#This Row],[Total labor cost]])</f>
        <v/>
      </c>
      <c r="Q30" s="227" t="str">
        <f>IFERROR(Table_Controls_Input235[[#This Row],[Gross measure cost]]-Table_Controls_Input235[[#This Row],[Estimated incentive]], "")</f>
        <v/>
      </c>
      <c r="R30" s="228" t="str">
        <f t="shared" si="1"/>
        <v/>
      </c>
      <c r="S30" s="254" t="str">
        <f>_xlfn.CONCAT(Table_Controls_Input235[[#This Row],[Window replacement measure]],Table_Controls_Input235[[#This Row],[Window direction]])</f>
        <v/>
      </c>
      <c r="T30" s="222"/>
      <c r="U30" s="222"/>
      <c r="V30" s="222"/>
      <c r="W30" s="222"/>
      <c r="X30" s="222"/>
      <c r="Y30" s="222"/>
      <c r="Z30" s="222"/>
      <c r="AA30" s="222"/>
      <c r="AB30" s="222"/>
      <c r="AC30" s="222"/>
      <c r="AD30" s="222"/>
      <c r="AE30" s="222"/>
      <c r="AF30" s="222"/>
      <c r="AG30" s="222"/>
      <c r="AH30" s="222"/>
      <c r="AI30" s="222"/>
      <c r="AJ30" s="222"/>
      <c r="AK30" s="222"/>
      <c r="AL30" s="222"/>
      <c r="AM30" s="222"/>
      <c r="AN30" s="222"/>
    </row>
    <row r="31" spans="1:40">
      <c r="A31" s="222"/>
      <c r="B31" s="223">
        <v>26</v>
      </c>
      <c r="C31" s="192" t="str">
        <f>IFERROR(INDEX(Table_EffWindow_Savings[Measure No], MATCH(Table_Controls_Input235[[#This Row],[Measure Lookup Detail]], Table_EffWindow_Savings[Lookup Detail], 0)), "")</f>
        <v/>
      </c>
      <c r="D31" s="252"/>
      <c r="E31" s="253"/>
      <c r="F31" s="192" t="str">
        <f>IFERROR(INDEX(Table_Prescript_Meas[Units], MATCH(Table_Controls_Input235[[#This Row],[Measure number]], Table_Prescript_Meas[Measure Number], 0)), "")</f>
        <v/>
      </c>
      <c r="G31" s="201"/>
      <c r="H31" s="191"/>
      <c r="I31" s="226"/>
      <c r="J31" s="226"/>
      <c r="K31"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1" s="227" t="str">
        <f>IFERROR(Table_Controls_Input235[[#This Row],[Number of units (Sq.Ft.)]]*Table_Controls_Input235[[#This Row],[Per-unit incentive]], "")</f>
        <v/>
      </c>
      <c r="M31" s="228" t="str">
        <f>IFERROR(Table_Controls_Input235[[#This Row],[Number of units (Sq.Ft.)]]*INDEX(Table_EffWindow_Savings[Deemed kWh Savings], MATCH(Table_Controls_Input235[[#This Row],[Measure Lookup Detail]], Table_EffWindow_Savings[Lookup Detail], 0)),"" )</f>
        <v/>
      </c>
      <c r="N31" s="229" t="str">
        <f>IFERROR(Table_Controls_Input235[[#This Row],[Number of units (Sq.Ft.)]]*INDEX(Table_EffWindow_Savings[Deemed kW Savings], MATCH(Table_Controls_Input235[[#This Row],[Measure Lookup Detail]], Table_EffWindow_Savings[Lookup Detail], 0)),"" )</f>
        <v/>
      </c>
      <c r="O31" s="227" t="str">
        <f t="shared" si="0"/>
        <v/>
      </c>
      <c r="P31" s="227" t="str">
        <f>IF(Table_Controls_Input235[[#This Row],[Measure number]]="", "", Table_Controls_Input235[[#This Row],[Total equipment cost]]+Table_Controls_Input235[[#This Row],[Total labor cost]])</f>
        <v/>
      </c>
      <c r="Q31" s="227" t="str">
        <f>IFERROR(Table_Controls_Input235[[#This Row],[Gross measure cost]]-Table_Controls_Input235[[#This Row],[Estimated incentive]], "")</f>
        <v/>
      </c>
      <c r="R31" s="228" t="str">
        <f t="shared" si="1"/>
        <v/>
      </c>
      <c r="S31" s="254" t="str">
        <f>_xlfn.CONCAT(Table_Controls_Input235[[#This Row],[Window replacement measure]],Table_Controls_Input235[[#This Row],[Window direction]])</f>
        <v/>
      </c>
      <c r="T31" s="222"/>
      <c r="U31" s="222"/>
      <c r="V31" s="222"/>
      <c r="W31" s="222"/>
      <c r="X31" s="222"/>
      <c r="Y31" s="222"/>
      <c r="Z31" s="222"/>
      <c r="AA31" s="222"/>
      <c r="AB31" s="222"/>
      <c r="AC31" s="222"/>
      <c r="AD31" s="222"/>
      <c r="AE31" s="222"/>
      <c r="AF31" s="222"/>
      <c r="AG31" s="222"/>
      <c r="AH31" s="222"/>
      <c r="AI31" s="222"/>
      <c r="AJ31" s="222"/>
      <c r="AK31" s="222"/>
      <c r="AL31" s="222"/>
      <c r="AM31" s="222"/>
      <c r="AN31" s="222"/>
    </row>
    <row r="32" spans="1:40">
      <c r="A32" s="193"/>
      <c r="B32" s="223">
        <v>27</v>
      </c>
      <c r="C32" s="192" t="str">
        <f>IFERROR(INDEX(Table_EffWindow_Savings[Measure No], MATCH(Table_Controls_Input235[[#This Row],[Measure Lookup Detail]], Table_EffWindow_Savings[Lookup Detail], 0)), "")</f>
        <v/>
      </c>
      <c r="D32" s="252"/>
      <c r="E32" s="253"/>
      <c r="F32" s="192" t="str">
        <f>IFERROR(INDEX(Table_Prescript_Meas[Units], MATCH(Table_Controls_Input235[[#This Row],[Measure number]], Table_Prescript_Meas[Measure Number], 0)), "")</f>
        <v/>
      </c>
      <c r="G32" s="201"/>
      <c r="H32" s="191"/>
      <c r="I32" s="226"/>
      <c r="J32" s="226"/>
      <c r="K32"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2" s="227" t="str">
        <f>IFERROR(Table_Controls_Input235[[#This Row],[Number of units (Sq.Ft.)]]*Table_Controls_Input235[[#This Row],[Per-unit incentive]], "")</f>
        <v/>
      </c>
      <c r="M32" s="228" t="str">
        <f>IFERROR(Table_Controls_Input235[[#This Row],[Number of units (Sq.Ft.)]]*INDEX(Table_EffWindow_Savings[Deemed kWh Savings], MATCH(Table_Controls_Input235[[#This Row],[Measure Lookup Detail]], Table_EffWindow_Savings[Lookup Detail], 0)),"" )</f>
        <v/>
      </c>
      <c r="N32" s="229" t="str">
        <f>IFERROR(Table_Controls_Input235[[#This Row],[Number of units (Sq.Ft.)]]*INDEX(Table_EffWindow_Savings[Deemed kW Savings], MATCH(Table_Controls_Input235[[#This Row],[Measure Lookup Detail]], Table_EffWindow_Savings[Lookup Detail], 0)),"" )</f>
        <v/>
      </c>
      <c r="O32" s="227" t="str">
        <f t="shared" si="0"/>
        <v/>
      </c>
      <c r="P32" s="227" t="str">
        <f>IF(Table_Controls_Input235[[#This Row],[Measure number]]="", "", Table_Controls_Input235[[#This Row],[Total equipment cost]]+Table_Controls_Input235[[#This Row],[Total labor cost]])</f>
        <v/>
      </c>
      <c r="Q32" s="227" t="str">
        <f>IFERROR(Table_Controls_Input235[[#This Row],[Gross measure cost]]-Table_Controls_Input235[[#This Row],[Estimated incentive]], "")</f>
        <v/>
      </c>
      <c r="R32" s="228" t="str">
        <f t="shared" si="1"/>
        <v/>
      </c>
      <c r="S32" s="254" t="str">
        <f>_xlfn.CONCAT(Table_Controls_Input235[[#This Row],[Window replacement measure]],Table_Controls_Input235[[#This Row],[Window direction]])</f>
        <v/>
      </c>
      <c r="T32" s="193"/>
      <c r="U32" s="193"/>
      <c r="V32" s="193"/>
      <c r="W32" s="193"/>
      <c r="X32" s="193"/>
      <c r="Y32" s="193"/>
      <c r="Z32" s="193"/>
      <c r="AA32" s="193"/>
      <c r="AB32" s="193"/>
      <c r="AC32" s="193"/>
      <c r="AD32" s="193"/>
      <c r="AE32" s="193"/>
      <c r="AF32" s="193"/>
      <c r="AG32" s="193"/>
      <c r="AH32" s="193"/>
      <c r="AI32" s="193"/>
      <c r="AJ32" s="193"/>
      <c r="AK32" s="193"/>
      <c r="AL32" s="193"/>
      <c r="AM32" s="193"/>
      <c r="AN32" s="193"/>
    </row>
    <row r="33" spans="1:40">
      <c r="A33" s="193"/>
      <c r="B33" s="223">
        <v>28</v>
      </c>
      <c r="C33" s="192" t="str">
        <f>IFERROR(INDEX(Table_EffWindow_Savings[Measure No], MATCH(Table_Controls_Input235[[#This Row],[Measure Lookup Detail]], Table_EffWindow_Savings[Lookup Detail], 0)), "")</f>
        <v/>
      </c>
      <c r="D33" s="252"/>
      <c r="E33" s="253"/>
      <c r="F33" s="192" t="str">
        <f>IFERROR(INDEX(Table_Prescript_Meas[Units], MATCH(Table_Controls_Input235[[#This Row],[Measure number]], Table_Prescript_Meas[Measure Number], 0)), "")</f>
        <v/>
      </c>
      <c r="G33" s="201"/>
      <c r="H33" s="191"/>
      <c r="I33" s="226"/>
      <c r="J33" s="226"/>
      <c r="K33"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3" s="227" t="str">
        <f>IFERROR(Table_Controls_Input235[[#This Row],[Number of units (Sq.Ft.)]]*Table_Controls_Input235[[#This Row],[Per-unit incentive]], "")</f>
        <v/>
      </c>
      <c r="M33" s="228" t="str">
        <f>IFERROR(Table_Controls_Input235[[#This Row],[Number of units (Sq.Ft.)]]*INDEX(Table_EffWindow_Savings[Deemed kWh Savings], MATCH(Table_Controls_Input235[[#This Row],[Measure Lookup Detail]], Table_EffWindow_Savings[Lookup Detail], 0)),"" )</f>
        <v/>
      </c>
      <c r="N33" s="229" t="str">
        <f>IFERROR(Table_Controls_Input235[[#This Row],[Number of units (Sq.Ft.)]]*INDEX(Table_EffWindow_Savings[Deemed kW Savings], MATCH(Table_Controls_Input235[[#This Row],[Measure Lookup Detail]], Table_EffWindow_Savings[Lookup Detail], 0)),"" )</f>
        <v/>
      </c>
      <c r="O33" s="227" t="str">
        <f t="shared" si="0"/>
        <v/>
      </c>
      <c r="P33" s="227" t="str">
        <f>IF(Table_Controls_Input235[[#This Row],[Measure number]]="", "", Table_Controls_Input235[[#This Row],[Total equipment cost]]+Table_Controls_Input235[[#This Row],[Total labor cost]])</f>
        <v/>
      </c>
      <c r="Q33" s="227" t="str">
        <f>IFERROR(Table_Controls_Input235[[#This Row],[Gross measure cost]]-Table_Controls_Input235[[#This Row],[Estimated incentive]], "")</f>
        <v/>
      </c>
      <c r="R33" s="228" t="str">
        <f t="shared" si="1"/>
        <v/>
      </c>
      <c r="S33" s="254" t="str">
        <f>_xlfn.CONCAT(Table_Controls_Input235[[#This Row],[Window replacement measure]],Table_Controls_Input235[[#This Row],[Window direction]])</f>
        <v/>
      </c>
      <c r="T33" s="193"/>
      <c r="U33" s="193"/>
      <c r="V33" s="193"/>
      <c r="W33" s="193"/>
      <c r="X33" s="193"/>
      <c r="Y33" s="193"/>
      <c r="Z33" s="193"/>
      <c r="AA33" s="193"/>
      <c r="AB33" s="193"/>
      <c r="AC33" s="193"/>
      <c r="AD33" s="193"/>
      <c r="AE33" s="193"/>
      <c r="AF33" s="193"/>
      <c r="AG33" s="193"/>
      <c r="AH33" s="193"/>
      <c r="AI33" s="193"/>
      <c r="AJ33" s="193"/>
      <c r="AK33" s="193"/>
      <c r="AL33" s="193"/>
      <c r="AM33" s="193"/>
      <c r="AN33" s="193"/>
    </row>
    <row r="34" spans="1:40">
      <c r="A34" s="193"/>
      <c r="B34" s="223">
        <v>29</v>
      </c>
      <c r="C34" s="192" t="str">
        <f>IFERROR(INDEX(Table_EffWindow_Savings[Measure No], MATCH(Table_Controls_Input235[[#This Row],[Measure Lookup Detail]], Table_EffWindow_Savings[Lookup Detail], 0)), "")</f>
        <v/>
      </c>
      <c r="D34" s="252"/>
      <c r="E34" s="253"/>
      <c r="F34" s="192" t="str">
        <f>IFERROR(INDEX(Table_Prescript_Meas[Units], MATCH(Table_Controls_Input235[[#This Row],[Measure number]], Table_Prescript_Meas[Measure Number], 0)), "")</f>
        <v/>
      </c>
      <c r="G34" s="201"/>
      <c r="H34" s="191"/>
      <c r="I34" s="226"/>
      <c r="J34" s="226"/>
      <c r="K34"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4" s="227" t="str">
        <f>IFERROR(Table_Controls_Input235[[#This Row],[Number of units (Sq.Ft.)]]*Table_Controls_Input235[[#This Row],[Per-unit incentive]], "")</f>
        <v/>
      </c>
      <c r="M34" s="228" t="str">
        <f>IFERROR(Table_Controls_Input235[[#This Row],[Number of units (Sq.Ft.)]]*INDEX(Table_EffWindow_Savings[Deemed kWh Savings], MATCH(Table_Controls_Input235[[#This Row],[Measure Lookup Detail]], Table_EffWindow_Savings[Lookup Detail], 0)),"" )</f>
        <v/>
      </c>
      <c r="N34" s="229" t="str">
        <f>IFERROR(Table_Controls_Input235[[#This Row],[Number of units (Sq.Ft.)]]*INDEX(Table_EffWindow_Savings[Deemed kW Savings], MATCH(Table_Controls_Input235[[#This Row],[Measure Lookup Detail]], Table_EffWindow_Savings[Lookup Detail], 0)),"" )</f>
        <v/>
      </c>
      <c r="O34" s="227" t="str">
        <f t="shared" si="0"/>
        <v/>
      </c>
      <c r="P34" s="227" t="str">
        <f>IF(Table_Controls_Input235[[#This Row],[Measure number]]="", "", Table_Controls_Input235[[#This Row],[Total equipment cost]]+Table_Controls_Input235[[#This Row],[Total labor cost]])</f>
        <v/>
      </c>
      <c r="Q34" s="227" t="str">
        <f>IFERROR(Table_Controls_Input235[[#This Row],[Gross measure cost]]-Table_Controls_Input235[[#This Row],[Estimated incentive]], "")</f>
        <v/>
      </c>
      <c r="R34" s="228" t="str">
        <f t="shared" si="1"/>
        <v/>
      </c>
      <c r="S34" s="254" t="str">
        <f>_xlfn.CONCAT(Table_Controls_Input235[[#This Row],[Window replacement measure]],Table_Controls_Input235[[#This Row],[Window direction]])</f>
        <v/>
      </c>
      <c r="T34" s="193"/>
      <c r="U34" s="193"/>
      <c r="V34" s="193"/>
      <c r="W34" s="193"/>
      <c r="X34" s="193"/>
      <c r="Y34" s="193"/>
      <c r="Z34" s="193"/>
      <c r="AA34" s="193"/>
      <c r="AB34" s="193"/>
      <c r="AC34" s="193"/>
      <c r="AD34" s="193"/>
      <c r="AE34" s="193"/>
      <c r="AF34" s="193"/>
      <c r="AG34" s="193"/>
      <c r="AH34" s="193"/>
      <c r="AI34" s="193"/>
      <c r="AJ34" s="193"/>
      <c r="AK34" s="193"/>
      <c r="AL34" s="193"/>
      <c r="AM34" s="193"/>
      <c r="AN34" s="193"/>
    </row>
    <row r="35" spans="1:40">
      <c r="A35" s="193"/>
      <c r="B35" s="223">
        <v>30</v>
      </c>
      <c r="C35" s="192" t="str">
        <f>IFERROR(INDEX(Table_EffWindow_Savings[Measure No], MATCH(Table_Controls_Input235[[#This Row],[Measure Lookup Detail]], Table_EffWindow_Savings[Lookup Detail], 0)), "")</f>
        <v/>
      </c>
      <c r="D35" s="252"/>
      <c r="E35" s="253"/>
      <c r="F35" s="192" t="str">
        <f>IFERROR(INDEX(Table_Prescript_Meas[Units], MATCH(Table_Controls_Input235[[#This Row],[Measure number]], Table_Prescript_Meas[Measure Number], 0)), "")</f>
        <v/>
      </c>
      <c r="G35" s="201"/>
      <c r="H35" s="191"/>
      <c r="I35" s="226"/>
      <c r="J35" s="226"/>
      <c r="K35" s="227"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5" s="227" t="str">
        <f>IFERROR(Table_Controls_Input235[[#This Row],[Number of units (Sq.Ft.)]]*Table_Controls_Input235[[#This Row],[Per-unit incentive]], "")</f>
        <v/>
      </c>
      <c r="M35" s="228" t="str">
        <f>IFERROR(Table_Controls_Input235[[#This Row],[Number of units (Sq.Ft.)]]*INDEX(Table_EffWindow_Savings[Deemed kWh Savings], MATCH(Table_Controls_Input235[[#This Row],[Measure Lookup Detail]], Table_EffWindow_Savings[Lookup Detail], 0)),"" )</f>
        <v/>
      </c>
      <c r="N35" s="229" t="str">
        <f>IFERROR(Table_Controls_Input235[[#This Row],[Number of units (Sq.Ft.)]]*INDEX(Table_EffWindow_Savings[Deemed kW Savings], MATCH(Table_Controls_Input235[[#This Row],[Measure Lookup Detail]], Table_EffWindow_Savings[Lookup Detail], 0)),"" )</f>
        <v/>
      </c>
      <c r="O35" s="227" t="str">
        <f t="shared" si="0"/>
        <v/>
      </c>
      <c r="P35" s="227" t="str">
        <f>IF(Table_Controls_Input235[[#This Row],[Measure number]]="", "", Table_Controls_Input235[[#This Row],[Total equipment cost]]+Table_Controls_Input235[[#This Row],[Total labor cost]])</f>
        <v/>
      </c>
      <c r="Q35" s="227" t="str">
        <f>IFERROR(Table_Controls_Input235[[#This Row],[Gross measure cost]]-Table_Controls_Input235[[#This Row],[Estimated incentive]], "")</f>
        <v/>
      </c>
      <c r="R35" s="228" t="str">
        <f t="shared" si="1"/>
        <v/>
      </c>
      <c r="S35" s="254" t="str">
        <f>_xlfn.CONCAT(Table_Controls_Input235[[#This Row],[Window replacement measure]],Table_Controls_Input235[[#This Row],[Window direction]])</f>
        <v/>
      </c>
      <c r="T35" s="193"/>
      <c r="U35" s="193"/>
      <c r="V35" s="193"/>
      <c r="W35" s="193"/>
      <c r="X35" s="193"/>
      <c r="Y35" s="193"/>
      <c r="Z35" s="193"/>
      <c r="AA35" s="193"/>
      <c r="AB35" s="193"/>
      <c r="AC35" s="193"/>
      <c r="AD35" s="193"/>
      <c r="AE35" s="193"/>
      <c r="AF35" s="193"/>
      <c r="AG35" s="193"/>
      <c r="AH35" s="193"/>
      <c r="AI35" s="193"/>
      <c r="AJ35" s="193"/>
      <c r="AK35" s="193"/>
      <c r="AL35" s="193"/>
      <c r="AM35" s="193"/>
      <c r="AN35" s="193"/>
    </row>
    <row r="36" spans="1:40">
      <c r="A36" s="193"/>
      <c r="S36" s="250"/>
      <c r="T36" s="193"/>
      <c r="U36" s="193"/>
      <c r="V36" s="193"/>
      <c r="W36" s="193"/>
      <c r="X36" s="193"/>
      <c r="Y36" s="193"/>
      <c r="Z36" s="193"/>
      <c r="AA36" s="193"/>
      <c r="AB36" s="193"/>
      <c r="AC36" s="193"/>
      <c r="AD36" s="193"/>
      <c r="AE36" s="193"/>
      <c r="AF36" s="193"/>
      <c r="AG36" s="193"/>
      <c r="AH36" s="193"/>
      <c r="AI36" s="193"/>
      <c r="AJ36" s="193"/>
      <c r="AK36" s="193"/>
      <c r="AL36" s="193"/>
      <c r="AM36" s="193"/>
      <c r="AN36" s="193"/>
    </row>
    <row r="37" spans="1:40">
      <c r="S37" s="189"/>
    </row>
    <row r="38" spans="1:40">
      <c r="B38" s="189" t="s">
        <v>37</v>
      </c>
      <c r="S38" s="189"/>
    </row>
    <row r="39" spans="1:40">
      <c r="B39" s="189" t="str">
        <f>Value_Application_Version</f>
        <v>Version 5.0 - 2025</v>
      </c>
      <c r="S39" s="189"/>
    </row>
    <row r="40" spans="1:40">
      <c r="S40" s="189"/>
    </row>
    <row r="41" spans="1:40">
      <c r="A41" s="193"/>
      <c r="S41" s="250"/>
      <c r="T41" s="193"/>
      <c r="U41" s="193"/>
      <c r="V41" s="193"/>
      <c r="W41" s="193"/>
      <c r="X41" s="193"/>
      <c r="Y41" s="193"/>
      <c r="Z41" s="193"/>
      <c r="AA41" s="193"/>
      <c r="AB41" s="193"/>
      <c r="AC41" s="193"/>
      <c r="AD41" s="193"/>
      <c r="AE41" s="193"/>
      <c r="AF41" s="193"/>
      <c r="AG41" s="193"/>
      <c r="AH41" s="193"/>
      <c r="AI41" s="193"/>
      <c r="AJ41" s="193"/>
      <c r="AK41" s="193"/>
      <c r="AL41" s="193"/>
      <c r="AM41" s="193"/>
      <c r="AN41" s="193"/>
    </row>
    <row r="42" spans="1:40">
      <c r="A42" s="193"/>
      <c r="S42" s="250"/>
      <c r="T42" s="193"/>
      <c r="U42" s="193"/>
      <c r="V42" s="193"/>
      <c r="W42" s="193"/>
      <c r="X42" s="193"/>
      <c r="Y42" s="193"/>
      <c r="Z42" s="193"/>
      <c r="AA42" s="193"/>
      <c r="AB42" s="193"/>
      <c r="AC42" s="193"/>
      <c r="AD42" s="193"/>
      <c r="AE42" s="193"/>
      <c r="AF42" s="193"/>
      <c r="AG42" s="193"/>
      <c r="AH42" s="193"/>
      <c r="AI42" s="193"/>
      <c r="AJ42" s="193"/>
      <c r="AK42" s="193"/>
      <c r="AL42" s="193"/>
      <c r="AM42" s="193"/>
      <c r="AN42" s="193"/>
    </row>
    <row r="43" spans="1:40">
      <c r="A43" s="193"/>
      <c r="S43" s="250"/>
      <c r="T43" s="193"/>
      <c r="U43" s="193"/>
      <c r="V43" s="193"/>
      <c r="W43" s="193"/>
      <c r="X43" s="193"/>
      <c r="Y43" s="193"/>
      <c r="Z43" s="193"/>
      <c r="AA43" s="193"/>
      <c r="AB43" s="193"/>
      <c r="AC43" s="193"/>
      <c r="AD43" s="193"/>
      <c r="AE43" s="193"/>
      <c r="AF43" s="193"/>
      <c r="AG43" s="193"/>
      <c r="AH43" s="193"/>
      <c r="AI43" s="193"/>
      <c r="AJ43" s="193"/>
      <c r="AK43" s="193"/>
      <c r="AL43" s="193"/>
      <c r="AM43" s="193"/>
      <c r="AN43" s="193"/>
    </row>
    <row r="44" spans="1:40">
      <c r="A44" s="193"/>
      <c r="S44" s="250"/>
      <c r="T44" s="193"/>
      <c r="U44" s="193"/>
      <c r="V44" s="193"/>
      <c r="W44" s="193"/>
      <c r="X44" s="193"/>
      <c r="Y44" s="193"/>
      <c r="Z44" s="193"/>
      <c r="AA44" s="193"/>
      <c r="AB44" s="193"/>
      <c r="AC44" s="193"/>
      <c r="AD44" s="193"/>
      <c r="AE44" s="193"/>
      <c r="AF44" s="193"/>
      <c r="AG44" s="193"/>
      <c r="AH44" s="193"/>
      <c r="AI44" s="193"/>
      <c r="AJ44" s="193"/>
      <c r="AK44" s="193"/>
      <c r="AL44" s="193"/>
      <c r="AM44" s="193"/>
      <c r="AN44" s="193"/>
    </row>
    <row r="45" spans="1:40">
      <c r="A45" s="193"/>
      <c r="S45" s="250"/>
      <c r="T45" s="193"/>
      <c r="U45" s="193"/>
      <c r="V45" s="193"/>
      <c r="W45" s="193"/>
      <c r="X45" s="193"/>
      <c r="Y45" s="193"/>
      <c r="Z45" s="193"/>
      <c r="AA45" s="193"/>
      <c r="AB45" s="193"/>
      <c r="AC45" s="193"/>
      <c r="AD45" s="193"/>
      <c r="AE45" s="193"/>
      <c r="AF45" s="193"/>
      <c r="AG45" s="193"/>
      <c r="AH45" s="193"/>
      <c r="AI45" s="193"/>
      <c r="AJ45" s="193"/>
      <c r="AK45" s="193"/>
      <c r="AL45" s="193"/>
      <c r="AM45" s="193"/>
      <c r="AN45" s="193"/>
    </row>
    <row r="46" spans="1:40">
      <c r="A46" s="193"/>
      <c r="S46" s="250"/>
      <c r="T46" s="193"/>
      <c r="U46" s="193"/>
      <c r="V46" s="193"/>
      <c r="W46" s="193"/>
      <c r="X46" s="193"/>
      <c r="Y46" s="193"/>
      <c r="Z46" s="193"/>
      <c r="AA46" s="193"/>
      <c r="AB46" s="193"/>
      <c r="AC46" s="193"/>
      <c r="AD46" s="193"/>
      <c r="AE46" s="193"/>
      <c r="AF46" s="193"/>
      <c r="AG46" s="193"/>
      <c r="AH46" s="193"/>
      <c r="AI46" s="193"/>
      <c r="AJ46" s="193"/>
      <c r="AK46" s="193"/>
      <c r="AL46" s="193"/>
      <c r="AM46" s="193"/>
      <c r="AN46" s="193"/>
    </row>
    <row r="47" spans="1:40">
      <c r="A47" s="193"/>
      <c r="S47" s="250"/>
      <c r="T47" s="193"/>
      <c r="U47" s="193"/>
      <c r="V47" s="193"/>
      <c r="W47" s="193"/>
      <c r="X47" s="193"/>
      <c r="Y47" s="193"/>
      <c r="Z47" s="193"/>
      <c r="AA47" s="193"/>
      <c r="AB47" s="193"/>
      <c r="AC47" s="193"/>
      <c r="AD47" s="193"/>
      <c r="AE47" s="193"/>
      <c r="AF47" s="193"/>
      <c r="AG47" s="193"/>
      <c r="AH47" s="193"/>
      <c r="AI47" s="193"/>
      <c r="AJ47" s="193"/>
      <c r="AK47" s="193"/>
      <c r="AL47" s="193"/>
      <c r="AM47" s="193"/>
      <c r="AN47" s="193"/>
    </row>
    <row r="48" spans="1:40">
      <c r="A48" s="193"/>
      <c r="S48" s="250"/>
      <c r="T48" s="193"/>
      <c r="U48" s="193"/>
      <c r="V48" s="193"/>
      <c r="W48" s="193"/>
      <c r="X48" s="193"/>
      <c r="Y48" s="193"/>
      <c r="Z48" s="193"/>
      <c r="AA48" s="193"/>
      <c r="AB48" s="193"/>
      <c r="AC48" s="193"/>
      <c r="AD48" s="193"/>
      <c r="AE48" s="193"/>
      <c r="AF48" s="193"/>
      <c r="AG48" s="193"/>
      <c r="AH48" s="193"/>
      <c r="AI48" s="193"/>
      <c r="AJ48" s="193"/>
      <c r="AK48" s="193"/>
      <c r="AL48" s="193"/>
      <c r="AM48" s="193"/>
      <c r="AN48" s="193"/>
    </row>
    <row r="49" spans="1:40">
      <c r="A49" s="193"/>
      <c r="S49" s="250"/>
      <c r="T49" s="193"/>
      <c r="U49" s="193"/>
      <c r="V49" s="193"/>
      <c r="W49" s="193"/>
      <c r="X49" s="193"/>
      <c r="Y49" s="193"/>
      <c r="Z49" s="193"/>
      <c r="AA49" s="193"/>
      <c r="AB49" s="193"/>
      <c r="AC49" s="193"/>
      <c r="AD49" s="193"/>
      <c r="AE49" s="193"/>
      <c r="AF49" s="193"/>
      <c r="AG49" s="193"/>
      <c r="AH49" s="193"/>
      <c r="AI49" s="193"/>
      <c r="AJ49" s="193"/>
      <c r="AK49" s="193"/>
      <c r="AL49" s="193"/>
      <c r="AM49" s="193"/>
      <c r="AN49" s="193"/>
    </row>
    <row r="50" spans="1:40">
      <c r="A50" s="193"/>
      <c r="S50" s="250"/>
      <c r="T50" s="193"/>
      <c r="U50" s="193"/>
      <c r="V50" s="193"/>
      <c r="W50" s="193"/>
      <c r="X50" s="193"/>
      <c r="Y50" s="193"/>
      <c r="Z50" s="193"/>
      <c r="AA50" s="193"/>
      <c r="AB50" s="193"/>
      <c r="AC50" s="193"/>
      <c r="AD50" s="193"/>
      <c r="AE50" s="193"/>
      <c r="AF50" s="193"/>
      <c r="AG50" s="193"/>
      <c r="AH50" s="193"/>
      <c r="AI50" s="193"/>
      <c r="AJ50" s="193"/>
      <c r="AK50" s="193"/>
      <c r="AL50" s="193"/>
      <c r="AM50" s="193"/>
      <c r="AN50" s="193"/>
    </row>
    <row r="51" spans="1:40">
      <c r="A51" s="193"/>
      <c r="S51" s="250"/>
      <c r="T51" s="193"/>
      <c r="U51" s="193"/>
      <c r="V51" s="193"/>
      <c r="W51" s="193"/>
      <c r="X51" s="193"/>
      <c r="Y51" s="193"/>
      <c r="Z51" s="193"/>
      <c r="AA51" s="193"/>
      <c r="AB51" s="193"/>
      <c r="AC51" s="193"/>
      <c r="AD51" s="193"/>
      <c r="AE51" s="193"/>
      <c r="AF51" s="193"/>
      <c r="AG51" s="193"/>
      <c r="AH51" s="193"/>
      <c r="AI51" s="193"/>
      <c r="AJ51" s="193"/>
      <c r="AK51" s="193"/>
      <c r="AL51" s="193"/>
      <c r="AM51" s="193"/>
      <c r="AN51" s="193"/>
    </row>
    <row r="52" spans="1:40">
      <c r="A52" s="193"/>
      <c r="S52" s="250"/>
      <c r="T52" s="193"/>
      <c r="U52" s="193"/>
      <c r="V52" s="193"/>
      <c r="W52" s="193"/>
      <c r="X52" s="193"/>
      <c r="Y52" s="193"/>
      <c r="Z52" s="193"/>
      <c r="AA52" s="193"/>
      <c r="AB52" s="193"/>
      <c r="AC52" s="193"/>
      <c r="AD52" s="193"/>
      <c r="AE52" s="193"/>
      <c r="AF52" s="193"/>
      <c r="AG52" s="193"/>
      <c r="AH52" s="193"/>
      <c r="AI52" s="193"/>
      <c r="AJ52" s="193"/>
      <c r="AK52" s="193"/>
      <c r="AL52" s="193"/>
      <c r="AM52" s="193"/>
      <c r="AN52" s="193"/>
    </row>
    <row r="53" spans="1:40">
      <c r="A53" s="193"/>
      <c r="S53" s="250"/>
      <c r="T53" s="193"/>
      <c r="U53" s="193"/>
      <c r="V53" s="193"/>
      <c r="W53" s="193"/>
      <c r="X53" s="193"/>
      <c r="Y53" s="193"/>
      <c r="Z53" s="193"/>
      <c r="AA53" s="193"/>
      <c r="AB53" s="193"/>
      <c r="AC53" s="193"/>
      <c r="AD53" s="193"/>
      <c r="AE53" s="193"/>
      <c r="AF53" s="193"/>
      <c r="AG53" s="193"/>
      <c r="AH53" s="193"/>
      <c r="AI53" s="193"/>
      <c r="AJ53" s="193"/>
      <c r="AK53" s="193"/>
      <c r="AL53" s="193"/>
      <c r="AM53" s="193"/>
      <c r="AN53" s="193"/>
    </row>
    <row r="54" spans="1:40">
      <c r="A54" s="193"/>
      <c r="S54" s="250"/>
      <c r="T54" s="193"/>
      <c r="U54" s="193"/>
      <c r="V54" s="193"/>
      <c r="W54" s="193"/>
      <c r="X54" s="193"/>
      <c r="Y54" s="193"/>
      <c r="Z54" s="193"/>
      <c r="AA54" s="193"/>
      <c r="AB54" s="193"/>
      <c r="AC54" s="193"/>
      <c r="AD54" s="193"/>
      <c r="AE54" s="193"/>
      <c r="AF54" s="193"/>
      <c r="AG54" s="193"/>
      <c r="AH54" s="193"/>
      <c r="AI54" s="193"/>
      <c r="AJ54" s="193"/>
      <c r="AK54" s="193"/>
      <c r="AL54" s="193"/>
      <c r="AM54" s="193"/>
      <c r="AN54" s="193"/>
    </row>
    <row r="55" spans="1:40">
      <c r="A55" s="193"/>
      <c r="S55" s="250"/>
      <c r="T55" s="193"/>
      <c r="U55" s="193"/>
      <c r="V55" s="193"/>
      <c r="W55" s="193"/>
      <c r="X55" s="193"/>
      <c r="Y55" s="193"/>
      <c r="Z55" s="193"/>
      <c r="AA55" s="193"/>
      <c r="AB55" s="193"/>
      <c r="AC55" s="193"/>
      <c r="AD55" s="193"/>
      <c r="AE55" s="193"/>
      <c r="AF55" s="193"/>
      <c r="AG55" s="193"/>
      <c r="AH55" s="193"/>
      <c r="AI55" s="193"/>
      <c r="AJ55" s="193"/>
      <c r="AK55" s="193"/>
      <c r="AL55" s="193"/>
      <c r="AM55" s="193"/>
      <c r="AN55" s="193"/>
    </row>
    <row r="56" spans="1:40">
      <c r="A56" s="193"/>
      <c r="S56" s="250"/>
      <c r="T56" s="193"/>
      <c r="U56" s="193"/>
      <c r="V56" s="193"/>
      <c r="W56" s="193"/>
      <c r="X56" s="193"/>
      <c r="Y56" s="193"/>
      <c r="Z56" s="193"/>
      <c r="AA56" s="193"/>
      <c r="AB56" s="193"/>
      <c r="AC56" s="193"/>
      <c r="AD56" s="193"/>
      <c r="AE56" s="193"/>
      <c r="AF56" s="193"/>
      <c r="AG56" s="193"/>
      <c r="AH56" s="193"/>
      <c r="AI56" s="193"/>
      <c r="AJ56" s="193"/>
      <c r="AK56" s="193"/>
      <c r="AL56" s="193"/>
      <c r="AM56" s="193"/>
      <c r="AN56" s="193"/>
    </row>
    <row r="57" spans="1:40">
      <c r="A57" s="193"/>
      <c r="S57" s="250"/>
      <c r="T57" s="193"/>
      <c r="U57" s="193"/>
      <c r="V57" s="193"/>
      <c r="W57" s="193"/>
      <c r="X57" s="193"/>
      <c r="Y57" s="193"/>
      <c r="Z57" s="193"/>
      <c r="AA57" s="193"/>
      <c r="AB57" s="193"/>
      <c r="AC57" s="193"/>
      <c r="AD57" s="193"/>
      <c r="AE57" s="193"/>
      <c r="AF57" s="193"/>
      <c r="AG57" s="193"/>
      <c r="AH57" s="193"/>
      <c r="AI57" s="193"/>
      <c r="AJ57" s="193"/>
      <c r="AK57" s="193"/>
      <c r="AL57" s="193"/>
      <c r="AM57" s="193"/>
      <c r="AN57" s="193"/>
    </row>
    <row r="58" spans="1:40">
      <c r="A58" s="193"/>
      <c r="S58" s="250"/>
      <c r="T58" s="193"/>
      <c r="U58" s="193"/>
      <c r="V58" s="193"/>
      <c r="W58" s="193"/>
      <c r="X58" s="193"/>
      <c r="Y58" s="193"/>
      <c r="Z58" s="193"/>
      <c r="AA58" s="193"/>
      <c r="AB58" s="193"/>
      <c r="AC58" s="193"/>
      <c r="AD58" s="193"/>
      <c r="AE58" s="193"/>
      <c r="AF58" s="193"/>
      <c r="AG58" s="193"/>
      <c r="AH58" s="193"/>
      <c r="AI58" s="193"/>
      <c r="AJ58" s="193"/>
      <c r="AK58" s="193"/>
      <c r="AL58" s="193"/>
      <c r="AM58" s="193"/>
      <c r="AN58" s="193"/>
    </row>
    <row r="59" spans="1:40">
      <c r="A59" s="193"/>
      <c r="S59" s="250"/>
      <c r="T59" s="193"/>
      <c r="U59" s="193"/>
      <c r="V59" s="193"/>
      <c r="W59" s="193"/>
      <c r="X59" s="193"/>
      <c r="Y59" s="193"/>
      <c r="Z59" s="193"/>
      <c r="AA59" s="193"/>
      <c r="AB59" s="193"/>
      <c r="AC59" s="193"/>
      <c r="AD59" s="193"/>
      <c r="AE59" s="193"/>
      <c r="AF59" s="193"/>
      <c r="AG59" s="193"/>
      <c r="AH59" s="193"/>
      <c r="AI59" s="193"/>
      <c r="AJ59" s="193"/>
      <c r="AK59" s="193"/>
      <c r="AL59" s="193"/>
      <c r="AM59" s="193"/>
      <c r="AN59" s="193"/>
    </row>
    <row r="60" spans="1:40">
      <c r="A60" s="193"/>
      <c r="S60" s="250"/>
      <c r="T60" s="193"/>
      <c r="U60" s="193"/>
      <c r="V60" s="193"/>
      <c r="W60" s="193"/>
      <c r="X60" s="193"/>
      <c r="Y60" s="193"/>
      <c r="Z60" s="193"/>
      <c r="AA60" s="193"/>
      <c r="AB60" s="193"/>
      <c r="AC60" s="193"/>
      <c r="AD60" s="193"/>
      <c r="AE60" s="193"/>
      <c r="AF60" s="193"/>
      <c r="AG60" s="193"/>
      <c r="AH60" s="193"/>
      <c r="AI60" s="193"/>
      <c r="AJ60" s="193"/>
      <c r="AK60" s="193"/>
      <c r="AL60" s="193"/>
      <c r="AM60" s="193"/>
      <c r="AN60" s="193"/>
    </row>
    <row r="61" spans="1:40">
      <c r="A61" s="193"/>
      <c r="S61" s="250"/>
      <c r="T61" s="193"/>
      <c r="U61" s="193"/>
      <c r="V61" s="193"/>
      <c r="W61" s="193"/>
      <c r="X61" s="193"/>
      <c r="Y61" s="193"/>
      <c r="Z61" s="193"/>
      <c r="AA61" s="193"/>
      <c r="AB61" s="193"/>
      <c r="AC61" s="193"/>
      <c r="AD61" s="193"/>
      <c r="AE61" s="193"/>
      <c r="AF61" s="193"/>
      <c r="AG61" s="193"/>
      <c r="AH61" s="193"/>
      <c r="AI61" s="193"/>
      <c r="AJ61" s="193"/>
      <c r="AK61" s="193"/>
      <c r="AL61" s="193"/>
      <c r="AM61" s="193"/>
      <c r="AN61" s="193"/>
    </row>
    <row r="62" spans="1:40">
      <c r="A62" s="193"/>
      <c r="S62" s="250"/>
      <c r="T62" s="193"/>
      <c r="U62" s="193"/>
      <c r="V62" s="193"/>
      <c r="W62" s="193"/>
      <c r="X62" s="193"/>
      <c r="Y62" s="193"/>
      <c r="Z62" s="193"/>
      <c r="AA62" s="193"/>
      <c r="AB62" s="193"/>
      <c r="AC62" s="193"/>
      <c r="AD62" s="193"/>
      <c r="AE62" s="193"/>
      <c r="AF62" s="193"/>
      <c r="AG62" s="193"/>
      <c r="AH62" s="193"/>
      <c r="AI62" s="193"/>
      <c r="AJ62" s="193"/>
      <c r="AK62" s="193"/>
      <c r="AL62" s="193"/>
      <c r="AM62" s="193"/>
      <c r="AN62" s="193"/>
    </row>
    <row r="63" spans="1:40">
      <c r="A63" s="193"/>
      <c r="S63" s="250"/>
      <c r="T63" s="193"/>
      <c r="U63" s="193"/>
      <c r="V63" s="193"/>
      <c r="W63" s="193"/>
      <c r="X63" s="193"/>
      <c r="Y63" s="193"/>
      <c r="Z63" s="193"/>
      <c r="AA63" s="193"/>
      <c r="AB63" s="193"/>
      <c r="AC63" s="193"/>
      <c r="AD63" s="193"/>
      <c r="AE63" s="193"/>
      <c r="AF63" s="193"/>
      <c r="AG63" s="193"/>
      <c r="AH63" s="193"/>
      <c r="AI63" s="193"/>
      <c r="AJ63" s="193"/>
      <c r="AK63" s="193"/>
      <c r="AL63" s="193"/>
      <c r="AM63" s="193"/>
      <c r="AN63" s="193"/>
    </row>
    <row r="64" spans="1:40">
      <c r="A64" s="193"/>
      <c r="S64" s="250"/>
      <c r="T64" s="193"/>
      <c r="U64" s="193"/>
      <c r="V64" s="193"/>
      <c r="W64" s="193"/>
      <c r="X64" s="193"/>
      <c r="Y64" s="193"/>
      <c r="Z64" s="193"/>
      <c r="AA64" s="193"/>
      <c r="AB64" s="193"/>
      <c r="AC64" s="193"/>
      <c r="AD64" s="193"/>
      <c r="AE64" s="193"/>
      <c r="AF64" s="193"/>
      <c r="AG64" s="193"/>
      <c r="AH64" s="193"/>
      <c r="AI64" s="193"/>
      <c r="AJ64" s="193"/>
      <c r="AK64" s="193"/>
      <c r="AL64" s="193"/>
      <c r="AM64" s="193"/>
      <c r="AN64" s="193"/>
    </row>
    <row r="65" spans="1:40">
      <c r="A65" s="193"/>
      <c r="S65" s="250"/>
      <c r="T65" s="193"/>
      <c r="U65" s="193"/>
      <c r="V65" s="193"/>
      <c r="W65" s="193"/>
      <c r="X65" s="193"/>
      <c r="Y65" s="193"/>
      <c r="Z65" s="193"/>
      <c r="AA65" s="193"/>
      <c r="AB65" s="193"/>
      <c r="AC65" s="193"/>
      <c r="AD65" s="193"/>
      <c r="AE65" s="193"/>
      <c r="AF65" s="193"/>
      <c r="AG65" s="193"/>
      <c r="AH65" s="193"/>
      <c r="AI65" s="193"/>
      <c r="AJ65" s="193"/>
      <c r="AK65" s="193"/>
      <c r="AL65" s="193"/>
      <c r="AM65" s="193"/>
      <c r="AN65" s="193"/>
    </row>
    <row r="66" spans="1:40">
      <c r="A66" s="193"/>
      <c r="S66" s="250"/>
      <c r="T66" s="193"/>
      <c r="U66" s="193"/>
      <c r="V66" s="193"/>
      <c r="W66" s="193"/>
      <c r="X66" s="193"/>
      <c r="Y66" s="193"/>
      <c r="Z66" s="193"/>
      <c r="AA66" s="193"/>
      <c r="AB66" s="193"/>
      <c r="AC66" s="193"/>
      <c r="AD66" s="193"/>
      <c r="AE66" s="193"/>
      <c r="AF66" s="193"/>
      <c r="AG66" s="193"/>
      <c r="AH66" s="193"/>
      <c r="AI66" s="193"/>
      <c r="AJ66" s="193"/>
      <c r="AK66" s="193"/>
      <c r="AL66" s="193"/>
      <c r="AM66" s="193"/>
      <c r="AN66" s="193"/>
    </row>
    <row r="67" spans="1:40">
      <c r="A67" s="193"/>
      <c r="S67" s="250"/>
      <c r="T67" s="193"/>
      <c r="U67" s="193"/>
      <c r="V67" s="193"/>
      <c r="W67" s="193"/>
      <c r="X67" s="193"/>
      <c r="Y67" s="193"/>
      <c r="Z67" s="193"/>
      <c r="AA67" s="193"/>
      <c r="AB67" s="193"/>
      <c r="AC67" s="193"/>
      <c r="AD67" s="193"/>
      <c r="AE67" s="193"/>
      <c r="AF67" s="193"/>
      <c r="AG67" s="193"/>
      <c r="AH67" s="193"/>
      <c r="AI67" s="193"/>
      <c r="AJ67" s="193"/>
      <c r="AK67" s="193"/>
      <c r="AL67" s="193"/>
      <c r="AM67" s="193"/>
      <c r="AN67" s="193"/>
    </row>
    <row r="68" spans="1:40">
      <c r="A68" s="193"/>
      <c r="S68" s="250"/>
      <c r="T68" s="193"/>
      <c r="U68" s="193"/>
      <c r="V68" s="193"/>
      <c r="W68" s="193"/>
      <c r="X68" s="193"/>
      <c r="Y68" s="193"/>
      <c r="Z68" s="193"/>
      <c r="AA68" s="193"/>
      <c r="AB68" s="193"/>
      <c r="AC68" s="193"/>
      <c r="AD68" s="193"/>
      <c r="AE68" s="193"/>
      <c r="AF68" s="193"/>
      <c r="AG68" s="193"/>
      <c r="AH68" s="193"/>
      <c r="AI68" s="193"/>
      <c r="AJ68" s="193"/>
      <c r="AK68" s="193"/>
      <c r="AL68" s="193"/>
      <c r="AM68" s="193"/>
      <c r="AN68" s="193"/>
    </row>
    <row r="69" spans="1:40">
      <c r="A69" s="193"/>
      <c r="S69" s="250"/>
      <c r="T69" s="193"/>
      <c r="U69" s="193"/>
      <c r="V69" s="193"/>
      <c r="W69" s="193"/>
      <c r="X69" s="193"/>
      <c r="Y69" s="193"/>
      <c r="Z69" s="193"/>
      <c r="AA69" s="193"/>
      <c r="AB69" s="193"/>
      <c r="AC69" s="193"/>
      <c r="AD69" s="193"/>
      <c r="AE69" s="193"/>
      <c r="AF69" s="193"/>
      <c r="AG69" s="193"/>
      <c r="AH69" s="193"/>
      <c r="AI69" s="193"/>
      <c r="AJ69" s="193"/>
      <c r="AK69" s="193"/>
      <c r="AL69" s="193"/>
      <c r="AM69" s="193"/>
      <c r="AN69" s="193"/>
    </row>
    <row r="70" spans="1:40">
      <c r="A70" s="193"/>
      <c r="S70" s="250"/>
      <c r="T70" s="193"/>
      <c r="U70" s="193"/>
      <c r="V70" s="193"/>
      <c r="W70" s="193"/>
      <c r="X70" s="193"/>
      <c r="Y70" s="193"/>
      <c r="Z70" s="193"/>
      <c r="AA70" s="193"/>
      <c r="AB70" s="193"/>
      <c r="AC70" s="193"/>
      <c r="AD70" s="193"/>
      <c r="AE70" s="193"/>
      <c r="AF70" s="193"/>
      <c r="AG70" s="193"/>
      <c r="AH70" s="193"/>
      <c r="AI70" s="193"/>
      <c r="AJ70" s="193"/>
      <c r="AK70" s="193"/>
      <c r="AL70" s="193"/>
      <c r="AM70" s="193"/>
      <c r="AN70" s="193"/>
    </row>
    <row r="71" spans="1:40">
      <c r="A71" s="193"/>
      <c r="S71" s="250"/>
      <c r="T71" s="193"/>
      <c r="U71" s="193"/>
      <c r="V71" s="193"/>
      <c r="W71" s="193"/>
      <c r="X71" s="193"/>
      <c r="Y71" s="193"/>
      <c r="Z71" s="193"/>
      <c r="AA71" s="193"/>
      <c r="AB71" s="193"/>
      <c r="AC71" s="193"/>
      <c r="AD71" s="193"/>
      <c r="AE71" s="193"/>
      <c r="AF71" s="193"/>
      <c r="AG71" s="193"/>
      <c r="AH71" s="193"/>
      <c r="AI71" s="193"/>
      <c r="AJ71" s="193"/>
      <c r="AK71" s="193"/>
      <c r="AL71" s="193"/>
      <c r="AM71" s="193"/>
      <c r="AN71" s="193"/>
    </row>
    <row r="72" spans="1:40">
      <c r="A72" s="193"/>
      <c r="S72" s="250"/>
      <c r="T72" s="193"/>
      <c r="U72" s="193"/>
      <c r="V72" s="193"/>
      <c r="W72" s="193"/>
      <c r="X72" s="193"/>
      <c r="Y72" s="193"/>
      <c r="Z72" s="193"/>
      <c r="AA72" s="193"/>
      <c r="AB72" s="193"/>
      <c r="AC72" s="193"/>
      <c r="AD72" s="193"/>
      <c r="AE72" s="193"/>
      <c r="AF72" s="193"/>
      <c r="AG72" s="193"/>
      <c r="AH72" s="193"/>
      <c r="AI72" s="193"/>
      <c r="AJ72" s="193"/>
      <c r="AK72" s="193"/>
      <c r="AL72" s="193"/>
      <c r="AM72" s="193"/>
      <c r="AN72" s="193"/>
    </row>
    <row r="73" spans="1:40">
      <c r="A73" s="193"/>
      <c r="S73" s="250"/>
      <c r="T73" s="193"/>
      <c r="U73" s="193"/>
      <c r="V73" s="193"/>
      <c r="W73" s="193"/>
      <c r="X73" s="193"/>
      <c r="Y73" s="193"/>
      <c r="Z73" s="193"/>
      <c r="AA73" s="193"/>
      <c r="AB73" s="193"/>
      <c r="AC73" s="193"/>
      <c r="AD73" s="193"/>
      <c r="AE73" s="193"/>
      <c r="AF73" s="193"/>
      <c r="AG73" s="193"/>
      <c r="AH73" s="193"/>
      <c r="AI73" s="193"/>
      <c r="AJ73" s="193"/>
      <c r="AK73" s="193"/>
      <c r="AL73" s="193"/>
      <c r="AM73" s="193"/>
      <c r="AN73" s="193"/>
    </row>
    <row r="74" spans="1:40">
      <c r="A74" s="193"/>
      <c r="S74" s="250"/>
      <c r="T74" s="193"/>
      <c r="U74" s="193"/>
      <c r="V74" s="193"/>
      <c r="W74" s="193"/>
      <c r="X74" s="193"/>
      <c r="Y74" s="193"/>
      <c r="Z74" s="193"/>
      <c r="AA74" s="193"/>
      <c r="AB74" s="193"/>
      <c r="AC74" s="193"/>
      <c r="AD74" s="193"/>
      <c r="AE74" s="193"/>
      <c r="AF74" s="193"/>
      <c r="AG74" s="193"/>
      <c r="AH74" s="193"/>
      <c r="AI74" s="193"/>
      <c r="AJ74" s="193"/>
      <c r="AK74" s="193"/>
      <c r="AL74" s="193"/>
      <c r="AM74" s="193"/>
      <c r="AN74" s="193"/>
    </row>
    <row r="75" spans="1:40">
      <c r="A75" s="193"/>
      <c r="S75" s="250"/>
      <c r="T75" s="193"/>
      <c r="U75" s="193"/>
      <c r="V75" s="193"/>
      <c r="W75" s="193"/>
      <c r="X75" s="193"/>
      <c r="Y75" s="193"/>
      <c r="Z75" s="193"/>
      <c r="AA75" s="193"/>
      <c r="AB75" s="193"/>
      <c r="AC75" s="193"/>
      <c r="AD75" s="193"/>
      <c r="AE75" s="193"/>
      <c r="AF75" s="193"/>
      <c r="AG75" s="193"/>
      <c r="AH75" s="193"/>
      <c r="AI75" s="193"/>
      <c r="AJ75" s="193"/>
      <c r="AK75" s="193"/>
      <c r="AL75" s="193"/>
      <c r="AM75" s="193"/>
      <c r="AN75" s="193"/>
    </row>
    <row r="76" spans="1:40">
      <c r="A76" s="193"/>
      <c r="S76" s="250"/>
      <c r="T76" s="193"/>
      <c r="U76" s="193"/>
      <c r="V76" s="193"/>
      <c r="W76" s="193"/>
      <c r="X76" s="193"/>
      <c r="Y76" s="193"/>
      <c r="Z76" s="193"/>
      <c r="AA76" s="193"/>
      <c r="AB76" s="193"/>
      <c r="AC76" s="193"/>
      <c r="AD76" s="193"/>
      <c r="AE76" s="193"/>
      <c r="AF76" s="193"/>
      <c r="AG76" s="193"/>
      <c r="AH76" s="193"/>
      <c r="AI76" s="193"/>
      <c r="AJ76" s="193"/>
      <c r="AK76" s="193"/>
      <c r="AL76" s="193"/>
      <c r="AM76" s="193"/>
      <c r="AN76" s="193"/>
    </row>
    <row r="77" spans="1:40">
      <c r="A77" s="193"/>
      <c r="S77" s="250"/>
      <c r="T77" s="193"/>
      <c r="U77" s="193"/>
      <c r="V77" s="193"/>
      <c r="W77" s="193"/>
      <c r="X77" s="193"/>
      <c r="Y77" s="193"/>
      <c r="Z77" s="193"/>
      <c r="AA77" s="193"/>
      <c r="AB77" s="193"/>
      <c r="AC77" s="193"/>
      <c r="AD77" s="193"/>
      <c r="AE77" s="193"/>
      <c r="AF77" s="193"/>
      <c r="AG77" s="193"/>
      <c r="AH77" s="193"/>
      <c r="AI77" s="193"/>
      <c r="AJ77" s="193"/>
      <c r="AK77" s="193"/>
      <c r="AL77" s="193"/>
      <c r="AM77" s="193"/>
      <c r="AN77" s="193"/>
    </row>
    <row r="78" spans="1:40">
      <c r="A78" s="193"/>
      <c r="S78" s="250"/>
      <c r="T78" s="193"/>
      <c r="U78" s="193"/>
      <c r="V78" s="193"/>
      <c r="W78" s="193"/>
      <c r="X78" s="193"/>
      <c r="Y78" s="193"/>
      <c r="Z78" s="193"/>
      <c r="AA78" s="193"/>
      <c r="AB78" s="193"/>
      <c r="AC78" s="193"/>
      <c r="AD78" s="193"/>
      <c r="AE78" s="193"/>
      <c r="AF78" s="193"/>
      <c r="AG78" s="193"/>
      <c r="AH78" s="193"/>
      <c r="AI78" s="193"/>
      <c r="AJ78" s="193"/>
      <c r="AK78" s="193"/>
      <c r="AL78" s="193"/>
      <c r="AM78" s="193"/>
      <c r="AN78" s="193"/>
    </row>
    <row r="79" spans="1:40">
      <c r="A79" s="193"/>
      <c r="S79" s="250"/>
      <c r="T79" s="193"/>
      <c r="U79" s="193"/>
      <c r="V79" s="193"/>
      <c r="W79" s="193"/>
      <c r="X79" s="193"/>
      <c r="Y79" s="193"/>
      <c r="Z79" s="193"/>
      <c r="AA79" s="193"/>
      <c r="AB79" s="193"/>
      <c r="AC79" s="193"/>
      <c r="AD79" s="193"/>
      <c r="AE79" s="193"/>
      <c r="AF79" s="193"/>
      <c r="AG79" s="193"/>
      <c r="AH79" s="193"/>
      <c r="AI79" s="193"/>
      <c r="AJ79" s="193"/>
      <c r="AK79" s="193"/>
      <c r="AL79" s="193"/>
      <c r="AM79" s="193"/>
      <c r="AN79" s="193"/>
    </row>
    <row r="80" spans="1:40">
      <c r="A80" s="193"/>
      <c r="S80" s="250"/>
      <c r="T80" s="193"/>
      <c r="U80" s="193"/>
      <c r="V80" s="193"/>
      <c r="W80" s="193"/>
      <c r="X80" s="193"/>
      <c r="Y80" s="193"/>
      <c r="Z80" s="193"/>
      <c r="AA80" s="193"/>
      <c r="AB80" s="193"/>
      <c r="AC80" s="193"/>
      <c r="AD80" s="193"/>
      <c r="AE80" s="193"/>
      <c r="AF80" s="193"/>
      <c r="AG80" s="193"/>
      <c r="AH80" s="193"/>
      <c r="AI80" s="193"/>
      <c r="AJ80" s="193"/>
      <c r="AK80" s="193"/>
      <c r="AL80" s="193"/>
      <c r="AM80" s="193"/>
      <c r="AN80" s="193"/>
    </row>
    <row r="81" spans="1:40">
      <c r="A81" s="193"/>
      <c r="S81" s="250"/>
      <c r="T81" s="193"/>
      <c r="U81" s="193"/>
      <c r="V81" s="193"/>
      <c r="W81" s="193"/>
      <c r="X81" s="193"/>
      <c r="Y81" s="193"/>
      <c r="Z81" s="193"/>
      <c r="AA81" s="193"/>
      <c r="AB81" s="193"/>
      <c r="AC81" s="193"/>
      <c r="AD81" s="193"/>
      <c r="AE81" s="193"/>
      <c r="AF81" s="193"/>
      <c r="AG81" s="193"/>
      <c r="AH81" s="193"/>
      <c r="AI81" s="193"/>
      <c r="AJ81" s="193"/>
      <c r="AK81" s="193"/>
      <c r="AL81" s="193"/>
      <c r="AM81" s="193"/>
      <c r="AN81" s="193"/>
    </row>
    <row r="82" spans="1:40">
      <c r="A82" s="193"/>
      <c r="S82" s="250"/>
      <c r="T82" s="193"/>
      <c r="U82" s="193"/>
      <c r="V82" s="193"/>
      <c r="W82" s="193"/>
      <c r="X82" s="193"/>
      <c r="Y82" s="193"/>
      <c r="Z82" s="193"/>
      <c r="AA82" s="193"/>
      <c r="AB82" s="193"/>
      <c r="AC82" s="193"/>
      <c r="AD82" s="193"/>
      <c r="AE82" s="193"/>
      <c r="AF82" s="193"/>
      <c r="AG82" s="193"/>
      <c r="AH82" s="193"/>
      <c r="AI82" s="193"/>
      <c r="AJ82" s="193"/>
      <c r="AK82" s="193"/>
      <c r="AL82" s="193"/>
      <c r="AM82" s="193"/>
      <c r="AN82" s="193"/>
    </row>
    <row r="83" spans="1:40">
      <c r="A83" s="193"/>
      <c r="S83" s="250"/>
      <c r="T83" s="193"/>
      <c r="U83" s="193"/>
      <c r="V83" s="193"/>
      <c r="W83" s="193"/>
      <c r="X83" s="193"/>
      <c r="Y83" s="193"/>
      <c r="Z83" s="193"/>
      <c r="AA83" s="193"/>
      <c r="AB83" s="193"/>
      <c r="AC83" s="193"/>
      <c r="AD83" s="193"/>
      <c r="AE83" s="193"/>
      <c r="AF83" s="193"/>
      <c r="AG83" s="193"/>
      <c r="AH83" s="193"/>
      <c r="AI83" s="193"/>
      <c r="AJ83" s="193"/>
      <c r="AK83" s="193"/>
      <c r="AL83" s="193"/>
      <c r="AM83" s="193"/>
      <c r="AN83" s="193"/>
    </row>
    <row r="84" spans="1:40">
      <c r="A84" s="193"/>
      <c r="S84" s="250"/>
      <c r="T84" s="193"/>
      <c r="U84" s="193"/>
      <c r="V84" s="193"/>
      <c r="W84" s="193"/>
      <c r="X84" s="193"/>
      <c r="Y84" s="193"/>
      <c r="Z84" s="193"/>
      <c r="AA84" s="193"/>
      <c r="AB84" s="193"/>
      <c r="AC84" s="193"/>
      <c r="AD84" s="193"/>
      <c r="AE84" s="193"/>
      <c r="AF84" s="193"/>
      <c r="AG84" s="193"/>
      <c r="AH84" s="193"/>
      <c r="AI84" s="193"/>
      <c r="AJ84" s="193"/>
      <c r="AK84" s="193"/>
      <c r="AL84" s="193"/>
      <c r="AM84" s="193"/>
      <c r="AN84" s="193"/>
    </row>
    <row r="85" spans="1:40">
      <c r="A85" s="193"/>
      <c r="S85" s="250"/>
      <c r="T85" s="193"/>
      <c r="U85" s="193"/>
      <c r="V85" s="193"/>
      <c r="W85" s="193"/>
      <c r="X85" s="193"/>
      <c r="Y85" s="193"/>
      <c r="Z85" s="193"/>
      <c r="AA85" s="193"/>
      <c r="AB85" s="193"/>
      <c r="AC85" s="193"/>
      <c r="AD85" s="193"/>
      <c r="AE85" s="193"/>
      <c r="AF85" s="193"/>
      <c r="AG85" s="193"/>
      <c r="AH85" s="193"/>
      <c r="AI85" s="193"/>
      <c r="AJ85" s="193"/>
      <c r="AK85" s="193"/>
      <c r="AL85" s="193"/>
      <c r="AM85" s="193"/>
      <c r="AN85" s="193"/>
    </row>
    <row r="86" spans="1:40">
      <c r="A86" s="193"/>
      <c r="S86" s="250"/>
      <c r="T86" s="193"/>
      <c r="U86" s="193"/>
      <c r="V86" s="193"/>
      <c r="W86" s="193"/>
      <c r="X86" s="193"/>
      <c r="Y86" s="193"/>
      <c r="Z86" s="193"/>
      <c r="AA86" s="193"/>
      <c r="AB86" s="193"/>
      <c r="AC86" s="193"/>
      <c r="AD86" s="193"/>
      <c r="AE86" s="193"/>
      <c r="AF86" s="193"/>
      <c r="AG86" s="193"/>
      <c r="AH86" s="193"/>
      <c r="AI86" s="193"/>
      <c r="AJ86" s="193"/>
      <c r="AK86" s="193"/>
      <c r="AL86" s="193"/>
      <c r="AM86" s="193"/>
      <c r="AN86" s="193"/>
    </row>
    <row r="87" spans="1:40">
      <c r="A87" s="193"/>
      <c r="S87" s="250"/>
      <c r="T87" s="193"/>
      <c r="U87" s="193"/>
      <c r="V87" s="193"/>
      <c r="W87" s="193"/>
      <c r="X87" s="193"/>
      <c r="Y87" s="193"/>
      <c r="Z87" s="193"/>
      <c r="AA87" s="193"/>
      <c r="AB87" s="193"/>
      <c r="AC87" s="193"/>
      <c r="AD87" s="193"/>
      <c r="AE87" s="193"/>
      <c r="AF87" s="193"/>
      <c r="AG87" s="193"/>
      <c r="AH87" s="193"/>
      <c r="AI87" s="193"/>
      <c r="AJ87" s="193"/>
      <c r="AK87" s="193"/>
      <c r="AL87" s="193"/>
      <c r="AM87" s="193"/>
      <c r="AN87" s="193"/>
    </row>
    <row r="88" spans="1:40">
      <c r="A88" s="193"/>
      <c r="S88" s="250"/>
      <c r="T88" s="193"/>
      <c r="U88" s="193"/>
      <c r="V88" s="193"/>
      <c r="W88" s="193"/>
      <c r="X88" s="193"/>
      <c r="Y88" s="193"/>
      <c r="Z88" s="193"/>
      <c r="AA88" s="193"/>
      <c r="AB88" s="193"/>
      <c r="AC88" s="193"/>
      <c r="AD88" s="193"/>
      <c r="AE88" s="193"/>
      <c r="AF88" s="193"/>
      <c r="AG88" s="193"/>
      <c r="AH88" s="193"/>
      <c r="AI88" s="193"/>
      <c r="AJ88" s="193"/>
      <c r="AK88" s="193"/>
      <c r="AL88" s="193"/>
      <c r="AM88" s="193"/>
      <c r="AN88" s="193"/>
    </row>
    <row r="89" spans="1:40">
      <c r="A89" s="193"/>
      <c r="S89" s="250"/>
      <c r="T89" s="193"/>
      <c r="U89" s="193"/>
      <c r="V89" s="193"/>
      <c r="W89" s="193"/>
      <c r="X89" s="193"/>
      <c r="Y89" s="193"/>
      <c r="Z89" s="193"/>
      <c r="AA89" s="193"/>
      <c r="AB89" s="193"/>
      <c r="AC89" s="193"/>
      <c r="AD89" s="193"/>
      <c r="AE89" s="193"/>
      <c r="AF89" s="193"/>
      <c r="AG89" s="193"/>
      <c r="AH89" s="193"/>
      <c r="AI89" s="193"/>
      <c r="AJ89" s="193"/>
      <c r="AK89" s="193"/>
      <c r="AL89" s="193"/>
      <c r="AM89" s="193"/>
      <c r="AN89" s="193"/>
    </row>
    <row r="90" spans="1:40">
      <c r="A90" s="193"/>
      <c r="S90" s="250"/>
      <c r="T90" s="193"/>
      <c r="U90" s="193"/>
      <c r="V90" s="193"/>
      <c r="W90" s="193"/>
      <c r="X90" s="193"/>
      <c r="Y90" s="193"/>
      <c r="Z90" s="193"/>
      <c r="AA90" s="193"/>
      <c r="AB90" s="193"/>
      <c r="AC90" s="193"/>
      <c r="AD90" s="193"/>
      <c r="AE90" s="193"/>
      <c r="AF90" s="193"/>
      <c r="AG90" s="193"/>
      <c r="AH90" s="193"/>
      <c r="AI90" s="193"/>
      <c r="AJ90" s="193"/>
      <c r="AK90" s="193"/>
      <c r="AL90" s="193"/>
      <c r="AM90" s="193"/>
      <c r="AN90" s="193"/>
    </row>
    <row r="91" spans="1:40">
      <c r="A91" s="193"/>
      <c r="S91" s="250"/>
      <c r="T91" s="193"/>
      <c r="U91" s="193"/>
      <c r="V91" s="193"/>
      <c r="W91" s="193"/>
      <c r="X91" s="193"/>
      <c r="Y91" s="193"/>
      <c r="Z91" s="193"/>
      <c r="AA91" s="193"/>
      <c r="AB91" s="193"/>
      <c r="AC91" s="193"/>
      <c r="AD91" s="193"/>
      <c r="AE91" s="193"/>
      <c r="AF91" s="193"/>
      <c r="AG91" s="193"/>
      <c r="AH91" s="193"/>
      <c r="AI91" s="193"/>
      <c r="AJ91" s="193"/>
      <c r="AK91" s="193"/>
      <c r="AL91" s="193"/>
      <c r="AM91" s="193"/>
      <c r="AN91" s="193"/>
    </row>
    <row r="92" spans="1:40">
      <c r="A92" s="193"/>
      <c r="S92" s="250"/>
      <c r="T92" s="193"/>
      <c r="U92" s="193"/>
      <c r="V92" s="193"/>
      <c r="W92" s="193"/>
      <c r="X92" s="193"/>
      <c r="Y92" s="193"/>
      <c r="Z92" s="193"/>
      <c r="AA92" s="193"/>
      <c r="AB92" s="193"/>
      <c r="AC92" s="193"/>
      <c r="AD92" s="193"/>
      <c r="AE92" s="193"/>
      <c r="AF92" s="193"/>
      <c r="AG92" s="193"/>
      <c r="AH92" s="193"/>
      <c r="AI92" s="193"/>
      <c r="AJ92" s="193"/>
      <c r="AK92" s="193"/>
      <c r="AL92" s="193"/>
      <c r="AM92" s="193"/>
      <c r="AN92" s="193"/>
    </row>
    <row r="93" spans="1:40">
      <c r="A93" s="193"/>
      <c r="S93" s="250"/>
      <c r="T93" s="193"/>
      <c r="U93" s="193"/>
      <c r="V93" s="193"/>
      <c r="W93" s="193"/>
      <c r="X93" s="193"/>
      <c r="Y93" s="193"/>
      <c r="Z93" s="193"/>
      <c r="AA93" s="193"/>
      <c r="AB93" s="193"/>
      <c r="AC93" s="193"/>
      <c r="AD93" s="193"/>
      <c r="AE93" s="193"/>
      <c r="AF93" s="193"/>
      <c r="AG93" s="193"/>
      <c r="AH93" s="193"/>
      <c r="AI93" s="193"/>
      <c r="AJ93" s="193"/>
      <c r="AK93" s="193"/>
      <c r="AL93" s="193"/>
      <c r="AM93" s="193"/>
      <c r="AN93" s="193"/>
    </row>
    <row r="94" spans="1:40">
      <c r="A94" s="193"/>
      <c r="S94" s="250"/>
      <c r="T94" s="193"/>
      <c r="U94" s="193"/>
      <c r="V94" s="193"/>
      <c r="W94" s="193"/>
      <c r="X94" s="193"/>
      <c r="Y94" s="193"/>
      <c r="Z94" s="193"/>
      <c r="AA94" s="193"/>
      <c r="AB94" s="193"/>
      <c r="AC94" s="193"/>
      <c r="AD94" s="193"/>
      <c r="AE94" s="193"/>
      <c r="AF94" s="193"/>
      <c r="AG94" s="193"/>
      <c r="AH94" s="193"/>
      <c r="AI94" s="193"/>
      <c r="AJ94" s="193"/>
      <c r="AK94" s="193"/>
      <c r="AL94" s="193"/>
      <c r="AM94" s="193"/>
      <c r="AN94" s="193"/>
    </row>
    <row r="95" spans="1:40">
      <c r="A95" s="193"/>
      <c r="S95" s="250"/>
      <c r="T95" s="193"/>
      <c r="U95" s="193"/>
      <c r="V95" s="193"/>
      <c r="W95" s="193"/>
      <c r="X95" s="193"/>
      <c r="Y95" s="193"/>
      <c r="Z95" s="193"/>
      <c r="AA95" s="193"/>
      <c r="AB95" s="193"/>
      <c r="AC95" s="193"/>
      <c r="AD95" s="193"/>
      <c r="AE95" s="193"/>
      <c r="AF95" s="193"/>
      <c r="AG95" s="193"/>
      <c r="AH95" s="193"/>
      <c r="AI95" s="193"/>
      <c r="AJ95" s="193"/>
      <c r="AK95" s="193"/>
      <c r="AL95" s="193"/>
      <c r="AM95" s="193"/>
      <c r="AN95" s="193"/>
    </row>
    <row r="96" spans="1:40">
      <c r="A96" s="193"/>
      <c r="S96" s="250"/>
      <c r="T96" s="193"/>
      <c r="U96" s="193"/>
      <c r="V96" s="193"/>
      <c r="W96" s="193"/>
      <c r="X96" s="193"/>
      <c r="Y96" s="193"/>
      <c r="Z96" s="193"/>
      <c r="AA96" s="193"/>
      <c r="AB96" s="193"/>
      <c r="AC96" s="193"/>
      <c r="AD96" s="193"/>
      <c r="AE96" s="193"/>
      <c r="AF96" s="193"/>
      <c r="AG96" s="193"/>
      <c r="AH96" s="193"/>
      <c r="AI96" s="193"/>
      <c r="AJ96" s="193"/>
      <c r="AK96" s="193"/>
      <c r="AL96" s="193"/>
      <c r="AM96" s="193"/>
      <c r="AN96" s="193"/>
    </row>
    <row r="97" spans="1:40">
      <c r="A97" s="193"/>
      <c r="S97" s="250"/>
      <c r="T97" s="193"/>
      <c r="U97" s="193"/>
      <c r="V97" s="193"/>
      <c r="W97" s="193"/>
      <c r="X97" s="193"/>
      <c r="Y97" s="193"/>
      <c r="Z97" s="193"/>
      <c r="AA97" s="193"/>
      <c r="AB97" s="193"/>
      <c r="AC97" s="193"/>
      <c r="AD97" s="193"/>
      <c r="AE97" s="193"/>
      <c r="AF97" s="193"/>
      <c r="AG97" s="193"/>
      <c r="AH97" s="193"/>
      <c r="AI97" s="193"/>
      <c r="AJ97" s="193"/>
      <c r="AK97" s="193"/>
      <c r="AL97" s="193"/>
      <c r="AM97" s="193"/>
      <c r="AN97" s="193"/>
    </row>
    <row r="98" spans="1:40">
      <c r="A98" s="193"/>
      <c r="S98" s="250"/>
      <c r="T98" s="193"/>
      <c r="U98" s="193"/>
      <c r="V98" s="193"/>
      <c r="W98" s="193"/>
      <c r="X98" s="193"/>
      <c r="Y98" s="193"/>
      <c r="Z98" s="193"/>
      <c r="AA98" s="193"/>
      <c r="AB98" s="193"/>
      <c r="AC98" s="193"/>
      <c r="AD98" s="193"/>
      <c r="AE98" s="193"/>
      <c r="AF98" s="193"/>
      <c r="AG98" s="193"/>
      <c r="AH98" s="193"/>
      <c r="AI98" s="193"/>
      <c r="AJ98" s="193"/>
      <c r="AK98" s="193"/>
      <c r="AL98" s="193"/>
      <c r="AM98" s="193"/>
      <c r="AN98" s="193"/>
    </row>
    <row r="99" spans="1:40">
      <c r="A99" s="193"/>
      <c r="S99" s="250"/>
      <c r="T99" s="193"/>
      <c r="U99" s="193"/>
      <c r="V99" s="193"/>
      <c r="W99" s="193"/>
      <c r="X99" s="193"/>
      <c r="Y99" s="193"/>
      <c r="Z99" s="193"/>
      <c r="AA99" s="193"/>
      <c r="AB99" s="193"/>
      <c r="AC99" s="193"/>
      <c r="AD99" s="193"/>
      <c r="AE99" s="193"/>
      <c r="AF99" s="193"/>
      <c r="AG99" s="193"/>
      <c r="AH99" s="193"/>
      <c r="AI99" s="193"/>
      <c r="AJ99" s="193"/>
      <c r="AK99" s="193"/>
      <c r="AL99" s="193"/>
      <c r="AM99" s="193"/>
      <c r="AN99" s="193"/>
    </row>
    <row r="100" spans="1:40">
      <c r="A100" s="193"/>
      <c r="S100" s="250"/>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row>
    <row r="101" spans="1:40">
      <c r="A101" s="193"/>
      <c r="S101" s="250"/>
      <c r="T101" s="193"/>
      <c r="U101" s="193"/>
      <c r="V101" s="193"/>
      <c r="W101" s="193"/>
      <c r="X101" s="193"/>
      <c r="Y101" s="193"/>
      <c r="Z101" s="193"/>
      <c r="AA101" s="193"/>
      <c r="AB101" s="193"/>
      <c r="AC101" s="193"/>
      <c r="AD101" s="193"/>
      <c r="AE101" s="193"/>
      <c r="AF101" s="193"/>
      <c r="AG101" s="193"/>
      <c r="AH101" s="193"/>
      <c r="AI101" s="193"/>
      <c r="AJ101" s="193"/>
      <c r="AK101" s="193"/>
      <c r="AL101" s="193"/>
      <c r="AM101" s="193"/>
      <c r="AN101" s="193"/>
    </row>
    <row r="102" spans="1:40">
      <c r="A102" s="193"/>
      <c r="S102" s="250"/>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row>
    <row r="103" spans="1:40">
      <c r="A103" s="193"/>
      <c r="S103" s="250"/>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row>
    <row r="104" spans="1:40">
      <c r="A104" s="193"/>
      <c r="S104" s="250"/>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row>
    <row r="105" spans="1:40">
      <c r="A105" s="193"/>
      <c r="S105" s="250"/>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row>
    <row r="106" spans="1:40">
      <c r="A106" s="193"/>
      <c r="S106" s="250"/>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row>
    <row r="107" spans="1:40">
      <c r="A107" s="193"/>
      <c r="S107" s="250"/>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row>
    <row r="108" spans="1:40">
      <c r="A108" s="193"/>
      <c r="S108" s="250"/>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row>
    <row r="109" spans="1:40">
      <c r="A109" s="193"/>
      <c r="S109" s="250"/>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row>
    <row r="110" spans="1:40">
      <c r="A110" s="193"/>
      <c r="S110" s="250"/>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row>
    <row r="111" spans="1:40">
      <c r="A111" s="193"/>
      <c r="S111" s="250"/>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row>
    <row r="112" spans="1:40">
      <c r="A112" s="193"/>
      <c r="S112" s="250"/>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row>
    <row r="113" spans="1:40">
      <c r="A113" s="193"/>
      <c r="S113" s="250"/>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row>
    <row r="114" spans="1:40">
      <c r="A114" s="193"/>
      <c r="S114" s="250"/>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row>
    <row r="115" spans="1:40">
      <c r="A115" s="193"/>
      <c r="S115" s="250"/>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row>
    <row r="116" spans="1:40">
      <c r="A116" s="193"/>
      <c r="S116" s="250"/>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row>
    <row r="117" spans="1:40">
      <c r="A117" s="193"/>
      <c r="S117" s="250"/>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row>
    <row r="118" spans="1:40">
      <c r="A118" s="193"/>
      <c r="S118" s="250"/>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row>
    <row r="119" spans="1:40">
      <c r="A119" s="193"/>
      <c r="S119" s="250"/>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row>
    <row r="120" spans="1:40">
      <c r="A120" s="193"/>
      <c r="S120" s="250"/>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row>
    <row r="121" spans="1:40">
      <c r="A121" s="193"/>
      <c r="S121" s="250"/>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row>
    <row r="122" spans="1:40">
      <c r="A122" s="193"/>
      <c r="S122" s="250"/>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row>
    <row r="123" spans="1:40">
      <c r="A123" s="193"/>
      <c r="S123" s="250"/>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row>
    <row r="124" spans="1:40">
      <c r="A124" s="193"/>
      <c r="S124" s="250"/>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row>
    <row r="125" spans="1:40">
      <c r="A125" s="193"/>
      <c r="S125" s="250"/>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193"/>
    </row>
    <row r="126" spans="1:40">
      <c r="A126" s="193"/>
      <c r="S126" s="250"/>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row>
    <row r="127" spans="1:40">
      <c r="A127" s="193"/>
      <c r="S127" s="250"/>
      <c r="T127" s="193"/>
      <c r="U127" s="193"/>
      <c r="V127" s="193"/>
      <c r="W127" s="193"/>
      <c r="X127" s="193"/>
      <c r="Y127" s="193"/>
      <c r="Z127" s="193"/>
      <c r="AA127" s="193"/>
      <c r="AB127" s="193"/>
      <c r="AC127" s="193"/>
      <c r="AD127" s="193"/>
      <c r="AE127" s="193"/>
      <c r="AF127" s="193"/>
      <c r="AG127" s="193"/>
      <c r="AH127" s="193"/>
      <c r="AI127" s="193"/>
      <c r="AJ127" s="193"/>
      <c r="AK127" s="193"/>
      <c r="AL127" s="193"/>
      <c r="AM127" s="193"/>
      <c r="AN127" s="193"/>
    </row>
    <row r="128" spans="1:40">
      <c r="A128" s="193"/>
      <c r="S128" s="250"/>
      <c r="T128" s="193"/>
      <c r="U128" s="193"/>
      <c r="V128" s="193"/>
      <c r="W128" s="193"/>
      <c r="X128" s="193"/>
      <c r="Y128" s="193"/>
      <c r="Z128" s="193"/>
      <c r="AA128" s="193"/>
      <c r="AB128" s="193"/>
      <c r="AC128" s="193"/>
      <c r="AD128" s="193"/>
      <c r="AE128" s="193"/>
      <c r="AF128" s="193"/>
      <c r="AG128" s="193"/>
      <c r="AH128" s="193"/>
      <c r="AI128" s="193"/>
      <c r="AJ128" s="193"/>
      <c r="AK128" s="193"/>
      <c r="AL128" s="193"/>
      <c r="AM128" s="193"/>
      <c r="AN128" s="193"/>
    </row>
    <row r="129" spans="1:40">
      <c r="A129" s="193"/>
      <c r="S129" s="250"/>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row>
    <row r="130" spans="1:40">
      <c r="A130" s="193"/>
      <c r="S130" s="250"/>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row>
    <row r="131" spans="1:40">
      <c r="A131" s="193"/>
      <c r="S131" s="250"/>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row>
    <row r="132" spans="1:40">
      <c r="A132" s="193"/>
      <c r="S132" s="250"/>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row>
    <row r="133" spans="1:40">
      <c r="A133" s="193"/>
      <c r="S133" s="250"/>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row>
    <row r="134" spans="1:40">
      <c r="A134" s="193"/>
      <c r="S134" s="250"/>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row>
    <row r="135" spans="1:40">
      <c r="A135" s="193"/>
      <c r="S135" s="250"/>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row>
    <row r="136" spans="1:40">
      <c r="A136" s="193"/>
      <c r="S136" s="250"/>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row>
    <row r="137" spans="1:40">
      <c r="A137" s="193"/>
      <c r="S137" s="250"/>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row>
    <row r="138" spans="1:40">
      <c r="A138" s="193"/>
      <c r="S138" s="250"/>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row>
    <row r="139" spans="1:40">
      <c r="A139" s="193"/>
      <c r="S139" s="250"/>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row>
    <row r="140" spans="1:40">
      <c r="A140" s="193"/>
      <c r="S140" s="250"/>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row>
    <row r="141" spans="1:40">
      <c r="A141" s="193"/>
      <c r="S141" s="250"/>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row>
    <row r="142" spans="1:40">
      <c r="A142" s="193"/>
      <c r="S142" s="250"/>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row>
    <row r="143" spans="1:40">
      <c r="A143" s="193"/>
      <c r="S143" s="250"/>
      <c r="T143" s="193"/>
      <c r="U143" s="193"/>
      <c r="V143" s="193"/>
      <c r="W143" s="193"/>
      <c r="X143" s="193"/>
      <c r="Y143" s="193"/>
      <c r="Z143" s="193"/>
      <c r="AA143" s="193"/>
      <c r="AB143" s="193"/>
      <c r="AC143" s="193"/>
      <c r="AD143" s="193"/>
      <c r="AE143" s="193"/>
      <c r="AF143" s="193"/>
      <c r="AG143" s="193"/>
      <c r="AH143" s="193"/>
      <c r="AI143" s="193"/>
      <c r="AJ143" s="193"/>
      <c r="AK143" s="193"/>
      <c r="AL143" s="193"/>
      <c r="AM143" s="193"/>
      <c r="AN143" s="193"/>
    </row>
    <row r="144" spans="1:40">
      <c r="A144" s="193"/>
      <c r="S144" s="250"/>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row>
    <row r="145" spans="1:40">
      <c r="A145" s="193"/>
      <c r="S145" s="250"/>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row>
    <row r="146" spans="1:40">
      <c r="A146" s="193"/>
      <c r="S146" s="250"/>
      <c r="T146" s="193"/>
      <c r="U146" s="193"/>
      <c r="V146" s="193"/>
      <c r="W146" s="193"/>
      <c r="X146" s="193"/>
      <c r="Y146" s="193"/>
      <c r="Z146" s="193"/>
      <c r="AA146" s="193"/>
      <c r="AB146" s="193"/>
      <c r="AC146" s="193"/>
      <c r="AD146" s="193"/>
      <c r="AE146" s="193"/>
      <c r="AF146" s="193"/>
      <c r="AG146" s="193"/>
      <c r="AH146" s="193"/>
      <c r="AI146" s="193"/>
      <c r="AJ146" s="193"/>
      <c r="AK146" s="193"/>
      <c r="AL146" s="193"/>
      <c r="AM146" s="193"/>
      <c r="AN146" s="193"/>
    </row>
    <row r="147" spans="1:40">
      <c r="A147" s="193"/>
      <c r="S147" s="250"/>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row>
    <row r="148" spans="1:40">
      <c r="A148" s="193"/>
      <c r="S148" s="250"/>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row>
    <row r="149" spans="1:40">
      <c r="A149" s="193"/>
      <c r="S149" s="250"/>
      <c r="T149" s="193"/>
      <c r="U149" s="193"/>
      <c r="V149" s="193"/>
      <c r="W149" s="193"/>
      <c r="X149" s="193"/>
      <c r="Y149" s="193"/>
      <c r="Z149" s="193"/>
      <c r="AA149" s="193"/>
      <c r="AB149" s="193"/>
      <c r="AC149" s="193"/>
      <c r="AD149" s="193"/>
      <c r="AE149" s="193"/>
      <c r="AF149" s="193"/>
      <c r="AG149" s="193"/>
      <c r="AH149" s="193"/>
      <c r="AI149" s="193"/>
      <c r="AJ149" s="193"/>
      <c r="AK149" s="193"/>
      <c r="AL149" s="193"/>
      <c r="AM149" s="193"/>
      <c r="AN149" s="193"/>
    </row>
    <row r="150" spans="1:40">
      <c r="A150" s="193"/>
      <c r="S150" s="250"/>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row>
    <row r="151" spans="1:40">
      <c r="A151" s="193"/>
      <c r="S151" s="250"/>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row>
    <row r="152" spans="1:40">
      <c r="A152" s="193"/>
      <c r="S152" s="250"/>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row>
    <row r="153" spans="1:40">
      <c r="A153" s="193"/>
      <c r="S153" s="250"/>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row>
    <row r="154" spans="1:40">
      <c r="A154" s="193"/>
      <c r="S154" s="250"/>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row>
    <row r="155" spans="1:40">
      <c r="A155" s="193"/>
      <c r="S155" s="250"/>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row>
    <row r="156" spans="1:40">
      <c r="A156" s="193"/>
      <c r="S156" s="250"/>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row>
    <row r="157" spans="1:40">
      <c r="A157" s="193"/>
      <c r="S157" s="250"/>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row>
    <row r="158" spans="1:40">
      <c r="A158" s="193"/>
      <c r="S158" s="250"/>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row>
    <row r="159" spans="1:40">
      <c r="A159" s="193"/>
      <c r="S159" s="250"/>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row>
    <row r="160" spans="1:40">
      <c r="A160" s="193"/>
      <c r="S160" s="250"/>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row>
    <row r="161" spans="1:40">
      <c r="A161" s="193"/>
      <c r="S161" s="250"/>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row>
    <row r="162" spans="1:40">
      <c r="A162" s="193"/>
      <c r="S162" s="250"/>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row>
    <row r="163" spans="1:40">
      <c r="A163" s="193"/>
      <c r="S163" s="250"/>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row>
    <row r="164" spans="1:40">
      <c r="A164" s="193"/>
      <c r="S164" s="250"/>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row>
    <row r="165" spans="1:40">
      <c r="A165" s="193"/>
      <c r="S165" s="250"/>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row>
    <row r="166" spans="1:40">
      <c r="A166" s="193"/>
      <c r="S166" s="250"/>
      <c r="T166" s="193"/>
      <c r="U166" s="193"/>
      <c r="V166" s="193"/>
      <c r="W166" s="193"/>
      <c r="X166" s="193"/>
      <c r="Y166" s="193"/>
      <c r="Z166" s="193"/>
      <c r="AA166" s="193"/>
      <c r="AB166" s="193"/>
      <c r="AC166" s="193"/>
      <c r="AD166" s="193"/>
      <c r="AE166" s="193"/>
      <c r="AF166" s="193"/>
      <c r="AG166" s="193"/>
      <c r="AH166" s="193"/>
      <c r="AI166" s="193"/>
      <c r="AJ166" s="193"/>
      <c r="AK166" s="193"/>
      <c r="AL166" s="193"/>
      <c r="AM166" s="193"/>
      <c r="AN166" s="193"/>
    </row>
    <row r="167" spans="1:40">
      <c r="A167" s="193"/>
      <c r="S167" s="250"/>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row>
    <row r="168" spans="1:40">
      <c r="A168" s="193"/>
      <c r="S168" s="250"/>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row>
    <row r="169" spans="1:40">
      <c r="A169" s="193"/>
      <c r="S169" s="250"/>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row>
    <row r="170" spans="1:40">
      <c r="A170" s="193"/>
      <c r="S170" s="250"/>
      <c r="T170" s="193"/>
      <c r="U170" s="193"/>
      <c r="V170" s="193"/>
      <c r="W170" s="193"/>
      <c r="X170" s="193"/>
      <c r="Y170" s="193"/>
      <c r="Z170" s="193"/>
      <c r="AA170" s="193"/>
      <c r="AB170" s="193"/>
      <c r="AC170" s="193"/>
      <c r="AD170" s="193"/>
      <c r="AE170" s="193"/>
      <c r="AF170" s="193"/>
      <c r="AG170" s="193"/>
      <c r="AH170" s="193"/>
      <c r="AI170" s="193"/>
      <c r="AJ170" s="193"/>
      <c r="AK170" s="193"/>
      <c r="AL170" s="193"/>
      <c r="AM170" s="193"/>
      <c r="AN170" s="193"/>
    </row>
    <row r="171" spans="1:40">
      <c r="A171" s="193"/>
      <c r="S171" s="250"/>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row>
    <row r="172" spans="1:40">
      <c r="A172" s="193"/>
      <c r="S172" s="250"/>
      <c r="T172" s="193"/>
      <c r="U172" s="193"/>
      <c r="V172" s="193"/>
      <c r="W172" s="193"/>
      <c r="X172" s="193"/>
      <c r="Y172" s="193"/>
      <c r="Z172" s="193"/>
      <c r="AA172" s="193"/>
      <c r="AB172" s="193"/>
      <c r="AC172" s="193"/>
      <c r="AD172" s="193"/>
      <c r="AE172" s="193"/>
      <c r="AF172" s="193"/>
      <c r="AG172" s="193"/>
      <c r="AH172" s="193"/>
      <c r="AI172" s="193"/>
      <c r="AJ172" s="193"/>
      <c r="AK172" s="193"/>
      <c r="AL172" s="193"/>
      <c r="AM172" s="193"/>
      <c r="AN172" s="193"/>
    </row>
    <row r="173" spans="1:40">
      <c r="A173" s="193"/>
      <c r="S173" s="250"/>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row>
    <row r="174" spans="1:40">
      <c r="A174" s="193"/>
      <c r="S174" s="250"/>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row>
    <row r="175" spans="1:40">
      <c r="A175" s="193"/>
      <c r="S175" s="250"/>
      <c r="T175" s="193"/>
      <c r="U175" s="193"/>
      <c r="V175" s="193"/>
      <c r="W175" s="193"/>
      <c r="X175" s="193"/>
      <c r="Y175" s="193"/>
      <c r="Z175" s="193"/>
      <c r="AA175" s="193"/>
      <c r="AB175" s="193"/>
      <c r="AC175" s="193"/>
      <c r="AD175" s="193"/>
      <c r="AE175" s="193"/>
      <c r="AF175" s="193"/>
      <c r="AG175" s="193"/>
      <c r="AH175" s="193"/>
      <c r="AI175" s="193"/>
      <c r="AJ175" s="193"/>
      <c r="AK175" s="193"/>
      <c r="AL175" s="193"/>
      <c r="AM175" s="193"/>
      <c r="AN175" s="193"/>
    </row>
    <row r="176" spans="1:40">
      <c r="A176" s="193"/>
      <c r="S176" s="250"/>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row>
    <row r="177" spans="1:40">
      <c r="A177" s="193"/>
      <c r="S177" s="250"/>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row>
    <row r="178" spans="1:40">
      <c r="A178" s="193"/>
      <c r="S178" s="250"/>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row>
    <row r="179" spans="1:40">
      <c r="A179" s="193"/>
      <c r="S179" s="250"/>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row>
    <row r="180" spans="1:40">
      <c r="A180" s="193"/>
      <c r="S180" s="250"/>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row>
    <row r="181" spans="1:40">
      <c r="A181" s="193"/>
      <c r="S181" s="250"/>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row>
    <row r="182" spans="1:40">
      <c r="A182" s="193"/>
      <c r="S182" s="250"/>
      <c r="T182" s="193"/>
      <c r="U182" s="193"/>
      <c r="V182" s="193"/>
      <c r="W182" s="193"/>
      <c r="X182" s="193"/>
      <c r="Y182" s="193"/>
      <c r="Z182" s="193"/>
      <c r="AA182" s="193"/>
      <c r="AB182" s="193"/>
      <c r="AC182" s="193"/>
      <c r="AD182" s="193"/>
      <c r="AE182" s="193"/>
      <c r="AF182" s="193"/>
      <c r="AG182" s="193"/>
      <c r="AH182" s="193"/>
      <c r="AI182" s="193"/>
      <c r="AJ182" s="193"/>
      <c r="AK182" s="193"/>
      <c r="AL182" s="193"/>
      <c r="AM182" s="193"/>
      <c r="AN182" s="193"/>
    </row>
    <row r="183" spans="1:40">
      <c r="A183" s="193"/>
      <c r="S183" s="250"/>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row>
    <row r="184" spans="1:40">
      <c r="A184" s="193"/>
      <c r="S184" s="250"/>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row>
    <row r="185" spans="1:40">
      <c r="A185" s="193"/>
      <c r="S185" s="250"/>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row>
    <row r="186" spans="1:40">
      <c r="A186" s="193"/>
      <c r="S186" s="250"/>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row>
    <row r="187" spans="1:40">
      <c r="A187" s="193"/>
      <c r="S187" s="250"/>
      <c r="T187" s="193"/>
      <c r="U187" s="193"/>
      <c r="V187" s="193"/>
      <c r="W187" s="193"/>
      <c r="X187" s="193"/>
      <c r="Y187" s="193"/>
      <c r="Z187" s="193"/>
      <c r="AA187" s="193"/>
      <c r="AB187" s="193"/>
      <c r="AC187" s="193"/>
      <c r="AD187" s="193"/>
      <c r="AE187" s="193"/>
      <c r="AF187" s="193"/>
      <c r="AG187" s="193"/>
      <c r="AH187" s="193"/>
      <c r="AI187" s="193"/>
      <c r="AJ187" s="193"/>
      <c r="AK187" s="193"/>
      <c r="AL187" s="193"/>
      <c r="AM187" s="193"/>
      <c r="AN187" s="193"/>
    </row>
    <row r="188" spans="1:40">
      <c r="A188" s="193"/>
      <c r="S188" s="250"/>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row>
    <row r="189" spans="1:40">
      <c r="A189" s="193"/>
      <c r="S189" s="250"/>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row>
    <row r="190" spans="1:40">
      <c r="A190" s="193"/>
      <c r="S190" s="250"/>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row>
    <row r="191" spans="1:40">
      <c r="A191" s="193"/>
      <c r="S191" s="250"/>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row>
    <row r="192" spans="1:40">
      <c r="A192" s="193"/>
      <c r="S192" s="250"/>
      <c r="T192" s="193"/>
      <c r="U192" s="193"/>
      <c r="V192" s="193"/>
      <c r="W192" s="193"/>
      <c r="X192" s="193"/>
      <c r="Y192" s="193"/>
      <c r="Z192" s="193"/>
      <c r="AA192" s="193"/>
      <c r="AB192" s="193"/>
      <c r="AC192" s="193"/>
      <c r="AD192" s="193"/>
      <c r="AE192" s="193"/>
      <c r="AF192" s="193"/>
      <c r="AG192" s="193"/>
      <c r="AH192" s="193"/>
      <c r="AI192" s="193"/>
      <c r="AJ192" s="193"/>
      <c r="AK192" s="193"/>
      <c r="AL192" s="193"/>
      <c r="AM192" s="193"/>
      <c r="AN192" s="193"/>
    </row>
    <row r="193" spans="1:40">
      <c r="A193" s="193"/>
      <c r="S193" s="250"/>
      <c r="T193" s="193"/>
      <c r="U193" s="193"/>
      <c r="V193" s="193"/>
      <c r="W193" s="193"/>
      <c r="X193" s="193"/>
      <c r="Y193" s="193"/>
      <c r="Z193" s="193"/>
      <c r="AA193" s="193"/>
      <c r="AB193" s="193"/>
      <c r="AC193" s="193"/>
      <c r="AD193" s="193"/>
      <c r="AE193" s="193"/>
      <c r="AF193" s="193"/>
      <c r="AG193" s="193"/>
      <c r="AH193" s="193"/>
      <c r="AI193" s="193"/>
      <c r="AJ193" s="193"/>
      <c r="AK193" s="193"/>
      <c r="AL193" s="193"/>
      <c r="AM193" s="193"/>
      <c r="AN193" s="193"/>
    </row>
    <row r="194" spans="1:40">
      <c r="A194" s="193"/>
      <c r="S194" s="250"/>
      <c r="T194" s="193"/>
      <c r="U194" s="193"/>
      <c r="V194" s="193"/>
      <c r="W194" s="193"/>
      <c r="X194" s="193"/>
      <c r="Y194" s="193"/>
      <c r="Z194" s="193"/>
      <c r="AA194" s="193"/>
      <c r="AB194" s="193"/>
      <c r="AC194" s="193"/>
      <c r="AD194" s="193"/>
      <c r="AE194" s="193"/>
      <c r="AF194" s="193"/>
      <c r="AG194" s="193"/>
      <c r="AH194" s="193"/>
      <c r="AI194" s="193"/>
      <c r="AJ194" s="193"/>
      <c r="AK194" s="193"/>
      <c r="AL194" s="193"/>
      <c r="AM194" s="193"/>
      <c r="AN194" s="193"/>
    </row>
    <row r="195" spans="1:40">
      <c r="A195" s="193"/>
      <c r="S195" s="250"/>
      <c r="T195" s="193"/>
      <c r="U195" s="193"/>
      <c r="V195" s="193"/>
      <c r="W195" s="193"/>
      <c r="X195" s="193"/>
      <c r="Y195" s="193"/>
      <c r="Z195" s="193"/>
      <c r="AA195" s="193"/>
      <c r="AB195" s="193"/>
      <c r="AC195" s="193"/>
      <c r="AD195" s="193"/>
      <c r="AE195" s="193"/>
      <c r="AF195" s="193"/>
      <c r="AG195" s="193"/>
      <c r="AH195" s="193"/>
      <c r="AI195" s="193"/>
      <c r="AJ195" s="193"/>
      <c r="AK195" s="193"/>
      <c r="AL195" s="193"/>
      <c r="AM195" s="193"/>
      <c r="AN195" s="193"/>
    </row>
    <row r="196" spans="1:40">
      <c r="A196" s="193"/>
      <c r="S196" s="250"/>
      <c r="T196" s="193"/>
      <c r="U196" s="193"/>
      <c r="V196" s="193"/>
      <c r="W196" s="193"/>
      <c r="X196" s="193"/>
      <c r="Y196" s="193"/>
      <c r="Z196" s="193"/>
      <c r="AA196" s="193"/>
      <c r="AB196" s="193"/>
      <c r="AC196" s="193"/>
      <c r="AD196" s="193"/>
      <c r="AE196" s="193"/>
      <c r="AF196" s="193"/>
      <c r="AG196" s="193"/>
      <c r="AH196" s="193"/>
      <c r="AI196" s="193"/>
      <c r="AJ196" s="193"/>
      <c r="AK196" s="193"/>
      <c r="AL196" s="193"/>
      <c r="AM196" s="193"/>
      <c r="AN196" s="193"/>
    </row>
    <row r="197" spans="1:40">
      <c r="A197" s="193"/>
      <c r="S197" s="250"/>
      <c r="T197" s="193"/>
      <c r="U197" s="193"/>
      <c r="V197" s="193"/>
      <c r="W197" s="193"/>
      <c r="X197" s="193"/>
      <c r="Y197" s="193"/>
      <c r="Z197" s="193"/>
      <c r="AA197" s="193"/>
      <c r="AB197" s="193"/>
      <c r="AC197" s="193"/>
      <c r="AD197" s="193"/>
      <c r="AE197" s="193"/>
      <c r="AF197" s="193"/>
      <c r="AG197" s="193"/>
      <c r="AH197" s="193"/>
      <c r="AI197" s="193"/>
      <c r="AJ197" s="193"/>
      <c r="AK197" s="193"/>
      <c r="AL197" s="193"/>
      <c r="AM197" s="193"/>
      <c r="AN197" s="193"/>
    </row>
    <row r="198" spans="1:40">
      <c r="A198" s="193"/>
      <c r="S198" s="250"/>
      <c r="T198" s="193"/>
      <c r="U198" s="193"/>
      <c r="V198" s="193"/>
      <c r="W198" s="193"/>
      <c r="X198" s="193"/>
      <c r="Y198" s="193"/>
      <c r="Z198" s="193"/>
      <c r="AA198" s="193"/>
      <c r="AB198" s="193"/>
      <c r="AC198" s="193"/>
      <c r="AD198" s="193"/>
      <c r="AE198" s="193"/>
      <c r="AF198" s="193"/>
      <c r="AG198" s="193"/>
      <c r="AH198" s="193"/>
      <c r="AI198" s="193"/>
      <c r="AJ198" s="193"/>
      <c r="AK198" s="193"/>
      <c r="AL198" s="193"/>
      <c r="AM198" s="193"/>
      <c r="AN198" s="193"/>
    </row>
    <row r="199" spans="1:40">
      <c r="A199" s="193"/>
      <c r="S199" s="250"/>
      <c r="T199" s="193"/>
      <c r="U199" s="193"/>
      <c r="V199" s="193"/>
      <c r="W199" s="193"/>
      <c r="X199" s="193"/>
      <c r="Y199" s="193"/>
      <c r="Z199" s="193"/>
      <c r="AA199" s="193"/>
      <c r="AB199" s="193"/>
      <c r="AC199" s="193"/>
      <c r="AD199" s="193"/>
      <c r="AE199" s="193"/>
      <c r="AF199" s="193"/>
      <c r="AG199" s="193"/>
      <c r="AH199" s="193"/>
      <c r="AI199" s="193"/>
      <c r="AJ199" s="193"/>
      <c r="AK199" s="193"/>
      <c r="AL199" s="193"/>
      <c r="AM199" s="193"/>
      <c r="AN199" s="193"/>
    </row>
    <row r="200" spans="1:40">
      <c r="A200" s="193"/>
      <c r="S200" s="250"/>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row>
    <row r="201" spans="1:40">
      <c r="A201" s="193"/>
      <c r="S201" s="250"/>
      <c r="T201" s="193"/>
      <c r="U201" s="193"/>
      <c r="V201" s="193"/>
      <c r="W201" s="193"/>
      <c r="X201" s="193"/>
      <c r="Y201" s="193"/>
      <c r="Z201" s="193"/>
      <c r="AA201" s="193"/>
      <c r="AB201" s="193"/>
      <c r="AC201" s="193"/>
      <c r="AD201" s="193"/>
      <c r="AE201" s="193"/>
      <c r="AF201" s="193"/>
      <c r="AG201" s="193"/>
      <c r="AH201" s="193"/>
      <c r="AI201" s="193"/>
      <c r="AJ201" s="193"/>
      <c r="AK201" s="193"/>
      <c r="AL201" s="193"/>
      <c r="AM201" s="193"/>
      <c r="AN201" s="193"/>
    </row>
    <row r="202" spans="1:40">
      <c r="A202" s="193"/>
      <c r="S202" s="250"/>
      <c r="T202" s="193"/>
      <c r="U202" s="193"/>
      <c r="V202" s="193"/>
      <c r="W202" s="193"/>
      <c r="X202" s="193"/>
      <c r="Y202" s="193"/>
      <c r="Z202" s="193"/>
      <c r="AA202" s="193"/>
      <c r="AB202" s="193"/>
      <c r="AC202" s="193"/>
      <c r="AD202" s="193"/>
      <c r="AE202" s="193"/>
      <c r="AF202" s="193"/>
      <c r="AG202" s="193"/>
      <c r="AH202" s="193"/>
      <c r="AI202" s="193"/>
      <c r="AJ202" s="193"/>
      <c r="AK202" s="193"/>
      <c r="AL202" s="193"/>
      <c r="AM202" s="193"/>
      <c r="AN202" s="193"/>
    </row>
    <row r="203" spans="1:40">
      <c r="A203" s="193"/>
      <c r="S203" s="250"/>
      <c r="T203" s="193"/>
      <c r="U203" s="193"/>
      <c r="V203" s="193"/>
      <c r="W203" s="193"/>
      <c r="X203" s="193"/>
      <c r="Y203" s="193"/>
      <c r="Z203" s="193"/>
      <c r="AA203" s="193"/>
      <c r="AB203" s="193"/>
      <c r="AC203" s="193"/>
      <c r="AD203" s="193"/>
      <c r="AE203" s="193"/>
      <c r="AF203" s="193"/>
      <c r="AG203" s="193"/>
      <c r="AH203" s="193"/>
      <c r="AI203" s="193"/>
      <c r="AJ203" s="193"/>
      <c r="AK203" s="193"/>
      <c r="AL203" s="193"/>
      <c r="AM203" s="193"/>
      <c r="AN203" s="193"/>
    </row>
    <row r="204" spans="1:40">
      <c r="A204" s="193"/>
      <c r="S204" s="250"/>
      <c r="T204" s="193"/>
      <c r="U204" s="193"/>
      <c r="V204" s="193"/>
      <c r="W204" s="193"/>
      <c r="X204" s="193"/>
      <c r="Y204" s="193"/>
      <c r="Z204" s="193"/>
      <c r="AA204" s="193"/>
      <c r="AB204" s="193"/>
      <c r="AC204" s="193"/>
      <c r="AD204" s="193"/>
      <c r="AE204" s="193"/>
      <c r="AF204" s="193"/>
      <c r="AG204" s="193"/>
      <c r="AH204" s="193"/>
      <c r="AI204" s="193"/>
      <c r="AJ204" s="193"/>
      <c r="AK204" s="193"/>
      <c r="AL204" s="193"/>
      <c r="AM204" s="193"/>
      <c r="AN204" s="193"/>
    </row>
    <row r="205" spans="1:40">
      <c r="A205" s="193"/>
      <c r="S205" s="250"/>
      <c r="T205" s="193"/>
      <c r="U205" s="193"/>
      <c r="V205" s="193"/>
      <c r="W205" s="193"/>
      <c r="X205" s="193"/>
      <c r="Y205" s="193"/>
      <c r="Z205" s="193"/>
      <c r="AA205" s="193"/>
      <c r="AB205" s="193"/>
      <c r="AC205" s="193"/>
      <c r="AD205" s="193"/>
      <c r="AE205" s="193"/>
      <c r="AF205" s="193"/>
      <c r="AG205" s="193"/>
      <c r="AH205" s="193"/>
      <c r="AI205" s="193"/>
      <c r="AJ205" s="193"/>
      <c r="AK205" s="193"/>
      <c r="AL205" s="193"/>
      <c r="AM205" s="193"/>
      <c r="AN205" s="193"/>
    </row>
  </sheetData>
  <sheetProtection algorithmName="SHA-512" hashValue="p+VPY9RD8la4q0T8YuGLCfVUfwRLvinMq5B3+gPghQFrwNC5Zyd9//P0pwDF06wek0a7XDwAop5MNb8TFOFUkw==" saltValue="P3SgGXUIeTHKvpeHXPFY7A==" spinCount="100000" sheet="1" selectLockedCells="1"/>
  <mergeCells count="2">
    <mergeCell ref="B2:O2"/>
    <mergeCell ref="G4:J4"/>
  </mergeCells>
  <conditionalFormatting sqref="G6:J35">
    <cfRule type="expression" dxfId="162" priority="1">
      <formula>$E6=""</formula>
    </cfRule>
  </conditionalFormatting>
  <dataValidations count="2">
    <dataValidation type="list" allowBlank="1" showInputMessage="1" showErrorMessage="1" sqref="G7:G35 G6" xr:uid="{8F523584-AFBA-4584-B422-4C8A10CA7942}">
      <formula1>List_EffWindow_Direction</formula1>
    </dataValidation>
    <dataValidation type="list" allowBlank="1" showInputMessage="1" showErrorMessage="1" sqref="E6:E35" xr:uid="{690A4897-E60B-44A3-95D0-DB9C586E4DCB}">
      <formula1>List_EffWindow_Measure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CB4-A43F-4ED1-977B-2A8AD658E279}">
  <sheetPr>
    <tabColor theme="4"/>
  </sheetPr>
  <dimension ref="A1:AM204"/>
  <sheetViews>
    <sheetView showGridLines="0" showRowColHeaders="0" workbookViewId="0">
      <selection activeCell="D5" sqref="D5"/>
    </sheetView>
  </sheetViews>
  <sheetFormatPr defaultColWidth="9.140625" defaultRowHeight="12.75" customHeight="1"/>
  <cols>
    <col min="1" max="1" width="2.140625" style="189" customWidth="1"/>
    <col min="2" max="2" width="5.28515625" style="189" customWidth="1"/>
    <col min="3" max="3" width="9.28515625" style="189" customWidth="1"/>
    <col min="4" max="4" width="17.42578125" style="189" customWidth="1"/>
    <col min="5" max="6" width="29.85546875" style="189" customWidth="1"/>
    <col min="7" max="7" width="11.5703125" style="189" customWidth="1"/>
    <col min="8" max="8" width="12.42578125" style="189" customWidth="1"/>
    <col min="9" max="9" width="9.85546875" style="189" customWidth="1"/>
    <col min="10" max="10" width="10" style="189" customWidth="1"/>
    <col min="11" max="11" width="11" style="189" customWidth="1"/>
    <col min="12" max="12" width="12" style="189" customWidth="1"/>
    <col min="13" max="13" width="11.85546875" style="189" customWidth="1"/>
    <col min="14" max="15" width="10.28515625" style="189" customWidth="1"/>
    <col min="16" max="16" width="13.42578125" style="189" customWidth="1"/>
    <col min="17" max="17" width="9.5703125" style="189" customWidth="1"/>
    <col min="18" max="16384" width="9.140625" style="189"/>
  </cols>
  <sheetData>
    <row r="1" spans="1:39" ht="52.5" customHeight="1"/>
    <row r="2" spans="1:39" s="209" customFormat="1" ht="37.5" customHeight="1">
      <c r="B2" s="307" t="s">
        <v>135</v>
      </c>
      <c r="C2" s="307"/>
      <c r="D2" s="307"/>
      <c r="E2" s="307"/>
      <c r="F2" s="307"/>
      <c r="G2" s="307"/>
      <c r="H2" s="307"/>
      <c r="I2" s="307"/>
      <c r="J2" s="307"/>
      <c r="K2" s="307"/>
      <c r="L2" s="307"/>
      <c r="M2" s="307"/>
      <c r="N2" s="307"/>
      <c r="O2" s="240"/>
      <c r="P2" s="240"/>
      <c r="Q2" s="240"/>
    </row>
    <row r="3" spans="1:39">
      <c r="A3" s="193"/>
      <c r="G3" s="312" t="s">
        <v>98</v>
      </c>
      <c r="H3" s="313"/>
      <c r="I3" s="314"/>
      <c r="J3" s="216" t="s">
        <v>99</v>
      </c>
      <c r="K3" s="236">
        <f>SUM(Table_Controls_Input22[Estimated Incentive])</f>
        <v>0</v>
      </c>
      <c r="L3" s="237">
        <f>SUM(Table_Controls_Input22[Energy savings (kWh)])</f>
        <v>0</v>
      </c>
      <c r="M3" s="238">
        <f>SUM(Table_Controls_Input22[Demand reduction (kW)])</f>
        <v>0</v>
      </c>
      <c r="N3" s="239">
        <f>SUM(Table_Controls_Input22[Cost savings])</f>
        <v>0</v>
      </c>
      <c r="O3" s="239">
        <f>SUM(Table_Controls_Input22[Gross measure cost])</f>
        <v>0</v>
      </c>
      <c r="P3" s="239">
        <f>SUM(Table_Controls_Input22[Net measure cost])</f>
        <v>0</v>
      </c>
      <c r="Q3" s="218" t="str">
        <f>IFERROR(P3/N3,"")</f>
        <v/>
      </c>
      <c r="R3" s="193"/>
      <c r="S3" s="193"/>
      <c r="T3" s="193"/>
      <c r="U3" s="193"/>
      <c r="V3" s="193"/>
      <c r="W3" s="193"/>
      <c r="X3" s="193"/>
      <c r="Y3" s="193"/>
      <c r="Z3" s="193"/>
      <c r="AA3" s="193"/>
      <c r="AB3" s="193"/>
      <c r="AC3" s="193"/>
      <c r="AD3" s="193"/>
      <c r="AE3" s="193"/>
      <c r="AF3" s="193"/>
      <c r="AG3" s="193"/>
      <c r="AH3" s="193"/>
      <c r="AI3" s="193"/>
      <c r="AJ3" s="193"/>
      <c r="AK3" s="193"/>
      <c r="AL3" s="193"/>
      <c r="AM3" s="193"/>
    </row>
    <row r="4" spans="1:39" s="194" customFormat="1" ht="38.25">
      <c r="A4" s="204"/>
      <c r="B4" s="230" t="s">
        <v>100</v>
      </c>
      <c r="C4" s="231" t="s">
        <v>101</v>
      </c>
      <c r="D4" s="232" t="s">
        <v>102</v>
      </c>
      <c r="E4" s="231" t="s">
        <v>136</v>
      </c>
      <c r="F4" s="233" t="s">
        <v>104</v>
      </c>
      <c r="G4" s="235" t="s">
        <v>125</v>
      </c>
      <c r="H4" s="235" t="s">
        <v>113</v>
      </c>
      <c r="I4" s="235" t="s">
        <v>114</v>
      </c>
      <c r="J4" s="233" t="s">
        <v>115</v>
      </c>
      <c r="K4" s="233" t="s">
        <v>137</v>
      </c>
      <c r="L4" s="233" t="s">
        <v>117</v>
      </c>
      <c r="M4" s="233" t="s">
        <v>118</v>
      </c>
      <c r="N4" s="233" t="s">
        <v>119</v>
      </c>
      <c r="O4" s="233" t="s">
        <v>120</v>
      </c>
      <c r="P4" s="233" t="s">
        <v>121</v>
      </c>
      <c r="Q4" s="233" t="s">
        <v>122</v>
      </c>
      <c r="R4" s="204"/>
      <c r="S4" s="204"/>
      <c r="T4" s="204"/>
      <c r="U4" s="204"/>
      <c r="V4" s="204"/>
      <c r="W4" s="204"/>
      <c r="X4" s="204"/>
      <c r="Y4" s="204"/>
      <c r="Z4" s="204"/>
      <c r="AA4" s="204"/>
      <c r="AB4" s="204"/>
      <c r="AC4" s="204"/>
      <c r="AD4" s="204"/>
      <c r="AE4" s="204"/>
      <c r="AF4" s="204"/>
      <c r="AG4" s="204"/>
      <c r="AH4" s="204"/>
      <c r="AI4" s="204"/>
      <c r="AJ4" s="204"/>
      <c r="AK4" s="204"/>
      <c r="AL4" s="204"/>
      <c r="AM4" s="204"/>
    </row>
    <row r="5" spans="1:39">
      <c r="A5" s="222"/>
      <c r="B5" s="223">
        <v>1</v>
      </c>
      <c r="C5" s="192" t="str">
        <f>IFERROR(INDEX(Table_Prescript_Meas[Measure Number], MATCH(E5, Table_Prescript_Meas[Measure Description], 0)), "")</f>
        <v/>
      </c>
      <c r="D5" s="252"/>
      <c r="E5" s="253"/>
      <c r="F5" s="192" t="str">
        <f>IFERROR(INDEX(Table_Prescript_Meas[Units], MATCH(Table_Controls_Input22[[#This Row],[Measure number]], Table_Prescript_Meas[Measure Number], 0)), "")</f>
        <v/>
      </c>
      <c r="G5" s="191"/>
      <c r="H5" s="226"/>
      <c r="I5" s="226"/>
      <c r="J5"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5" s="227" t="str">
        <f>IFERROR(Table_Controls_Input22[[#This Row],[Number of units]]*Table_Controls_Input22[[#This Row],[Per-unit incentive]], "")</f>
        <v/>
      </c>
      <c r="L5" s="228" t="str">
        <f>IFERROR(Table_Controls_Input22[[#This Row],[Number of units]]*INDEX(Table_Prescript_Meas[Deemed kWh Savings], MATCH(Table_Controls_Input22[[#This Row],[Measure number]], Table_Prescript_Meas[Measure Number], 0)),"" )</f>
        <v/>
      </c>
      <c r="M5" s="229" t="str">
        <f>IFERROR(Table_Controls_Input22[[#This Row],[Number of units]]*INDEX(Table_Prescript_Meas[Deemed kW Savings], MATCH(Table_Controls_Input22[[#This Row],[Measure number]], Table_Prescript_Meas[Measure Number], 0)),"" )</f>
        <v/>
      </c>
      <c r="N5" s="227" t="str">
        <f t="shared" ref="N5" si="0">IFERROR(L5*Input_AvgkWhRate, "")</f>
        <v/>
      </c>
      <c r="O5" s="227" t="str">
        <f>IF(Table_Controls_Input22[[#This Row],[Measure number]]="", "", Table_Controls_Input22[[#This Row],[Total equipment cost]]+Table_Controls_Input22[[#This Row],[Total labor cost]])</f>
        <v/>
      </c>
      <c r="P5" s="227" t="str">
        <f>IFERROR(Table_Controls_Input22[[#This Row],[Gross measure cost]]-Table_Controls_Input22[[#This Row],[Estimated Incentive]], "")</f>
        <v/>
      </c>
      <c r="Q5" s="228" t="str">
        <f t="shared" ref="Q5:Q34" si="1">IFERROR($P5/$N5,"")</f>
        <v/>
      </c>
      <c r="R5" s="222"/>
      <c r="S5" s="222"/>
      <c r="T5" s="222"/>
      <c r="U5" s="222"/>
      <c r="V5" s="222"/>
      <c r="W5" s="222"/>
      <c r="X5" s="222"/>
      <c r="Y5" s="222"/>
      <c r="Z5" s="222"/>
      <c r="AA5" s="222"/>
      <c r="AB5" s="222"/>
      <c r="AC5" s="222"/>
      <c r="AD5" s="222"/>
      <c r="AE5" s="222"/>
      <c r="AF5" s="222"/>
      <c r="AG5" s="222"/>
      <c r="AH5" s="222"/>
      <c r="AI5" s="222"/>
      <c r="AJ5" s="222"/>
      <c r="AK5" s="222"/>
      <c r="AL5" s="222"/>
      <c r="AM5" s="222"/>
    </row>
    <row r="6" spans="1:39">
      <c r="A6" s="222"/>
      <c r="B6" s="223">
        <v>2</v>
      </c>
      <c r="C6" s="192" t="str">
        <f>IFERROR(INDEX(Table_Prescript_Meas[Measure Number], MATCH(E6, Table_Prescript_Meas[Measure Description], 0)), "")</f>
        <v/>
      </c>
      <c r="D6" s="252"/>
      <c r="E6" s="253"/>
      <c r="F6" s="192" t="str">
        <f>IFERROR(INDEX(Table_Prescript_Meas[Units], MATCH(Table_Controls_Input22[[#This Row],[Measure number]], Table_Prescript_Meas[Measure Number], 0)), "")</f>
        <v/>
      </c>
      <c r="G6" s="191"/>
      <c r="H6" s="226"/>
      <c r="I6" s="226"/>
      <c r="J6"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6" s="227" t="str">
        <f>IFERROR(Table_Controls_Input22[[#This Row],[Number of units]]*Table_Controls_Input22[[#This Row],[Per-unit incentive]], "")</f>
        <v/>
      </c>
      <c r="L6" s="228" t="str">
        <f>IFERROR(Table_Controls_Input22[[#This Row],[Number of units]]*INDEX(Table_Prescript_Meas[Deemed kWh Savings], MATCH(Table_Controls_Input22[[#This Row],[Measure number]], Table_Prescript_Meas[Measure Number], 0)),"" )</f>
        <v/>
      </c>
      <c r="M6" s="229" t="str">
        <f>IFERROR(Table_Controls_Input22[[#This Row],[Number of units]]*INDEX(Table_Prescript_Meas[Deemed kW Savings], MATCH(Table_Controls_Input22[[#This Row],[Measure number]], Table_Prescript_Meas[Measure Number], 0)),"" )</f>
        <v/>
      </c>
      <c r="N6" s="227" t="str">
        <f t="shared" ref="N6:N34" si="2">IFERROR(L6*Input_AvgkWhRate, "")</f>
        <v/>
      </c>
      <c r="O6" s="227" t="str">
        <f>IF(Table_Controls_Input22[[#This Row],[Measure number]]="", "", Table_Controls_Input22[[#This Row],[Total equipment cost]]+Table_Controls_Input22[[#This Row],[Total labor cost]])</f>
        <v/>
      </c>
      <c r="P6" s="227" t="str">
        <f>IFERROR(Table_Controls_Input22[[#This Row],[Gross measure cost]]-Table_Controls_Input22[[#This Row],[Estimated Incentive]], "")</f>
        <v/>
      </c>
      <c r="Q6" s="228" t="str">
        <f t="shared" si="1"/>
        <v/>
      </c>
      <c r="R6" s="222"/>
      <c r="S6" s="222"/>
      <c r="T6" s="222"/>
      <c r="U6" s="222"/>
      <c r="V6" s="222"/>
      <c r="W6" s="222"/>
      <c r="X6" s="222"/>
      <c r="Y6" s="222"/>
      <c r="Z6" s="222"/>
      <c r="AA6" s="222"/>
      <c r="AB6" s="222"/>
      <c r="AC6" s="222"/>
      <c r="AD6" s="222"/>
      <c r="AE6" s="222"/>
      <c r="AF6" s="222"/>
      <c r="AG6" s="222"/>
      <c r="AH6" s="222"/>
      <c r="AI6" s="222"/>
      <c r="AJ6" s="222"/>
      <c r="AK6" s="222"/>
      <c r="AL6" s="222"/>
      <c r="AM6" s="222"/>
    </row>
    <row r="7" spans="1:39">
      <c r="A7" s="222"/>
      <c r="B7" s="223">
        <v>3</v>
      </c>
      <c r="C7" s="192" t="str">
        <f>IFERROR(INDEX(Table_Prescript_Meas[Measure Number], MATCH(E7, Table_Prescript_Meas[Measure Description], 0)), "")</f>
        <v/>
      </c>
      <c r="D7" s="252"/>
      <c r="E7" s="253"/>
      <c r="F7" s="192" t="str">
        <f>IFERROR(INDEX(Table_Prescript_Meas[Units], MATCH(Table_Controls_Input22[[#This Row],[Measure number]], Table_Prescript_Meas[Measure Number], 0)), "")</f>
        <v/>
      </c>
      <c r="G7" s="191"/>
      <c r="H7" s="226"/>
      <c r="I7" s="226"/>
      <c r="J7"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7" s="227" t="str">
        <f>IFERROR(Table_Controls_Input22[[#This Row],[Number of units]]*Table_Controls_Input22[[#This Row],[Per-unit incentive]], "")</f>
        <v/>
      </c>
      <c r="L7" s="228" t="str">
        <f>IFERROR(Table_Controls_Input22[[#This Row],[Number of units]]*INDEX(Table_Prescript_Meas[Deemed kWh Savings], MATCH(Table_Controls_Input22[[#This Row],[Measure number]], Table_Prescript_Meas[Measure Number], 0)),"" )</f>
        <v/>
      </c>
      <c r="M7" s="229" t="str">
        <f>IFERROR(Table_Controls_Input22[[#This Row],[Number of units]]*INDEX(Table_Prescript_Meas[Deemed kW Savings], MATCH(Table_Controls_Input22[[#This Row],[Measure number]], Table_Prescript_Meas[Measure Number], 0)),"" )</f>
        <v/>
      </c>
      <c r="N7" s="227" t="str">
        <f t="shared" si="2"/>
        <v/>
      </c>
      <c r="O7" s="227" t="str">
        <f>IF(Table_Controls_Input22[[#This Row],[Measure number]]="", "", Table_Controls_Input22[[#This Row],[Total equipment cost]]+Table_Controls_Input22[[#This Row],[Total labor cost]])</f>
        <v/>
      </c>
      <c r="P7" s="227" t="str">
        <f>IFERROR(Table_Controls_Input22[[#This Row],[Gross measure cost]]-Table_Controls_Input22[[#This Row],[Estimated Incentive]], "")</f>
        <v/>
      </c>
      <c r="Q7" s="228" t="str">
        <f t="shared" si="1"/>
        <v/>
      </c>
      <c r="R7" s="222"/>
      <c r="S7" s="222"/>
      <c r="T7" s="222"/>
      <c r="U7" s="222"/>
      <c r="V7" s="222"/>
      <c r="W7" s="222"/>
      <c r="X7" s="222"/>
      <c r="Y7" s="222"/>
      <c r="Z7" s="222"/>
      <c r="AA7" s="222"/>
      <c r="AB7" s="222"/>
      <c r="AC7" s="222"/>
      <c r="AD7" s="222"/>
      <c r="AE7" s="222"/>
      <c r="AF7" s="222"/>
      <c r="AG7" s="222"/>
      <c r="AH7" s="222"/>
      <c r="AI7" s="222"/>
      <c r="AJ7" s="222"/>
      <c r="AK7" s="222"/>
      <c r="AL7" s="222"/>
      <c r="AM7" s="222"/>
    </row>
    <row r="8" spans="1:39">
      <c r="A8" s="222"/>
      <c r="B8" s="223">
        <v>4</v>
      </c>
      <c r="C8" s="192" t="str">
        <f>IFERROR(INDEX(Table_Prescript_Meas[Measure Number], MATCH(E8, Table_Prescript_Meas[Measure Description], 0)), "")</f>
        <v/>
      </c>
      <c r="D8" s="252"/>
      <c r="E8" s="253"/>
      <c r="F8" s="192" t="str">
        <f>IFERROR(INDEX(Table_Prescript_Meas[Units], MATCH(Table_Controls_Input22[[#This Row],[Measure number]], Table_Prescript_Meas[Measure Number], 0)), "")</f>
        <v/>
      </c>
      <c r="G8" s="191"/>
      <c r="H8" s="226"/>
      <c r="I8" s="226"/>
      <c r="J8"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8" s="227" t="str">
        <f>IFERROR(Table_Controls_Input22[[#This Row],[Number of units]]*Table_Controls_Input22[[#This Row],[Per-unit incentive]], "")</f>
        <v/>
      </c>
      <c r="L8" s="228" t="str">
        <f>IFERROR(Table_Controls_Input22[[#This Row],[Number of units]]*INDEX(Table_Prescript_Meas[Deemed kWh Savings], MATCH(Table_Controls_Input22[[#This Row],[Measure number]], Table_Prescript_Meas[Measure Number], 0)),"" )</f>
        <v/>
      </c>
      <c r="M8" s="229" t="str">
        <f>IFERROR(Table_Controls_Input22[[#This Row],[Number of units]]*INDEX(Table_Prescript_Meas[Deemed kW Savings], MATCH(Table_Controls_Input22[[#This Row],[Measure number]], Table_Prescript_Meas[Measure Number], 0)),"" )</f>
        <v/>
      </c>
      <c r="N8" s="227" t="str">
        <f t="shared" si="2"/>
        <v/>
      </c>
      <c r="O8" s="227" t="str">
        <f>IF(Table_Controls_Input22[[#This Row],[Measure number]]="", "", Table_Controls_Input22[[#This Row],[Total equipment cost]]+Table_Controls_Input22[[#This Row],[Total labor cost]])</f>
        <v/>
      </c>
      <c r="P8" s="227" t="str">
        <f>IFERROR(Table_Controls_Input22[[#This Row],[Gross measure cost]]-Table_Controls_Input22[[#This Row],[Estimated Incentive]], "")</f>
        <v/>
      </c>
      <c r="Q8" s="228" t="str">
        <f t="shared" si="1"/>
        <v/>
      </c>
      <c r="R8" s="222"/>
      <c r="S8" s="222"/>
      <c r="T8" s="222"/>
      <c r="U8" s="222"/>
      <c r="V8" s="222"/>
      <c r="W8" s="222"/>
      <c r="X8" s="222"/>
      <c r="Y8" s="222"/>
      <c r="Z8" s="222"/>
      <c r="AA8" s="222"/>
      <c r="AB8" s="222"/>
      <c r="AC8" s="222"/>
      <c r="AD8" s="222"/>
      <c r="AE8" s="222"/>
      <c r="AF8" s="222"/>
      <c r="AG8" s="222"/>
      <c r="AH8" s="222"/>
      <c r="AI8" s="222"/>
      <c r="AJ8" s="222"/>
      <c r="AK8" s="222"/>
      <c r="AL8" s="222"/>
      <c r="AM8" s="222"/>
    </row>
    <row r="9" spans="1:39">
      <c r="A9" s="222"/>
      <c r="B9" s="223">
        <v>5</v>
      </c>
      <c r="C9" s="192" t="str">
        <f>IFERROR(INDEX(Table_Prescript_Meas[Measure Number], MATCH(E9, Table_Prescript_Meas[Measure Description], 0)), "")</f>
        <v/>
      </c>
      <c r="D9" s="252"/>
      <c r="E9" s="253"/>
      <c r="F9" s="192" t="str">
        <f>IFERROR(INDEX(Table_Prescript_Meas[Units], MATCH(Table_Controls_Input22[[#This Row],[Measure number]], Table_Prescript_Meas[Measure Number], 0)), "")</f>
        <v/>
      </c>
      <c r="G9" s="191"/>
      <c r="H9" s="226"/>
      <c r="I9" s="226"/>
      <c r="J9"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9" s="227" t="str">
        <f>IFERROR(Table_Controls_Input22[[#This Row],[Number of units]]*Table_Controls_Input22[[#This Row],[Per-unit incentive]], "")</f>
        <v/>
      </c>
      <c r="L9" s="228" t="str">
        <f>IFERROR(Table_Controls_Input22[[#This Row],[Number of units]]*INDEX(Table_Prescript_Meas[Deemed kWh Savings], MATCH(Table_Controls_Input22[[#This Row],[Measure number]], Table_Prescript_Meas[Measure Number], 0)),"" )</f>
        <v/>
      </c>
      <c r="M9" s="229" t="str">
        <f>IFERROR(Table_Controls_Input22[[#This Row],[Number of units]]*INDEX(Table_Prescript_Meas[Deemed kW Savings], MATCH(Table_Controls_Input22[[#This Row],[Measure number]], Table_Prescript_Meas[Measure Number], 0)),"" )</f>
        <v/>
      </c>
      <c r="N9" s="227" t="str">
        <f t="shared" si="2"/>
        <v/>
      </c>
      <c r="O9" s="227" t="str">
        <f>IF(Table_Controls_Input22[[#This Row],[Measure number]]="", "", Table_Controls_Input22[[#This Row],[Total equipment cost]]+Table_Controls_Input22[[#This Row],[Total labor cost]])</f>
        <v/>
      </c>
      <c r="P9" s="227" t="str">
        <f>IFERROR(Table_Controls_Input22[[#This Row],[Gross measure cost]]-Table_Controls_Input22[[#This Row],[Estimated Incentive]], "")</f>
        <v/>
      </c>
      <c r="Q9" s="228" t="str">
        <f t="shared" si="1"/>
        <v/>
      </c>
      <c r="R9" s="222"/>
      <c r="S9" s="222"/>
      <c r="T9" s="222"/>
      <c r="U9" s="222"/>
      <c r="V9" s="222"/>
      <c r="W9" s="222"/>
      <c r="X9" s="222"/>
      <c r="Y9" s="222"/>
      <c r="Z9" s="222"/>
      <c r="AA9" s="222"/>
      <c r="AB9" s="222"/>
      <c r="AC9" s="222"/>
      <c r="AD9" s="222"/>
      <c r="AE9" s="222"/>
      <c r="AF9" s="222"/>
      <c r="AG9" s="222"/>
      <c r="AH9" s="222"/>
      <c r="AI9" s="222"/>
      <c r="AJ9" s="222"/>
      <c r="AK9" s="222"/>
      <c r="AL9" s="222"/>
      <c r="AM9" s="222"/>
    </row>
    <row r="10" spans="1:39">
      <c r="A10" s="222"/>
      <c r="B10" s="223">
        <v>6</v>
      </c>
      <c r="C10" s="192" t="str">
        <f>IFERROR(INDEX(Table_Prescript_Meas[Measure Number], MATCH(E10, Table_Prescript_Meas[Measure Description], 0)), "")</f>
        <v/>
      </c>
      <c r="D10" s="252"/>
      <c r="E10" s="253"/>
      <c r="F10" s="192" t="str">
        <f>IFERROR(INDEX(Table_Prescript_Meas[Units], MATCH(Table_Controls_Input22[[#This Row],[Measure number]], Table_Prescript_Meas[Measure Number], 0)), "")</f>
        <v/>
      </c>
      <c r="G10" s="191"/>
      <c r="H10" s="226"/>
      <c r="I10" s="226"/>
      <c r="J10"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0" s="227" t="str">
        <f>IFERROR(Table_Controls_Input22[[#This Row],[Number of units]]*Table_Controls_Input22[[#This Row],[Per-unit incentive]], "")</f>
        <v/>
      </c>
      <c r="L10" s="228" t="str">
        <f>IFERROR(Table_Controls_Input22[[#This Row],[Number of units]]*INDEX(Table_Prescript_Meas[Deemed kWh Savings], MATCH(Table_Controls_Input22[[#This Row],[Measure number]], Table_Prescript_Meas[Measure Number], 0)),"" )</f>
        <v/>
      </c>
      <c r="M10" s="229" t="str">
        <f>IFERROR(Table_Controls_Input22[[#This Row],[Number of units]]*INDEX(Table_Prescript_Meas[Deemed kW Savings], MATCH(Table_Controls_Input22[[#This Row],[Measure number]], Table_Prescript_Meas[Measure Number], 0)),"" )</f>
        <v/>
      </c>
      <c r="N10" s="227" t="str">
        <f t="shared" si="2"/>
        <v/>
      </c>
      <c r="O10" s="227" t="str">
        <f>IF(Table_Controls_Input22[[#This Row],[Measure number]]="", "", Table_Controls_Input22[[#This Row],[Total equipment cost]]+Table_Controls_Input22[[#This Row],[Total labor cost]])</f>
        <v/>
      </c>
      <c r="P10" s="227" t="str">
        <f>IFERROR(Table_Controls_Input22[[#This Row],[Gross measure cost]]-Table_Controls_Input22[[#This Row],[Estimated Incentive]], "")</f>
        <v/>
      </c>
      <c r="Q10" s="228" t="str">
        <f t="shared" si="1"/>
        <v/>
      </c>
      <c r="R10" s="222"/>
      <c r="S10" s="222"/>
      <c r="T10" s="222"/>
      <c r="U10" s="222"/>
      <c r="V10" s="222"/>
      <c r="W10" s="222"/>
      <c r="X10" s="222"/>
      <c r="Y10" s="222"/>
      <c r="Z10" s="222"/>
      <c r="AA10" s="222"/>
      <c r="AB10" s="222"/>
      <c r="AC10" s="222"/>
      <c r="AD10" s="222"/>
      <c r="AE10" s="222"/>
      <c r="AF10" s="222"/>
      <c r="AG10" s="222"/>
      <c r="AH10" s="222"/>
      <c r="AI10" s="222"/>
      <c r="AJ10" s="222"/>
      <c r="AK10" s="222"/>
      <c r="AL10" s="222"/>
      <c r="AM10" s="222"/>
    </row>
    <row r="11" spans="1:39">
      <c r="A11" s="222"/>
      <c r="B11" s="223">
        <v>7</v>
      </c>
      <c r="C11" s="192" t="str">
        <f>IFERROR(INDEX(Table_Prescript_Meas[Measure Number], MATCH(E11, Table_Prescript_Meas[Measure Description], 0)), "")</f>
        <v/>
      </c>
      <c r="D11" s="252"/>
      <c r="E11" s="253"/>
      <c r="F11" s="192" t="str">
        <f>IFERROR(INDEX(Table_Prescript_Meas[Units], MATCH(Table_Controls_Input22[[#This Row],[Measure number]], Table_Prescript_Meas[Measure Number], 0)), "")</f>
        <v/>
      </c>
      <c r="G11" s="191"/>
      <c r="H11" s="226"/>
      <c r="I11" s="226"/>
      <c r="J11"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1" s="227" t="str">
        <f>IFERROR(Table_Controls_Input22[[#This Row],[Number of units]]*Table_Controls_Input22[[#This Row],[Per-unit incentive]], "")</f>
        <v/>
      </c>
      <c r="L11" s="228" t="str">
        <f>IFERROR(Table_Controls_Input22[[#This Row],[Number of units]]*INDEX(Table_Prescript_Meas[Deemed kWh Savings], MATCH(Table_Controls_Input22[[#This Row],[Measure number]], Table_Prescript_Meas[Measure Number], 0)),"" )</f>
        <v/>
      </c>
      <c r="M11" s="229" t="str">
        <f>IFERROR(Table_Controls_Input22[[#This Row],[Number of units]]*INDEX(Table_Prescript_Meas[Deemed kW Savings], MATCH(Table_Controls_Input22[[#This Row],[Measure number]], Table_Prescript_Meas[Measure Number], 0)),"" )</f>
        <v/>
      </c>
      <c r="N11" s="227" t="str">
        <f t="shared" si="2"/>
        <v/>
      </c>
      <c r="O11" s="227" t="str">
        <f>IF(Table_Controls_Input22[[#This Row],[Measure number]]="", "", Table_Controls_Input22[[#This Row],[Total equipment cost]]+Table_Controls_Input22[[#This Row],[Total labor cost]])</f>
        <v/>
      </c>
      <c r="P11" s="227" t="str">
        <f>IFERROR(Table_Controls_Input22[[#This Row],[Gross measure cost]]-Table_Controls_Input22[[#This Row],[Estimated Incentive]], "")</f>
        <v/>
      </c>
      <c r="Q11" s="228" t="str">
        <f t="shared" si="1"/>
        <v/>
      </c>
      <c r="R11" s="222"/>
      <c r="S11" s="222"/>
      <c r="T11" s="222"/>
      <c r="U11" s="222"/>
      <c r="V11" s="222"/>
      <c r="W11" s="222"/>
      <c r="X11" s="222"/>
      <c r="Y11" s="222"/>
      <c r="Z11" s="222"/>
      <c r="AA11" s="222"/>
      <c r="AB11" s="222"/>
      <c r="AC11" s="222"/>
      <c r="AD11" s="222"/>
      <c r="AE11" s="222"/>
      <c r="AF11" s="222"/>
      <c r="AG11" s="222"/>
      <c r="AH11" s="222"/>
      <c r="AI11" s="222"/>
      <c r="AJ11" s="222"/>
      <c r="AK11" s="222"/>
      <c r="AL11" s="222"/>
      <c r="AM11" s="222"/>
    </row>
    <row r="12" spans="1:39">
      <c r="A12" s="222"/>
      <c r="B12" s="223">
        <v>8</v>
      </c>
      <c r="C12" s="192" t="str">
        <f>IFERROR(INDEX(Table_Prescript_Meas[Measure Number], MATCH(E12, Table_Prescript_Meas[Measure Description], 0)), "")</f>
        <v/>
      </c>
      <c r="D12" s="252"/>
      <c r="E12" s="253"/>
      <c r="F12" s="192" t="str">
        <f>IFERROR(INDEX(Table_Prescript_Meas[Units], MATCH(Table_Controls_Input22[[#This Row],[Measure number]], Table_Prescript_Meas[Measure Number], 0)), "")</f>
        <v/>
      </c>
      <c r="G12" s="191"/>
      <c r="H12" s="226"/>
      <c r="I12" s="226"/>
      <c r="J12"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2" s="227" t="str">
        <f>IFERROR(Table_Controls_Input22[[#This Row],[Number of units]]*Table_Controls_Input22[[#This Row],[Per-unit incentive]], "")</f>
        <v/>
      </c>
      <c r="L12" s="228" t="str">
        <f>IFERROR(Table_Controls_Input22[[#This Row],[Number of units]]*INDEX(Table_Prescript_Meas[Deemed kWh Savings], MATCH(Table_Controls_Input22[[#This Row],[Measure number]], Table_Prescript_Meas[Measure Number], 0)),"" )</f>
        <v/>
      </c>
      <c r="M12" s="229" t="str">
        <f>IFERROR(Table_Controls_Input22[[#This Row],[Number of units]]*INDEX(Table_Prescript_Meas[Deemed kW Savings], MATCH(Table_Controls_Input22[[#This Row],[Measure number]], Table_Prescript_Meas[Measure Number], 0)),"" )</f>
        <v/>
      </c>
      <c r="N12" s="227" t="str">
        <f t="shared" si="2"/>
        <v/>
      </c>
      <c r="O12" s="227" t="str">
        <f>IF(Table_Controls_Input22[[#This Row],[Measure number]]="", "", Table_Controls_Input22[[#This Row],[Total equipment cost]]+Table_Controls_Input22[[#This Row],[Total labor cost]])</f>
        <v/>
      </c>
      <c r="P12" s="227" t="str">
        <f>IFERROR(Table_Controls_Input22[[#This Row],[Gross measure cost]]-Table_Controls_Input22[[#This Row],[Estimated Incentive]], "")</f>
        <v/>
      </c>
      <c r="Q12" s="228" t="str">
        <f t="shared" si="1"/>
        <v/>
      </c>
      <c r="R12" s="222"/>
      <c r="S12" s="222"/>
      <c r="T12" s="222"/>
      <c r="U12" s="222"/>
      <c r="V12" s="222"/>
      <c r="W12" s="222"/>
      <c r="X12" s="222"/>
      <c r="Y12" s="222"/>
      <c r="Z12" s="222"/>
      <c r="AA12" s="222"/>
      <c r="AB12" s="222"/>
      <c r="AC12" s="222"/>
      <c r="AD12" s="222"/>
      <c r="AE12" s="222"/>
      <c r="AF12" s="222"/>
      <c r="AG12" s="222"/>
      <c r="AH12" s="222"/>
      <c r="AI12" s="222"/>
      <c r="AJ12" s="222"/>
      <c r="AK12" s="222"/>
      <c r="AL12" s="222"/>
      <c r="AM12" s="222"/>
    </row>
    <row r="13" spans="1:39">
      <c r="A13" s="222"/>
      <c r="B13" s="223">
        <v>9</v>
      </c>
      <c r="C13" s="192" t="str">
        <f>IFERROR(INDEX(Table_Prescript_Meas[Measure Number], MATCH(E13, Table_Prescript_Meas[Measure Description], 0)), "")</f>
        <v/>
      </c>
      <c r="D13" s="252"/>
      <c r="E13" s="253"/>
      <c r="F13" s="192" t="str">
        <f>IFERROR(INDEX(Table_Prescript_Meas[Units], MATCH(Table_Controls_Input22[[#This Row],[Measure number]], Table_Prescript_Meas[Measure Number], 0)), "")</f>
        <v/>
      </c>
      <c r="G13" s="191"/>
      <c r="H13" s="226"/>
      <c r="I13" s="226"/>
      <c r="J13"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3" s="227" t="str">
        <f>IFERROR(Table_Controls_Input22[[#This Row],[Number of units]]*Table_Controls_Input22[[#This Row],[Per-unit incentive]], "")</f>
        <v/>
      </c>
      <c r="L13" s="228" t="str">
        <f>IFERROR(Table_Controls_Input22[[#This Row],[Number of units]]*INDEX(Table_Prescript_Meas[Deemed kWh Savings], MATCH(Table_Controls_Input22[[#This Row],[Measure number]], Table_Prescript_Meas[Measure Number], 0)),"" )</f>
        <v/>
      </c>
      <c r="M13" s="229" t="str">
        <f>IFERROR(Table_Controls_Input22[[#This Row],[Number of units]]*INDEX(Table_Prescript_Meas[Deemed kW Savings], MATCH(Table_Controls_Input22[[#This Row],[Measure number]], Table_Prescript_Meas[Measure Number], 0)),"" )</f>
        <v/>
      </c>
      <c r="N13" s="227" t="str">
        <f t="shared" si="2"/>
        <v/>
      </c>
      <c r="O13" s="227" t="str">
        <f>IF(Table_Controls_Input22[[#This Row],[Measure number]]="", "", Table_Controls_Input22[[#This Row],[Total equipment cost]]+Table_Controls_Input22[[#This Row],[Total labor cost]])</f>
        <v/>
      </c>
      <c r="P13" s="227" t="str">
        <f>IFERROR(Table_Controls_Input22[[#This Row],[Gross measure cost]]-Table_Controls_Input22[[#This Row],[Estimated Incentive]], "")</f>
        <v/>
      </c>
      <c r="Q13" s="228" t="str">
        <f t="shared" si="1"/>
        <v/>
      </c>
      <c r="R13" s="222"/>
      <c r="S13" s="222"/>
      <c r="T13" s="222"/>
      <c r="U13" s="222"/>
      <c r="V13" s="222"/>
      <c r="W13" s="222"/>
      <c r="X13" s="222"/>
      <c r="Y13" s="222"/>
      <c r="Z13" s="222"/>
      <c r="AA13" s="222"/>
      <c r="AB13" s="222"/>
      <c r="AC13" s="222"/>
      <c r="AD13" s="222"/>
      <c r="AE13" s="222"/>
      <c r="AF13" s="222"/>
      <c r="AG13" s="222"/>
      <c r="AH13" s="222"/>
      <c r="AI13" s="222"/>
      <c r="AJ13" s="222"/>
      <c r="AK13" s="222"/>
      <c r="AL13" s="222"/>
      <c r="AM13" s="222"/>
    </row>
    <row r="14" spans="1:39">
      <c r="A14" s="222"/>
      <c r="B14" s="223">
        <v>10</v>
      </c>
      <c r="C14" s="192" t="str">
        <f>IFERROR(INDEX(Table_Prescript_Meas[Measure Number], MATCH(E14, Table_Prescript_Meas[Measure Description], 0)), "")</f>
        <v/>
      </c>
      <c r="D14" s="252"/>
      <c r="E14" s="253"/>
      <c r="F14" s="192" t="str">
        <f>IFERROR(INDEX(Table_Prescript_Meas[Units], MATCH(Table_Controls_Input22[[#This Row],[Measure number]], Table_Prescript_Meas[Measure Number], 0)), "")</f>
        <v/>
      </c>
      <c r="G14" s="191"/>
      <c r="H14" s="226"/>
      <c r="I14" s="226"/>
      <c r="J14"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4" s="227" t="str">
        <f>IFERROR(Table_Controls_Input22[[#This Row],[Number of units]]*Table_Controls_Input22[[#This Row],[Per-unit incentive]], "")</f>
        <v/>
      </c>
      <c r="L14" s="228" t="str">
        <f>IFERROR(Table_Controls_Input22[[#This Row],[Number of units]]*INDEX(Table_Prescript_Meas[Deemed kWh Savings], MATCH(Table_Controls_Input22[[#This Row],[Measure number]], Table_Prescript_Meas[Measure Number], 0)),"" )</f>
        <v/>
      </c>
      <c r="M14" s="229" t="str">
        <f>IFERROR(Table_Controls_Input22[[#This Row],[Number of units]]*INDEX(Table_Prescript_Meas[Deemed kW Savings], MATCH(Table_Controls_Input22[[#This Row],[Measure number]], Table_Prescript_Meas[Measure Number], 0)),"" )</f>
        <v/>
      </c>
      <c r="N14" s="227" t="str">
        <f t="shared" si="2"/>
        <v/>
      </c>
      <c r="O14" s="227" t="str">
        <f>IF(Table_Controls_Input22[[#This Row],[Measure number]]="", "", Table_Controls_Input22[[#This Row],[Total equipment cost]]+Table_Controls_Input22[[#This Row],[Total labor cost]])</f>
        <v/>
      </c>
      <c r="P14" s="227" t="str">
        <f>IFERROR(Table_Controls_Input22[[#This Row],[Gross measure cost]]-Table_Controls_Input22[[#This Row],[Estimated Incentive]], "")</f>
        <v/>
      </c>
      <c r="Q14" s="228" t="str">
        <f t="shared" si="1"/>
        <v/>
      </c>
      <c r="R14" s="222"/>
      <c r="S14" s="222"/>
      <c r="T14" s="222"/>
      <c r="U14" s="222"/>
      <c r="V14" s="222"/>
      <c r="W14" s="222"/>
      <c r="X14" s="222"/>
      <c r="Y14" s="222"/>
      <c r="Z14" s="222"/>
      <c r="AA14" s="222"/>
      <c r="AB14" s="222"/>
      <c r="AC14" s="222"/>
      <c r="AD14" s="222"/>
      <c r="AE14" s="222"/>
      <c r="AF14" s="222"/>
      <c r="AG14" s="222"/>
      <c r="AH14" s="222"/>
      <c r="AI14" s="222"/>
      <c r="AJ14" s="222"/>
      <c r="AK14" s="222"/>
      <c r="AL14" s="222"/>
      <c r="AM14" s="222"/>
    </row>
    <row r="15" spans="1:39">
      <c r="A15" s="222"/>
      <c r="B15" s="223">
        <v>11</v>
      </c>
      <c r="C15" s="192" t="str">
        <f>IFERROR(INDEX(Table_Prescript_Meas[Measure Number], MATCH(E15, Table_Prescript_Meas[Measure Description], 0)), "")</f>
        <v/>
      </c>
      <c r="D15" s="252"/>
      <c r="E15" s="253"/>
      <c r="F15" s="192" t="str">
        <f>IFERROR(INDEX(Table_Prescript_Meas[Units], MATCH(Table_Controls_Input22[[#This Row],[Measure number]], Table_Prescript_Meas[Measure Number], 0)), "")</f>
        <v/>
      </c>
      <c r="G15" s="191"/>
      <c r="H15" s="226"/>
      <c r="I15" s="226"/>
      <c r="J15"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5" s="227" t="str">
        <f>IFERROR(Table_Controls_Input22[[#This Row],[Number of units]]*Table_Controls_Input22[[#This Row],[Per-unit incentive]], "")</f>
        <v/>
      </c>
      <c r="L15" s="228" t="str">
        <f>IFERROR(Table_Controls_Input22[[#This Row],[Number of units]]*INDEX(Table_Prescript_Meas[Deemed kWh Savings], MATCH(Table_Controls_Input22[[#This Row],[Measure number]], Table_Prescript_Meas[Measure Number], 0)),"" )</f>
        <v/>
      </c>
      <c r="M15" s="229" t="str">
        <f>IFERROR(Table_Controls_Input22[[#This Row],[Number of units]]*INDEX(Table_Prescript_Meas[Deemed kW Savings], MATCH(Table_Controls_Input22[[#This Row],[Measure number]], Table_Prescript_Meas[Measure Number], 0)),"" )</f>
        <v/>
      </c>
      <c r="N15" s="227" t="str">
        <f t="shared" si="2"/>
        <v/>
      </c>
      <c r="O15" s="227" t="str">
        <f>IF(Table_Controls_Input22[[#This Row],[Measure number]]="", "", Table_Controls_Input22[[#This Row],[Total equipment cost]]+Table_Controls_Input22[[#This Row],[Total labor cost]])</f>
        <v/>
      </c>
      <c r="P15" s="227" t="str">
        <f>IFERROR(Table_Controls_Input22[[#This Row],[Gross measure cost]]-Table_Controls_Input22[[#This Row],[Estimated Incentive]], "")</f>
        <v/>
      </c>
      <c r="Q15" s="228" t="str">
        <f t="shared" si="1"/>
        <v/>
      </c>
      <c r="R15" s="222"/>
      <c r="S15" s="222"/>
      <c r="T15" s="222"/>
      <c r="U15" s="222"/>
      <c r="V15" s="222"/>
      <c r="W15" s="222"/>
      <c r="X15" s="222"/>
      <c r="Y15" s="222"/>
      <c r="Z15" s="222"/>
      <c r="AA15" s="222"/>
      <c r="AB15" s="222"/>
      <c r="AC15" s="222"/>
      <c r="AD15" s="222"/>
      <c r="AE15" s="222"/>
      <c r="AF15" s="222"/>
      <c r="AG15" s="222"/>
      <c r="AH15" s="222"/>
      <c r="AI15" s="222"/>
      <c r="AJ15" s="222"/>
      <c r="AK15" s="222"/>
      <c r="AL15" s="222"/>
      <c r="AM15" s="222"/>
    </row>
    <row r="16" spans="1:39">
      <c r="A16" s="222"/>
      <c r="B16" s="223">
        <v>12</v>
      </c>
      <c r="C16" s="192" t="str">
        <f>IFERROR(INDEX(Table_Prescript_Meas[Measure Number], MATCH(E16, Table_Prescript_Meas[Measure Description], 0)), "")</f>
        <v/>
      </c>
      <c r="D16" s="252"/>
      <c r="E16" s="253"/>
      <c r="F16" s="192" t="str">
        <f>IFERROR(INDEX(Table_Prescript_Meas[Units], MATCH(Table_Controls_Input22[[#This Row],[Measure number]], Table_Prescript_Meas[Measure Number], 0)), "")</f>
        <v/>
      </c>
      <c r="G16" s="191"/>
      <c r="H16" s="226"/>
      <c r="I16" s="226"/>
      <c r="J16"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6" s="227" t="str">
        <f>IFERROR(Table_Controls_Input22[[#This Row],[Number of units]]*Table_Controls_Input22[[#This Row],[Per-unit incentive]], "")</f>
        <v/>
      </c>
      <c r="L16" s="228" t="str">
        <f>IFERROR(Table_Controls_Input22[[#This Row],[Number of units]]*INDEX(Table_Prescript_Meas[Deemed kWh Savings], MATCH(Table_Controls_Input22[[#This Row],[Measure number]], Table_Prescript_Meas[Measure Number], 0)),"" )</f>
        <v/>
      </c>
      <c r="M16" s="229" t="str">
        <f>IFERROR(Table_Controls_Input22[[#This Row],[Number of units]]*INDEX(Table_Prescript_Meas[Deemed kW Savings], MATCH(Table_Controls_Input22[[#This Row],[Measure number]], Table_Prescript_Meas[Measure Number], 0)),"" )</f>
        <v/>
      </c>
      <c r="N16" s="227" t="str">
        <f t="shared" si="2"/>
        <v/>
      </c>
      <c r="O16" s="227" t="str">
        <f>IF(Table_Controls_Input22[[#This Row],[Measure number]]="", "", Table_Controls_Input22[[#This Row],[Total equipment cost]]+Table_Controls_Input22[[#This Row],[Total labor cost]])</f>
        <v/>
      </c>
      <c r="P16" s="227" t="str">
        <f>IFERROR(Table_Controls_Input22[[#This Row],[Gross measure cost]]-Table_Controls_Input22[[#This Row],[Estimated Incentive]], "")</f>
        <v/>
      </c>
      <c r="Q16" s="228" t="str">
        <f t="shared" si="1"/>
        <v/>
      </c>
      <c r="R16" s="222"/>
      <c r="S16" s="222"/>
      <c r="T16" s="222"/>
      <c r="U16" s="222"/>
      <c r="V16" s="222"/>
      <c r="W16" s="222"/>
      <c r="X16" s="222"/>
      <c r="Y16" s="222"/>
      <c r="Z16" s="222"/>
      <c r="AA16" s="222"/>
      <c r="AB16" s="222"/>
      <c r="AC16" s="222"/>
      <c r="AD16" s="222"/>
      <c r="AE16" s="222"/>
      <c r="AF16" s="222"/>
      <c r="AG16" s="222"/>
      <c r="AH16" s="222"/>
      <c r="AI16" s="222"/>
      <c r="AJ16" s="222"/>
      <c r="AK16" s="222"/>
      <c r="AL16" s="222"/>
      <c r="AM16" s="222"/>
    </row>
    <row r="17" spans="1:39">
      <c r="A17" s="222"/>
      <c r="B17" s="223">
        <v>13</v>
      </c>
      <c r="C17" s="192" t="str">
        <f>IFERROR(INDEX(Table_Prescript_Meas[Measure Number], MATCH(E17, Table_Prescript_Meas[Measure Description], 0)), "")</f>
        <v/>
      </c>
      <c r="D17" s="252"/>
      <c r="E17" s="253"/>
      <c r="F17" s="192" t="str">
        <f>IFERROR(INDEX(Table_Prescript_Meas[Units], MATCH(Table_Controls_Input22[[#This Row],[Measure number]], Table_Prescript_Meas[Measure Number], 0)), "")</f>
        <v/>
      </c>
      <c r="G17" s="191"/>
      <c r="H17" s="226"/>
      <c r="I17" s="226"/>
      <c r="J17"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7" s="227" t="str">
        <f>IFERROR(Table_Controls_Input22[[#This Row],[Number of units]]*Table_Controls_Input22[[#This Row],[Per-unit incentive]], "")</f>
        <v/>
      </c>
      <c r="L17" s="228" t="str">
        <f>IFERROR(Table_Controls_Input22[[#This Row],[Number of units]]*INDEX(Table_Prescript_Meas[Deemed kWh Savings], MATCH(Table_Controls_Input22[[#This Row],[Measure number]], Table_Prescript_Meas[Measure Number], 0)),"" )</f>
        <v/>
      </c>
      <c r="M17" s="229" t="str">
        <f>IFERROR(Table_Controls_Input22[[#This Row],[Number of units]]*INDEX(Table_Prescript_Meas[Deemed kW Savings], MATCH(Table_Controls_Input22[[#This Row],[Measure number]], Table_Prescript_Meas[Measure Number], 0)),"" )</f>
        <v/>
      </c>
      <c r="N17" s="227" t="str">
        <f t="shared" si="2"/>
        <v/>
      </c>
      <c r="O17" s="227" t="str">
        <f>IF(Table_Controls_Input22[[#This Row],[Measure number]]="", "", Table_Controls_Input22[[#This Row],[Total equipment cost]]+Table_Controls_Input22[[#This Row],[Total labor cost]])</f>
        <v/>
      </c>
      <c r="P17" s="227" t="str">
        <f>IFERROR(Table_Controls_Input22[[#This Row],[Gross measure cost]]-Table_Controls_Input22[[#This Row],[Estimated Incentive]], "")</f>
        <v/>
      </c>
      <c r="Q17" s="228" t="str">
        <f t="shared" si="1"/>
        <v/>
      </c>
      <c r="R17" s="222"/>
      <c r="S17" s="222"/>
      <c r="T17" s="222"/>
      <c r="U17" s="222"/>
      <c r="V17" s="222"/>
      <c r="W17" s="222"/>
      <c r="X17" s="222"/>
      <c r="Y17" s="222"/>
      <c r="Z17" s="222"/>
      <c r="AA17" s="222"/>
      <c r="AB17" s="222"/>
      <c r="AC17" s="222"/>
      <c r="AD17" s="222"/>
      <c r="AE17" s="222"/>
      <c r="AF17" s="222"/>
      <c r="AG17" s="222"/>
      <c r="AH17" s="222"/>
      <c r="AI17" s="222"/>
      <c r="AJ17" s="222"/>
      <c r="AK17" s="222"/>
      <c r="AL17" s="222"/>
      <c r="AM17" s="222"/>
    </row>
    <row r="18" spans="1:39">
      <c r="A18" s="222"/>
      <c r="B18" s="223">
        <v>14</v>
      </c>
      <c r="C18" s="192" t="str">
        <f>IFERROR(INDEX(Table_Prescript_Meas[Measure Number], MATCH(E18, Table_Prescript_Meas[Measure Description], 0)), "")</f>
        <v/>
      </c>
      <c r="D18" s="252"/>
      <c r="E18" s="253"/>
      <c r="F18" s="192" t="str">
        <f>IFERROR(INDEX(Table_Prescript_Meas[Units], MATCH(Table_Controls_Input22[[#This Row],[Measure number]], Table_Prescript_Meas[Measure Number], 0)), "")</f>
        <v/>
      </c>
      <c r="G18" s="191"/>
      <c r="H18" s="226"/>
      <c r="I18" s="226"/>
      <c r="J18"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8" s="227" t="str">
        <f>IFERROR(Table_Controls_Input22[[#This Row],[Number of units]]*Table_Controls_Input22[[#This Row],[Per-unit incentive]], "")</f>
        <v/>
      </c>
      <c r="L18" s="228" t="str">
        <f>IFERROR(Table_Controls_Input22[[#This Row],[Number of units]]*INDEX(Table_Prescript_Meas[Deemed kWh Savings], MATCH(Table_Controls_Input22[[#This Row],[Measure number]], Table_Prescript_Meas[Measure Number], 0)),"" )</f>
        <v/>
      </c>
      <c r="M18" s="229" t="str">
        <f>IFERROR(Table_Controls_Input22[[#This Row],[Number of units]]*INDEX(Table_Prescript_Meas[Deemed kW Savings], MATCH(Table_Controls_Input22[[#This Row],[Measure number]], Table_Prescript_Meas[Measure Number], 0)),"" )</f>
        <v/>
      </c>
      <c r="N18" s="227" t="str">
        <f t="shared" si="2"/>
        <v/>
      </c>
      <c r="O18" s="227" t="str">
        <f>IF(Table_Controls_Input22[[#This Row],[Measure number]]="", "", Table_Controls_Input22[[#This Row],[Total equipment cost]]+Table_Controls_Input22[[#This Row],[Total labor cost]])</f>
        <v/>
      </c>
      <c r="P18" s="227" t="str">
        <f>IFERROR(Table_Controls_Input22[[#This Row],[Gross measure cost]]-Table_Controls_Input22[[#This Row],[Estimated Incentive]], "")</f>
        <v/>
      </c>
      <c r="Q18" s="228" t="str">
        <f t="shared" si="1"/>
        <v/>
      </c>
      <c r="R18" s="222"/>
      <c r="S18" s="222"/>
      <c r="T18" s="222"/>
      <c r="U18" s="222"/>
      <c r="V18" s="222"/>
      <c r="W18" s="222"/>
      <c r="X18" s="222"/>
      <c r="Y18" s="222"/>
      <c r="Z18" s="222"/>
      <c r="AA18" s="222"/>
      <c r="AB18" s="222"/>
      <c r="AC18" s="222"/>
      <c r="AD18" s="222"/>
      <c r="AE18" s="222"/>
      <c r="AF18" s="222"/>
      <c r="AG18" s="222"/>
      <c r="AH18" s="222"/>
      <c r="AI18" s="222"/>
      <c r="AJ18" s="222"/>
      <c r="AK18" s="222"/>
      <c r="AL18" s="222"/>
      <c r="AM18" s="222"/>
    </row>
    <row r="19" spans="1:39">
      <c r="A19" s="222"/>
      <c r="B19" s="223">
        <v>15</v>
      </c>
      <c r="C19" s="192" t="str">
        <f>IFERROR(INDEX(Table_Prescript_Meas[Measure Number], MATCH(E19, Table_Prescript_Meas[Measure Description], 0)), "")</f>
        <v/>
      </c>
      <c r="D19" s="252"/>
      <c r="E19" s="253"/>
      <c r="F19" s="192" t="str">
        <f>IFERROR(INDEX(Table_Prescript_Meas[Units], MATCH(Table_Controls_Input22[[#This Row],[Measure number]], Table_Prescript_Meas[Measure Number], 0)), "")</f>
        <v/>
      </c>
      <c r="G19" s="191"/>
      <c r="H19" s="226"/>
      <c r="I19" s="226"/>
      <c r="J19"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9" s="227" t="str">
        <f>IFERROR(Table_Controls_Input22[[#This Row],[Number of units]]*Table_Controls_Input22[[#This Row],[Per-unit incentive]], "")</f>
        <v/>
      </c>
      <c r="L19" s="228" t="str">
        <f>IFERROR(Table_Controls_Input22[[#This Row],[Number of units]]*INDEX(Table_Prescript_Meas[Deemed kWh Savings], MATCH(Table_Controls_Input22[[#This Row],[Measure number]], Table_Prescript_Meas[Measure Number], 0)),"" )</f>
        <v/>
      </c>
      <c r="M19" s="229" t="str">
        <f>IFERROR(Table_Controls_Input22[[#This Row],[Number of units]]*INDEX(Table_Prescript_Meas[Deemed kW Savings], MATCH(Table_Controls_Input22[[#This Row],[Measure number]], Table_Prescript_Meas[Measure Number], 0)),"" )</f>
        <v/>
      </c>
      <c r="N19" s="227" t="str">
        <f t="shared" si="2"/>
        <v/>
      </c>
      <c r="O19" s="227" t="str">
        <f>IF(Table_Controls_Input22[[#This Row],[Measure number]]="", "", Table_Controls_Input22[[#This Row],[Total equipment cost]]+Table_Controls_Input22[[#This Row],[Total labor cost]])</f>
        <v/>
      </c>
      <c r="P19" s="227" t="str">
        <f>IFERROR(Table_Controls_Input22[[#This Row],[Gross measure cost]]-Table_Controls_Input22[[#This Row],[Estimated Incentive]], "")</f>
        <v/>
      </c>
      <c r="Q19" s="228" t="str">
        <f t="shared" si="1"/>
        <v/>
      </c>
      <c r="R19" s="222"/>
      <c r="S19" s="222"/>
      <c r="T19" s="222"/>
      <c r="U19" s="222"/>
      <c r="V19" s="222"/>
      <c r="W19" s="222"/>
      <c r="X19" s="222"/>
      <c r="Y19" s="222"/>
      <c r="Z19" s="222"/>
      <c r="AA19" s="222"/>
      <c r="AB19" s="222"/>
      <c r="AC19" s="222"/>
      <c r="AD19" s="222"/>
      <c r="AE19" s="222"/>
      <c r="AF19" s="222"/>
      <c r="AG19" s="222"/>
      <c r="AH19" s="222"/>
      <c r="AI19" s="222"/>
      <c r="AJ19" s="222"/>
      <c r="AK19" s="222"/>
      <c r="AL19" s="222"/>
      <c r="AM19" s="222"/>
    </row>
    <row r="20" spans="1:39">
      <c r="A20" s="222"/>
      <c r="B20" s="223">
        <v>16</v>
      </c>
      <c r="C20" s="192" t="str">
        <f>IFERROR(INDEX(Table_Prescript_Meas[Measure Number], MATCH(E20, Table_Prescript_Meas[Measure Description], 0)), "")</f>
        <v/>
      </c>
      <c r="D20" s="252"/>
      <c r="E20" s="253"/>
      <c r="F20" s="192" t="str">
        <f>IFERROR(INDEX(Table_Prescript_Meas[Units], MATCH(Table_Controls_Input22[[#This Row],[Measure number]], Table_Prescript_Meas[Measure Number], 0)), "")</f>
        <v/>
      </c>
      <c r="G20" s="191"/>
      <c r="H20" s="226"/>
      <c r="I20" s="226"/>
      <c r="J20"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0" s="227" t="str">
        <f>IFERROR(Table_Controls_Input22[[#This Row],[Number of units]]*Table_Controls_Input22[[#This Row],[Per-unit incentive]], "")</f>
        <v/>
      </c>
      <c r="L20" s="228" t="str">
        <f>IFERROR(Table_Controls_Input22[[#This Row],[Number of units]]*INDEX(Table_Prescript_Meas[Deemed kWh Savings], MATCH(Table_Controls_Input22[[#This Row],[Measure number]], Table_Prescript_Meas[Measure Number], 0)),"" )</f>
        <v/>
      </c>
      <c r="M20" s="229" t="str">
        <f>IFERROR(Table_Controls_Input22[[#This Row],[Number of units]]*INDEX(Table_Prescript_Meas[Deemed kW Savings], MATCH(Table_Controls_Input22[[#This Row],[Measure number]], Table_Prescript_Meas[Measure Number], 0)),"" )</f>
        <v/>
      </c>
      <c r="N20" s="227" t="str">
        <f t="shared" si="2"/>
        <v/>
      </c>
      <c r="O20" s="227" t="str">
        <f>IF(Table_Controls_Input22[[#This Row],[Measure number]]="", "", Table_Controls_Input22[[#This Row],[Total equipment cost]]+Table_Controls_Input22[[#This Row],[Total labor cost]])</f>
        <v/>
      </c>
      <c r="P20" s="227" t="str">
        <f>IFERROR(Table_Controls_Input22[[#This Row],[Gross measure cost]]-Table_Controls_Input22[[#This Row],[Estimated Incentive]], "")</f>
        <v/>
      </c>
      <c r="Q20" s="228" t="str">
        <f t="shared" si="1"/>
        <v/>
      </c>
      <c r="R20" s="222"/>
      <c r="S20" s="222"/>
      <c r="T20" s="222"/>
      <c r="U20" s="222"/>
      <c r="V20" s="222"/>
      <c r="W20" s="222"/>
      <c r="X20" s="222"/>
      <c r="Y20" s="222"/>
      <c r="Z20" s="222"/>
      <c r="AA20" s="222"/>
      <c r="AB20" s="222"/>
      <c r="AC20" s="222"/>
      <c r="AD20" s="222"/>
      <c r="AE20" s="222"/>
      <c r="AF20" s="222"/>
      <c r="AG20" s="222"/>
      <c r="AH20" s="222"/>
      <c r="AI20" s="222"/>
      <c r="AJ20" s="222"/>
      <c r="AK20" s="222"/>
      <c r="AL20" s="222"/>
      <c r="AM20" s="222"/>
    </row>
    <row r="21" spans="1:39">
      <c r="A21" s="222"/>
      <c r="B21" s="223">
        <v>17</v>
      </c>
      <c r="C21" s="192" t="str">
        <f>IFERROR(INDEX(Table_Prescript_Meas[Measure Number], MATCH(E21, Table_Prescript_Meas[Measure Description], 0)), "")</f>
        <v/>
      </c>
      <c r="D21" s="252"/>
      <c r="E21" s="253"/>
      <c r="F21" s="192" t="str">
        <f>IFERROR(INDEX(Table_Prescript_Meas[Units], MATCH(Table_Controls_Input22[[#This Row],[Measure number]], Table_Prescript_Meas[Measure Number], 0)), "")</f>
        <v/>
      </c>
      <c r="G21" s="191"/>
      <c r="H21" s="226"/>
      <c r="I21" s="226"/>
      <c r="J21"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1" s="227" t="str">
        <f>IFERROR(Table_Controls_Input22[[#This Row],[Number of units]]*Table_Controls_Input22[[#This Row],[Per-unit incentive]], "")</f>
        <v/>
      </c>
      <c r="L21" s="228" t="str">
        <f>IFERROR(Table_Controls_Input22[[#This Row],[Number of units]]*INDEX(Table_Prescript_Meas[Deemed kWh Savings], MATCH(Table_Controls_Input22[[#This Row],[Measure number]], Table_Prescript_Meas[Measure Number], 0)),"" )</f>
        <v/>
      </c>
      <c r="M21" s="229" t="str">
        <f>IFERROR(Table_Controls_Input22[[#This Row],[Number of units]]*INDEX(Table_Prescript_Meas[Deemed kW Savings], MATCH(Table_Controls_Input22[[#This Row],[Measure number]], Table_Prescript_Meas[Measure Number], 0)),"" )</f>
        <v/>
      </c>
      <c r="N21" s="227" t="str">
        <f t="shared" si="2"/>
        <v/>
      </c>
      <c r="O21" s="227" t="str">
        <f>IF(Table_Controls_Input22[[#This Row],[Measure number]]="", "", Table_Controls_Input22[[#This Row],[Total equipment cost]]+Table_Controls_Input22[[#This Row],[Total labor cost]])</f>
        <v/>
      </c>
      <c r="P21" s="227" t="str">
        <f>IFERROR(Table_Controls_Input22[[#This Row],[Gross measure cost]]-Table_Controls_Input22[[#This Row],[Estimated Incentive]], "")</f>
        <v/>
      </c>
      <c r="Q21" s="228" t="str">
        <f t="shared" si="1"/>
        <v/>
      </c>
      <c r="R21" s="222"/>
      <c r="S21" s="222"/>
      <c r="T21" s="222"/>
      <c r="U21" s="222"/>
      <c r="V21" s="222"/>
      <c r="W21" s="222"/>
      <c r="X21" s="222"/>
      <c r="Y21" s="222"/>
      <c r="Z21" s="222"/>
      <c r="AA21" s="222"/>
      <c r="AB21" s="222"/>
      <c r="AC21" s="222"/>
      <c r="AD21" s="222"/>
      <c r="AE21" s="222"/>
      <c r="AF21" s="222"/>
      <c r="AG21" s="222"/>
      <c r="AH21" s="222"/>
      <c r="AI21" s="222"/>
      <c r="AJ21" s="222"/>
      <c r="AK21" s="222"/>
      <c r="AL21" s="222"/>
      <c r="AM21" s="222"/>
    </row>
    <row r="22" spans="1:39">
      <c r="A22" s="222"/>
      <c r="B22" s="223">
        <v>18</v>
      </c>
      <c r="C22" s="192" t="str">
        <f>IFERROR(INDEX(Table_Prescript_Meas[Measure Number], MATCH(E22, Table_Prescript_Meas[Measure Description], 0)), "")</f>
        <v/>
      </c>
      <c r="D22" s="252"/>
      <c r="E22" s="253"/>
      <c r="F22" s="192" t="str">
        <f>IFERROR(INDEX(Table_Prescript_Meas[Units], MATCH(Table_Controls_Input22[[#This Row],[Measure number]], Table_Prescript_Meas[Measure Number], 0)), "")</f>
        <v/>
      </c>
      <c r="G22" s="191"/>
      <c r="H22" s="226"/>
      <c r="I22" s="226"/>
      <c r="J22"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2" s="227" t="str">
        <f>IFERROR(Table_Controls_Input22[[#This Row],[Number of units]]*Table_Controls_Input22[[#This Row],[Per-unit incentive]], "")</f>
        <v/>
      </c>
      <c r="L22" s="228" t="str">
        <f>IFERROR(Table_Controls_Input22[[#This Row],[Number of units]]*INDEX(Table_Prescript_Meas[Deemed kWh Savings], MATCH(Table_Controls_Input22[[#This Row],[Measure number]], Table_Prescript_Meas[Measure Number], 0)),"" )</f>
        <v/>
      </c>
      <c r="M22" s="229" t="str">
        <f>IFERROR(Table_Controls_Input22[[#This Row],[Number of units]]*INDEX(Table_Prescript_Meas[Deemed kW Savings], MATCH(Table_Controls_Input22[[#This Row],[Measure number]], Table_Prescript_Meas[Measure Number], 0)),"" )</f>
        <v/>
      </c>
      <c r="N22" s="227" t="str">
        <f t="shared" si="2"/>
        <v/>
      </c>
      <c r="O22" s="227" t="str">
        <f>IF(Table_Controls_Input22[[#This Row],[Measure number]]="", "", Table_Controls_Input22[[#This Row],[Total equipment cost]]+Table_Controls_Input22[[#This Row],[Total labor cost]])</f>
        <v/>
      </c>
      <c r="P22" s="227" t="str">
        <f>IFERROR(Table_Controls_Input22[[#This Row],[Gross measure cost]]-Table_Controls_Input22[[#This Row],[Estimated Incentive]], "")</f>
        <v/>
      </c>
      <c r="Q22" s="228" t="str">
        <f t="shared" si="1"/>
        <v/>
      </c>
      <c r="R22" s="222"/>
      <c r="S22" s="222"/>
      <c r="T22" s="222"/>
      <c r="U22" s="222"/>
      <c r="V22" s="222"/>
      <c r="W22" s="222"/>
      <c r="X22" s="222"/>
      <c r="Y22" s="222"/>
      <c r="Z22" s="222"/>
      <c r="AA22" s="222"/>
      <c r="AB22" s="222"/>
      <c r="AC22" s="222"/>
      <c r="AD22" s="222"/>
      <c r="AE22" s="222"/>
      <c r="AF22" s="222"/>
      <c r="AG22" s="222"/>
      <c r="AH22" s="222"/>
      <c r="AI22" s="222"/>
      <c r="AJ22" s="222"/>
      <c r="AK22" s="222"/>
      <c r="AL22" s="222"/>
      <c r="AM22" s="222"/>
    </row>
    <row r="23" spans="1:39">
      <c r="A23" s="222"/>
      <c r="B23" s="223">
        <v>19</v>
      </c>
      <c r="C23" s="192" t="str">
        <f>IFERROR(INDEX(Table_Prescript_Meas[Measure Number], MATCH(E23, Table_Prescript_Meas[Measure Description], 0)), "")</f>
        <v/>
      </c>
      <c r="D23" s="252"/>
      <c r="E23" s="253"/>
      <c r="F23" s="192" t="str">
        <f>IFERROR(INDEX(Table_Prescript_Meas[Units], MATCH(Table_Controls_Input22[[#This Row],[Measure number]], Table_Prescript_Meas[Measure Number], 0)), "")</f>
        <v/>
      </c>
      <c r="G23" s="191"/>
      <c r="H23" s="226"/>
      <c r="I23" s="226"/>
      <c r="J23"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3" s="227" t="str">
        <f>IFERROR(Table_Controls_Input22[[#This Row],[Number of units]]*Table_Controls_Input22[[#This Row],[Per-unit incentive]], "")</f>
        <v/>
      </c>
      <c r="L23" s="228" t="str">
        <f>IFERROR(Table_Controls_Input22[[#This Row],[Number of units]]*INDEX(Table_Prescript_Meas[Deemed kWh Savings], MATCH(Table_Controls_Input22[[#This Row],[Measure number]], Table_Prescript_Meas[Measure Number], 0)),"" )</f>
        <v/>
      </c>
      <c r="M23" s="229" t="str">
        <f>IFERROR(Table_Controls_Input22[[#This Row],[Number of units]]*INDEX(Table_Prescript_Meas[Deemed kW Savings], MATCH(Table_Controls_Input22[[#This Row],[Measure number]], Table_Prescript_Meas[Measure Number], 0)),"" )</f>
        <v/>
      </c>
      <c r="N23" s="227" t="str">
        <f t="shared" si="2"/>
        <v/>
      </c>
      <c r="O23" s="227" t="str">
        <f>IF(Table_Controls_Input22[[#This Row],[Measure number]]="", "", Table_Controls_Input22[[#This Row],[Total equipment cost]]+Table_Controls_Input22[[#This Row],[Total labor cost]])</f>
        <v/>
      </c>
      <c r="P23" s="227" t="str">
        <f>IFERROR(Table_Controls_Input22[[#This Row],[Gross measure cost]]-Table_Controls_Input22[[#This Row],[Estimated Incentive]], "")</f>
        <v/>
      </c>
      <c r="Q23" s="228" t="str">
        <f t="shared" si="1"/>
        <v/>
      </c>
      <c r="R23" s="222"/>
      <c r="S23" s="222"/>
      <c r="T23" s="222"/>
      <c r="U23" s="222"/>
      <c r="V23" s="222"/>
      <c r="W23" s="222"/>
      <c r="X23" s="222"/>
      <c r="Y23" s="222"/>
      <c r="Z23" s="222"/>
      <c r="AA23" s="222"/>
      <c r="AB23" s="222"/>
      <c r="AC23" s="222"/>
      <c r="AD23" s="222"/>
      <c r="AE23" s="222"/>
      <c r="AF23" s="222"/>
      <c r="AG23" s="222"/>
      <c r="AH23" s="222"/>
      <c r="AI23" s="222"/>
      <c r="AJ23" s="222"/>
      <c r="AK23" s="222"/>
      <c r="AL23" s="222"/>
      <c r="AM23" s="222"/>
    </row>
    <row r="24" spans="1:39">
      <c r="A24" s="222"/>
      <c r="B24" s="223">
        <v>20</v>
      </c>
      <c r="C24" s="192" t="str">
        <f>IFERROR(INDEX(Table_Prescript_Meas[Measure Number], MATCH(E24, Table_Prescript_Meas[Measure Description], 0)), "")</f>
        <v/>
      </c>
      <c r="D24" s="252"/>
      <c r="E24" s="253"/>
      <c r="F24" s="192" t="str">
        <f>IFERROR(INDEX(Table_Prescript_Meas[Units], MATCH(Table_Controls_Input22[[#This Row],[Measure number]], Table_Prescript_Meas[Measure Number], 0)), "")</f>
        <v/>
      </c>
      <c r="G24" s="191"/>
      <c r="H24" s="226"/>
      <c r="I24" s="226"/>
      <c r="J24"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4" s="227" t="str">
        <f>IFERROR(Table_Controls_Input22[[#This Row],[Number of units]]*Table_Controls_Input22[[#This Row],[Per-unit incentive]], "")</f>
        <v/>
      </c>
      <c r="L24" s="228" t="str">
        <f>IFERROR(Table_Controls_Input22[[#This Row],[Number of units]]*INDEX(Table_Prescript_Meas[Deemed kWh Savings], MATCH(Table_Controls_Input22[[#This Row],[Measure number]], Table_Prescript_Meas[Measure Number], 0)),"" )</f>
        <v/>
      </c>
      <c r="M24" s="229" t="str">
        <f>IFERROR(Table_Controls_Input22[[#This Row],[Number of units]]*INDEX(Table_Prescript_Meas[Deemed kW Savings], MATCH(Table_Controls_Input22[[#This Row],[Measure number]], Table_Prescript_Meas[Measure Number], 0)),"" )</f>
        <v/>
      </c>
      <c r="N24" s="227" t="str">
        <f t="shared" si="2"/>
        <v/>
      </c>
      <c r="O24" s="227" t="str">
        <f>IF(Table_Controls_Input22[[#This Row],[Measure number]]="", "", Table_Controls_Input22[[#This Row],[Total equipment cost]]+Table_Controls_Input22[[#This Row],[Total labor cost]])</f>
        <v/>
      </c>
      <c r="P24" s="227" t="str">
        <f>IFERROR(Table_Controls_Input22[[#This Row],[Gross measure cost]]-Table_Controls_Input22[[#This Row],[Estimated Incentive]], "")</f>
        <v/>
      </c>
      <c r="Q24" s="228" t="str">
        <f t="shared" si="1"/>
        <v/>
      </c>
      <c r="R24" s="222"/>
      <c r="S24" s="222"/>
      <c r="T24" s="222"/>
      <c r="U24" s="222"/>
      <c r="V24" s="222"/>
      <c r="W24" s="222"/>
      <c r="X24" s="222"/>
      <c r="Y24" s="222"/>
      <c r="Z24" s="222"/>
      <c r="AA24" s="222"/>
      <c r="AB24" s="222"/>
      <c r="AC24" s="222"/>
      <c r="AD24" s="222"/>
      <c r="AE24" s="222"/>
      <c r="AF24" s="222"/>
      <c r="AG24" s="222"/>
      <c r="AH24" s="222"/>
      <c r="AI24" s="222"/>
      <c r="AJ24" s="222"/>
      <c r="AK24" s="222"/>
      <c r="AL24" s="222"/>
      <c r="AM24" s="222"/>
    </row>
    <row r="25" spans="1:39">
      <c r="A25" s="222"/>
      <c r="B25" s="223">
        <v>21</v>
      </c>
      <c r="C25" s="192" t="str">
        <f>IFERROR(INDEX(Table_Prescript_Meas[Measure Number], MATCH(E25, Table_Prescript_Meas[Measure Description], 0)), "")</f>
        <v/>
      </c>
      <c r="D25" s="252"/>
      <c r="E25" s="253"/>
      <c r="F25" s="192" t="str">
        <f>IFERROR(INDEX(Table_Prescript_Meas[Units], MATCH(Table_Controls_Input22[[#This Row],[Measure number]], Table_Prescript_Meas[Measure Number], 0)), "")</f>
        <v/>
      </c>
      <c r="G25" s="191"/>
      <c r="H25" s="226"/>
      <c r="I25" s="226"/>
      <c r="J25"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5" s="227" t="str">
        <f>IFERROR(Table_Controls_Input22[[#This Row],[Number of units]]*Table_Controls_Input22[[#This Row],[Per-unit incentive]], "")</f>
        <v/>
      </c>
      <c r="L25" s="228" t="str">
        <f>IFERROR(Table_Controls_Input22[[#This Row],[Number of units]]*INDEX(Table_Prescript_Meas[Deemed kWh Savings], MATCH(Table_Controls_Input22[[#This Row],[Measure number]], Table_Prescript_Meas[Measure Number], 0)),"" )</f>
        <v/>
      </c>
      <c r="M25" s="229" t="str">
        <f>IFERROR(Table_Controls_Input22[[#This Row],[Number of units]]*INDEX(Table_Prescript_Meas[Deemed kW Savings], MATCH(Table_Controls_Input22[[#This Row],[Measure number]], Table_Prescript_Meas[Measure Number], 0)),"" )</f>
        <v/>
      </c>
      <c r="N25" s="227" t="str">
        <f t="shared" si="2"/>
        <v/>
      </c>
      <c r="O25" s="227" t="str">
        <f>IF(Table_Controls_Input22[[#This Row],[Measure number]]="", "", Table_Controls_Input22[[#This Row],[Total equipment cost]]+Table_Controls_Input22[[#This Row],[Total labor cost]])</f>
        <v/>
      </c>
      <c r="P25" s="227" t="str">
        <f>IFERROR(Table_Controls_Input22[[#This Row],[Gross measure cost]]-Table_Controls_Input22[[#This Row],[Estimated Incentive]], "")</f>
        <v/>
      </c>
      <c r="Q25" s="228" t="str">
        <f t="shared" si="1"/>
        <v/>
      </c>
      <c r="R25" s="222"/>
      <c r="S25" s="222"/>
      <c r="T25" s="222"/>
      <c r="U25" s="222"/>
      <c r="V25" s="222"/>
      <c r="W25" s="222"/>
      <c r="X25" s="222"/>
      <c r="Y25" s="222"/>
      <c r="Z25" s="222"/>
      <c r="AA25" s="222"/>
      <c r="AB25" s="222"/>
      <c r="AC25" s="222"/>
      <c r="AD25" s="222"/>
      <c r="AE25" s="222"/>
      <c r="AF25" s="222"/>
      <c r="AG25" s="222"/>
      <c r="AH25" s="222"/>
      <c r="AI25" s="222"/>
      <c r="AJ25" s="222"/>
      <c r="AK25" s="222"/>
      <c r="AL25" s="222"/>
      <c r="AM25" s="222"/>
    </row>
    <row r="26" spans="1:39">
      <c r="A26" s="222"/>
      <c r="B26" s="223">
        <v>22</v>
      </c>
      <c r="C26" s="192" t="str">
        <f>IFERROR(INDEX(Table_Prescript_Meas[Measure Number], MATCH(E26, Table_Prescript_Meas[Measure Description], 0)), "")</f>
        <v/>
      </c>
      <c r="D26" s="252"/>
      <c r="E26" s="253"/>
      <c r="F26" s="192" t="str">
        <f>IFERROR(INDEX(Table_Prescript_Meas[Units], MATCH(Table_Controls_Input22[[#This Row],[Measure number]], Table_Prescript_Meas[Measure Number], 0)), "")</f>
        <v/>
      </c>
      <c r="G26" s="191"/>
      <c r="H26" s="226"/>
      <c r="I26" s="226"/>
      <c r="J26"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6" s="227" t="str">
        <f>IFERROR(Table_Controls_Input22[[#This Row],[Number of units]]*Table_Controls_Input22[[#This Row],[Per-unit incentive]], "")</f>
        <v/>
      </c>
      <c r="L26" s="228" t="str">
        <f>IFERROR(Table_Controls_Input22[[#This Row],[Number of units]]*INDEX(Table_Prescript_Meas[Deemed kWh Savings], MATCH(Table_Controls_Input22[[#This Row],[Measure number]], Table_Prescript_Meas[Measure Number], 0)),"" )</f>
        <v/>
      </c>
      <c r="M26" s="229" t="str">
        <f>IFERROR(Table_Controls_Input22[[#This Row],[Number of units]]*INDEX(Table_Prescript_Meas[Deemed kW Savings], MATCH(Table_Controls_Input22[[#This Row],[Measure number]], Table_Prescript_Meas[Measure Number], 0)),"" )</f>
        <v/>
      </c>
      <c r="N26" s="227" t="str">
        <f t="shared" si="2"/>
        <v/>
      </c>
      <c r="O26" s="227" t="str">
        <f>IF(Table_Controls_Input22[[#This Row],[Measure number]]="", "", Table_Controls_Input22[[#This Row],[Total equipment cost]]+Table_Controls_Input22[[#This Row],[Total labor cost]])</f>
        <v/>
      </c>
      <c r="P26" s="227" t="str">
        <f>IFERROR(Table_Controls_Input22[[#This Row],[Gross measure cost]]-Table_Controls_Input22[[#This Row],[Estimated Incentive]], "")</f>
        <v/>
      </c>
      <c r="Q26" s="228" t="str">
        <f t="shared" si="1"/>
        <v/>
      </c>
      <c r="R26" s="222"/>
      <c r="S26" s="222"/>
      <c r="T26" s="222"/>
      <c r="U26" s="222"/>
      <c r="V26" s="222"/>
      <c r="W26" s="222"/>
      <c r="X26" s="222"/>
      <c r="Y26" s="222"/>
      <c r="Z26" s="222"/>
      <c r="AA26" s="222"/>
      <c r="AB26" s="222"/>
      <c r="AC26" s="222"/>
      <c r="AD26" s="222"/>
      <c r="AE26" s="222"/>
      <c r="AF26" s="222"/>
      <c r="AG26" s="222"/>
      <c r="AH26" s="222"/>
      <c r="AI26" s="222"/>
      <c r="AJ26" s="222"/>
      <c r="AK26" s="222"/>
      <c r="AL26" s="222"/>
      <c r="AM26" s="222"/>
    </row>
    <row r="27" spans="1:39">
      <c r="A27" s="222"/>
      <c r="B27" s="223">
        <v>23</v>
      </c>
      <c r="C27" s="192" t="str">
        <f>IFERROR(INDEX(Table_Prescript_Meas[Measure Number], MATCH(E27, Table_Prescript_Meas[Measure Description], 0)), "")</f>
        <v/>
      </c>
      <c r="D27" s="252"/>
      <c r="E27" s="253"/>
      <c r="F27" s="192" t="str">
        <f>IFERROR(INDEX(Table_Prescript_Meas[Units], MATCH(Table_Controls_Input22[[#This Row],[Measure number]], Table_Prescript_Meas[Measure Number], 0)), "")</f>
        <v/>
      </c>
      <c r="G27" s="191"/>
      <c r="H27" s="226"/>
      <c r="I27" s="226"/>
      <c r="J27"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7" s="227" t="str">
        <f>IFERROR(Table_Controls_Input22[[#This Row],[Number of units]]*Table_Controls_Input22[[#This Row],[Per-unit incentive]], "")</f>
        <v/>
      </c>
      <c r="L27" s="228" t="str">
        <f>IFERROR(Table_Controls_Input22[[#This Row],[Number of units]]*INDEX(Table_Prescript_Meas[Deemed kWh Savings], MATCH(Table_Controls_Input22[[#This Row],[Measure number]], Table_Prescript_Meas[Measure Number], 0)),"" )</f>
        <v/>
      </c>
      <c r="M27" s="229" t="str">
        <f>IFERROR(Table_Controls_Input22[[#This Row],[Number of units]]*INDEX(Table_Prescript_Meas[Deemed kW Savings], MATCH(Table_Controls_Input22[[#This Row],[Measure number]], Table_Prescript_Meas[Measure Number], 0)),"" )</f>
        <v/>
      </c>
      <c r="N27" s="227" t="str">
        <f t="shared" si="2"/>
        <v/>
      </c>
      <c r="O27" s="227" t="str">
        <f>IF(Table_Controls_Input22[[#This Row],[Measure number]]="", "", Table_Controls_Input22[[#This Row],[Total equipment cost]]+Table_Controls_Input22[[#This Row],[Total labor cost]])</f>
        <v/>
      </c>
      <c r="P27" s="227" t="str">
        <f>IFERROR(Table_Controls_Input22[[#This Row],[Gross measure cost]]-Table_Controls_Input22[[#This Row],[Estimated Incentive]], "")</f>
        <v/>
      </c>
      <c r="Q27" s="228" t="str">
        <f t="shared" si="1"/>
        <v/>
      </c>
      <c r="R27" s="222"/>
      <c r="S27" s="222"/>
      <c r="T27" s="222"/>
      <c r="U27" s="222"/>
      <c r="V27" s="222"/>
      <c r="W27" s="222"/>
      <c r="X27" s="222"/>
      <c r="Y27" s="222"/>
      <c r="Z27" s="222"/>
      <c r="AA27" s="222"/>
      <c r="AB27" s="222"/>
      <c r="AC27" s="222"/>
      <c r="AD27" s="222"/>
      <c r="AE27" s="222"/>
      <c r="AF27" s="222"/>
      <c r="AG27" s="222"/>
      <c r="AH27" s="222"/>
      <c r="AI27" s="222"/>
      <c r="AJ27" s="222"/>
      <c r="AK27" s="222"/>
      <c r="AL27" s="222"/>
      <c r="AM27" s="222"/>
    </row>
    <row r="28" spans="1:39">
      <c r="A28" s="222"/>
      <c r="B28" s="223">
        <v>24</v>
      </c>
      <c r="C28" s="192" t="str">
        <f>IFERROR(INDEX(Table_Prescript_Meas[Measure Number], MATCH(E28, Table_Prescript_Meas[Measure Description], 0)), "")</f>
        <v/>
      </c>
      <c r="D28" s="252"/>
      <c r="E28" s="253"/>
      <c r="F28" s="192" t="str">
        <f>IFERROR(INDEX(Table_Prescript_Meas[Units], MATCH(Table_Controls_Input22[[#This Row],[Measure number]], Table_Prescript_Meas[Measure Number], 0)), "")</f>
        <v/>
      </c>
      <c r="G28" s="191"/>
      <c r="H28" s="226"/>
      <c r="I28" s="226"/>
      <c r="J28"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8" s="227" t="str">
        <f>IFERROR(Table_Controls_Input22[[#This Row],[Number of units]]*Table_Controls_Input22[[#This Row],[Per-unit incentive]], "")</f>
        <v/>
      </c>
      <c r="L28" s="228" t="str">
        <f>IFERROR(Table_Controls_Input22[[#This Row],[Number of units]]*INDEX(Table_Prescript_Meas[Deemed kWh Savings], MATCH(Table_Controls_Input22[[#This Row],[Measure number]], Table_Prescript_Meas[Measure Number], 0)),"" )</f>
        <v/>
      </c>
      <c r="M28" s="229" t="str">
        <f>IFERROR(Table_Controls_Input22[[#This Row],[Number of units]]*INDEX(Table_Prescript_Meas[Deemed kW Savings], MATCH(Table_Controls_Input22[[#This Row],[Measure number]], Table_Prescript_Meas[Measure Number], 0)),"" )</f>
        <v/>
      </c>
      <c r="N28" s="227" t="str">
        <f t="shared" si="2"/>
        <v/>
      </c>
      <c r="O28" s="227" t="str">
        <f>IF(Table_Controls_Input22[[#This Row],[Measure number]]="", "", Table_Controls_Input22[[#This Row],[Total equipment cost]]+Table_Controls_Input22[[#This Row],[Total labor cost]])</f>
        <v/>
      </c>
      <c r="P28" s="227" t="str">
        <f>IFERROR(Table_Controls_Input22[[#This Row],[Gross measure cost]]-Table_Controls_Input22[[#This Row],[Estimated Incentive]], "")</f>
        <v/>
      </c>
      <c r="Q28" s="228" t="str">
        <f t="shared" si="1"/>
        <v/>
      </c>
      <c r="R28" s="222"/>
      <c r="S28" s="222"/>
      <c r="T28" s="222"/>
      <c r="U28" s="222"/>
      <c r="V28" s="222"/>
      <c r="W28" s="222"/>
      <c r="X28" s="222"/>
      <c r="Y28" s="222"/>
      <c r="Z28" s="222"/>
      <c r="AA28" s="222"/>
      <c r="AB28" s="222"/>
      <c r="AC28" s="222"/>
      <c r="AD28" s="222"/>
      <c r="AE28" s="222"/>
      <c r="AF28" s="222"/>
      <c r="AG28" s="222"/>
      <c r="AH28" s="222"/>
      <c r="AI28" s="222"/>
      <c r="AJ28" s="222"/>
      <c r="AK28" s="222"/>
      <c r="AL28" s="222"/>
      <c r="AM28" s="222"/>
    </row>
    <row r="29" spans="1:39">
      <c r="A29" s="222"/>
      <c r="B29" s="223">
        <v>25</v>
      </c>
      <c r="C29" s="192" t="str">
        <f>IFERROR(INDEX(Table_Prescript_Meas[Measure Number], MATCH(E29, Table_Prescript_Meas[Measure Description], 0)), "")</f>
        <v/>
      </c>
      <c r="D29" s="252"/>
      <c r="E29" s="253"/>
      <c r="F29" s="192" t="str">
        <f>IFERROR(INDEX(Table_Prescript_Meas[Units], MATCH(Table_Controls_Input22[[#This Row],[Measure number]], Table_Prescript_Meas[Measure Number], 0)), "")</f>
        <v/>
      </c>
      <c r="G29" s="191"/>
      <c r="H29" s="226"/>
      <c r="I29" s="226"/>
      <c r="J29"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9" s="227" t="str">
        <f>IFERROR(Table_Controls_Input22[[#This Row],[Number of units]]*Table_Controls_Input22[[#This Row],[Per-unit incentive]], "")</f>
        <v/>
      </c>
      <c r="L29" s="228" t="str">
        <f>IFERROR(Table_Controls_Input22[[#This Row],[Number of units]]*INDEX(Table_Prescript_Meas[Deemed kWh Savings], MATCH(Table_Controls_Input22[[#This Row],[Measure number]], Table_Prescript_Meas[Measure Number], 0)),"" )</f>
        <v/>
      </c>
      <c r="M29" s="229" t="str">
        <f>IFERROR(Table_Controls_Input22[[#This Row],[Number of units]]*INDEX(Table_Prescript_Meas[Deemed kW Savings], MATCH(Table_Controls_Input22[[#This Row],[Measure number]], Table_Prescript_Meas[Measure Number], 0)),"" )</f>
        <v/>
      </c>
      <c r="N29" s="227" t="str">
        <f t="shared" si="2"/>
        <v/>
      </c>
      <c r="O29" s="227" t="str">
        <f>IF(Table_Controls_Input22[[#This Row],[Measure number]]="", "", Table_Controls_Input22[[#This Row],[Total equipment cost]]+Table_Controls_Input22[[#This Row],[Total labor cost]])</f>
        <v/>
      </c>
      <c r="P29" s="227" t="str">
        <f>IFERROR(Table_Controls_Input22[[#This Row],[Gross measure cost]]-Table_Controls_Input22[[#This Row],[Estimated Incentive]], "")</f>
        <v/>
      </c>
      <c r="Q29" s="228" t="str">
        <f t="shared" si="1"/>
        <v/>
      </c>
      <c r="R29" s="222"/>
      <c r="S29" s="222"/>
      <c r="T29" s="222"/>
      <c r="U29" s="222"/>
      <c r="V29" s="222"/>
      <c r="W29" s="222"/>
      <c r="X29" s="222"/>
      <c r="Y29" s="222"/>
      <c r="Z29" s="222"/>
      <c r="AA29" s="222"/>
      <c r="AB29" s="222"/>
      <c r="AC29" s="222"/>
      <c r="AD29" s="222"/>
      <c r="AE29" s="222"/>
      <c r="AF29" s="222"/>
      <c r="AG29" s="222"/>
      <c r="AH29" s="222"/>
      <c r="AI29" s="222"/>
      <c r="AJ29" s="222"/>
      <c r="AK29" s="222"/>
      <c r="AL29" s="222"/>
      <c r="AM29" s="222"/>
    </row>
    <row r="30" spans="1:39">
      <c r="A30" s="222"/>
      <c r="B30" s="223">
        <v>26</v>
      </c>
      <c r="C30" s="192" t="str">
        <f>IFERROR(INDEX(Table_Prescript_Meas[Measure Number], MATCH(E30, Table_Prescript_Meas[Measure Description], 0)), "")</f>
        <v/>
      </c>
      <c r="D30" s="252"/>
      <c r="E30" s="253"/>
      <c r="F30" s="192" t="str">
        <f>IFERROR(INDEX(Table_Prescript_Meas[Units], MATCH(Table_Controls_Input22[[#This Row],[Measure number]], Table_Prescript_Meas[Measure Number], 0)), "")</f>
        <v/>
      </c>
      <c r="G30" s="191"/>
      <c r="H30" s="226"/>
      <c r="I30" s="226"/>
      <c r="J30"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0" s="227" t="str">
        <f>IFERROR(Table_Controls_Input22[[#This Row],[Number of units]]*Table_Controls_Input22[[#This Row],[Per-unit incentive]], "")</f>
        <v/>
      </c>
      <c r="L30" s="228" t="str">
        <f>IFERROR(Table_Controls_Input22[[#This Row],[Number of units]]*INDEX(Table_Prescript_Meas[Deemed kWh Savings], MATCH(Table_Controls_Input22[[#This Row],[Measure number]], Table_Prescript_Meas[Measure Number], 0)),"" )</f>
        <v/>
      </c>
      <c r="M30" s="229" t="str">
        <f>IFERROR(Table_Controls_Input22[[#This Row],[Number of units]]*INDEX(Table_Prescript_Meas[Deemed kW Savings], MATCH(Table_Controls_Input22[[#This Row],[Measure number]], Table_Prescript_Meas[Measure Number], 0)),"" )</f>
        <v/>
      </c>
      <c r="N30" s="227" t="str">
        <f t="shared" si="2"/>
        <v/>
      </c>
      <c r="O30" s="227" t="str">
        <f>IF(Table_Controls_Input22[[#This Row],[Measure number]]="", "", Table_Controls_Input22[[#This Row],[Total equipment cost]]+Table_Controls_Input22[[#This Row],[Total labor cost]])</f>
        <v/>
      </c>
      <c r="P30" s="227" t="str">
        <f>IFERROR(Table_Controls_Input22[[#This Row],[Gross measure cost]]-Table_Controls_Input22[[#This Row],[Estimated Incentive]], "")</f>
        <v/>
      </c>
      <c r="Q30" s="228" t="str">
        <f t="shared" si="1"/>
        <v/>
      </c>
      <c r="R30" s="222"/>
      <c r="S30" s="222"/>
      <c r="T30" s="222"/>
      <c r="U30" s="222"/>
      <c r="V30" s="222"/>
      <c r="W30" s="222"/>
      <c r="X30" s="222"/>
      <c r="Y30" s="222"/>
      <c r="Z30" s="222"/>
      <c r="AA30" s="222"/>
      <c r="AB30" s="222"/>
      <c r="AC30" s="222"/>
      <c r="AD30" s="222"/>
      <c r="AE30" s="222"/>
      <c r="AF30" s="222"/>
      <c r="AG30" s="222"/>
      <c r="AH30" s="222"/>
      <c r="AI30" s="222"/>
      <c r="AJ30" s="222"/>
      <c r="AK30" s="222"/>
      <c r="AL30" s="222"/>
      <c r="AM30" s="222"/>
    </row>
    <row r="31" spans="1:39">
      <c r="A31" s="193"/>
      <c r="B31" s="223">
        <v>27</v>
      </c>
      <c r="C31" s="192" t="str">
        <f>IFERROR(INDEX(Table_Prescript_Meas[Measure Number], MATCH(E31, Table_Prescript_Meas[Measure Description], 0)), "")</f>
        <v/>
      </c>
      <c r="D31" s="252"/>
      <c r="E31" s="253"/>
      <c r="F31" s="192" t="str">
        <f>IFERROR(INDEX(Table_Prescript_Meas[Units], MATCH(Table_Controls_Input22[[#This Row],[Measure number]], Table_Prescript_Meas[Measure Number], 0)), "")</f>
        <v/>
      </c>
      <c r="G31" s="191"/>
      <c r="H31" s="226"/>
      <c r="I31" s="226"/>
      <c r="J31"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1" s="227" t="str">
        <f>IFERROR(Table_Controls_Input22[[#This Row],[Number of units]]*Table_Controls_Input22[[#This Row],[Per-unit incentive]], "")</f>
        <v/>
      </c>
      <c r="L31" s="228" t="str">
        <f>IFERROR(Table_Controls_Input22[[#This Row],[Number of units]]*INDEX(Table_Prescript_Meas[Deemed kWh Savings], MATCH(Table_Controls_Input22[[#This Row],[Measure number]], Table_Prescript_Meas[Measure Number], 0)),"" )</f>
        <v/>
      </c>
      <c r="M31" s="229" t="str">
        <f>IFERROR(Table_Controls_Input22[[#This Row],[Number of units]]*INDEX(Table_Prescript_Meas[Deemed kW Savings], MATCH(Table_Controls_Input22[[#This Row],[Measure number]], Table_Prescript_Meas[Measure Number], 0)),"" )</f>
        <v/>
      </c>
      <c r="N31" s="227" t="str">
        <f t="shared" si="2"/>
        <v/>
      </c>
      <c r="O31" s="227" t="str">
        <f>IF(Table_Controls_Input22[[#This Row],[Measure number]]="", "", Table_Controls_Input22[[#This Row],[Total equipment cost]]+Table_Controls_Input22[[#This Row],[Total labor cost]])</f>
        <v/>
      </c>
      <c r="P31" s="227" t="str">
        <f>IFERROR(Table_Controls_Input22[[#This Row],[Gross measure cost]]-Table_Controls_Input22[[#This Row],[Estimated Incentive]], "")</f>
        <v/>
      </c>
      <c r="Q31" s="228" t="str">
        <f t="shared" si="1"/>
        <v/>
      </c>
      <c r="R31" s="193"/>
      <c r="S31" s="193"/>
      <c r="T31" s="193"/>
      <c r="U31" s="193"/>
      <c r="V31" s="193"/>
      <c r="W31" s="193"/>
      <c r="X31" s="193"/>
      <c r="Y31" s="193"/>
      <c r="Z31" s="193"/>
      <c r="AA31" s="193"/>
      <c r="AB31" s="193"/>
      <c r="AC31" s="193"/>
      <c r="AD31" s="193"/>
      <c r="AE31" s="193"/>
      <c r="AF31" s="193"/>
      <c r="AG31" s="193"/>
      <c r="AH31" s="193"/>
      <c r="AI31" s="193"/>
      <c r="AJ31" s="193"/>
      <c r="AK31" s="193"/>
      <c r="AL31" s="193"/>
      <c r="AM31" s="193"/>
    </row>
    <row r="32" spans="1:39">
      <c r="A32" s="193"/>
      <c r="B32" s="223">
        <v>28</v>
      </c>
      <c r="C32" s="192" t="str">
        <f>IFERROR(INDEX(Table_Prescript_Meas[Measure Number], MATCH(E32, Table_Prescript_Meas[Measure Description], 0)), "")</f>
        <v/>
      </c>
      <c r="D32" s="252"/>
      <c r="E32" s="253"/>
      <c r="F32" s="192" t="str">
        <f>IFERROR(INDEX(Table_Prescript_Meas[Units], MATCH(Table_Controls_Input22[[#This Row],[Measure number]], Table_Prescript_Meas[Measure Number], 0)), "")</f>
        <v/>
      </c>
      <c r="G32" s="191"/>
      <c r="H32" s="226"/>
      <c r="I32" s="226"/>
      <c r="J32"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2" s="227" t="str">
        <f>IFERROR(Table_Controls_Input22[[#This Row],[Number of units]]*Table_Controls_Input22[[#This Row],[Per-unit incentive]], "")</f>
        <v/>
      </c>
      <c r="L32" s="228" t="str">
        <f>IFERROR(Table_Controls_Input22[[#This Row],[Number of units]]*INDEX(Table_Prescript_Meas[Deemed kWh Savings], MATCH(Table_Controls_Input22[[#This Row],[Measure number]], Table_Prescript_Meas[Measure Number], 0)),"" )</f>
        <v/>
      </c>
      <c r="M32" s="229" t="str">
        <f>IFERROR(Table_Controls_Input22[[#This Row],[Number of units]]*INDEX(Table_Prescript_Meas[Deemed kW Savings], MATCH(Table_Controls_Input22[[#This Row],[Measure number]], Table_Prescript_Meas[Measure Number], 0)),"" )</f>
        <v/>
      </c>
      <c r="N32" s="227" t="str">
        <f t="shared" si="2"/>
        <v/>
      </c>
      <c r="O32" s="227" t="str">
        <f>IF(Table_Controls_Input22[[#This Row],[Measure number]]="", "", Table_Controls_Input22[[#This Row],[Total equipment cost]]+Table_Controls_Input22[[#This Row],[Total labor cost]])</f>
        <v/>
      </c>
      <c r="P32" s="227" t="str">
        <f>IFERROR(Table_Controls_Input22[[#This Row],[Gross measure cost]]-Table_Controls_Input22[[#This Row],[Estimated Incentive]], "")</f>
        <v/>
      </c>
      <c r="Q32" s="228" t="str">
        <f t="shared" si="1"/>
        <v/>
      </c>
      <c r="R32" s="193"/>
      <c r="S32" s="193"/>
      <c r="T32" s="193"/>
      <c r="U32" s="193"/>
      <c r="V32" s="193"/>
      <c r="W32" s="193"/>
      <c r="X32" s="193"/>
      <c r="Y32" s="193"/>
      <c r="Z32" s="193"/>
      <c r="AA32" s="193"/>
      <c r="AB32" s="193"/>
      <c r="AC32" s="193"/>
      <c r="AD32" s="193"/>
      <c r="AE32" s="193"/>
      <c r="AF32" s="193"/>
      <c r="AG32" s="193"/>
      <c r="AH32" s="193"/>
      <c r="AI32" s="193"/>
      <c r="AJ32" s="193"/>
      <c r="AK32" s="193"/>
      <c r="AL32" s="193"/>
      <c r="AM32" s="193"/>
    </row>
    <row r="33" spans="1:39">
      <c r="A33" s="193"/>
      <c r="B33" s="223">
        <v>29</v>
      </c>
      <c r="C33" s="192" t="str">
        <f>IFERROR(INDEX(Table_Prescript_Meas[Measure Number], MATCH(E33, Table_Prescript_Meas[Measure Description], 0)), "")</f>
        <v/>
      </c>
      <c r="D33" s="252"/>
      <c r="E33" s="253"/>
      <c r="F33" s="192" t="str">
        <f>IFERROR(INDEX(Table_Prescript_Meas[Units], MATCH(Table_Controls_Input22[[#This Row],[Measure number]], Table_Prescript_Meas[Measure Number], 0)), "")</f>
        <v/>
      </c>
      <c r="G33" s="191"/>
      <c r="H33" s="226"/>
      <c r="I33" s="226"/>
      <c r="J33"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3" s="227" t="str">
        <f>IFERROR(Table_Controls_Input22[[#This Row],[Number of units]]*Table_Controls_Input22[[#This Row],[Per-unit incentive]], "")</f>
        <v/>
      </c>
      <c r="L33" s="228" t="str">
        <f>IFERROR(Table_Controls_Input22[[#This Row],[Number of units]]*INDEX(Table_Prescript_Meas[Deemed kWh Savings], MATCH(Table_Controls_Input22[[#This Row],[Measure number]], Table_Prescript_Meas[Measure Number], 0)),"" )</f>
        <v/>
      </c>
      <c r="M33" s="229" t="str">
        <f>IFERROR(Table_Controls_Input22[[#This Row],[Number of units]]*INDEX(Table_Prescript_Meas[Deemed kW Savings], MATCH(Table_Controls_Input22[[#This Row],[Measure number]], Table_Prescript_Meas[Measure Number], 0)),"" )</f>
        <v/>
      </c>
      <c r="N33" s="227" t="str">
        <f t="shared" si="2"/>
        <v/>
      </c>
      <c r="O33" s="227" t="str">
        <f>IF(Table_Controls_Input22[[#This Row],[Measure number]]="", "", Table_Controls_Input22[[#This Row],[Total equipment cost]]+Table_Controls_Input22[[#This Row],[Total labor cost]])</f>
        <v/>
      </c>
      <c r="P33" s="227" t="str">
        <f>IFERROR(Table_Controls_Input22[[#This Row],[Gross measure cost]]-Table_Controls_Input22[[#This Row],[Estimated Incentive]], "")</f>
        <v/>
      </c>
      <c r="Q33" s="228" t="str">
        <f t="shared" si="1"/>
        <v/>
      </c>
      <c r="R33" s="193"/>
      <c r="S33" s="193"/>
      <c r="T33" s="193"/>
      <c r="U33" s="193"/>
      <c r="V33" s="193"/>
      <c r="W33" s="193"/>
      <c r="X33" s="193"/>
      <c r="Y33" s="193"/>
      <c r="Z33" s="193"/>
      <c r="AA33" s="193"/>
      <c r="AB33" s="193"/>
      <c r="AC33" s="193"/>
      <c r="AD33" s="193"/>
      <c r="AE33" s="193"/>
      <c r="AF33" s="193"/>
      <c r="AG33" s="193"/>
      <c r="AH33" s="193"/>
      <c r="AI33" s="193"/>
      <c r="AJ33" s="193"/>
      <c r="AK33" s="193"/>
      <c r="AL33" s="193"/>
      <c r="AM33" s="193"/>
    </row>
    <row r="34" spans="1:39">
      <c r="A34" s="193"/>
      <c r="B34" s="223">
        <v>30</v>
      </c>
      <c r="C34" s="192" t="str">
        <f>IFERROR(INDEX(Table_Prescript_Meas[Measure Number], MATCH(E34, Table_Prescript_Meas[Measure Description], 0)), "")</f>
        <v/>
      </c>
      <c r="D34" s="252"/>
      <c r="E34" s="253"/>
      <c r="F34" s="192" t="str">
        <f>IFERROR(INDEX(Table_Prescript_Meas[Units], MATCH(Table_Controls_Input22[[#This Row],[Measure number]], Table_Prescript_Meas[Measure Number], 0)), "")</f>
        <v/>
      </c>
      <c r="G34" s="191"/>
      <c r="H34" s="226"/>
      <c r="I34" s="226"/>
      <c r="J34" s="227"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4" s="227" t="str">
        <f>IFERROR(Table_Controls_Input22[[#This Row],[Number of units]]*Table_Controls_Input22[[#This Row],[Per-unit incentive]], "")</f>
        <v/>
      </c>
      <c r="L34" s="228" t="str">
        <f>IFERROR(Table_Controls_Input22[[#This Row],[Number of units]]*INDEX(Table_Prescript_Meas[Deemed kWh Savings], MATCH(Table_Controls_Input22[[#This Row],[Measure number]], Table_Prescript_Meas[Measure Number], 0)),"" )</f>
        <v/>
      </c>
      <c r="M34" s="229" t="str">
        <f>IFERROR(Table_Controls_Input22[[#This Row],[Number of units]]*INDEX(Table_Prescript_Meas[Deemed kW Savings], MATCH(Table_Controls_Input22[[#This Row],[Measure number]], Table_Prescript_Meas[Measure Number], 0)),"" )</f>
        <v/>
      </c>
      <c r="N34" s="227" t="str">
        <f t="shared" si="2"/>
        <v/>
      </c>
      <c r="O34" s="227" t="str">
        <f>IF(Table_Controls_Input22[[#This Row],[Measure number]]="", "", Table_Controls_Input22[[#This Row],[Total equipment cost]]+Table_Controls_Input22[[#This Row],[Total labor cost]])</f>
        <v/>
      </c>
      <c r="P34" s="227" t="str">
        <f>IFERROR(Table_Controls_Input22[[#This Row],[Gross measure cost]]-Table_Controls_Input22[[#This Row],[Estimated Incentive]], "")</f>
        <v/>
      </c>
      <c r="Q34" s="228" t="str">
        <f t="shared" si="1"/>
        <v/>
      </c>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row r="35" spans="1:39">
      <c r="A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39"/>
    <row r="37" spans="1:39">
      <c r="B37" s="189" t="s">
        <v>37</v>
      </c>
    </row>
    <row r="38" spans="1:39">
      <c r="B38" s="189" t="str">
        <f>Value_Application_Version</f>
        <v>Version 5.0 - 2025</v>
      </c>
    </row>
    <row r="39" spans="1:39"/>
    <row r="40" spans="1:39">
      <c r="A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row>
    <row r="41" spans="1:39">
      <c r="A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row>
    <row r="42" spans="1:39">
      <c r="A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row>
    <row r="43" spans="1:39">
      <c r="A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row>
    <row r="44" spans="1:39">
      <c r="A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row>
    <row r="45" spans="1:39">
      <c r="A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row>
    <row r="46" spans="1:39">
      <c r="A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c r="A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c r="A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row>
    <row r="49" spans="1:39">
      <c r="A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row>
    <row r="50" spans="1:39">
      <c r="A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row>
    <row r="51" spans="1:39">
      <c r="A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row>
    <row r="52" spans="1:39">
      <c r="A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row>
    <row r="53" spans="1:39">
      <c r="A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row>
    <row r="54" spans="1:39">
      <c r="A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1:39">
      <c r="A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1:39">
      <c r="A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1:39">
      <c r="A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row>
    <row r="58" spans="1:39">
      <c r="A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1:39">
      <c r="A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row>
    <row r="60" spans="1:39">
      <c r="A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row>
    <row r="61" spans="1:39">
      <c r="A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row>
    <row r="62" spans="1:39">
      <c r="A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row>
    <row r="63" spans="1:39">
      <c r="A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row>
    <row r="64" spans="1:39">
      <c r="A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row>
    <row r="65" spans="1:39">
      <c r="A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row>
    <row r="66" spans="1:39">
      <c r="A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row>
    <row r="67" spans="1:39">
      <c r="A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row>
    <row r="68" spans="1:39">
      <c r="A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row>
    <row r="69" spans="1:39">
      <c r="A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row>
    <row r="70" spans="1:39">
      <c r="A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row>
    <row r="71" spans="1:39">
      <c r="A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row>
    <row r="72" spans="1:39">
      <c r="A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row>
    <row r="73" spans="1:39">
      <c r="A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1:39">
      <c r="A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1:39">
      <c r="A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1:39">
      <c r="A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1:39">
      <c r="A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1:39">
      <c r="A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row>
    <row r="79" spans="1:39">
      <c r="A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row>
    <row r="80" spans="1:39">
      <c r="A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row>
    <row r="81" spans="1:39">
      <c r="A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row>
    <row r="82" spans="1:39">
      <c r="A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row>
    <row r="83" spans="1:39">
      <c r="A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row>
    <row r="84" spans="1:39">
      <c r="A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row>
    <row r="85" spans="1:39">
      <c r="A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row>
    <row r="86" spans="1:39">
      <c r="A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row>
    <row r="87" spans="1:39">
      <c r="A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row>
    <row r="88" spans="1:39">
      <c r="A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row>
    <row r="89" spans="1:39">
      <c r="A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row>
    <row r="90" spans="1:39">
      <c r="A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row>
    <row r="91" spans="1:39">
      <c r="A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row>
    <row r="92" spans="1:39">
      <c r="A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row>
    <row r="93" spans="1:39">
      <c r="A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row>
    <row r="94" spans="1:39">
      <c r="A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row>
    <row r="95" spans="1:39">
      <c r="A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row>
    <row r="96" spans="1:39">
      <c r="A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row>
    <row r="97" spans="1:39">
      <c r="A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row>
    <row r="98" spans="1:39">
      <c r="A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row>
    <row r="99" spans="1:39">
      <c r="A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row>
    <row r="100" spans="1:39">
      <c r="A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row>
    <row r="101" spans="1:39">
      <c r="A101" s="193"/>
      <c r="R101" s="193"/>
      <c r="S101" s="193"/>
      <c r="T101" s="193"/>
      <c r="U101" s="193"/>
      <c r="V101" s="193"/>
      <c r="W101" s="193"/>
      <c r="X101" s="193"/>
      <c r="Y101" s="193"/>
      <c r="Z101" s="193"/>
      <c r="AA101" s="193"/>
      <c r="AB101" s="193"/>
      <c r="AC101" s="193"/>
      <c r="AD101" s="193"/>
      <c r="AE101" s="193"/>
      <c r="AF101" s="193"/>
      <c r="AG101" s="193"/>
      <c r="AH101" s="193"/>
      <c r="AI101" s="193"/>
      <c r="AJ101" s="193"/>
      <c r="AK101" s="193"/>
      <c r="AL101" s="193"/>
      <c r="AM101" s="193"/>
    </row>
    <row r="102" spans="1:39">
      <c r="A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row>
    <row r="103" spans="1:39">
      <c r="A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row>
    <row r="104" spans="1:39">
      <c r="A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row>
    <row r="105" spans="1:39">
      <c r="A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row>
    <row r="106" spans="1:39">
      <c r="A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row>
    <row r="107" spans="1:39">
      <c r="A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row>
    <row r="108" spans="1:39">
      <c r="A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row>
    <row r="109" spans="1:39">
      <c r="A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row>
    <row r="110" spans="1:39">
      <c r="A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row>
    <row r="111" spans="1:39">
      <c r="A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row>
    <row r="112" spans="1:39">
      <c r="A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row>
    <row r="113" spans="1:39">
      <c r="A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row>
    <row r="114" spans="1:39">
      <c r="A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row>
    <row r="115" spans="1:39">
      <c r="A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row>
    <row r="116" spans="1:39">
      <c r="A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row>
    <row r="117" spans="1:39">
      <c r="A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row>
    <row r="118" spans="1:39">
      <c r="A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row>
    <row r="119" spans="1:39">
      <c r="A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row>
    <row r="120" spans="1:39">
      <c r="A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row>
    <row r="121" spans="1:39">
      <c r="A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row>
    <row r="122" spans="1:39">
      <c r="A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row>
    <row r="123" spans="1:39">
      <c r="A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row>
    <row r="124" spans="1:39">
      <c r="A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row>
    <row r="125" spans="1:39">
      <c r="A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row>
    <row r="126" spans="1:39">
      <c r="A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row>
    <row r="127" spans="1:39">
      <c r="A127" s="193"/>
      <c r="R127" s="193"/>
      <c r="S127" s="193"/>
      <c r="T127" s="193"/>
      <c r="U127" s="193"/>
      <c r="V127" s="193"/>
      <c r="W127" s="193"/>
      <c r="X127" s="193"/>
      <c r="Y127" s="193"/>
      <c r="Z127" s="193"/>
      <c r="AA127" s="193"/>
      <c r="AB127" s="193"/>
      <c r="AC127" s="193"/>
      <c r="AD127" s="193"/>
      <c r="AE127" s="193"/>
      <c r="AF127" s="193"/>
      <c r="AG127" s="193"/>
      <c r="AH127" s="193"/>
      <c r="AI127" s="193"/>
      <c r="AJ127" s="193"/>
      <c r="AK127" s="193"/>
      <c r="AL127" s="193"/>
      <c r="AM127" s="193"/>
    </row>
    <row r="128" spans="1:39">
      <c r="A128" s="193"/>
      <c r="R128" s="193"/>
      <c r="S128" s="193"/>
      <c r="T128" s="193"/>
      <c r="U128" s="193"/>
      <c r="V128" s="193"/>
      <c r="W128" s="193"/>
      <c r="X128" s="193"/>
      <c r="Y128" s="193"/>
      <c r="Z128" s="193"/>
      <c r="AA128" s="193"/>
      <c r="AB128" s="193"/>
      <c r="AC128" s="193"/>
      <c r="AD128" s="193"/>
      <c r="AE128" s="193"/>
      <c r="AF128" s="193"/>
      <c r="AG128" s="193"/>
      <c r="AH128" s="193"/>
      <c r="AI128" s="193"/>
      <c r="AJ128" s="193"/>
      <c r="AK128" s="193"/>
      <c r="AL128" s="193"/>
      <c r="AM128" s="193"/>
    </row>
    <row r="129" spans="1:39">
      <c r="A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row>
    <row r="130" spans="1:39">
      <c r="A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row>
    <row r="131" spans="1:39">
      <c r="A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row>
    <row r="132" spans="1:39">
      <c r="A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row>
    <row r="133" spans="1:39">
      <c r="A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row>
    <row r="134" spans="1:39">
      <c r="A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row>
    <row r="135" spans="1:39">
      <c r="A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row>
    <row r="136" spans="1:39">
      <c r="A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row>
    <row r="137" spans="1:39">
      <c r="A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row>
    <row r="138" spans="1:39">
      <c r="A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row>
    <row r="139" spans="1:39">
      <c r="A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row>
    <row r="140" spans="1:39">
      <c r="A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row>
    <row r="141" spans="1:39">
      <c r="A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row>
    <row r="142" spans="1:39">
      <c r="A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row>
    <row r="143" spans="1:39">
      <c r="A143" s="193"/>
      <c r="R143" s="193"/>
      <c r="S143" s="193"/>
      <c r="T143" s="193"/>
      <c r="U143" s="193"/>
      <c r="V143" s="193"/>
      <c r="W143" s="193"/>
      <c r="X143" s="193"/>
      <c r="Y143" s="193"/>
      <c r="Z143" s="193"/>
      <c r="AA143" s="193"/>
      <c r="AB143" s="193"/>
      <c r="AC143" s="193"/>
      <c r="AD143" s="193"/>
      <c r="AE143" s="193"/>
      <c r="AF143" s="193"/>
      <c r="AG143" s="193"/>
      <c r="AH143" s="193"/>
      <c r="AI143" s="193"/>
      <c r="AJ143" s="193"/>
      <c r="AK143" s="193"/>
      <c r="AL143" s="193"/>
      <c r="AM143" s="193"/>
    </row>
    <row r="144" spans="1:39">
      <c r="A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row>
    <row r="145" spans="1:39">
      <c r="A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row>
    <row r="146" spans="1:39">
      <c r="A146" s="193"/>
      <c r="R146" s="193"/>
      <c r="S146" s="193"/>
      <c r="T146" s="193"/>
      <c r="U146" s="193"/>
      <c r="V146" s="193"/>
      <c r="W146" s="193"/>
      <c r="X146" s="193"/>
      <c r="Y146" s="193"/>
      <c r="Z146" s="193"/>
      <c r="AA146" s="193"/>
      <c r="AB146" s="193"/>
      <c r="AC146" s="193"/>
      <c r="AD146" s="193"/>
      <c r="AE146" s="193"/>
      <c r="AF146" s="193"/>
      <c r="AG146" s="193"/>
      <c r="AH146" s="193"/>
      <c r="AI146" s="193"/>
      <c r="AJ146" s="193"/>
      <c r="AK146" s="193"/>
      <c r="AL146" s="193"/>
      <c r="AM146" s="193"/>
    </row>
    <row r="147" spans="1:39">
      <c r="A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row>
    <row r="148" spans="1:39">
      <c r="A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row>
    <row r="149" spans="1:39">
      <c r="A149" s="193"/>
      <c r="R149" s="193"/>
      <c r="S149" s="193"/>
      <c r="T149" s="193"/>
      <c r="U149" s="193"/>
      <c r="V149" s="193"/>
      <c r="W149" s="193"/>
      <c r="X149" s="193"/>
      <c r="Y149" s="193"/>
      <c r="Z149" s="193"/>
      <c r="AA149" s="193"/>
      <c r="AB149" s="193"/>
      <c r="AC149" s="193"/>
      <c r="AD149" s="193"/>
      <c r="AE149" s="193"/>
      <c r="AF149" s="193"/>
      <c r="AG149" s="193"/>
      <c r="AH149" s="193"/>
      <c r="AI149" s="193"/>
      <c r="AJ149" s="193"/>
      <c r="AK149" s="193"/>
      <c r="AL149" s="193"/>
      <c r="AM149" s="193"/>
    </row>
    <row r="150" spans="1:39">
      <c r="A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row>
    <row r="151" spans="1:39">
      <c r="A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row>
    <row r="152" spans="1:39">
      <c r="A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row>
    <row r="153" spans="1:39">
      <c r="A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row>
    <row r="154" spans="1:39">
      <c r="A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row>
    <row r="155" spans="1:39">
      <c r="A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row>
    <row r="156" spans="1:39">
      <c r="A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row>
    <row r="157" spans="1:39">
      <c r="A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row>
    <row r="158" spans="1:39">
      <c r="A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row>
    <row r="159" spans="1:39">
      <c r="A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row>
    <row r="160" spans="1:39">
      <c r="A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row>
    <row r="161" spans="1:39">
      <c r="A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row>
    <row r="162" spans="1:39">
      <c r="A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row>
    <row r="163" spans="1:39">
      <c r="A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row>
    <row r="164" spans="1:39">
      <c r="A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row>
    <row r="165" spans="1:39">
      <c r="A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row>
    <row r="166" spans="1:39">
      <c r="A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93"/>
    </row>
    <row r="167" spans="1:39">
      <c r="A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row>
    <row r="168" spans="1:39">
      <c r="A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row>
    <row r="169" spans="1:39">
      <c r="A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row>
    <row r="170" spans="1:39">
      <c r="A170" s="193"/>
      <c r="R170" s="193"/>
      <c r="S170" s="193"/>
      <c r="T170" s="193"/>
      <c r="U170" s="193"/>
      <c r="V170" s="193"/>
      <c r="W170" s="193"/>
      <c r="X170" s="193"/>
      <c r="Y170" s="193"/>
      <c r="Z170" s="193"/>
      <c r="AA170" s="193"/>
      <c r="AB170" s="193"/>
      <c r="AC170" s="193"/>
      <c r="AD170" s="193"/>
      <c r="AE170" s="193"/>
      <c r="AF170" s="193"/>
      <c r="AG170" s="193"/>
      <c r="AH170" s="193"/>
      <c r="AI170" s="193"/>
      <c r="AJ170" s="193"/>
      <c r="AK170" s="193"/>
      <c r="AL170" s="193"/>
      <c r="AM170" s="193"/>
    </row>
    <row r="171" spans="1:39">
      <c r="A171" s="193"/>
      <c r="R171" s="193"/>
      <c r="S171" s="193"/>
      <c r="T171" s="193"/>
      <c r="U171" s="193"/>
      <c r="V171" s="193"/>
      <c r="W171" s="193"/>
      <c r="X171" s="193"/>
      <c r="Y171" s="193"/>
      <c r="Z171" s="193"/>
      <c r="AA171" s="193"/>
      <c r="AB171" s="193"/>
      <c r="AC171" s="193"/>
      <c r="AD171" s="193"/>
      <c r="AE171" s="193"/>
      <c r="AF171" s="193"/>
      <c r="AG171" s="193"/>
      <c r="AH171" s="193"/>
      <c r="AI171" s="193"/>
      <c r="AJ171" s="193"/>
      <c r="AK171" s="193"/>
      <c r="AL171" s="193"/>
      <c r="AM171" s="193"/>
    </row>
    <row r="172" spans="1:39">
      <c r="A172" s="193"/>
      <c r="R172" s="193"/>
      <c r="S172" s="193"/>
      <c r="T172" s="193"/>
      <c r="U172" s="193"/>
      <c r="V172" s="193"/>
      <c r="W172" s="193"/>
      <c r="X172" s="193"/>
      <c r="Y172" s="193"/>
      <c r="Z172" s="193"/>
      <c r="AA172" s="193"/>
      <c r="AB172" s="193"/>
      <c r="AC172" s="193"/>
      <c r="AD172" s="193"/>
      <c r="AE172" s="193"/>
      <c r="AF172" s="193"/>
      <c r="AG172" s="193"/>
      <c r="AH172" s="193"/>
      <c r="AI172" s="193"/>
      <c r="AJ172" s="193"/>
      <c r="AK172" s="193"/>
      <c r="AL172" s="193"/>
      <c r="AM172" s="193"/>
    </row>
    <row r="173" spans="1:39">
      <c r="A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row>
    <row r="174" spans="1:39">
      <c r="A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row>
    <row r="175" spans="1:39">
      <c r="A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1:39">
      <c r="A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row>
    <row r="178" spans="1:39">
      <c r="A178" s="193"/>
      <c r="R178" s="193"/>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row>
    <row r="179" spans="1:39">
      <c r="A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row>
    <row r="180" spans="1:39">
      <c r="A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row>
    <row r="181" spans="1:39">
      <c r="A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row>
    <row r="182" spans="1:39">
      <c r="A182" s="193"/>
      <c r="R182" s="193"/>
      <c r="S182" s="193"/>
      <c r="T182" s="193"/>
      <c r="U182" s="193"/>
      <c r="V182" s="193"/>
      <c r="W182" s="193"/>
      <c r="X182" s="193"/>
      <c r="Y182" s="193"/>
      <c r="Z182" s="193"/>
      <c r="AA182" s="193"/>
      <c r="AB182" s="193"/>
      <c r="AC182" s="193"/>
      <c r="AD182" s="193"/>
      <c r="AE182" s="193"/>
      <c r="AF182" s="193"/>
      <c r="AG182" s="193"/>
      <c r="AH182" s="193"/>
      <c r="AI182" s="193"/>
      <c r="AJ182" s="193"/>
      <c r="AK182" s="193"/>
      <c r="AL182" s="193"/>
      <c r="AM182" s="193"/>
    </row>
    <row r="183" spans="1:39">
      <c r="A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row>
    <row r="184" spans="1:39">
      <c r="A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row>
    <row r="185" spans="1:39">
      <c r="A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row>
    <row r="186" spans="1:39">
      <c r="A186" s="193"/>
      <c r="R186" s="193"/>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row>
    <row r="187" spans="1:39">
      <c r="A187" s="193"/>
      <c r="R187" s="193"/>
      <c r="S187" s="193"/>
      <c r="T187" s="193"/>
      <c r="U187" s="193"/>
      <c r="V187" s="193"/>
      <c r="W187" s="193"/>
      <c r="X187" s="193"/>
      <c r="Y187" s="193"/>
      <c r="Z187" s="193"/>
      <c r="AA187" s="193"/>
      <c r="AB187" s="193"/>
      <c r="AC187" s="193"/>
      <c r="AD187" s="193"/>
      <c r="AE187" s="193"/>
      <c r="AF187" s="193"/>
      <c r="AG187" s="193"/>
      <c r="AH187" s="193"/>
      <c r="AI187" s="193"/>
      <c r="AJ187" s="193"/>
      <c r="AK187" s="193"/>
      <c r="AL187" s="193"/>
      <c r="AM187" s="193"/>
    </row>
    <row r="188" spans="1:39">
      <c r="A188" s="193"/>
      <c r="R188" s="193"/>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row>
    <row r="189" spans="1:39">
      <c r="A189" s="193"/>
      <c r="R189" s="193"/>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row>
    <row r="190" spans="1:39">
      <c r="A190" s="193"/>
      <c r="R190" s="193"/>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row>
    <row r="191" spans="1:39">
      <c r="A191" s="193"/>
      <c r="R191" s="193"/>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row>
    <row r="192" spans="1:39">
      <c r="A192" s="193"/>
      <c r="R192" s="193"/>
      <c r="S192" s="193"/>
      <c r="T192" s="193"/>
      <c r="U192" s="193"/>
      <c r="V192" s="193"/>
      <c r="W192" s="193"/>
      <c r="X192" s="193"/>
      <c r="Y192" s="193"/>
      <c r="Z192" s="193"/>
      <c r="AA192" s="193"/>
      <c r="AB192" s="193"/>
      <c r="AC192" s="193"/>
      <c r="AD192" s="193"/>
      <c r="AE192" s="193"/>
      <c r="AF192" s="193"/>
      <c r="AG192" s="193"/>
      <c r="AH192" s="193"/>
      <c r="AI192" s="193"/>
      <c r="AJ192" s="193"/>
      <c r="AK192" s="193"/>
      <c r="AL192" s="193"/>
      <c r="AM192" s="193"/>
    </row>
    <row r="193" spans="1:39">
      <c r="A193" s="193"/>
      <c r="R193" s="193"/>
      <c r="S193" s="193"/>
      <c r="T193" s="193"/>
      <c r="U193" s="193"/>
      <c r="V193" s="193"/>
      <c r="W193" s="193"/>
      <c r="X193" s="193"/>
      <c r="Y193" s="193"/>
      <c r="Z193" s="193"/>
      <c r="AA193" s="193"/>
      <c r="AB193" s="193"/>
      <c r="AC193" s="193"/>
      <c r="AD193" s="193"/>
      <c r="AE193" s="193"/>
      <c r="AF193" s="193"/>
      <c r="AG193" s="193"/>
      <c r="AH193" s="193"/>
      <c r="AI193" s="193"/>
      <c r="AJ193" s="193"/>
      <c r="AK193" s="193"/>
      <c r="AL193" s="193"/>
      <c r="AM193" s="193"/>
    </row>
    <row r="194" spans="1:39">
      <c r="A194" s="193"/>
      <c r="R194" s="193"/>
      <c r="S194" s="193"/>
      <c r="T194" s="193"/>
      <c r="U194" s="193"/>
      <c r="V194" s="193"/>
      <c r="W194" s="193"/>
      <c r="X194" s="193"/>
      <c r="Y194" s="193"/>
      <c r="Z194" s="193"/>
      <c r="AA194" s="193"/>
      <c r="AB194" s="193"/>
      <c r="AC194" s="193"/>
      <c r="AD194" s="193"/>
      <c r="AE194" s="193"/>
      <c r="AF194" s="193"/>
      <c r="AG194" s="193"/>
      <c r="AH194" s="193"/>
      <c r="AI194" s="193"/>
      <c r="AJ194" s="193"/>
      <c r="AK194" s="193"/>
      <c r="AL194" s="193"/>
      <c r="AM194" s="193"/>
    </row>
    <row r="195" spans="1:39">
      <c r="A195" s="193"/>
      <c r="R195" s="193"/>
      <c r="S195" s="193"/>
      <c r="T195" s="193"/>
      <c r="U195" s="193"/>
      <c r="V195" s="193"/>
      <c r="W195" s="193"/>
      <c r="X195" s="193"/>
      <c r="Y195" s="193"/>
      <c r="Z195" s="193"/>
      <c r="AA195" s="193"/>
      <c r="AB195" s="193"/>
      <c r="AC195" s="193"/>
      <c r="AD195" s="193"/>
      <c r="AE195" s="193"/>
      <c r="AF195" s="193"/>
      <c r="AG195" s="193"/>
      <c r="AH195" s="193"/>
      <c r="AI195" s="193"/>
      <c r="AJ195" s="193"/>
      <c r="AK195" s="193"/>
      <c r="AL195" s="193"/>
      <c r="AM195" s="193"/>
    </row>
    <row r="196" spans="1:39">
      <c r="A196" s="193"/>
      <c r="R196" s="193"/>
      <c r="S196" s="193"/>
      <c r="T196" s="193"/>
      <c r="U196" s="193"/>
      <c r="V196" s="193"/>
      <c r="W196" s="193"/>
      <c r="X196" s="193"/>
      <c r="Y196" s="193"/>
      <c r="Z196" s="193"/>
      <c r="AA196" s="193"/>
      <c r="AB196" s="193"/>
      <c r="AC196" s="193"/>
      <c r="AD196" s="193"/>
      <c r="AE196" s="193"/>
      <c r="AF196" s="193"/>
      <c r="AG196" s="193"/>
      <c r="AH196" s="193"/>
      <c r="AI196" s="193"/>
      <c r="AJ196" s="193"/>
      <c r="AK196" s="193"/>
      <c r="AL196" s="193"/>
      <c r="AM196" s="193"/>
    </row>
    <row r="197" spans="1:39">
      <c r="A197" s="193"/>
      <c r="R197" s="193"/>
      <c r="S197" s="193"/>
      <c r="T197" s="193"/>
      <c r="U197" s="193"/>
      <c r="V197" s="193"/>
      <c r="W197" s="193"/>
      <c r="X197" s="193"/>
      <c r="Y197" s="193"/>
      <c r="Z197" s="193"/>
      <c r="AA197" s="193"/>
      <c r="AB197" s="193"/>
      <c r="AC197" s="193"/>
      <c r="AD197" s="193"/>
      <c r="AE197" s="193"/>
      <c r="AF197" s="193"/>
      <c r="AG197" s="193"/>
      <c r="AH197" s="193"/>
      <c r="AI197" s="193"/>
      <c r="AJ197" s="193"/>
      <c r="AK197" s="193"/>
      <c r="AL197" s="193"/>
      <c r="AM197" s="193"/>
    </row>
    <row r="198" spans="1:39">
      <c r="A198" s="193"/>
      <c r="R198" s="193"/>
      <c r="S198" s="193"/>
      <c r="T198" s="193"/>
      <c r="U198" s="193"/>
      <c r="V198" s="193"/>
      <c r="W198" s="193"/>
      <c r="X198" s="193"/>
      <c r="Y198" s="193"/>
      <c r="Z198" s="193"/>
      <c r="AA198" s="193"/>
      <c r="AB198" s="193"/>
      <c r="AC198" s="193"/>
      <c r="AD198" s="193"/>
      <c r="AE198" s="193"/>
      <c r="AF198" s="193"/>
      <c r="AG198" s="193"/>
      <c r="AH198" s="193"/>
      <c r="AI198" s="193"/>
      <c r="AJ198" s="193"/>
      <c r="AK198" s="193"/>
      <c r="AL198" s="193"/>
      <c r="AM198" s="193"/>
    </row>
    <row r="199" spans="1:39">
      <c r="A199" s="193"/>
      <c r="R199" s="193"/>
      <c r="S199" s="193"/>
      <c r="T199" s="193"/>
      <c r="U199" s="193"/>
      <c r="V199" s="193"/>
      <c r="W199" s="193"/>
      <c r="X199" s="193"/>
      <c r="Y199" s="193"/>
      <c r="Z199" s="193"/>
      <c r="AA199" s="193"/>
      <c r="AB199" s="193"/>
      <c r="AC199" s="193"/>
      <c r="AD199" s="193"/>
      <c r="AE199" s="193"/>
      <c r="AF199" s="193"/>
      <c r="AG199" s="193"/>
      <c r="AH199" s="193"/>
      <c r="AI199" s="193"/>
      <c r="AJ199" s="193"/>
      <c r="AK199" s="193"/>
      <c r="AL199" s="193"/>
      <c r="AM199" s="193"/>
    </row>
    <row r="200" spans="1:39">
      <c r="A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row>
    <row r="201" spans="1:39">
      <c r="A201" s="193"/>
      <c r="R201" s="193"/>
      <c r="S201" s="193"/>
      <c r="T201" s="193"/>
      <c r="U201" s="193"/>
      <c r="V201" s="193"/>
      <c r="W201" s="193"/>
      <c r="X201" s="193"/>
      <c r="Y201" s="193"/>
      <c r="Z201" s="193"/>
      <c r="AA201" s="193"/>
      <c r="AB201" s="193"/>
      <c r="AC201" s="193"/>
      <c r="AD201" s="193"/>
      <c r="AE201" s="193"/>
      <c r="AF201" s="193"/>
      <c r="AG201" s="193"/>
      <c r="AH201" s="193"/>
      <c r="AI201" s="193"/>
      <c r="AJ201" s="193"/>
      <c r="AK201" s="193"/>
      <c r="AL201" s="193"/>
      <c r="AM201" s="193"/>
    </row>
    <row r="202" spans="1:39">
      <c r="A202" s="193"/>
      <c r="R202" s="193"/>
      <c r="S202" s="193"/>
      <c r="T202" s="193"/>
      <c r="U202" s="193"/>
      <c r="V202" s="193"/>
      <c r="W202" s="193"/>
      <c r="X202" s="193"/>
      <c r="Y202" s="193"/>
      <c r="Z202" s="193"/>
      <c r="AA202" s="193"/>
      <c r="AB202" s="193"/>
      <c r="AC202" s="193"/>
      <c r="AD202" s="193"/>
      <c r="AE202" s="193"/>
      <c r="AF202" s="193"/>
      <c r="AG202" s="193"/>
      <c r="AH202" s="193"/>
      <c r="AI202" s="193"/>
      <c r="AJ202" s="193"/>
      <c r="AK202" s="193"/>
      <c r="AL202" s="193"/>
      <c r="AM202" s="193"/>
    </row>
    <row r="203" spans="1:39">
      <c r="A203" s="193"/>
      <c r="R203" s="193"/>
      <c r="S203" s="193"/>
      <c r="T203" s="193"/>
      <c r="U203" s="193"/>
      <c r="V203" s="193"/>
      <c r="W203" s="193"/>
      <c r="X203" s="193"/>
      <c r="Y203" s="193"/>
      <c r="Z203" s="193"/>
      <c r="AA203" s="193"/>
      <c r="AB203" s="193"/>
      <c r="AC203" s="193"/>
      <c r="AD203" s="193"/>
      <c r="AE203" s="193"/>
      <c r="AF203" s="193"/>
      <c r="AG203" s="193"/>
      <c r="AH203" s="193"/>
      <c r="AI203" s="193"/>
      <c r="AJ203" s="193"/>
      <c r="AK203" s="193"/>
      <c r="AL203" s="193"/>
      <c r="AM203" s="193"/>
    </row>
    <row r="204" spans="1:39">
      <c r="A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193"/>
      <c r="AM204" s="193"/>
    </row>
  </sheetData>
  <sheetProtection algorithmName="SHA-512" hashValue="l5TwUB76rJiRlyqIsDPmcg7H75jJE46W0O2waUozv8WMTZYuvRsEv1Qnwek56kTggWCWtCPb0sJW+a921/ZQQg==" saltValue="B+CMCBOxAC3tMq0uhGcdVQ==" spinCount="100000" sheet="1" selectLockedCells="1"/>
  <mergeCells count="2">
    <mergeCell ref="G3:I3"/>
    <mergeCell ref="B2:N2"/>
  </mergeCells>
  <conditionalFormatting sqref="G5:I34">
    <cfRule type="expression" dxfId="138" priority="1">
      <formula>$E5=""</formula>
    </cfRule>
  </conditionalFormatting>
  <dataValidations count="1">
    <dataValidation type="list" allowBlank="1" showInputMessage="1" showErrorMessage="1" sqref="E5:E34" xr:uid="{FCBD3419-D020-4D94-8BC7-C23011E34A13}">
      <formula1>List_Misc_Measure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af5a3b8-19fe-4aaf-8551-0b725c993cda"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92AA58A4A41B1F4CAE32AA5B340BDA7D" ma:contentTypeVersion="60" ma:contentTypeDescription="Create a new document." ma:contentTypeScope="" ma:versionID="957fdf9ee701b1418fc08cbece01d279">
  <xsd:schema xmlns:xsd="http://www.w3.org/2001/XMLSchema" xmlns:xs="http://www.w3.org/2001/XMLSchema" xmlns:p="http://schemas.microsoft.com/office/2006/metadata/properties" xmlns:ns1="http://schemas.microsoft.com/sharepoint/v3" xmlns:ns2="31dec9db-5195-47be-9e82-d05353a30672" xmlns:ns3="405923a6-f60e-469d-8560-ac7b1a3d2c54" xmlns:ns4="6b2b484f-4c19-4c24-b89d-0399ef7e60bb" targetNamespace="http://schemas.microsoft.com/office/2006/metadata/properties" ma:root="true" ma:fieldsID="83a0fb75b310229db32a75562a88d429" ns1:_="" ns2:_="" ns3:_="" ns4:_="">
    <xsd:import namespace="http://schemas.microsoft.com/sharepoint/v3"/>
    <xsd:import namespace="31dec9db-5195-47be-9e82-d05353a30672"/>
    <xsd:import namespace="405923a6-f60e-469d-8560-ac7b1a3d2c54"/>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ec9db-5195-47be-9e82-d05353a306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Thumbnail" ma:index="27"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5923a6-f60e-469d-8560-ac7b1a3d2c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31dec9db-5195-47be-9e82-d05353a30672">
      <Terms xmlns="http://schemas.microsoft.com/office/infopath/2007/PartnerControls"/>
    </lcf76f155ced4ddcb4097134ff3c332f>
    <_ip_UnifiedCompliancePolicyUIAction xmlns="http://schemas.microsoft.com/sharepoint/v3" xsi:nil="true"/>
    <Thumbnail xmlns="31dec9db-5195-47be-9e82-d05353a30672"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E50F1C-15DA-45E9-ACE8-A9BF452DD6F1}"/>
</file>

<file path=customXml/itemProps2.xml><?xml version="1.0" encoding="utf-8"?>
<ds:datastoreItem xmlns:ds="http://schemas.openxmlformats.org/officeDocument/2006/customXml" ds:itemID="{AF4011EB-45B7-434D-B7CC-886B76384C57}"/>
</file>

<file path=customXml/itemProps3.xml><?xml version="1.0" encoding="utf-8"?>
<ds:datastoreItem xmlns:ds="http://schemas.openxmlformats.org/officeDocument/2006/customXml" ds:itemID="{6CB6706F-DDF4-41B7-B137-65BA3C1C0B78}"/>
</file>

<file path=customXml/itemProps4.xml><?xml version="1.0" encoding="utf-8"?>
<ds:datastoreItem xmlns:ds="http://schemas.openxmlformats.org/officeDocument/2006/customXml" ds:itemID="{B8F538E9-556C-4740-9384-70820DA6A959}"/>
</file>

<file path=docProps/app.xml><?xml version="1.0" encoding="utf-8"?>
<Properties xmlns="http://schemas.openxmlformats.org/officeDocument/2006/extended-properties" xmlns:vt="http://schemas.openxmlformats.org/officeDocument/2006/docPropsVTypes">
  <Application>Microsoft Excel Online</Application>
  <Manager/>
  <Company>Chicago Bridge &amp; Iron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
  <cp:revision/>
  <dcterms:created xsi:type="dcterms:W3CDTF">2017-02-21T18:38:33Z</dcterms:created>
  <dcterms:modified xsi:type="dcterms:W3CDTF">2025-03-26T15:24:10Z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0x01010092AA58A4A41B1F4CAE32AA5B340BDA7D</vt:lpwstr>
  </property>
  <property fmtid="{D5CDD505-2E9C-101B-9397-08002B2CF9AE}" pid="3" name="MediaServiceImageTags">
    <vt:lpwstr/>
  </property>
</Properties>
</file>