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omments2.xml" ContentType="application/vnd.openxmlformats-officedocument.spreadsheetml.comments+xml"/>
  <Override PartName="/xl/namedSheetViews/namedSheetView1.xml" ContentType="application/vnd.ms-excel.namedsheetviews+xml"/>
  <Override PartName="/xl/drawings/drawing5.xml" ContentType="application/vnd.openxmlformats-officedocument.drawing+xml"/>
  <Override PartName="/xl/tables/table2.xml" ContentType="application/vnd.openxmlformats-officedocument.spreadsheetml.table+xml"/>
  <Override PartName="/xl/comments3.xml" ContentType="application/vnd.openxmlformats-officedocument.spreadsheetml.comments+xml"/>
  <Override PartName="/xl/drawings/drawing6.xml" ContentType="application/vnd.openxmlformats-officedocument.drawing+xml"/>
  <Override PartName="/xl/tables/table3.xml" ContentType="application/vnd.openxmlformats-officedocument.spreadsheetml.table+xml"/>
  <Override PartName="/xl/comments4.xml" ContentType="application/vnd.openxmlformats-officedocument.spreadsheetml.comments+xml"/>
  <Override PartName="/xl/drawings/drawing7.xml" ContentType="application/vnd.openxmlformats-officedocument.drawing+xml"/>
  <Override PartName="/xl/tables/table4.xml" ContentType="application/vnd.openxmlformats-officedocument.spreadsheetml.table+xml"/>
  <Override PartName="/xl/comments5.xml" ContentType="application/vnd.openxmlformats-officedocument.spreadsheetml.comments+xml"/>
  <Override PartName="/xl/drawings/drawing8.xml" ContentType="application/vnd.openxmlformats-officedocument.drawing+xml"/>
  <Override PartName="/xl/tables/table5.xml" ContentType="application/vnd.openxmlformats-officedocument.spreadsheetml.table+xml"/>
  <Override PartName="/xl/comments6.xml" ContentType="application/vnd.openxmlformats-officedocument.spreadsheetml.comments+xml"/>
  <Override PartName="/xl/drawings/drawing9.xml" ContentType="application/vnd.openxmlformats-officedocument.drawing+xml"/>
  <Override PartName="/xl/tables/table6.xml" ContentType="application/vnd.openxmlformats-officedocument.spreadsheetml.table+xml"/>
  <Override PartName="/xl/comments7.xml" ContentType="application/vnd.openxmlformats-officedocument.spreadsheetml.comments+xml"/>
  <Override PartName="/xl/drawings/drawing10.xml" ContentType="application/vnd.openxmlformats-officedocument.drawing+xml"/>
  <Override PartName="/xl/tables/table7.xml" ContentType="application/vnd.openxmlformats-officedocument.spreadsheetml.table+xml"/>
  <Override PartName="/xl/comments8.xml" ContentType="application/vnd.openxmlformats-officedocument.spreadsheetml.comments+xml"/>
  <Override PartName="/xl/drawings/drawing1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comments9.xml" ContentType="application/vnd.openxmlformats-officedocument.spreadsheetml.comments+xml"/>
  <Override PartName="/xl/drawings/drawing12.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0.xml" ContentType="application/vnd.openxmlformats-officedocument.spreadsheetml.comments+xml"/>
  <Override PartName="/xl/threadedComments/threadedComment1.xml" ContentType="application/vnd.ms-excel.threadedcomments+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https://aptimcorp-my.sharepoint.com/personal/dawn_ellerd_aptim_com/Documents/Documents/Workbook_Calculators/"/>
    </mc:Choice>
  </mc:AlternateContent>
  <xr:revisionPtr revIDLastSave="0" documentId="8_{F690B533-E1C4-4610-A121-C805D0F546EB}" xr6:coauthVersionLast="47" xr6:coauthVersionMax="47" xr10:uidLastSave="{00000000-0000-0000-0000-000000000000}"/>
  <workbookProtection workbookAlgorithmName="SHA-512" workbookHashValue="gmOLzgH7GAe05fPoHd122tTW6s9wDpOFFF16ztU/VILNAHdmCc8cQyyHTCQM6qm018NFGV1/s7TrRXbxYoeY3w==" workbookSaltValue="tskN44PGQseCwhmg2O38RA==" workbookSpinCount="100000" lockStructure="1"/>
  <bookViews>
    <workbookView xWindow="-120" yWindow="-120" windowWidth="29040" windowHeight="15720" xr2:uid="{82F6A19B-5495-4F11-A89F-59BCA2D50EC3}"/>
  </bookViews>
  <sheets>
    <sheet name="Review the Intro Tab" sheetId="61" r:id="rId1"/>
    <sheet name="Fill in the Application" sheetId="37" r:id="rId2"/>
    <sheet name="Place Your Signature" sheetId="44" r:id="rId3"/>
    <sheet name="Input HVAC Measures" sheetId="1" r:id="rId4"/>
    <sheet name="Input Refrigeration Measures" sheetId="27" r:id="rId5"/>
    <sheet name="Input Comm Kitchen Measures" sheetId="46" r:id="rId6"/>
    <sheet name="Input Window Film Measures" sheetId="56" r:id="rId7"/>
    <sheet name="Input Efficient Window Measures" sheetId="59" r:id="rId8"/>
    <sheet name="Input Misc Measures" sheetId="55" r:id="rId9"/>
    <sheet name="Input Custom Measures" sheetId="57" r:id="rId10"/>
    <sheet name="Review the Summary" sheetId="26" r:id="rId11"/>
    <sheet name="Completion" sheetId="52" state="hidden" r:id="rId12"/>
    <sheet name="References" sheetId="22" state="hidden" r:id="rId13"/>
    <sheet name="HVAC Calcs" sheetId="58" state="hidden" r:id="rId14"/>
    <sheet name="Caps" sheetId="51" state="hidden" r:id="rId15"/>
    <sheet name="QC" sheetId="33" state="hidden" r:id="rId16"/>
    <sheet name="Proj Data" sheetId="53" state="hidden" r:id="rId17"/>
    <sheet name="APTracks Export Data" sheetId="28" state="hidden" r:id="rId18"/>
    <sheet name="Change Log" sheetId="60" state="hidden" r:id="rId19"/>
  </sheets>
  <externalReferences>
    <externalReference r:id="rId20"/>
    <externalReference r:id="rId21"/>
    <externalReference r:id="rId22"/>
  </externalReferences>
  <definedNames>
    <definedName name="_xlnm._FilterDatabase" localSheetId="17" hidden="1">'APTracks Export Data'!$A$1:$M$212</definedName>
    <definedName name="Gross_Proj_Cost" localSheetId="0">#REF!</definedName>
    <definedName name="Gross_Proj_Cost">'Review the Summary'!$C$11</definedName>
    <definedName name="HighTemp">[1]Lookups!$V$3:$V$4</definedName>
    <definedName name="Input_AvgkWhRate" localSheetId="18">'[1]Fillable application &amp; instruct'!$F$20</definedName>
    <definedName name="Input_AvgkWhRate" localSheetId="0">#REF!</definedName>
    <definedName name="Input_AvgkWhRate">'Fill in the Application'!$F$27</definedName>
    <definedName name="Input_BldgType" localSheetId="18">'[1]Fillable application &amp; instruct'!$F$21</definedName>
    <definedName name="Input_BldgType">'Fill in the Application'!$F$28</definedName>
    <definedName name="Input_Bonus">QC!$F$18</definedName>
    <definedName name="Input_BonusMeasureNumber" localSheetId="18">[1]QC!$G$19</definedName>
    <definedName name="Input_BonusMeasureNumber">QC!$G$18</definedName>
    <definedName name="Input_HVACType">'Fill in the Application'!$F$29</definedName>
    <definedName name="Input_ProgramType" localSheetId="18">'[1]Fillable application &amp; instruct'!$F$23</definedName>
    <definedName name="Input_ProgramType" localSheetId="0">#REF!</definedName>
    <definedName name="Input_ProgramType">'Fill in the Application'!$F$10</definedName>
    <definedName name="Input_ProjectNumber" localSheetId="18">[1]QC!$B$1</definedName>
    <definedName name="Input_ProjectNumber" localSheetId="0">#REF!</definedName>
    <definedName name="Input_ProjectNumber">QC!$B$1</definedName>
    <definedName name="Input_Usage" localSheetId="18">[1]QC!$B$2</definedName>
    <definedName name="Input_Usage" localSheetId="0">#REF!</definedName>
    <definedName name="Input_Usage">QC!$B$2</definedName>
    <definedName name="List_ACUnitMeasures">[1]Lookups!$J$48:$J$52</definedName>
    <definedName name="List_Biz_Class" localSheetId="0">#REF!</definedName>
    <definedName name="List_Biz_Class">References!$Z$4:$Z$10</definedName>
    <definedName name="List_Bldg_Types" localSheetId="0">#REF!</definedName>
    <definedName name="List_Bldg_Types">References!$AH$4:$AH$36</definedName>
    <definedName name="List_BldgTypes">[1]Lookups!$J$14:$J$25</definedName>
    <definedName name="List_ComKitch_Measure" localSheetId="0">#REF!</definedName>
    <definedName name="List_ComKitch_Measure">References!$AP$4:$AP$10</definedName>
    <definedName name="List_Contacts" localSheetId="0">#REF!</definedName>
    <definedName name="List_Contacts">References!$AK$4:$AK$7</definedName>
    <definedName name="List_ConvectionOven">[1]Lookups!$V$7:$V$8</definedName>
    <definedName name="List_CurtainType">[1]Lookups!$T$31:$T$37</definedName>
    <definedName name="List_Custom_Class" localSheetId="0">#REF!</definedName>
    <definedName name="List_Custom_Class">References!$AW$4:$AW$41</definedName>
    <definedName name="List_Custom_HVAC" localSheetId="0">#REF!</definedName>
    <definedName name="List_Custom_HVAC">References!$AX$4:$AX$6</definedName>
    <definedName name="List_Custom_Type" localSheetId="0">#REF!</definedName>
    <definedName name="List_Custom_Type">References!$AV$4:$AV$6</definedName>
    <definedName name="List_CustomClass">[1]Lookups!$AA$7:$AA$16</definedName>
    <definedName name="List_CustomTypes">[1]Lookups!$AA$3:$AA$4</definedName>
    <definedName name="List_DBE_Option" localSheetId="0">#REF!</definedName>
    <definedName name="List_DBE_Option">References!$AD$4:$AD$14</definedName>
    <definedName name="List_EffWindow_Direction" localSheetId="0">#REF!</definedName>
    <definedName name="List_EffWindow_Direction">References!$AU$4:$AU$7</definedName>
    <definedName name="List_EffWindow_Measure" localSheetId="0">#REF!</definedName>
    <definedName name="List_EffWindow_Measure">References!$AR$4:$AR$5</definedName>
    <definedName name="List_HPUnitMeasures">[1]Lookups!$J$55:$J$59</definedName>
    <definedName name="List_HVAC" localSheetId="0">#REF!</definedName>
    <definedName name="List_HVAC">References!$AI$4:$AI$10</definedName>
    <definedName name="List_HVAC_Measure" localSheetId="0">#REF!</definedName>
    <definedName name="List_HVAC_Measure">References!$AN$4:$AN$16</definedName>
    <definedName name="List_HVACTypes">[1]Lookups!$B$58:$B$64</definedName>
    <definedName name="List_Install_Type" localSheetId="0">#REF!</definedName>
    <definedName name="List_Install_Type">References!$AF$4:$AF$7</definedName>
    <definedName name="List_LowFlowBldgTypes">[1]Lookups!$Y$3:$Y$10</definedName>
    <definedName name="List_Misc_Measure" localSheetId="0">#REF!</definedName>
    <definedName name="List_Misc_Measure">References!$AS$4:$AS$7</definedName>
    <definedName name="List_Ownership">References!$AG$4:$AG$5</definedName>
    <definedName name="List_PC">'[1]Savings Lookups'!$AE$11:$AE$13</definedName>
    <definedName name="List_Program_Names" localSheetId="7">Table_Programs_Rates[List_Programs]</definedName>
    <definedName name="List_Program_Names" localSheetId="0">[2]!Table_Programs_Rates[List_Programs]</definedName>
    <definedName name="List_Program_Names">Table_Programs_Rates[List_Programs]</definedName>
    <definedName name="List_ProgramNames">[1]Lookups!$B$3:$B$4</definedName>
    <definedName name="List_Project_Stage" localSheetId="0">#REF!</definedName>
    <definedName name="List_Project_Stage">References!$AE$4:$AE$5</definedName>
    <definedName name="List_ProjectStage">[1]Lookups!$B$54:$B$55</definedName>
    <definedName name="List_PRSV">[1]Lookups!$Y$13:$Y$18</definedName>
    <definedName name="List_Refrig_Measure" localSheetId="0">#REF!</definedName>
    <definedName name="List_Refrig_Measure">References!$AO$4:$AO$18</definedName>
    <definedName name="List_Refrigeration">[1]Lookups!$T$3:$T$4</definedName>
    <definedName name="List_RefrSizes">[1]Lookups!$T$21:$T$24</definedName>
    <definedName name="List_Showerhead">[1]Lookups!$Y$21:$Y$26</definedName>
    <definedName name="List_Source" localSheetId="0">#REF!</definedName>
    <definedName name="List_Source">References!$AL$4:$AL$13</definedName>
    <definedName name="List_StripCurtainBaseline">[1]Lookups!$T$40:$T$42</definedName>
    <definedName name="List_Tax_Entity" localSheetId="0">#REF!</definedName>
    <definedName name="List_Tax_Entity">References!$AA$4:$AA$9</definedName>
    <definedName name="List_Water_Heating" localSheetId="0">#REF!</definedName>
    <definedName name="List_Water_Heating">References!$AJ$4:$AJ$10</definedName>
    <definedName name="List_WinFilm_Direction" localSheetId="0">#REF!</definedName>
    <definedName name="List_WinFilm_Direction">References!$AT$4:$AT$6</definedName>
    <definedName name="List_WinFilm_Measure" localSheetId="0">#REF!</definedName>
    <definedName name="List_WinFilm_Measure">References!$AQ$4:$AQ$6</definedName>
    <definedName name="List_Y_N">References!$AC$4:$AC$5</definedName>
    <definedName name="List_Y_N_U" localSheetId="0">#REF!</definedName>
    <definedName name="List_Y_N_U">References!$AB$4:$AB$6</definedName>
    <definedName name="Net_Project_Cost" localSheetId="0">#REF!</definedName>
    <definedName name="Net_Project_Cost">'Review the Summary'!$E$11</definedName>
    <definedName name="ProgramNumber">[3]Library!$R$3</definedName>
    <definedName name="Project_Energy_Savings" localSheetId="0">#REF!</definedName>
    <definedName name="Project_Energy_Savings">'Review the Summary'!$F$11</definedName>
    <definedName name="Subtotal_Bonus">[1]Summary!#REF!</definedName>
    <definedName name="Subtotal_CustomIncentive" localSheetId="18">[1]QC!$C$19</definedName>
    <definedName name="Subtotal_CustomIncentive">QC!$C$18</definedName>
    <definedName name="Subtotal_Incentive">[1]QC!$D$19</definedName>
    <definedName name="Subtotal_OtherCosts" localSheetId="0">SUM(#REF!)</definedName>
    <definedName name="Subtotal_OtherCosts">SUM('Review the Summary'!#REF!)</definedName>
    <definedName name="Subtotal_PrescriptiveIncentive">[1]QC!$B$19</definedName>
    <definedName name="Table_ACHPFactors">[1]Lookups!$J$3:$R$11</definedName>
    <definedName name="Table_ACTU">'[1]Savings Lookups'!$B$23:$F$25</definedName>
    <definedName name="Table_ACTUFactors">[1]Lookups!$J$27:$P$30</definedName>
    <definedName name="Table_Aerators">'[1]Savings Lookups'!$U$2:$W$10</definedName>
    <definedName name="Table_APS">'[1]Savings Lookups'!$AE$6:$AH$8</definedName>
    <definedName name="Table_ASHC">'[1]Savings Lookups'!$H$11:$J$14</definedName>
    <definedName name="Table_ChillerFactors">[1]Lookups!$J$33:$P$43</definedName>
    <definedName name="Table_Chillers">'[1]Savings Lookups'!$B$30:$D$39</definedName>
    <definedName name="Table_CombinationOven">'[1]Savings Lookups'!$N$33:$P$35</definedName>
    <definedName name="Table_ConvectionOven">'[1]Savings Lookups'!$N$28:$P$30</definedName>
    <definedName name="Table_CustomMeasureNames">[1]Lookups!$AC$2:$AD$111</definedName>
    <definedName name="Table_Dishwashers">'[1]Savings Lookups'!$N$2:$S$25</definedName>
    <definedName name="Table_DuctSealing">'[1]Savings Lookups'!$B$47:$D$48</definedName>
    <definedName name="Table_ECMHVACFan">'[1]Savings Lookups'!$B$42:$D$42</definedName>
    <definedName name="Table_ECMRefrFan">'[1]Savings Lookups'!$H$2:$J$4</definedName>
    <definedName name="Table_EFLH">[1]Lookups!$J$13:$M$25</definedName>
    <definedName name="Table_ESRefrigerators">'[1]Savings Lookups'!$H$27:$L$35</definedName>
    <definedName name="Table_EvapFanControls">'[1]Savings Lookups'!$H$6:$J$9</definedName>
    <definedName name="Table_GREM">'[1]Savings Lookups'!$B$44:$D$45</definedName>
    <definedName name="Table_IceMaker">'[1]Savings Lookups'!$N$44:$P$50</definedName>
    <definedName name="Table_Measures">[1]Lookups!$B$6:$G$51</definedName>
    <definedName name="Table_NightCovers">'[1]Savings Lookups'!$H$16:$J$25</definedName>
    <definedName name="Table_PCPowerMgmt">'[1]Savings Lookups'!$AE$10:$AG$13</definedName>
    <definedName name="Table_PRSV">'[1]Savings Lookups'!$U$43:$W$49</definedName>
    <definedName name="Table_RTUFactors">[1]Lookups!$J$3:$M$11</definedName>
    <definedName name="Table_Showerhead">'[1]Savings Lookups'!$U$78:$W$84</definedName>
    <definedName name="Table_SteamCooker">'[1]Savings Lookups'!$N$37:$P$41</definedName>
    <definedName name="Table_StripCurtains">'[1]Savings Lookups'!$H$37:$L$58</definedName>
    <definedName name="Total_Incentive" localSheetId="0">#REF!</definedName>
    <definedName name="Total_Incentive">'Review the Summary'!$D$11</definedName>
    <definedName name="Total_ProjectCost">[1]Summary!$C$12</definedName>
    <definedName name="Value_Application_Version" localSheetId="0">#REF!</definedName>
    <definedName name="Value_Application_Version">References!$B$8</definedName>
    <definedName name="Value_Bonus_Rate">References!$B$9</definedName>
    <definedName name="Value_CalcVersion">'[1]Fillable application &amp; instruct'!$J$17</definedName>
    <definedName name="Value_Cus_IncentRate" localSheetId="0">#REF!</definedName>
    <definedName name="Value_Cus_IncentRate">References!$B$6</definedName>
    <definedName name="Value_ExitSign_BaselineW">25.1</definedName>
    <definedName name="Value_ExitSign_LEDW">3</definedName>
    <definedName name="Value_FastTrack_Limit">References!$B$5</definedName>
    <definedName name="Value_LtgControls_CF">0.26</definedName>
    <definedName name="Value_Max_Incentive">[1]QC!$G$21</definedName>
    <definedName name="Value_Measure_CAP">References!$B$4</definedName>
    <definedName name="Value_Project_CAP" localSheetId="0">#REF!</definedName>
    <definedName name="Value_Project_CAP">References!$B$3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5" i="26" l="1"/>
  <c r="B24" i="26"/>
  <c r="T225" i="22" l="1"/>
  <c r="U225" i="22"/>
  <c r="T228" i="22"/>
  <c r="U228" i="22"/>
  <c r="T231" i="22"/>
  <c r="U231" i="22"/>
  <c r="T234" i="22"/>
  <c r="U234" i="22"/>
  <c r="T237" i="22"/>
  <c r="U237" i="22"/>
  <c r="T240" i="22"/>
  <c r="U240" i="22"/>
  <c r="T243" i="22"/>
  <c r="U243" i="22"/>
  <c r="T246" i="22"/>
  <c r="U246" i="22"/>
  <c r="T249" i="22"/>
  <c r="U249" i="22"/>
  <c r="U222" i="22"/>
  <c r="T222" i="22"/>
  <c r="T183" i="22"/>
  <c r="U183" i="22"/>
  <c r="T187" i="22"/>
  <c r="U187" i="22"/>
  <c r="T191" i="22"/>
  <c r="U191" i="22"/>
  <c r="T195" i="22"/>
  <c r="U195" i="22"/>
  <c r="T199" i="22"/>
  <c r="U199" i="22"/>
  <c r="T203" i="22"/>
  <c r="U203" i="22"/>
  <c r="T207" i="22"/>
  <c r="K12" i="22" s="1"/>
  <c r="U207" i="22"/>
  <c r="L12" i="22" s="1"/>
  <c r="T211" i="22"/>
  <c r="U211" i="22"/>
  <c r="T215" i="22"/>
  <c r="U215" i="22"/>
  <c r="U179" i="22"/>
  <c r="T179" i="22"/>
  <c r="W158" i="22"/>
  <c r="X158" i="22"/>
  <c r="W160" i="22"/>
  <c r="X160" i="22"/>
  <c r="W162" i="22"/>
  <c r="X162" i="22"/>
  <c r="W164" i="22"/>
  <c r="X164" i="22"/>
  <c r="W166" i="22"/>
  <c r="X166" i="22"/>
  <c r="W168" i="22"/>
  <c r="X168" i="22"/>
  <c r="W170" i="22"/>
  <c r="K11" i="22" s="1"/>
  <c r="X170" i="22"/>
  <c r="L11" i="22" s="1"/>
  <c r="W172" i="22"/>
  <c r="X172" i="22"/>
  <c r="W174" i="22"/>
  <c r="X174" i="22"/>
  <c r="X156" i="22"/>
  <c r="W156" i="22"/>
  <c r="L16" i="22"/>
  <c r="L15" i="22"/>
  <c r="L14" i="22"/>
  <c r="K15" i="22"/>
  <c r="K16" i="22"/>
  <c r="K14" i="22"/>
  <c r="I5" i="58"/>
  <c r="I6" i="58"/>
  <c r="I7" i="58"/>
  <c r="I8" i="58"/>
  <c r="I9" i="58"/>
  <c r="I10" i="58"/>
  <c r="I11" i="58"/>
  <c r="I12" i="58"/>
  <c r="I13" i="58"/>
  <c r="I14" i="58"/>
  <c r="I15" i="58"/>
  <c r="I16" i="58"/>
  <c r="I17" i="58"/>
  <c r="I18" i="58"/>
  <c r="I19" i="58"/>
  <c r="I20" i="58"/>
  <c r="I21" i="58"/>
  <c r="I22" i="58"/>
  <c r="I23" i="58"/>
  <c r="I24" i="58"/>
  <c r="I25" i="58"/>
  <c r="I26" i="58"/>
  <c r="I27" i="58"/>
  <c r="I28" i="58"/>
  <c r="I29" i="58"/>
  <c r="I30" i="58"/>
  <c r="I31" i="58"/>
  <c r="I32" i="58"/>
  <c r="I33" i="58"/>
  <c r="I34" i="58"/>
  <c r="I35" i="58"/>
  <c r="I36" i="58"/>
  <c r="I37" i="58"/>
  <c r="I38" i="58"/>
  <c r="I39" i="58"/>
  <c r="I40" i="58"/>
  <c r="I41" i="58"/>
  <c r="I42" i="58"/>
  <c r="I43" i="58"/>
  <c r="I44" i="58"/>
  <c r="I45" i="58"/>
  <c r="I46" i="58"/>
  <c r="I47" i="58"/>
  <c r="I48" i="58"/>
  <c r="I49" i="58"/>
  <c r="I50" i="58"/>
  <c r="I51" i="58"/>
  <c r="I52" i="58"/>
  <c r="H5" i="58"/>
  <c r="H6" i="58"/>
  <c r="H7" i="58"/>
  <c r="H8" i="58"/>
  <c r="H9" i="58"/>
  <c r="H10" i="58"/>
  <c r="H11" i="58"/>
  <c r="H12" i="58"/>
  <c r="H13" i="58"/>
  <c r="H14" i="58"/>
  <c r="H15" i="58"/>
  <c r="H16" i="58"/>
  <c r="H17" i="58"/>
  <c r="H18" i="58"/>
  <c r="H19" i="58"/>
  <c r="H20" i="58"/>
  <c r="H21" i="58"/>
  <c r="H22" i="58"/>
  <c r="H23" i="58"/>
  <c r="H24" i="58"/>
  <c r="H25" i="58"/>
  <c r="H26" i="58"/>
  <c r="H27" i="58"/>
  <c r="H28" i="58"/>
  <c r="H29" i="58"/>
  <c r="H30" i="58"/>
  <c r="H31" i="58"/>
  <c r="H32" i="58"/>
  <c r="H33" i="58"/>
  <c r="H34" i="58"/>
  <c r="H35" i="58"/>
  <c r="H36" i="58"/>
  <c r="H37" i="58"/>
  <c r="H38" i="58"/>
  <c r="H39" i="58"/>
  <c r="H40" i="58"/>
  <c r="H41" i="58"/>
  <c r="H42" i="58"/>
  <c r="H43" i="58"/>
  <c r="H44" i="58"/>
  <c r="H45" i="58"/>
  <c r="H46" i="58"/>
  <c r="H47" i="58"/>
  <c r="H48" i="58"/>
  <c r="H49" i="58"/>
  <c r="H50" i="58"/>
  <c r="H51" i="58"/>
  <c r="H52" i="58"/>
  <c r="K6" i="22"/>
  <c r="C17" i="1" l="1"/>
  <c r="T17" i="1" l="1"/>
  <c r="S17" i="1"/>
  <c r="P170" i="22" l="1"/>
  <c r="C16" i="26" l="1"/>
  <c r="C15" i="26"/>
  <c r="C14" i="26"/>
  <c r="S5" i="59" l="1"/>
  <c r="S6" i="59"/>
  <c r="S7" i="59"/>
  <c r="S8" i="59"/>
  <c r="S9" i="59"/>
  <c r="S10" i="59"/>
  <c r="S11" i="59"/>
  <c r="S12" i="59"/>
  <c r="S13" i="59"/>
  <c r="S14" i="59"/>
  <c r="S15" i="59"/>
  <c r="S16" i="59"/>
  <c r="S17" i="59"/>
  <c r="S18" i="59"/>
  <c r="S19" i="59"/>
  <c r="S20" i="59"/>
  <c r="S21" i="59"/>
  <c r="S22" i="59"/>
  <c r="S23" i="59"/>
  <c r="S24" i="59"/>
  <c r="S25" i="59"/>
  <c r="S26" i="59"/>
  <c r="S27" i="59"/>
  <c r="S28" i="59"/>
  <c r="S29" i="59"/>
  <c r="S30" i="59"/>
  <c r="S31" i="59"/>
  <c r="S32" i="59"/>
  <c r="S33" i="59"/>
  <c r="S34" i="59"/>
  <c r="S16" i="22"/>
  <c r="S5" i="56"/>
  <c r="S21" i="22"/>
  <c r="S22" i="22"/>
  <c r="S23" i="22"/>
  <c r="S20" i="22"/>
  <c r="S17" i="22"/>
  <c r="S18" i="22"/>
  <c r="S19" i="22"/>
  <c r="B38" i="59"/>
  <c r="B3" i="58"/>
  <c r="X4" i="22"/>
  <c r="X5" i="22"/>
  <c r="D29" i="52"/>
  <c r="D28" i="52"/>
  <c r="B4" i="58"/>
  <c r="D4" i="58"/>
  <c r="E4" i="58"/>
  <c r="B5" i="58"/>
  <c r="C5" i="58"/>
  <c r="D5" i="58"/>
  <c r="E5" i="58"/>
  <c r="F5" i="58"/>
  <c r="B6" i="58"/>
  <c r="C6" i="58"/>
  <c r="D6" i="58"/>
  <c r="E6" i="58"/>
  <c r="F6" i="58"/>
  <c r="B7" i="58"/>
  <c r="C7" i="58"/>
  <c r="D7" i="58"/>
  <c r="E7" i="58"/>
  <c r="F7" i="58"/>
  <c r="B8" i="58"/>
  <c r="C8" i="58"/>
  <c r="D8" i="58"/>
  <c r="E8" i="58"/>
  <c r="F8" i="58"/>
  <c r="B9" i="58"/>
  <c r="C9" i="58"/>
  <c r="D9" i="58"/>
  <c r="E9" i="58"/>
  <c r="F9" i="58"/>
  <c r="B10" i="58"/>
  <c r="C10" i="58"/>
  <c r="D10" i="58"/>
  <c r="E10" i="58"/>
  <c r="F10" i="58"/>
  <c r="B11" i="58"/>
  <c r="C11" i="58"/>
  <c r="D11" i="58"/>
  <c r="E11" i="58"/>
  <c r="F11" i="58"/>
  <c r="B12" i="58"/>
  <c r="C12" i="58"/>
  <c r="D12" i="58"/>
  <c r="E12" i="58"/>
  <c r="F12" i="58"/>
  <c r="B13" i="58"/>
  <c r="C13" i="58"/>
  <c r="D13" i="58"/>
  <c r="E13" i="58"/>
  <c r="F13" i="58"/>
  <c r="B14" i="58"/>
  <c r="C14" i="58"/>
  <c r="D14" i="58"/>
  <c r="E14" i="58"/>
  <c r="F14" i="58"/>
  <c r="B15" i="58"/>
  <c r="C15" i="58"/>
  <c r="D15" i="58"/>
  <c r="E15" i="58"/>
  <c r="F15" i="58"/>
  <c r="B16" i="58"/>
  <c r="C16" i="58"/>
  <c r="D16" i="58"/>
  <c r="E16" i="58"/>
  <c r="F16" i="58"/>
  <c r="B17" i="58"/>
  <c r="C17" i="58"/>
  <c r="D17" i="58"/>
  <c r="E17" i="58"/>
  <c r="F17" i="58"/>
  <c r="B18" i="58"/>
  <c r="C18" i="58"/>
  <c r="D18" i="58"/>
  <c r="E18" i="58"/>
  <c r="F18" i="58"/>
  <c r="B19" i="58"/>
  <c r="C19" i="58"/>
  <c r="D19" i="58"/>
  <c r="E19" i="58"/>
  <c r="F19" i="58"/>
  <c r="B20" i="58"/>
  <c r="C20" i="58"/>
  <c r="D20" i="58"/>
  <c r="E20" i="58"/>
  <c r="F20" i="58"/>
  <c r="B21" i="58"/>
  <c r="C21" i="58"/>
  <c r="D21" i="58"/>
  <c r="E21" i="58"/>
  <c r="F21" i="58"/>
  <c r="B22" i="58"/>
  <c r="C22" i="58"/>
  <c r="D22" i="58"/>
  <c r="E22" i="58"/>
  <c r="F22" i="58"/>
  <c r="B23" i="58"/>
  <c r="C23" i="58"/>
  <c r="D23" i="58"/>
  <c r="E23" i="58"/>
  <c r="F23" i="58"/>
  <c r="B24" i="58"/>
  <c r="C24" i="58"/>
  <c r="D24" i="58"/>
  <c r="E24" i="58"/>
  <c r="F24" i="58"/>
  <c r="B25" i="58"/>
  <c r="C25" i="58"/>
  <c r="D25" i="58"/>
  <c r="E25" i="58"/>
  <c r="F25" i="58"/>
  <c r="B26" i="58"/>
  <c r="C26" i="58"/>
  <c r="D26" i="58"/>
  <c r="E26" i="58"/>
  <c r="F26" i="58"/>
  <c r="B27" i="58"/>
  <c r="C27" i="58"/>
  <c r="D27" i="58"/>
  <c r="E27" i="58"/>
  <c r="F27" i="58"/>
  <c r="B28" i="58"/>
  <c r="C28" i="58"/>
  <c r="D28" i="58"/>
  <c r="E28" i="58"/>
  <c r="F28" i="58"/>
  <c r="B29" i="58"/>
  <c r="C29" i="58"/>
  <c r="D29" i="58"/>
  <c r="E29" i="58"/>
  <c r="F29" i="58"/>
  <c r="B30" i="58"/>
  <c r="C30" i="58"/>
  <c r="D30" i="58"/>
  <c r="E30" i="58"/>
  <c r="F30" i="58"/>
  <c r="B31" i="58"/>
  <c r="C31" i="58"/>
  <c r="D31" i="58"/>
  <c r="E31" i="58"/>
  <c r="F31" i="58"/>
  <c r="B32" i="58"/>
  <c r="C32" i="58"/>
  <c r="D32" i="58"/>
  <c r="E32" i="58"/>
  <c r="F32" i="58"/>
  <c r="B33" i="58"/>
  <c r="C33" i="58"/>
  <c r="D33" i="58"/>
  <c r="E33" i="58"/>
  <c r="F33" i="58"/>
  <c r="B34" i="58"/>
  <c r="C34" i="58"/>
  <c r="D34" i="58"/>
  <c r="E34" i="58"/>
  <c r="F34" i="58"/>
  <c r="B35" i="58"/>
  <c r="C35" i="58"/>
  <c r="D35" i="58"/>
  <c r="E35" i="58"/>
  <c r="F35" i="58"/>
  <c r="B36" i="58"/>
  <c r="C36" i="58"/>
  <c r="D36" i="58"/>
  <c r="E36" i="58"/>
  <c r="F36" i="58"/>
  <c r="B37" i="58"/>
  <c r="C37" i="58"/>
  <c r="D37" i="58"/>
  <c r="E37" i="58"/>
  <c r="F37" i="58"/>
  <c r="B38" i="58"/>
  <c r="C38" i="58"/>
  <c r="D38" i="58"/>
  <c r="E38" i="58"/>
  <c r="F38" i="58"/>
  <c r="B39" i="58"/>
  <c r="C39" i="58"/>
  <c r="D39" i="58"/>
  <c r="E39" i="58"/>
  <c r="F39" i="58"/>
  <c r="B40" i="58"/>
  <c r="C40" i="58"/>
  <c r="D40" i="58"/>
  <c r="E40" i="58"/>
  <c r="F40" i="58"/>
  <c r="B41" i="58"/>
  <c r="C41" i="58"/>
  <c r="D41" i="58"/>
  <c r="E41" i="58"/>
  <c r="F41" i="58"/>
  <c r="B42" i="58"/>
  <c r="C42" i="58"/>
  <c r="D42" i="58"/>
  <c r="E42" i="58"/>
  <c r="F42" i="58"/>
  <c r="B43" i="58"/>
  <c r="C43" i="58"/>
  <c r="D43" i="58"/>
  <c r="E43" i="58"/>
  <c r="F43" i="58"/>
  <c r="B44" i="58"/>
  <c r="C44" i="58"/>
  <c r="D44" i="58"/>
  <c r="E44" i="58"/>
  <c r="F44" i="58"/>
  <c r="B45" i="58"/>
  <c r="C45" i="58"/>
  <c r="D45" i="58"/>
  <c r="E45" i="58"/>
  <c r="F45" i="58"/>
  <c r="B46" i="58"/>
  <c r="C46" i="58"/>
  <c r="D46" i="58"/>
  <c r="E46" i="58"/>
  <c r="F46" i="58"/>
  <c r="B47" i="58"/>
  <c r="C47" i="58"/>
  <c r="D47" i="58"/>
  <c r="E47" i="58"/>
  <c r="F47" i="58"/>
  <c r="B48" i="58"/>
  <c r="C48" i="58"/>
  <c r="D48" i="58"/>
  <c r="E48" i="58"/>
  <c r="F48" i="58"/>
  <c r="B49" i="58"/>
  <c r="C49" i="58"/>
  <c r="D49" i="58"/>
  <c r="E49" i="58"/>
  <c r="F49" i="58"/>
  <c r="B50" i="58"/>
  <c r="C50" i="58"/>
  <c r="D50" i="58"/>
  <c r="E50" i="58"/>
  <c r="F50" i="58"/>
  <c r="B51" i="58"/>
  <c r="C51" i="58"/>
  <c r="D51" i="58"/>
  <c r="E51" i="58"/>
  <c r="F51" i="58"/>
  <c r="B52" i="58"/>
  <c r="C52" i="58"/>
  <c r="D52" i="58"/>
  <c r="E52" i="58"/>
  <c r="F52" i="58"/>
  <c r="F3" i="58"/>
  <c r="E3" i="58"/>
  <c r="D3" i="58"/>
  <c r="C3" i="58"/>
  <c r="N5" i="22"/>
  <c r="L5" i="22"/>
  <c r="L4" i="22"/>
  <c r="K5" i="22"/>
  <c r="K4" i="22"/>
  <c r="L7" i="22"/>
  <c r="K7" i="22"/>
  <c r="L6" i="22"/>
  <c r="I3" i="58" l="1"/>
  <c r="H3" i="58"/>
  <c r="C10" i="59"/>
  <c r="C5" i="59"/>
  <c r="F5" i="59" s="1"/>
  <c r="C6" i="59"/>
  <c r="C21" i="59"/>
  <c r="C32" i="59"/>
  <c r="C8" i="59"/>
  <c r="M34" i="59"/>
  <c r="M30" i="59"/>
  <c r="M26" i="59"/>
  <c r="M22" i="59"/>
  <c r="M18" i="59"/>
  <c r="M14" i="59"/>
  <c r="M10" i="59"/>
  <c r="M6" i="59"/>
  <c r="N32" i="59"/>
  <c r="N28" i="59"/>
  <c r="N24" i="59"/>
  <c r="N20" i="59"/>
  <c r="N16" i="59"/>
  <c r="N12" i="59"/>
  <c r="N8" i="59"/>
  <c r="C7" i="59"/>
  <c r="M33" i="59"/>
  <c r="M29" i="59"/>
  <c r="M25" i="59"/>
  <c r="M21" i="59"/>
  <c r="M17" i="59"/>
  <c r="M13" i="59"/>
  <c r="M9" i="59"/>
  <c r="M5" i="59"/>
  <c r="N31" i="59"/>
  <c r="N27" i="59"/>
  <c r="N23" i="59"/>
  <c r="N19" i="59"/>
  <c r="N15" i="59"/>
  <c r="N11" i="59"/>
  <c r="N7" i="59"/>
  <c r="M32" i="59"/>
  <c r="M28" i="59"/>
  <c r="M24" i="59"/>
  <c r="M20" i="59"/>
  <c r="M16" i="59"/>
  <c r="M12" i="59"/>
  <c r="M8" i="59"/>
  <c r="N34" i="59"/>
  <c r="N30" i="59"/>
  <c r="N26" i="59"/>
  <c r="N22" i="59"/>
  <c r="N18" i="59"/>
  <c r="N14" i="59"/>
  <c r="N10" i="59"/>
  <c r="N6" i="59"/>
  <c r="C30" i="59"/>
  <c r="M31" i="59"/>
  <c r="M27" i="59"/>
  <c r="M23" i="59"/>
  <c r="M19" i="59"/>
  <c r="M15" i="59"/>
  <c r="M11" i="59"/>
  <c r="M7" i="59"/>
  <c r="N33" i="59"/>
  <c r="N29" i="59"/>
  <c r="N25" i="59"/>
  <c r="N21" i="59"/>
  <c r="N17" i="59"/>
  <c r="N13" i="59"/>
  <c r="N9" i="59"/>
  <c r="N5" i="59"/>
  <c r="C19" i="59"/>
  <c r="C22" i="59"/>
  <c r="C26" i="59"/>
  <c r="C25" i="59"/>
  <c r="C12" i="59"/>
  <c r="C34" i="59"/>
  <c r="C29" i="59"/>
  <c r="C24" i="59"/>
  <c r="C14" i="59"/>
  <c r="C9" i="59"/>
  <c r="C33" i="59"/>
  <c r="C28" i="59"/>
  <c r="C18" i="59"/>
  <c r="C11" i="59"/>
  <c r="C31" i="59"/>
  <c r="C27" i="59"/>
  <c r="C23" i="59"/>
  <c r="C17" i="59"/>
  <c r="C13" i="59"/>
  <c r="C20" i="59"/>
  <c r="C16" i="59"/>
  <c r="C15" i="59"/>
  <c r="Q249" i="22"/>
  <c r="N249" i="22"/>
  <c r="Q246" i="22"/>
  <c r="N246" i="22"/>
  <c r="Q243" i="22"/>
  <c r="L13" i="22" s="1"/>
  <c r="N243" i="22"/>
  <c r="K13" i="22" s="1"/>
  <c r="Q240" i="22"/>
  <c r="N240" i="22"/>
  <c r="Q237" i="22"/>
  <c r="N237" i="22"/>
  <c r="Q234" i="22"/>
  <c r="N234" i="22"/>
  <c r="Q231" i="22"/>
  <c r="N231" i="22"/>
  <c r="Q228" i="22"/>
  <c r="N228" i="22"/>
  <c r="Q225" i="22"/>
  <c r="N225" i="22"/>
  <c r="Q222" i="22"/>
  <c r="N222" i="22"/>
  <c r="Q215" i="22"/>
  <c r="N215" i="22"/>
  <c r="Q211" i="22"/>
  <c r="N211" i="22"/>
  <c r="Q207" i="22"/>
  <c r="N207" i="22"/>
  <c r="Q203" i="22"/>
  <c r="N203" i="22"/>
  <c r="Q199" i="22"/>
  <c r="N199" i="22"/>
  <c r="Q195" i="22"/>
  <c r="N195" i="22"/>
  <c r="Q191" i="22"/>
  <c r="N191" i="22"/>
  <c r="Q187" i="22"/>
  <c r="N187" i="22"/>
  <c r="Q183" i="22"/>
  <c r="N183" i="22"/>
  <c r="Q179" i="22"/>
  <c r="N179" i="22"/>
  <c r="S174" i="22"/>
  <c r="P174" i="22"/>
  <c r="S172" i="22"/>
  <c r="P172" i="22"/>
  <c r="S170" i="22"/>
  <c r="S168" i="22"/>
  <c r="P168" i="22"/>
  <c r="S166" i="22"/>
  <c r="P166" i="22"/>
  <c r="S164" i="22"/>
  <c r="P164" i="22"/>
  <c r="S162" i="22"/>
  <c r="P162" i="22"/>
  <c r="S160" i="22"/>
  <c r="P160" i="22"/>
  <c r="S158" i="22"/>
  <c r="P158" i="22"/>
  <c r="S156" i="22"/>
  <c r="P156" i="22"/>
  <c r="N124" i="22"/>
  <c r="L124" i="22"/>
  <c r="N123" i="22"/>
  <c r="L123" i="22"/>
  <c r="N122" i="22"/>
  <c r="F4" i="58" s="1"/>
  <c r="H4" i="58" s="1"/>
  <c r="L122" i="22"/>
  <c r="C4" i="58" s="1"/>
  <c r="I4" i="58" s="1"/>
  <c r="K5" i="59" l="1"/>
  <c r="S6" i="56"/>
  <c r="S7" i="56"/>
  <c r="S8" i="56"/>
  <c r="S9" i="56"/>
  <c r="S10" i="56"/>
  <c r="S11" i="56"/>
  <c r="S12" i="56"/>
  <c r="S13" i="56"/>
  <c r="S14" i="56"/>
  <c r="S15" i="56"/>
  <c r="S16" i="56"/>
  <c r="S17" i="56"/>
  <c r="S18" i="56"/>
  <c r="S19" i="56"/>
  <c r="S20" i="56"/>
  <c r="S21" i="56"/>
  <c r="S22" i="56"/>
  <c r="S23" i="56"/>
  <c r="S24" i="56"/>
  <c r="S25" i="56"/>
  <c r="S26" i="56"/>
  <c r="S27" i="56"/>
  <c r="S28" i="56"/>
  <c r="S29" i="56"/>
  <c r="S30" i="56"/>
  <c r="S31" i="56"/>
  <c r="S32" i="56"/>
  <c r="S33" i="56"/>
  <c r="S34" i="56"/>
  <c r="S11" i="22"/>
  <c r="S12" i="22"/>
  <c r="S10" i="22"/>
  <c r="S8" i="22"/>
  <c r="S9" i="22"/>
  <c r="S4" i="22"/>
  <c r="S5" i="22"/>
  <c r="S6" i="22"/>
  <c r="S7" i="22"/>
  <c r="T5" i="22"/>
  <c r="T6" i="22"/>
  <c r="T7" i="22"/>
  <c r="T8" i="22"/>
  <c r="T9" i="22"/>
  <c r="T10" i="22"/>
  <c r="T11" i="22"/>
  <c r="T12" i="22"/>
  <c r="T4" i="22"/>
  <c r="C34" i="55"/>
  <c r="C33" i="55"/>
  <c r="C32" i="55"/>
  <c r="C31" i="55"/>
  <c r="C30" i="55"/>
  <c r="C29" i="55"/>
  <c r="C28" i="55"/>
  <c r="C27" i="55"/>
  <c r="C26" i="55"/>
  <c r="C25" i="55"/>
  <c r="C24" i="55"/>
  <c r="C23" i="55"/>
  <c r="C22" i="55"/>
  <c r="C21" i="55"/>
  <c r="C20" i="55"/>
  <c r="C19" i="55"/>
  <c r="C18" i="55"/>
  <c r="C17" i="55"/>
  <c r="C16" i="55"/>
  <c r="C15" i="55"/>
  <c r="C14" i="55"/>
  <c r="C13" i="55"/>
  <c r="C12" i="55"/>
  <c r="C11" i="55"/>
  <c r="C10" i="55"/>
  <c r="C9" i="55"/>
  <c r="C8" i="55"/>
  <c r="C7" i="55"/>
  <c r="C6" i="55"/>
  <c r="L48" i="22"/>
  <c r="U12" i="22" s="1"/>
  <c r="L47" i="22"/>
  <c r="U11" i="22" s="1"/>
  <c r="L46" i="22"/>
  <c r="U10" i="22" s="1"/>
  <c r="L45" i="22"/>
  <c r="U9" i="22" s="1"/>
  <c r="L44" i="22"/>
  <c r="U8" i="22" s="1"/>
  <c r="L43" i="22"/>
  <c r="U7" i="22" s="1"/>
  <c r="L42" i="22"/>
  <c r="U6" i="22" s="1"/>
  <c r="L41" i="22"/>
  <c r="U5" i="22" s="1"/>
  <c r="L40" i="22"/>
  <c r="U4" i="22" s="1"/>
  <c r="C5" i="56" l="1"/>
  <c r="K5" i="56" s="1"/>
  <c r="O33" i="59"/>
  <c r="O29" i="59"/>
  <c r="O18" i="59"/>
  <c r="O17" i="59"/>
  <c r="O13" i="59"/>
  <c r="O22" i="59"/>
  <c r="O6" i="59"/>
  <c r="O34" i="59"/>
  <c r="O30" i="59"/>
  <c r="O14" i="59"/>
  <c r="O26" i="59"/>
  <c r="O25" i="59"/>
  <c r="O21" i="59"/>
  <c r="O10" i="59"/>
  <c r="O9" i="59"/>
  <c r="O31" i="59"/>
  <c r="O8" i="59"/>
  <c r="O12" i="59"/>
  <c r="O15" i="59"/>
  <c r="O28" i="59"/>
  <c r="O16" i="59"/>
  <c r="O19" i="59"/>
  <c r="O7" i="59"/>
  <c r="O20" i="59"/>
  <c r="O23" i="59"/>
  <c r="O11" i="59"/>
  <c r="O32" i="59"/>
  <c r="O24" i="59"/>
  <c r="O27" i="59"/>
  <c r="C13" i="56"/>
  <c r="K13" i="56" s="1"/>
  <c r="F14" i="55"/>
  <c r="J14" i="55"/>
  <c r="K14" i="55" s="1"/>
  <c r="F26" i="55"/>
  <c r="J26" i="55"/>
  <c r="K26" i="55" s="1"/>
  <c r="O11" i="55"/>
  <c r="J11" i="55"/>
  <c r="K11" i="55" s="1"/>
  <c r="M27" i="55"/>
  <c r="J27" i="55"/>
  <c r="K27" i="55" s="1"/>
  <c r="M31" i="55"/>
  <c r="J31" i="55"/>
  <c r="K31" i="55" s="1"/>
  <c r="F18" i="55"/>
  <c r="J18" i="55"/>
  <c r="K18" i="55" s="1"/>
  <c r="F34" i="55"/>
  <c r="J34" i="55"/>
  <c r="K34" i="55" s="1"/>
  <c r="M7" i="55"/>
  <c r="J7" i="55"/>
  <c r="K7" i="55" s="1"/>
  <c r="O19" i="55"/>
  <c r="J19" i="55"/>
  <c r="K19" i="55" s="1"/>
  <c r="J8" i="55"/>
  <c r="K8" i="55" s="1"/>
  <c r="J12" i="55"/>
  <c r="K12" i="55" s="1"/>
  <c r="O16" i="55"/>
  <c r="J16" i="55"/>
  <c r="K16" i="55" s="1"/>
  <c r="O20" i="55"/>
  <c r="J20" i="55"/>
  <c r="K20" i="55" s="1"/>
  <c r="O24" i="55"/>
  <c r="J24" i="55"/>
  <c r="K24" i="55" s="1"/>
  <c r="O28" i="55"/>
  <c r="J28" i="55"/>
  <c r="K28" i="55" s="1"/>
  <c r="O32" i="55"/>
  <c r="J32" i="55"/>
  <c r="K32" i="55" s="1"/>
  <c r="F10" i="55"/>
  <c r="J10" i="55"/>
  <c r="K10" i="55" s="1"/>
  <c r="F22" i="55"/>
  <c r="J22" i="55"/>
  <c r="K22" i="55" s="1"/>
  <c r="F30" i="55"/>
  <c r="J30" i="55"/>
  <c r="K30" i="55" s="1"/>
  <c r="O15" i="55"/>
  <c r="J15" i="55"/>
  <c r="K15" i="55" s="1"/>
  <c r="M23" i="55"/>
  <c r="J23" i="55"/>
  <c r="K23" i="55" s="1"/>
  <c r="F9" i="55"/>
  <c r="J9" i="55"/>
  <c r="K9" i="55" s="1"/>
  <c r="F13" i="55"/>
  <c r="J13" i="55"/>
  <c r="K13" i="55" s="1"/>
  <c r="F17" i="55"/>
  <c r="J17" i="55"/>
  <c r="K17" i="55" s="1"/>
  <c r="F21" i="55"/>
  <c r="J21" i="55"/>
  <c r="K21" i="55" s="1"/>
  <c r="F25" i="55"/>
  <c r="J25" i="55"/>
  <c r="K25" i="55" s="1"/>
  <c r="F29" i="55"/>
  <c r="J29" i="55"/>
  <c r="K29" i="55" s="1"/>
  <c r="F33" i="55"/>
  <c r="J33" i="55"/>
  <c r="K33" i="55" s="1"/>
  <c r="O6" i="55"/>
  <c r="J6" i="55"/>
  <c r="K6" i="55" s="1"/>
  <c r="C10" i="56"/>
  <c r="K10" i="56" s="1"/>
  <c r="C9" i="56"/>
  <c r="K9" i="56" s="1"/>
  <c r="C8" i="56"/>
  <c r="K8" i="56" s="1"/>
  <c r="C14" i="56"/>
  <c r="K14" i="56" s="1"/>
  <c r="C6" i="56"/>
  <c r="K6" i="56" s="1"/>
  <c r="C33" i="56"/>
  <c r="K33" i="56" s="1"/>
  <c r="C29" i="56"/>
  <c r="K29" i="56" s="1"/>
  <c r="C25" i="56"/>
  <c r="K25" i="56" s="1"/>
  <c r="C21" i="56"/>
  <c r="K21" i="56" s="1"/>
  <c r="C17" i="56"/>
  <c r="K17" i="56" s="1"/>
  <c r="C32" i="56"/>
  <c r="K32" i="56" s="1"/>
  <c r="C28" i="56"/>
  <c r="K28" i="56" s="1"/>
  <c r="C24" i="56"/>
  <c r="K24" i="56" s="1"/>
  <c r="C20" i="56"/>
  <c r="K20" i="56" s="1"/>
  <c r="C16" i="56"/>
  <c r="K16" i="56" s="1"/>
  <c r="C12" i="56"/>
  <c r="K12" i="56" s="1"/>
  <c r="C31" i="56"/>
  <c r="K31" i="56" s="1"/>
  <c r="C27" i="56"/>
  <c r="K27" i="56" s="1"/>
  <c r="C23" i="56"/>
  <c r="K23" i="56" s="1"/>
  <c r="C19" i="56"/>
  <c r="K19" i="56" s="1"/>
  <c r="C15" i="56"/>
  <c r="K15" i="56" s="1"/>
  <c r="C11" i="56"/>
  <c r="K11" i="56" s="1"/>
  <c r="C7" i="56"/>
  <c r="K7" i="56" s="1"/>
  <c r="C34" i="56"/>
  <c r="K34" i="56" s="1"/>
  <c r="C30" i="56"/>
  <c r="K30" i="56" s="1"/>
  <c r="C26" i="56"/>
  <c r="K26" i="56" s="1"/>
  <c r="C22" i="56"/>
  <c r="K22" i="56" s="1"/>
  <c r="C18" i="56"/>
  <c r="K18" i="56" s="1"/>
  <c r="L17" i="55"/>
  <c r="N17" i="55" s="1"/>
  <c r="O7" i="55"/>
  <c r="M12" i="55"/>
  <c r="L12" i="55"/>
  <c r="N12" i="55" s="1"/>
  <c r="M20" i="55"/>
  <c r="M8" i="55"/>
  <c r="O17" i="55"/>
  <c r="O13" i="55"/>
  <c r="F20" i="55"/>
  <c r="F12" i="55"/>
  <c r="O25" i="55"/>
  <c r="M28" i="55"/>
  <c r="L13" i="55"/>
  <c r="N13" i="55" s="1"/>
  <c r="F28" i="55"/>
  <c r="F32" i="55"/>
  <c r="L9" i="55"/>
  <c r="N9" i="55" s="1"/>
  <c r="L21" i="55"/>
  <c r="N21" i="55" s="1"/>
  <c r="L24" i="55"/>
  <c r="N24" i="55" s="1"/>
  <c r="O27" i="55"/>
  <c r="L29" i="55"/>
  <c r="N29" i="55" s="1"/>
  <c r="L32" i="55"/>
  <c r="N32" i="55" s="1"/>
  <c r="F16" i="55"/>
  <c r="O9" i="55"/>
  <c r="L16" i="55"/>
  <c r="N16" i="55" s="1"/>
  <c r="O21" i="55"/>
  <c r="M24" i="55"/>
  <c r="O29" i="55"/>
  <c r="M32" i="55"/>
  <c r="M16" i="55"/>
  <c r="F24" i="55"/>
  <c r="F8" i="55"/>
  <c r="L8" i="55"/>
  <c r="N8" i="55" s="1"/>
  <c r="L20" i="55"/>
  <c r="N20" i="55" s="1"/>
  <c r="O23" i="55"/>
  <c r="L25" i="55"/>
  <c r="N25" i="55" s="1"/>
  <c r="L28" i="55"/>
  <c r="N28" i="55" s="1"/>
  <c r="O31" i="55"/>
  <c r="O33" i="55"/>
  <c r="F6" i="55"/>
  <c r="L33" i="55"/>
  <c r="N33" i="55" s="1"/>
  <c r="F7" i="55"/>
  <c r="O8" i="55"/>
  <c r="M9" i="55"/>
  <c r="F11" i="55"/>
  <c r="O12" i="55"/>
  <c r="M13" i="55"/>
  <c r="F15" i="55"/>
  <c r="M17" i="55"/>
  <c r="F19" i="55"/>
  <c r="M21" i="55"/>
  <c r="F23" i="55"/>
  <c r="M25" i="55"/>
  <c r="F27" i="55"/>
  <c r="M29" i="55"/>
  <c r="F31" i="55"/>
  <c r="M33" i="55"/>
  <c r="L6" i="55"/>
  <c r="N6" i="55" s="1"/>
  <c r="L10" i="55"/>
  <c r="N10" i="55" s="1"/>
  <c r="L14" i="55"/>
  <c r="N14" i="55" s="1"/>
  <c r="L18" i="55"/>
  <c r="N18" i="55" s="1"/>
  <c r="L22" i="55"/>
  <c r="N22" i="55" s="1"/>
  <c r="L26" i="55"/>
  <c r="N26" i="55" s="1"/>
  <c r="L30" i="55"/>
  <c r="N30" i="55" s="1"/>
  <c r="L34" i="55"/>
  <c r="N34" i="55" s="1"/>
  <c r="M22" i="55"/>
  <c r="M26" i="55"/>
  <c r="M34" i="55"/>
  <c r="M6" i="55"/>
  <c r="M10" i="55"/>
  <c r="M14" i="55"/>
  <c r="L7" i="55"/>
  <c r="N7" i="55" s="1"/>
  <c r="M18" i="55"/>
  <c r="M30" i="55"/>
  <c r="L11" i="55"/>
  <c r="N11" i="55" s="1"/>
  <c r="L15" i="55"/>
  <c r="N15" i="55" s="1"/>
  <c r="L19" i="55"/>
  <c r="N19" i="55" s="1"/>
  <c r="L23" i="55"/>
  <c r="N23" i="55" s="1"/>
  <c r="L27" i="55"/>
  <c r="N27" i="55" s="1"/>
  <c r="L31" i="55"/>
  <c r="N31" i="55" s="1"/>
  <c r="O10" i="55"/>
  <c r="M11" i="55"/>
  <c r="O14" i="55"/>
  <c r="M15" i="55"/>
  <c r="O18" i="55"/>
  <c r="M19" i="55"/>
  <c r="O22" i="55"/>
  <c r="O26" i="55"/>
  <c r="O30" i="55"/>
  <c r="O34" i="55"/>
  <c r="P15" i="55" l="1"/>
  <c r="Q15" i="55" s="1"/>
  <c r="P32" i="55"/>
  <c r="Q32" i="55" s="1"/>
  <c r="P24" i="55"/>
  <c r="Q24" i="55" s="1"/>
  <c r="P16" i="55"/>
  <c r="Q16" i="55" s="1"/>
  <c r="P11" i="55"/>
  <c r="Q11" i="55" s="1"/>
  <c r="K19" i="59"/>
  <c r="L19" i="59" s="1"/>
  <c r="P19" i="59"/>
  <c r="F19" i="59"/>
  <c r="P15" i="59"/>
  <c r="K15" i="59"/>
  <c r="L15" i="59" s="1"/>
  <c r="F15" i="59"/>
  <c r="K27" i="59"/>
  <c r="L27" i="59" s="1"/>
  <c r="F27" i="59"/>
  <c r="P27" i="59"/>
  <c r="L5" i="59"/>
  <c r="P5" i="59"/>
  <c r="K21" i="59"/>
  <c r="L21" i="59" s="1"/>
  <c r="F21" i="59"/>
  <c r="P21" i="59"/>
  <c r="O5" i="59"/>
  <c r="O3" i="59" s="1"/>
  <c r="F7" i="51" s="1"/>
  <c r="C35" i="26" s="1"/>
  <c r="M3" i="59"/>
  <c r="D7" i="51" s="1"/>
  <c r="C24" i="26" s="1"/>
  <c r="P10" i="59"/>
  <c r="K10" i="59"/>
  <c r="L10" i="59" s="1"/>
  <c r="F10" i="59"/>
  <c r="F14" i="59"/>
  <c r="K14" i="59"/>
  <c r="L14" i="59" s="1"/>
  <c r="P14" i="59"/>
  <c r="F30" i="59"/>
  <c r="K30" i="59"/>
  <c r="L30" i="59" s="1"/>
  <c r="P30" i="59"/>
  <c r="F11" i="59"/>
  <c r="P11" i="59"/>
  <c r="K11" i="59"/>
  <c r="L11" i="59" s="1"/>
  <c r="P23" i="59"/>
  <c r="K23" i="59"/>
  <c r="L23" i="59" s="1"/>
  <c r="F23" i="59"/>
  <c r="F16" i="59"/>
  <c r="P16" i="59"/>
  <c r="K16" i="59"/>
  <c r="L16" i="59" s="1"/>
  <c r="P12" i="59"/>
  <c r="F12" i="59"/>
  <c r="K12" i="59"/>
  <c r="L12" i="59" s="1"/>
  <c r="P24" i="59"/>
  <c r="F24" i="59"/>
  <c r="K24" i="59"/>
  <c r="L24" i="59" s="1"/>
  <c r="F9" i="59"/>
  <c r="P9" i="59"/>
  <c r="K9" i="59"/>
  <c r="L9" i="59" s="1"/>
  <c r="F22" i="59"/>
  <c r="P22" i="59"/>
  <c r="K22" i="59"/>
  <c r="L22" i="59" s="1"/>
  <c r="K17" i="59"/>
  <c r="L17" i="59" s="1"/>
  <c r="F17" i="59"/>
  <c r="P17" i="59"/>
  <c r="K33" i="59"/>
  <c r="L33" i="59" s="1"/>
  <c r="P33" i="59"/>
  <c r="F33" i="59"/>
  <c r="F32" i="59"/>
  <c r="P32" i="59"/>
  <c r="K32" i="59"/>
  <c r="L32" i="59" s="1"/>
  <c r="N3" i="59"/>
  <c r="E7" i="51" s="1"/>
  <c r="D24" i="26" s="1"/>
  <c r="F20" i="59"/>
  <c r="K20" i="59"/>
  <c r="L20" i="59" s="1"/>
  <c r="P20" i="59"/>
  <c r="P26" i="59"/>
  <c r="K26" i="59"/>
  <c r="L26" i="59" s="1"/>
  <c r="F26" i="59"/>
  <c r="P18" i="59"/>
  <c r="K18" i="59"/>
  <c r="L18" i="59" s="1"/>
  <c r="F18" i="59"/>
  <c r="K7" i="59"/>
  <c r="L7" i="59" s="1"/>
  <c r="F7" i="59"/>
  <c r="P7" i="59"/>
  <c r="K28" i="59"/>
  <c r="L28" i="59" s="1"/>
  <c r="P28" i="59"/>
  <c r="F28" i="59"/>
  <c r="K31" i="59"/>
  <c r="L31" i="59" s="1"/>
  <c r="P31" i="59"/>
  <c r="F31" i="59"/>
  <c r="F8" i="59"/>
  <c r="K8" i="59"/>
  <c r="L8" i="59" s="1"/>
  <c r="P8" i="59"/>
  <c r="F6" i="59"/>
  <c r="P6" i="59"/>
  <c r="K6" i="59"/>
  <c r="L6" i="59" s="1"/>
  <c r="F25" i="59"/>
  <c r="P25" i="59"/>
  <c r="K25" i="59"/>
  <c r="L25" i="59" s="1"/>
  <c r="K13" i="59"/>
  <c r="L13" i="59" s="1"/>
  <c r="F13" i="59"/>
  <c r="P13" i="59"/>
  <c r="K29" i="59"/>
  <c r="L29" i="59" s="1"/>
  <c r="F29" i="59"/>
  <c r="P29" i="59"/>
  <c r="P34" i="59"/>
  <c r="F34" i="59"/>
  <c r="K34" i="59"/>
  <c r="L34" i="59" s="1"/>
  <c r="P19" i="55"/>
  <c r="Q19" i="55" s="1"/>
  <c r="P7" i="55"/>
  <c r="Q7" i="55" s="1"/>
  <c r="P28" i="55"/>
  <c r="Q28" i="55" s="1"/>
  <c r="P20" i="55"/>
  <c r="Q20" i="55" s="1"/>
  <c r="P12" i="55"/>
  <c r="Q12" i="55" s="1"/>
  <c r="P27" i="55"/>
  <c r="Q27" i="55" s="1"/>
  <c r="P8" i="55"/>
  <c r="Q8" i="55" s="1"/>
  <c r="P34" i="55"/>
  <c r="Q34" i="55" s="1"/>
  <c r="P6" i="55"/>
  <c r="Q6" i="55" s="1"/>
  <c r="P18" i="55"/>
  <c r="Q18" i="55" s="1"/>
  <c r="P9" i="55"/>
  <c r="Q9" i="55" s="1"/>
  <c r="P26" i="55"/>
  <c r="Q26" i="55" s="1"/>
  <c r="P29" i="55"/>
  <c r="Q29" i="55" s="1"/>
  <c r="P17" i="55"/>
  <c r="Q17" i="55" s="1"/>
  <c r="P13" i="55"/>
  <c r="Q13" i="55" s="1"/>
  <c r="P14" i="55"/>
  <c r="Q14" i="55" s="1"/>
  <c r="P21" i="55"/>
  <c r="Q21" i="55" s="1"/>
  <c r="P23" i="55"/>
  <c r="Q23" i="55" s="1"/>
  <c r="P25" i="55"/>
  <c r="Q25" i="55" s="1"/>
  <c r="P31" i="55"/>
  <c r="Q31" i="55" s="1"/>
  <c r="P30" i="55"/>
  <c r="Q30" i="55" s="1"/>
  <c r="P33" i="55"/>
  <c r="Q33" i="55" s="1"/>
  <c r="P10" i="55"/>
  <c r="Q10" i="55" s="1"/>
  <c r="P22" i="55"/>
  <c r="Q22" i="55" s="1"/>
  <c r="Q28" i="59" l="1"/>
  <c r="R28" i="59" s="1"/>
  <c r="Q14" i="59"/>
  <c r="R14" i="59" s="1"/>
  <c r="Q26" i="59"/>
  <c r="R26" i="59" s="1"/>
  <c r="Q27" i="59"/>
  <c r="R27" i="59" s="1"/>
  <c r="Q34" i="59"/>
  <c r="R34" i="59" s="1"/>
  <c r="Q13" i="59"/>
  <c r="R13" i="59" s="1"/>
  <c r="Q18" i="59"/>
  <c r="R18" i="59" s="1"/>
  <c r="Q20" i="59"/>
  <c r="R20" i="59" s="1"/>
  <c r="Q33" i="59"/>
  <c r="R33" i="59" s="1"/>
  <c r="Q12" i="59"/>
  <c r="R12" i="59" s="1"/>
  <c r="Q11" i="59"/>
  <c r="R11" i="59" s="1"/>
  <c r="Q15" i="59"/>
  <c r="R15" i="59" s="1"/>
  <c r="Q6" i="59"/>
  <c r="R6" i="59" s="1"/>
  <c r="Q5" i="59"/>
  <c r="P3" i="59"/>
  <c r="G7" i="51" s="1"/>
  <c r="D35" i="26" s="1"/>
  <c r="Q32" i="59"/>
  <c r="R32" i="59" s="1"/>
  <c r="Q9" i="59"/>
  <c r="R9" i="59" s="1"/>
  <c r="Q24" i="59"/>
  <c r="R24" i="59" s="1"/>
  <c r="Q21" i="59"/>
  <c r="R21" i="59" s="1"/>
  <c r="Q25" i="59"/>
  <c r="R25" i="59" s="1"/>
  <c r="Q29" i="59"/>
  <c r="R29" i="59" s="1"/>
  <c r="Q8" i="59"/>
  <c r="R8" i="59" s="1"/>
  <c r="Q31" i="59"/>
  <c r="R31" i="59" s="1"/>
  <c r="Q17" i="59"/>
  <c r="R17" i="59" s="1"/>
  <c r="Q22" i="59"/>
  <c r="R22" i="59" s="1"/>
  <c r="Q16" i="59"/>
  <c r="R16" i="59" s="1"/>
  <c r="Q23" i="59"/>
  <c r="R23" i="59" s="1"/>
  <c r="Q30" i="59"/>
  <c r="R30" i="59" s="1"/>
  <c r="Q10" i="59"/>
  <c r="R10" i="59" s="1"/>
  <c r="Q19" i="59"/>
  <c r="R19" i="59" s="1"/>
  <c r="Q7" i="59"/>
  <c r="R7" i="59" s="1"/>
  <c r="L3" i="59"/>
  <c r="B28" i="57"/>
  <c r="B38" i="55"/>
  <c r="B38" i="56"/>
  <c r="B38" i="46"/>
  <c r="B59" i="27"/>
  <c r="B58" i="1"/>
  <c r="B41" i="37"/>
  <c r="B38" i="61" s="1"/>
  <c r="B47" i="52"/>
  <c r="B22" i="44"/>
  <c r="B195" i="28"/>
  <c r="J195" i="28"/>
  <c r="K195" i="28"/>
  <c r="L195" i="28"/>
  <c r="M195" i="28"/>
  <c r="B196" i="28"/>
  <c r="J196" i="28"/>
  <c r="K196" i="28"/>
  <c r="L196" i="28"/>
  <c r="M196" i="28"/>
  <c r="B197" i="28"/>
  <c r="J197" i="28"/>
  <c r="K197" i="28"/>
  <c r="L197" i="28"/>
  <c r="M197" i="28"/>
  <c r="B198" i="28"/>
  <c r="J198" i="28"/>
  <c r="K198" i="28"/>
  <c r="L198" i="28"/>
  <c r="M198" i="28"/>
  <c r="B199" i="28"/>
  <c r="J199" i="28"/>
  <c r="K199" i="28"/>
  <c r="L199" i="28"/>
  <c r="M199" i="28"/>
  <c r="B200" i="28"/>
  <c r="J200" i="28"/>
  <c r="K200" i="28"/>
  <c r="L200" i="28"/>
  <c r="M200" i="28"/>
  <c r="B201" i="28"/>
  <c r="J201" i="28"/>
  <c r="K201" i="28"/>
  <c r="L201" i="28"/>
  <c r="M201" i="28"/>
  <c r="B202" i="28"/>
  <c r="J202" i="28"/>
  <c r="K202" i="28"/>
  <c r="L202" i="28"/>
  <c r="M202" i="28"/>
  <c r="B203" i="28"/>
  <c r="J203" i="28"/>
  <c r="K203" i="28"/>
  <c r="L203" i="28"/>
  <c r="M203" i="28"/>
  <c r="B204" i="28"/>
  <c r="J204" i="28"/>
  <c r="K204" i="28"/>
  <c r="L204" i="28"/>
  <c r="M204" i="28"/>
  <c r="B205" i="28"/>
  <c r="J205" i="28"/>
  <c r="K205" i="28"/>
  <c r="L205" i="28"/>
  <c r="M205" i="28"/>
  <c r="B206" i="28"/>
  <c r="J206" i="28"/>
  <c r="K206" i="28"/>
  <c r="L206" i="28"/>
  <c r="M206" i="28"/>
  <c r="B207" i="28"/>
  <c r="J207" i="28"/>
  <c r="K207" i="28"/>
  <c r="L207" i="28"/>
  <c r="M207" i="28"/>
  <c r="B208" i="28"/>
  <c r="J208" i="28"/>
  <c r="K208" i="28"/>
  <c r="L208" i="28"/>
  <c r="M208" i="28"/>
  <c r="B209" i="28"/>
  <c r="J209" i="28"/>
  <c r="K209" i="28"/>
  <c r="L209" i="28"/>
  <c r="M209" i="28"/>
  <c r="B210" i="28"/>
  <c r="J210" i="28"/>
  <c r="K210" i="28"/>
  <c r="L210" i="28"/>
  <c r="M210" i="28"/>
  <c r="B211" i="28"/>
  <c r="J211" i="28"/>
  <c r="K211" i="28"/>
  <c r="L211" i="28"/>
  <c r="M211" i="28"/>
  <c r="B212" i="28"/>
  <c r="J212" i="28"/>
  <c r="K212" i="28"/>
  <c r="L212" i="28"/>
  <c r="M212" i="28"/>
  <c r="J194" i="28"/>
  <c r="K194" i="28"/>
  <c r="L194" i="28"/>
  <c r="M194" i="28"/>
  <c r="M193" i="28"/>
  <c r="L193" i="28"/>
  <c r="K193" i="28"/>
  <c r="J193" i="28"/>
  <c r="C5" i="57"/>
  <c r="D193" i="28" s="1"/>
  <c r="C6" i="57"/>
  <c r="D194" i="28" s="1"/>
  <c r="C7" i="57"/>
  <c r="D195" i="28" s="1"/>
  <c r="C8" i="57"/>
  <c r="D196" i="28" s="1"/>
  <c r="C9" i="57"/>
  <c r="D197" i="28" s="1"/>
  <c r="C10" i="57"/>
  <c r="D198" i="28" s="1"/>
  <c r="C11" i="57"/>
  <c r="D199" i="28" s="1"/>
  <c r="C12" i="57"/>
  <c r="D200" i="28" s="1"/>
  <c r="C13" i="57"/>
  <c r="D201" i="28" s="1"/>
  <c r="C14" i="57"/>
  <c r="D202" i="28" s="1"/>
  <c r="C15" i="57"/>
  <c r="D203" i="28" s="1"/>
  <c r="C16" i="57"/>
  <c r="D204" i="28" s="1"/>
  <c r="C17" i="57"/>
  <c r="D205" i="28" s="1"/>
  <c r="C18" i="57"/>
  <c r="D206" i="28" s="1"/>
  <c r="C19" i="57"/>
  <c r="D207" i="28" s="1"/>
  <c r="C20" i="57"/>
  <c r="D208" i="28" s="1"/>
  <c r="C21" i="57"/>
  <c r="D209" i="28" s="1"/>
  <c r="C22" i="57"/>
  <c r="D210" i="28" s="1"/>
  <c r="C23" i="57"/>
  <c r="D211" i="28" s="1"/>
  <c r="C24" i="57"/>
  <c r="D212" i="28" s="1"/>
  <c r="B194" i="28"/>
  <c r="B193" i="28"/>
  <c r="B165" i="28"/>
  <c r="F165" i="28"/>
  <c r="J165" i="28"/>
  <c r="K165" i="28"/>
  <c r="L165" i="28"/>
  <c r="M165" i="28"/>
  <c r="B166" i="28"/>
  <c r="F166" i="28"/>
  <c r="J166" i="28"/>
  <c r="K166" i="28"/>
  <c r="L166" i="28"/>
  <c r="M166" i="28"/>
  <c r="B167" i="28"/>
  <c r="F167" i="28"/>
  <c r="J167" i="28"/>
  <c r="K167" i="28"/>
  <c r="L167" i="28"/>
  <c r="M167" i="28"/>
  <c r="B168" i="28"/>
  <c r="F168" i="28"/>
  <c r="J168" i="28"/>
  <c r="K168" i="28"/>
  <c r="L168" i="28"/>
  <c r="M168" i="28"/>
  <c r="B169" i="28"/>
  <c r="F169" i="28"/>
  <c r="J169" i="28"/>
  <c r="K169" i="28"/>
  <c r="L169" i="28"/>
  <c r="M169" i="28"/>
  <c r="B170" i="28"/>
  <c r="F170" i="28"/>
  <c r="J170" i="28"/>
  <c r="K170" i="28"/>
  <c r="L170" i="28"/>
  <c r="M170" i="28"/>
  <c r="B171" i="28"/>
  <c r="F171" i="28"/>
  <c r="J171" i="28"/>
  <c r="K171" i="28"/>
  <c r="L171" i="28"/>
  <c r="M171" i="28"/>
  <c r="B172" i="28"/>
  <c r="F172" i="28"/>
  <c r="J172" i="28"/>
  <c r="K172" i="28"/>
  <c r="L172" i="28"/>
  <c r="M172" i="28"/>
  <c r="B173" i="28"/>
  <c r="F173" i="28"/>
  <c r="J173" i="28"/>
  <c r="K173" i="28"/>
  <c r="L173" i="28"/>
  <c r="M173" i="28"/>
  <c r="B174" i="28"/>
  <c r="F174" i="28"/>
  <c r="J174" i="28"/>
  <c r="K174" i="28"/>
  <c r="L174" i="28"/>
  <c r="M174" i="28"/>
  <c r="B175" i="28"/>
  <c r="F175" i="28"/>
  <c r="J175" i="28"/>
  <c r="K175" i="28"/>
  <c r="L175" i="28"/>
  <c r="M175" i="28"/>
  <c r="B176" i="28"/>
  <c r="F176" i="28"/>
  <c r="J176" i="28"/>
  <c r="K176" i="28"/>
  <c r="L176" i="28"/>
  <c r="M176" i="28"/>
  <c r="B177" i="28"/>
  <c r="F177" i="28"/>
  <c r="J177" i="28"/>
  <c r="K177" i="28"/>
  <c r="L177" i="28"/>
  <c r="M177" i="28"/>
  <c r="B178" i="28"/>
  <c r="F178" i="28"/>
  <c r="J178" i="28"/>
  <c r="K178" i="28"/>
  <c r="L178" i="28"/>
  <c r="M178" i="28"/>
  <c r="B179" i="28"/>
  <c r="F179" i="28"/>
  <c r="J179" i="28"/>
  <c r="K179" i="28"/>
  <c r="L179" i="28"/>
  <c r="M179" i="28"/>
  <c r="B180" i="28"/>
  <c r="F180" i="28"/>
  <c r="J180" i="28"/>
  <c r="K180" i="28"/>
  <c r="L180" i="28"/>
  <c r="M180" i="28"/>
  <c r="B181" i="28"/>
  <c r="F181" i="28"/>
  <c r="J181" i="28"/>
  <c r="K181" i="28"/>
  <c r="L181" i="28"/>
  <c r="M181" i="28"/>
  <c r="B182" i="28"/>
  <c r="F182" i="28"/>
  <c r="J182" i="28"/>
  <c r="K182" i="28"/>
  <c r="L182" i="28"/>
  <c r="M182" i="28"/>
  <c r="B183" i="28"/>
  <c r="F183" i="28"/>
  <c r="J183" i="28"/>
  <c r="K183" i="28"/>
  <c r="L183" i="28"/>
  <c r="M183" i="28"/>
  <c r="B184" i="28"/>
  <c r="F184" i="28"/>
  <c r="J184" i="28"/>
  <c r="K184" i="28"/>
  <c r="L184" i="28"/>
  <c r="M184" i="28"/>
  <c r="B185" i="28"/>
  <c r="F185" i="28"/>
  <c r="J185" i="28"/>
  <c r="K185" i="28"/>
  <c r="L185" i="28"/>
  <c r="M185" i="28"/>
  <c r="B186" i="28"/>
  <c r="F186" i="28"/>
  <c r="J186" i="28"/>
  <c r="K186" i="28"/>
  <c r="L186" i="28"/>
  <c r="M186" i="28"/>
  <c r="B187" i="28"/>
  <c r="F187" i="28"/>
  <c r="J187" i="28"/>
  <c r="K187" i="28"/>
  <c r="L187" i="28"/>
  <c r="M187" i="28"/>
  <c r="B188" i="28"/>
  <c r="F188" i="28"/>
  <c r="J188" i="28"/>
  <c r="K188" i="28"/>
  <c r="L188" i="28"/>
  <c r="M188" i="28"/>
  <c r="B189" i="28"/>
  <c r="F189" i="28"/>
  <c r="J189" i="28"/>
  <c r="K189" i="28"/>
  <c r="L189" i="28"/>
  <c r="M189" i="28"/>
  <c r="B190" i="28"/>
  <c r="F190" i="28"/>
  <c r="J190" i="28"/>
  <c r="K190" i="28"/>
  <c r="L190" i="28"/>
  <c r="M190" i="28"/>
  <c r="B191" i="28"/>
  <c r="F191" i="28"/>
  <c r="J191" i="28"/>
  <c r="K191" i="28"/>
  <c r="L191" i="28"/>
  <c r="M191" i="28"/>
  <c r="B192" i="28"/>
  <c r="F192" i="28"/>
  <c r="J192" i="28"/>
  <c r="K192" i="28"/>
  <c r="L192" i="28"/>
  <c r="M192" i="28"/>
  <c r="F164" i="28"/>
  <c r="J164" i="28"/>
  <c r="K164" i="28"/>
  <c r="L164" i="28"/>
  <c r="M164" i="28"/>
  <c r="M163" i="28"/>
  <c r="L163" i="28"/>
  <c r="K163" i="28"/>
  <c r="J163" i="28"/>
  <c r="F163" i="28"/>
  <c r="B164" i="28"/>
  <c r="B163" i="28"/>
  <c r="B159" i="28"/>
  <c r="F159" i="28"/>
  <c r="J159" i="28"/>
  <c r="K159" i="28"/>
  <c r="L159" i="28"/>
  <c r="M159" i="28"/>
  <c r="B160" i="28"/>
  <c r="F160" i="28"/>
  <c r="J160" i="28"/>
  <c r="K160" i="28"/>
  <c r="L160" i="28"/>
  <c r="M160" i="28"/>
  <c r="B161" i="28"/>
  <c r="F161" i="28"/>
  <c r="J161" i="28"/>
  <c r="K161" i="28"/>
  <c r="L161" i="28"/>
  <c r="M161" i="28"/>
  <c r="B162" i="28"/>
  <c r="F162" i="28"/>
  <c r="J162" i="28"/>
  <c r="K162" i="28"/>
  <c r="L162" i="28"/>
  <c r="M162" i="28"/>
  <c r="B135" i="28"/>
  <c r="F135" i="28"/>
  <c r="J135" i="28"/>
  <c r="K135" i="28"/>
  <c r="L135" i="28"/>
  <c r="M135" i="28"/>
  <c r="B136" i="28"/>
  <c r="F136" i="28"/>
  <c r="J136" i="28"/>
  <c r="K136" i="28"/>
  <c r="L136" i="28"/>
  <c r="M136" i="28"/>
  <c r="B137" i="28"/>
  <c r="F137" i="28"/>
  <c r="J137" i="28"/>
  <c r="K137" i="28"/>
  <c r="L137" i="28"/>
  <c r="M137" i="28"/>
  <c r="B138" i="28"/>
  <c r="F138" i="28"/>
  <c r="J138" i="28"/>
  <c r="K138" i="28"/>
  <c r="L138" i="28"/>
  <c r="M138" i="28"/>
  <c r="B139" i="28"/>
  <c r="F139" i="28"/>
  <c r="J139" i="28"/>
  <c r="K139" i="28"/>
  <c r="L139" i="28"/>
  <c r="M139" i="28"/>
  <c r="B140" i="28"/>
  <c r="F140" i="28"/>
  <c r="J140" i="28"/>
  <c r="K140" i="28"/>
  <c r="L140" i="28"/>
  <c r="M140" i="28"/>
  <c r="B141" i="28"/>
  <c r="F141" i="28"/>
  <c r="J141" i="28"/>
  <c r="K141" i="28"/>
  <c r="L141" i="28"/>
  <c r="M141" i="28"/>
  <c r="B142" i="28"/>
  <c r="F142" i="28"/>
  <c r="J142" i="28"/>
  <c r="K142" i="28"/>
  <c r="L142" i="28"/>
  <c r="M142" i="28"/>
  <c r="B143" i="28"/>
  <c r="F143" i="28"/>
  <c r="J143" i="28"/>
  <c r="K143" i="28"/>
  <c r="L143" i="28"/>
  <c r="M143" i="28"/>
  <c r="B144" i="28"/>
  <c r="F144" i="28"/>
  <c r="J144" i="28"/>
  <c r="K144" i="28"/>
  <c r="L144" i="28"/>
  <c r="M144" i="28"/>
  <c r="B145" i="28"/>
  <c r="F145" i="28"/>
  <c r="J145" i="28"/>
  <c r="K145" i="28"/>
  <c r="L145" i="28"/>
  <c r="M145" i="28"/>
  <c r="B146" i="28"/>
  <c r="F146" i="28"/>
  <c r="J146" i="28"/>
  <c r="K146" i="28"/>
  <c r="L146" i="28"/>
  <c r="M146" i="28"/>
  <c r="B147" i="28"/>
  <c r="F147" i="28"/>
  <c r="J147" i="28"/>
  <c r="K147" i="28"/>
  <c r="L147" i="28"/>
  <c r="M147" i="28"/>
  <c r="B148" i="28"/>
  <c r="F148" i="28"/>
  <c r="J148" i="28"/>
  <c r="K148" i="28"/>
  <c r="L148" i="28"/>
  <c r="M148" i="28"/>
  <c r="B149" i="28"/>
  <c r="F149" i="28"/>
  <c r="J149" i="28"/>
  <c r="K149" i="28"/>
  <c r="L149" i="28"/>
  <c r="M149" i="28"/>
  <c r="B150" i="28"/>
  <c r="F150" i="28"/>
  <c r="J150" i="28"/>
  <c r="K150" i="28"/>
  <c r="L150" i="28"/>
  <c r="M150" i="28"/>
  <c r="B151" i="28"/>
  <c r="F151" i="28"/>
  <c r="J151" i="28"/>
  <c r="K151" i="28"/>
  <c r="L151" i="28"/>
  <c r="M151" i="28"/>
  <c r="B152" i="28"/>
  <c r="F152" i="28"/>
  <c r="J152" i="28"/>
  <c r="K152" i="28"/>
  <c r="L152" i="28"/>
  <c r="M152" i="28"/>
  <c r="B153" i="28"/>
  <c r="F153" i="28"/>
  <c r="J153" i="28"/>
  <c r="K153" i="28"/>
  <c r="L153" i="28"/>
  <c r="M153" i="28"/>
  <c r="B154" i="28"/>
  <c r="F154" i="28"/>
  <c r="J154" i="28"/>
  <c r="K154" i="28"/>
  <c r="L154" i="28"/>
  <c r="M154" i="28"/>
  <c r="B155" i="28"/>
  <c r="F155" i="28"/>
  <c r="J155" i="28"/>
  <c r="K155" i="28"/>
  <c r="L155" i="28"/>
  <c r="M155" i="28"/>
  <c r="B156" i="28"/>
  <c r="F156" i="28"/>
  <c r="J156" i="28"/>
  <c r="K156" i="28"/>
  <c r="L156" i="28"/>
  <c r="M156" i="28"/>
  <c r="B157" i="28"/>
  <c r="F157" i="28"/>
  <c r="J157" i="28"/>
  <c r="K157" i="28"/>
  <c r="L157" i="28"/>
  <c r="M157" i="28"/>
  <c r="B158" i="28"/>
  <c r="F158" i="28"/>
  <c r="J158" i="28"/>
  <c r="K158" i="28"/>
  <c r="L158" i="28"/>
  <c r="M158" i="28"/>
  <c r="M134" i="28"/>
  <c r="F134" i="28"/>
  <c r="J134" i="28"/>
  <c r="K134" i="28"/>
  <c r="L134" i="28"/>
  <c r="M133" i="28"/>
  <c r="L133" i="28"/>
  <c r="K133" i="28"/>
  <c r="J133" i="28"/>
  <c r="F133" i="28"/>
  <c r="B134" i="28"/>
  <c r="B133" i="28"/>
  <c r="C54" i="28"/>
  <c r="F54" i="28"/>
  <c r="J54" i="28"/>
  <c r="K54" i="28"/>
  <c r="L54" i="28"/>
  <c r="M54" i="28"/>
  <c r="C55" i="28"/>
  <c r="F55" i="28"/>
  <c r="J55" i="28"/>
  <c r="K55" i="28"/>
  <c r="L55" i="28"/>
  <c r="M55" i="28"/>
  <c r="C56" i="28"/>
  <c r="F56" i="28"/>
  <c r="J56" i="28"/>
  <c r="K56" i="28"/>
  <c r="L56" i="28"/>
  <c r="M56" i="28"/>
  <c r="C57" i="28"/>
  <c r="F57" i="28"/>
  <c r="J57" i="28"/>
  <c r="K57" i="28"/>
  <c r="L57" i="28"/>
  <c r="M57" i="28"/>
  <c r="C58" i="28"/>
  <c r="F58" i="28"/>
  <c r="J58" i="28"/>
  <c r="K58" i="28"/>
  <c r="L58" i="28"/>
  <c r="M58" i="28"/>
  <c r="C59" i="28"/>
  <c r="F59" i="28"/>
  <c r="J59" i="28"/>
  <c r="K59" i="28"/>
  <c r="L59" i="28"/>
  <c r="M59" i="28"/>
  <c r="C60" i="28"/>
  <c r="F60" i="28"/>
  <c r="J60" i="28"/>
  <c r="K60" i="28"/>
  <c r="L60" i="28"/>
  <c r="M60" i="28"/>
  <c r="C61" i="28"/>
  <c r="F61" i="28"/>
  <c r="J61" i="28"/>
  <c r="K61" i="28"/>
  <c r="L61" i="28"/>
  <c r="M61" i="28"/>
  <c r="C62" i="28"/>
  <c r="F62" i="28"/>
  <c r="J62" i="28"/>
  <c r="K62" i="28"/>
  <c r="L62" i="28"/>
  <c r="M62" i="28"/>
  <c r="C63" i="28"/>
  <c r="F63" i="28"/>
  <c r="J63" i="28"/>
  <c r="K63" i="28"/>
  <c r="L63" i="28"/>
  <c r="M63" i="28"/>
  <c r="C64" i="28"/>
  <c r="F64" i="28"/>
  <c r="J64" i="28"/>
  <c r="K64" i="28"/>
  <c r="L64" i="28"/>
  <c r="M64" i="28"/>
  <c r="C65" i="28"/>
  <c r="F65" i="28"/>
  <c r="J65" i="28"/>
  <c r="K65" i="28"/>
  <c r="L65" i="28"/>
  <c r="M65" i="28"/>
  <c r="C66" i="28"/>
  <c r="F66" i="28"/>
  <c r="J66" i="28"/>
  <c r="K66" i="28"/>
  <c r="L66" i="28"/>
  <c r="M66" i="28"/>
  <c r="C67" i="28"/>
  <c r="F67" i="28"/>
  <c r="J67" i="28"/>
  <c r="K67" i="28"/>
  <c r="L67" i="28"/>
  <c r="M67" i="28"/>
  <c r="C68" i="28"/>
  <c r="F68" i="28"/>
  <c r="J68" i="28"/>
  <c r="K68" i="28"/>
  <c r="L68" i="28"/>
  <c r="M68" i="28"/>
  <c r="C69" i="28"/>
  <c r="F69" i="28"/>
  <c r="J69" i="28"/>
  <c r="K69" i="28"/>
  <c r="L69" i="28"/>
  <c r="M69" i="28"/>
  <c r="C70" i="28"/>
  <c r="F70" i="28"/>
  <c r="J70" i="28"/>
  <c r="K70" i="28"/>
  <c r="L70" i="28"/>
  <c r="M70" i="28"/>
  <c r="C71" i="28"/>
  <c r="F71" i="28"/>
  <c r="J71" i="28"/>
  <c r="K71" i="28"/>
  <c r="L71" i="28"/>
  <c r="M71" i="28"/>
  <c r="C72" i="28"/>
  <c r="F72" i="28"/>
  <c r="J72" i="28"/>
  <c r="K72" i="28"/>
  <c r="L72" i="28"/>
  <c r="M72" i="28"/>
  <c r="C73" i="28"/>
  <c r="F73" i="28"/>
  <c r="J73" i="28"/>
  <c r="K73" i="28"/>
  <c r="L73" i="28"/>
  <c r="M73" i="28"/>
  <c r="C74" i="28"/>
  <c r="F74" i="28"/>
  <c r="J74" i="28"/>
  <c r="K74" i="28"/>
  <c r="L74" i="28"/>
  <c r="M74" i="28"/>
  <c r="C75" i="28"/>
  <c r="F75" i="28"/>
  <c r="J75" i="28"/>
  <c r="K75" i="28"/>
  <c r="L75" i="28"/>
  <c r="M75" i="28"/>
  <c r="C76" i="28"/>
  <c r="F76" i="28"/>
  <c r="J76" i="28"/>
  <c r="K76" i="28"/>
  <c r="L76" i="28"/>
  <c r="M76" i="28"/>
  <c r="C77" i="28"/>
  <c r="F77" i="28"/>
  <c r="J77" i="28"/>
  <c r="K77" i="28"/>
  <c r="L77" i="28"/>
  <c r="M77" i="28"/>
  <c r="C78" i="28"/>
  <c r="F78" i="28"/>
  <c r="J78" i="28"/>
  <c r="K78" i="28"/>
  <c r="L78" i="28"/>
  <c r="M78" i="28"/>
  <c r="C79" i="28"/>
  <c r="F79" i="28"/>
  <c r="J79" i="28"/>
  <c r="K79" i="28"/>
  <c r="L79" i="28"/>
  <c r="M79" i="28"/>
  <c r="C80" i="28"/>
  <c r="F80" i="28"/>
  <c r="J80" i="28"/>
  <c r="K80" i="28"/>
  <c r="L80" i="28"/>
  <c r="M80" i="28"/>
  <c r="C81" i="28"/>
  <c r="F81" i="28"/>
  <c r="J81" i="28"/>
  <c r="K81" i="28"/>
  <c r="L81" i="28"/>
  <c r="M81" i="28"/>
  <c r="C82" i="28"/>
  <c r="F82" i="28"/>
  <c r="J82" i="28"/>
  <c r="K82" i="28"/>
  <c r="L82" i="28"/>
  <c r="M82" i="28"/>
  <c r="C83" i="28"/>
  <c r="F83" i="28"/>
  <c r="J83" i="28"/>
  <c r="K83" i="28"/>
  <c r="L83" i="28"/>
  <c r="M83" i="28"/>
  <c r="C84" i="28"/>
  <c r="F84" i="28"/>
  <c r="J84" i="28"/>
  <c r="K84" i="28"/>
  <c r="L84" i="28"/>
  <c r="M84" i="28"/>
  <c r="C85" i="28"/>
  <c r="F85" i="28"/>
  <c r="J85" i="28"/>
  <c r="K85" i="28"/>
  <c r="L85" i="28"/>
  <c r="M85" i="28"/>
  <c r="C86" i="28"/>
  <c r="F86" i="28"/>
  <c r="J86" i="28"/>
  <c r="K86" i="28"/>
  <c r="L86" i="28"/>
  <c r="M86" i="28"/>
  <c r="C87" i="28"/>
  <c r="F87" i="28"/>
  <c r="J87" i="28"/>
  <c r="K87" i="28"/>
  <c r="L87" i="28"/>
  <c r="M87" i="28"/>
  <c r="C88" i="28"/>
  <c r="F88" i="28"/>
  <c r="J88" i="28"/>
  <c r="K88" i="28"/>
  <c r="L88" i="28"/>
  <c r="M88" i="28"/>
  <c r="C89" i="28"/>
  <c r="F89" i="28"/>
  <c r="J89" i="28"/>
  <c r="K89" i="28"/>
  <c r="L89" i="28"/>
  <c r="M89" i="28"/>
  <c r="C90" i="28"/>
  <c r="F90" i="28"/>
  <c r="J90" i="28"/>
  <c r="K90" i="28"/>
  <c r="L90" i="28"/>
  <c r="M90" i="28"/>
  <c r="C91" i="28"/>
  <c r="F91" i="28"/>
  <c r="J91" i="28"/>
  <c r="K91" i="28"/>
  <c r="L91" i="28"/>
  <c r="M91" i="28"/>
  <c r="C92" i="28"/>
  <c r="F92" i="28"/>
  <c r="J92" i="28"/>
  <c r="K92" i="28"/>
  <c r="L92" i="28"/>
  <c r="M92" i="28"/>
  <c r="C93" i="28"/>
  <c r="F93" i="28"/>
  <c r="J93" i="28"/>
  <c r="K93" i="28"/>
  <c r="L93" i="28"/>
  <c r="M93" i="28"/>
  <c r="C94" i="28"/>
  <c r="F94" i="28"/>
  <c r="J94" i="28"/>
  <c r="K94" i="28"/>
  <c r="L94" i="28"/>
  <c r="M94" i="28"/>
  <c r="C95" i="28"/>
  <c r="F95" i="28"/>
  <c r="J95" i="28"/>
  <c r="K95" i="28"/>
  <c r="L95" i="28"/>
  <c r="M95" i="28"/>
  <c r="C96" i="28"/>
  <c r="F96" i="28"/>
  <c r="J96" i="28"/>
  <c r="K96" i="28"/>
  <c r="L96" i="28"/>
  <c r="M96" i="28"/>
  <c r="C97" i="28"/>
  <c r="F97" i="28"/>
  <c r="J97" i="28"/>
  <c r="K97" i="28"/>
  <c r="L97" i="28"/>
  <c r="M97" i="28"/>
  <c r="C98" i="28"/>
  <c r="F98" i="28"/>
  <c r="J98" i="28"/>
  <c r="K98" i="28"/>
  <c r="L98" i="28"/>
  <c r="M98" i="28"/>
  <c r="C99" i="28"/>
  <c r="F99" i="28"/>
  <c r="J99" i="28"/>
  <c r="K99" i="28"/>
  <c r="L99" i="28"/>
  <c r="M99" i="28"/>
  <c r="C100" i="28"/>
  <c r="F100" i="28"/>
  <c r="J100" i="28"/>
  <c r="K100" i="28"/>
  <c r="L100" i="28"/>
  <c r="M100" i="28"/>
  <c r="C101" i="28"/>
  <c r="F101" i="28"/>
  <c r="J101" i="28"/>
  <c r="K101" i="28"/>
  <c r="L101" i="28"/>
  <c r="M101" i="28"/>
  <c r="C102" i="28"/>
  <c r="F102" i="28"/>
  <c r="J102" i="28"/>
  <c r="K102" i="28"/>
  <c r="L102" i="28"/>
  <c r="M102" i="28"/>
  <c r="M53" i="28"/>
  <c r="L103" i="28"/>
  <c r="L104" i="28"/>
  <c r="L105" i="28"/>
  <c r="L106" i="28"/>
  <c r="L107" i="28"/>
  <c r="L108" i="28"/>
  <c r="L109" i="28"/>
  <c r="L110" i="28"/>
  <c r="L111" i="28"/>
  <c r="L112" i="28"/>
  <c r="L113" i="28"/>
  <c r="L114" i="28"/>
  <c r="L115" i="28"/>
  <c r="L116" i="28"/>
  <c r="L117" i="28"/>
  <c r="L118" i="28"/>
  <c r="L119" i="28"/>
  <c r="L120" i="28"/>
  <c r="L121" i="28"/>
  <c r="L122" i="28"/>
  <c r="L123" i="28"/>
  <c r="L124" i="28"/>
  <c r="L125" i="28"/>
  <c r="L126" i="28"/>
  <c r="L127" i="28"/>
  <c r="L128" i="28"/>
  <c r="L129" i="28"/>
  <c r="L130" i="28"/>
  <c r="L131" i="28"/>
  <c r="L132" i="28"/>
  <c r="L4" i="28"/>
  <c r="L5" i="28"/>
  <c r="L6" i="28"/>
  <c r="L7" i="28"/>
  <c r="L8" i="28"/>
  <c r="L9" i="28"/>
  <c r="L10" i="28"/>
  <c r="L11" i="28"/>
  <c r="L12" i="28"/>
  <c r="L13" i="28"/>
  <c r="L14" i="28"/>
  <c r="L15" i="28"/>
  <c r="L16" i="28"/>
  <c r="L17" i="28"/>
  <c r="L18" i="28"/>
  <c r="L19" i="28"/>
  <c r="L20" i="28"/>
  <c r="L21" i="28"/>
  <c r="L22" i="28"/>
  <c r="L23" i="28"/>
  <c r="L24" i="28"/>
  <c r="L25" i="28"/>
  <c r="L26" i="28"/>
  <c r="L27" i="28"/>
  <c r="L28" i="28"/>
  <c r="L29" i="28"/>
  <c r="L30" i="28"/>
  <c r="L31" i="28"/>
  <c r="L32" i="28"/>
  <c r="L33" i="28"/>
  <c r="L34" i="28"/>
  <c r="L35" i="28"/>
  <c r="L36" i="28"/>
  <c r="L37" i="28"/>
  <c r="L38" i="28"/>
  <c r="L39" i="28"/>
  <c r="L40" i="28"/>
  <c r="L41" i="28"/>
  <c r="L42" i="28"/>
  <c r="L43" i="28"/>
  <c r="L44" i="28"/>
  <c r="L45" i="28"/>
  <c r="L46" i="28"/>
  <c r="L47" i="28"/>
  <c r="L48" i="28"/>
  <c r="L49" i="28"/>
  <c r="L50" i="28"/>
  <c r="L51" i="28"/>
  <c r="L52" i="28"/>
  <c r="L53" i="28"/>
  <c r="L3" i="28"/>
  <c r="B32" i="26"/>
  <c r="B33" i="26"/>
  <c r="B34" i="26"/>
  <c r="B36" i="26"/>
  <c r="B37" i="26"/>
  <c r="B31" i="26"/>
  <c r="B21" i="26"/>
  <c r="B22" i="26"/>
  <c r="B23" i="26"/>
  <c r="B25" i="26"/>
  <c r="B26" i="26"/>
  <c r="B20" i="26"/>
  <c r="R15" i="57"/>
  <c r="N203" i="28" s="1"/>
  <c r="S15" i="57"/>
  <c r="U15" i="57" s="1"/>
  <c r="T15" i="57"/>
  <c r="H203" i="28" s="1"/>
  <c r="V15" i="57"/>
  <c r="R16" i="57"/>
  <c r="N204" i="28" s="1"/>
  <c r="S16" i="57"/>
  <c r="U16" i="57" s="1"/>
  <c r="T16" i="57"/>
  <c r="H204" i="28" s="1"/>
  <c r="V16" i="57"/>
  <c r="R17" i="57"/>
  <c r="N205" i="28" s="1"/>
  <c r="S17" i="57"/>
  <c r="U17" i="57" s="1"/>
  <c r="T17" i="57"/>
  <c r="H205" i="28" s="1"/>
  <c r="V17" i="57"/>
  <c r="R18" i="57"/>
  <c r="N206" i="28" s="1"/>
  <c r="S18" i="57"/>
  <c r="U18" i="57" s="1"/>
  <c r="T18" i="57"/>
  <c r="H206" i="28" s="1"/>
  <c r="V18" i="57"/>
  <c r="R19" i="57"/>
  <c r="N207" i="28" s="1"/>
  <c r="S19" i="57"/>
  <c r="U19" i="57" s="1"/>
  <c r="T19" i="57"/>
  <c r="H207" i="28" s="1"/>
  <c r="V19" i="57"/>
  <c r="R20" i="57"/>
  <c r="N208" i="28" s="1"/>
  <c r="S20" i="57"/>
  <c r="U20" i="57" s="1"/>
  <c r="T20" i="57"/>
  <c r="H208" i="28" s="1"/>
  <c r="V20" i="57"/>
  <c r="R21" i="57"/>
  <c r="N209" i="28" s="1"/>
  <c r="S21" i="57"/>
  <c r="U21" i="57" s="1"/>
  <c r="T21" i="57"/>
  <c r="H209" i="28" s="1"/>
  <c r="V21" i="57"/>
  <c r="R22" i="57"/>
  <c r="N210" i="28" s="1"/>
  <c r="S22" i="57"/>
  <c r="U22" i="57" s="1"/>
  <c r="T22" i="57"/>
  <c r="H210" i="28" s="1"/>
  <c r="V22" i="57"/>
  <c r="R23" i="57"/>
  <c r="N211" i="28" s="1"/>
  <c r="S23" i="57"/>
  <c r="U23" i="57" s="1"/>
  <c r="T23" i="57"/>
  <c r="H211" i="28" s="1"/>
  <c r="V23" i="57"/>
  <c r="R24" i="57"/>
  <c r="N212" i="28" s="1"/>
  <c r="S24" i="57"/>
  <c r="U24" i="57" s="1"/>
  <c r="T24" i="57"/>
  <c r="H212" i="28" s="1"/>
  <c r="V24" i="57"/>
  <c r="R8" i="57"/>
  <c r="N196" i="28" s="1"/>
  <c r="R9" i="57"/>
  <c r="N197" i="28" s="1"/>
  <c r="R10" i="57"/>
  <c r="N198" i="28" s="1"/>
  <c r="R11" i="57"/>
  <c r="N199" i="28" s="1"/>
  <c r="R12" i="57"/>
  <c r="N200" i="28" s="1"/>
  <c r="R13" i="57"/>
  <c r="N201" i="28" s="1"/>
  <c r="R14" i="57"/>
  <c r="N202" i="28" s="1"/>
  <c r="T5" i="57"/>
  <c r="T6" i="57"/>
  <c r="H194" i="28" s="1"/>
  <c r="T7" i="57"/>
  <c r="H195" i="28" s="1"/>
  <c r="T8" i="57"/>
  <c r="H196" i="28" s="1"/>
  <c r="T9" i="57"/>
  <c r="H197" i="28" s="1"/>
  <c r="T10" i="57"/>
  <c r="H198" i="28" s="1"/>
  <c r="T11" i="57"/>
  <c r="H199" i="28" s="1"/>
  <c r="T12" i="57"/>
  <c r="H200" i="28" s="1"/>
  <c r="T13" i="57"/>
  <c r="H201" i="28" s="1"/>
  <c r="T14" i="57"/>
  <c r="H202" i="28" s="1"/>
  <c r="S5" i="57"/>
  <c r="G193" i="28" s="1"/>
  <c r="S6" i="57"/>
  <c r="G194" i="28" s="1"/>
  <c r="S7" i="57"/>
  <c r="G195" i="28" s="1"/>
  <c r="S8" i="57"/>
  <c r="G196" i="28" s="1"/>
  <c r="S9" i="57"/>
  <c r="G197" i="28" s="1"/>
  <c r="S10" i="57"/>
  <c r="G198" i="28" s="1"/>
  <c r="S11" i="57"/>
  <c r="G199" i="28" s="1"/>
  <c r="S12" i="57"/>
  <c r="G200" i="28" s="1"/>
  <c r="S13" i="57"/>
  <c r="G201" i="28" s="1"/>
  <c r="S14" i="57"/>
  <c r="G202" i="28" s="1"/>
  <c r="V11" i="57"/>
  <c r="V7" i="57"/>
  <c r="P31" i="56"/>
  <c r="P23" i="56"/>
  <c r="P15" i="56"/>
  <c r="D141" i="28"/>
  <c r="P7" i="56"/>
  <c r="C5" i="55"/>
  <c r="C6" i="46"/>
  <c r="J6" i="46" s="1"/>
  <c r="C7" i="46"/>
  <c r="C8" i="46"/>
  <c r="J8" i="46" s="1"/>
  <c r="C9" i="46"/>
  <c r="J9" i="46" s="1"/>
  <c r="C10" i="46"/>
  <c r="J10" i="46" s="1"/>
  <c r="C11" i="46"/>
  <c r="C12" i="46"/>
  <c r="J12" i="46" s="1"/>
  <c r="C13" i="46"/>
  <c r="J13" i="46" s="1"/>
  <c r="C14" i="46"/>
  <c r="J14" i="46" s="1"/>
  <c r="C15" i="46"/>
  <c r="C16" i="46"/>
  <c r="J16" i="46" s="1"/>
  <c r="C17" i="46"/>
  <c r="J17" i="46" s="1"/>
  <c r="C18" i="46"/>
  <c r="J18" i="46" s="1"/>
  <c r="C19" i="46"/>
  <c r="C20" i="46"/>
  <c r="J20" i="46" s="1"/>
  <c r="C21" i="46"/>
  <c r="J21" i="46" s="1"/>
  <c r="C22" i="46"/>
  <c r="J22" i="46" s="1"/>
  <c r="C23" i="46"/>
  <c r="C24" i="46"/>
  <c r="J24" i="46" s="1"/>
  <c r="C25" i="46"/>
  <c r="J25" i="46" s="1"/>
  <c r="C26" i="46"/>
  <c r="J26" i="46" s="1"/>
  <c r="C27" i="46"/>
  <c r="C28" i="46"/>
  <c r="J28" i="46" s="1"/>
  <c r="C29" i="46"/>
  <c r="J29" i="46" s="1"/>
  <c r="C30" i="46"/>
  <c r="J30" i="46" s="1"/>
  <c r="C31" i="46"/>
  <c r="C32" i="46"/>
  <c r="J32" i="46" s="1"/>
  <c r="C33" i="46"/>
  <c r="J33" i="46" s="1"/>
  <c r="C34" i="46"/>
  <c r="J34" i="46" s="1"/>
  <c r="C6" i="1"/>
  <c r="V6" i="1"/>
  <c r="C7" i="1"/>
  <c r="V7" i="1"/>
  <c r="C8" i="1"/>
  <c r="V8" i="1"/>
  <c r="C9" i="1"/>
  <c r="V9" i="1"/>
  <c r="C10" i="1"/>
  <c r="V10" i="1"/>
  <c r="C11" i="1"/>
  <c r="V11" i="1"/>
  <c r="C12" i="1"/>
  <c r="V12" i="1"/>
  <c r="C13" i="1"/>
  <c r="V13" i="1"/>
  <c r="C14" i="1"/>
  <c r="V14" i="1"/>
  <c r="C15" i="1"/>
  <c r="V15" i="1"/>
  <c r="C16" i="1"/>
  <c r="V16" i="1"/>
  <c r="F17" i="1"/>
  <c r="V17" i="1"/>
  <c r="C18" i="1"/>
  <c r="V18" i="1"/>
  <c r="C19" i="1"/>
  <c r="V19" i="1"/>
  <c r="C20" i="1"/>
  <c r="V20" i="1"/>
  <c r="C21" i="1"/>
  <c r="V21" i="1"/>
  <c r="C22" i="1"/>
  <c r="V22" i="1"/>
  <c r="C23" i="1"/>
  <c r="V23" i="1"/>
  <c r="C24" i="1"/>
  <c r="V24" i="1"/>
  <c r="C25" i="1"/>
  <c r="V25" i="1"/>
  <c r="C26" i="1"/>
  <c r="V26" i="1"/>
  <c r="C27" i="1"/>
  <c r="V27" i="1"/>
  <c r="C28" i="1"/>
  <c r="V28" i="1"/>
  <c r="C29" i="1"/>
  <c r="V29" i="1"/>
  <c r="C30" i="1"/>
  <c r="V30" i="1"/>
  <c r="C31" i="1"/>
  <c r="V31" i="1"/>
  <c r="C32" i="1"/>
  <c r="V32" i="1"/>
  <c r="C33" i="1"/>
  <c r="V33" i="1"/>
  <c r="C34" i="1"/>
  <c r="V34" i="1"/>
  <c r="C35" i="1"/>
  <c r="V35" i="1"/>
  <c r="C36" i="1"/>
  <c r="V36" i="1"/>
  <c r="C37" i="1"/>
  <c r="V37" i="1"/>
  <c r="C38" i="1"/>
  <c r="V38" i="1"/>
  <c r="C39" i="1"/>
  <c r="V39" i="1"/>
  <c r="C40" i="1"/>
  <c r="V40" i="1"/>
  <c r="C41" i="1"/>
  <c r="V41" i="1"/>
  <c r="C42" i="1"/>
  <c r="V42" i="1"/>
  <c r="C43" i="1"/>
  <c r="V43" i="1"/>
  <c r="C44" i="1"/>
  <c r="V44" i="1"/>
  <c r="C45" i="1"/>
  <c r="V45" i="1"/>
  <c r="C46" i="1"/>
  <c r="V46" i="1"/>
  <c r="C47" i="1"/>
  <c r="V47" i="1"/>
  <c r="C48" i="1"/>
  <c r="V48" i="1"/>
  <c r="C49" i="1"/>
  <c r="V49" i="1"/>
  <c r="C50" i="1"/>
  <c r="V50" i="1"/>
  <c r="C51" i="1"/>
  <c r="V51" i="1"/>
  <c r="C52" i="1"/>
  <c r="V52" i="1"/>
  <c r="C53" i="1"/>
  <c r="V53" i="1"/>
  <c r="C54" i="1"/>
  <c r="V54" i="1"/>
  <c r="V5" i="1"/>
  <c r="C7" i="51" l="1"/>
  <c r="I7" i="51" s="1"/>
  <c r="T53" i="1"/>
  <c r="T43" i="1"/>
  <c r="T33" i="1"/>
  <c r="T23" i="1"/>
  <c r="T9" i="1"/>
  <c r="T51" i="1"/>
  <c r="T47" i="1"/>
  <c r="T41" i="1"/>
  <c r="T37" i="1"/>
  <c r="T31" i="1"/>
  <c r="T27" i="1"/>
  <c r="T21" i="1"/>
  <c r="T13" i="1"/>
  <c r="T50" i="1"/>
  <c r="T46" i="1"/>
  <c r="T42" i="1"/>
  <c r="T38" i="1"/>
  <c r="T36" i="1"/>
  <c r="T34" i="1"/>
  <c r="T32" i="1"/>
  <c r="T30" i="1"/>
  <c r="T28" i="1"/>
  <c r="T26" i="1"/>
  <c r="T24" i="1"/>
  <c r="T22" i="1"/>
  <c r="T20" i="1"/>
  <c r="T18" i="1"/>
  <c r="T16" i="1"/>
  <c r="T14" i="1"/>
  <c r="T12" i="1"/>
  <c r="T10" i="1"/>
  <c r="T8" i="1"/>
  <c r="T6" i="1"/>
  <c r="T49" i="1"/>
  <c r="T45" i="1"/>
  <c r="T39" i="1"/>
  <c r="T35" i="1"/>
  <c r="T29" i="1"/>
  <c r="T25" i="1"/>
  <c r="T19" i="1"/>
  <c r="T15" i="1"/>
  <c r="T11" i="1"/>
  <c r="T7" i="1"/>
  <c r="T54" i="1"/>
  <c r="T52" i="1"/>
  <c r="T48" i="1"/>
  <c r="T44" i="1"/>
  <c r="T40" i="1"/>
  <c r="S15" i="1"/>
  <c r="S51" i="1"/>
  <c r="S47" i="1"/>
  <c r="S41" i="1"/>
  <c r="S37" i="1"/>
  <c r="S31" i="1"/>
  <c r="S25" i="1"/>
  <c r="S21" i="1"/>
  <c r="S13" i="1"/>
  <c r="S49" i="1"/>
  <c r="S43" i="1"/>
  <c r="S39" i="1"/>
  <c r="S33" i="1"/>
  <c r="S29" i="1"/>
  <c r="S23" i="1"/>
  <c r="S11" i="1"/>
  <c r="S7" i="1"/>
  <c r="S54" i="1"/>
  <c r="S52" i="1"/>
  <c r="S50" i="1"/>
  <c r="S48" i="1"/>
  <c r="S46" i="1"/>
  <c r="S44" i="1"/>
  <c r="S42" i="1"/>
  <c r="S40" i="1"/>
  <c r="S38" i="1"/>
  <c r="S36" i="1"/>
  <c r="S34" i="1"/>
  <c r="S32" i="1"/>
  <c r="S30" i="1"/>
  <c r="S28" i="1"/>
  <c r="S26" i="1"/>
  <c r="S24" i="1"/>
  <c r="S22" i="1"/>
  <c r="S20" i="1"/>
  <c r="S18" i="1"/>
  <c r="S16" i="1"/>
  <c r="S14" i="1"/>
  <c r="S12" i="1"/>
  <c r="S10" i="1"/>
  <c r="S8" i="1"/>
  <c r="S6" i="1"/>
  <c r="S53" i="1"/>
  <c r="S45" i="1"/>
  <c r="S35" i="1"/>
  <c r="S27" i="1"/>
  <c r="S19" i="1"/>
  <c r="S9" i="1"/>
  <c r="Q6" i="1"/>
  <c r="R6" i="1" s="1"/>
  <c r="F15" i="1"/>
  <c r="F14" i="1"/>
  <c r="R5" i="59"/>
  <c r="Q3" i="59"/>
  <c r="G203" i="28"/>
  <c r="Q53" i="1"/>
  <c r="R53" i="1" s="1"/>
  <c r="Q43" i="1"/>
  <c r="R43" i="1" s="1"/>
  <c r="Q33" i="1"/>
  <c r="R33" i="1" s="1"/>
  <c r="Q27" i="1"/>
  <c r="R27" i="1" s="1"/>
  <c r="Q17" i="1"/>
  <c r="R17" i="1" s="1"/>
  <c r="Q51" i="1"/>
  <c r="R51" i="1" s="1"/>
  <c r="Q41" i="1"/>
  <c r="R41" i="1" s="1"/>
  <c r="Q37" i="1"/>
  <c r="R37" i="1" s="1"/>
  <c r="Q29" i="1"/>
  <c r="R29" i="1" s="1"/>
  <c r="Q23" i="1"/>
  <c r="R23" i="1" s="1"/>
  <c r="Q19" i="1"/>
  <c r="R19" i="1" s="1"/>
  <c r="Q15" i="1"/>
  <c r="R15" i="1" s="1"/>
  <c r="Q13" i="1"/>
  <c r="R13" i="1" s="1"/>
  <c r="Q16" i="1"/>
  <c r="R16" i="1" s="1"/>
  <c r="Q49" i="1"/>
  <c r="R49" i="1" s="1"/>
  <c r="Q45" i="1"/>
  <c r="R45" i="1" s="1"/>
  <c r="Q39" i="1"/>
  <c r="R39" i="1" s="1"/>
  <c r="Q35" i="1"/>
  <c r="R35" i="1" s="1"/>
  <c r="Q31" i="1"/>
  <c r="R31" i="1" s="1"/>
  <c r="Q25" i="1"/>
  <c r="R25" i="1" s="1"/>
  <c r="Q21" i="1"/>
  <c r="R21" i="1" s="1"/>
  <c r="Q54" i="1"/>
  <c r="R54" i="1" s="1"/>
  <c r="Q52" i="1"/>
  <c r="R52" i="1" s="1"/>
  <c r="Q50" i="1"/>
  <c r="R50" i="1" s="1"/>
  <c r="Q48" i="1"/>
  <c r="R48" i="1" s="1"/>
  <c r="Q46" i="1"/>
  <c r="R46" i="1" s="1"/>
  <c r="Q44" i="1"/>
  <c r="R44" i="1" s="1"/>
  <c r="Q42" i="1"/>
  <c r="R42" i="1" s="1"/>
  <c r="Q40" i="1"/>
  <c r="R40" i="1" s="1"/>
  <c r="Q38" i="1"/>
  <c r="R38" i="1" s="1"/>
  <c r="Q36" i="1"/>
  <c r="R36" i="1" s="1"/>
  <c r="Q34" i="1"/>
  <c r="R34" i="1" s="1"/>
  <c r="Q32" i="1"/>
  <c r="R32" i="1" s="1"/>
  <c r="Q30" i="1"/>
  <c r="R30" i="1" s="1"/>
  <c r="Q28" i="1"/>
  <c r="R28" i="1" s="1"/>
  <c r="Q26" i="1"/>
  <c r="R26" i="1" s="1"/>
  <c r="Q24" i="1"/>
  <c r="R24" i="1" s="1"/>
  <c r="Q22" i="1"/>
  <c r="R22" i="1" s="1"/>
  <c r="Q20" i="1"/>
  <c r="R20" i="1" s="1"/>
  <c r="Q14" i="1"/>
  <c r="R14" i="1" s="1"/>
  <c r="Q11" i="1"/>
  <c r="R11" i="1" s="1"/>
  <c r="Q12" i="1"/>
  <c r="R12" i="1" s="1"/>
  <c r="Q9" i="1"/>
  <c r="R9" i="1" s="1"/>
  <c r="Q8" i="1"/>
  <c r="R8" i="1" s="1"/>
  <c r="Q7" i="1"/>
  <c r="R7" i="1" s="1"/>
  <c r="O5" i="55"/>
  <c r="J5" i="55"/>
  <c r="D45" i="28"/>
  <c r="F45" i="28" s="1"/>
  <c r="Q47" i="1"/>
  <c r="R47" i="1" s="1"/>
  <c r="D8" i="28"/>
  <c r="F8" i="28" s="1"/>
  <c r="Q10" i="1"/>
  <c r="R10" i="1" s="1"/>
  <c r="O31" i="46"/>
  <c r="J31" i="46"/>
  <c r="O27" i="46"/>
  <c r="J27" i="46"/>
  <c r="O23" i="46"/>
  <c r="J23" i="46"/>
  <c r="O19" i="46"/>
  <c r="J19" i="46"/>
  <c r="O15" i="46"/>
  <c r="J15" i="46"/>
  <c r="O11" i="46"/>
  <c r="J11" i="46"/>
  <c r="O7" i="46"/>
  <c r="J7" i="46"/>
  <c r="D16" i="28"/>
  <c r="F16" i="28" s="1"/>
  <c r="Q18" i="1"/>
  <c r="R18" i="1" s="1"/>
  <c r="H193" i="28"/>
  <c r="G211" i="28"/>
  <c r="G209" i="28"/>
  <c r="G212" i="28"/>
  <c r="G204" i="28"/>
  <c r="G205" i="28"/>
  <c r="G206" i="28"/>
  <c r="G210" i="28"/>
  <c r="W24" i="57"/>
  <c r="X24" i="57" s="1"/>
  <c r="G207" i="28"/>
  <c r="G208" i="28"/>
  <c r="D169" i="28"/>
  <c r="D160" i="28"/>
  <c r="D185" i="28"/>
  <c r="D21" i="28"/>
  <c r="F21" i="28" s="1"/>
  <c r="D140" i="28"/>
  <c r="D37" i="28"/>
  <c r="F37" i="28" s="1"/>
  <c r="D177" i="28"/>
  <c r="D32" i="28"/>
  <c r="F32" i="28" s="1"/>
  <c r="D13" i="28"/>
  <c r="F13" i="28" s="1"/>
  <c r="D161" i="28"/>
  <c r="D29" i="28"/>
  <c r="F29" i="28" s="1"/>
  <c r="D157" i="28"/>
  <c r="D156" i="28"/>
  <c r="D24" i="28"/>
  <c r="F24" i="28" s="1"/>
  <c r="D5" i="28"/>
  <c r="F5" i="28" s="1"/>
  <c r="D148" i="28"/>
  <c r="D149" i="28"/>
  <c r="D164" i="28"/>
  <c r="D166" i="28"/>
  <c r="D174" i="28"/>
  <c r="D138" i="28"/>
  <c r="D146" i="28"/>
  <c r="D154" i="28"/>
  <c r="D162" i="28"/>
  <c r="D52" i="28"/>
  <c r="F52" i="28" s="1"/>
  <c r="D39" i="28"/>
  <c r="F39" i="28" s="1"/>
  <c r="D19" i="28"/>
  <c r="F19" i="28" s="1"/>
  <c r="D191" i="28"/>
  <c r="D35" i="28"/>
  <c r="F35" i="28" s="1"/>
  <c r="D11" i="28"/>
  <c r="F11" i="28" s="1"/>
  <c r="P11" i="56"/>
  <c r="D139" i="28"/>
  <c r="D50" i="28"/>
  <c r="F50" i="28" s="1"/>
  <c r="D40" i="28"/>
  <c r="F40" i="28" s="1"/>
  <c r="D190" i="28"/>
  <c r="D44" i="28"/>
  <c r="F44" i="28" s="1"/>
  <c r="D47" i="28"/>
  <c r="F47" i="28" s="1"/>
  <c r="D27" i="28"/>
  <c r="F27" i="28" s="1"/>
  <c r="D175" i="28"/>
  <c r="P27" i="56"/>
  <c r="D155" i="28"/>
  <c r="D43" i="28"/>
  <c r="F43" i="28" s="1"/>
  <c r="D23" i="28"/>
  <c r="F23" i="28" s="1"/>
  <c r="D183" i="28"/>
  <c r="D48" i="28"/>
  <c r="F48" i="28" s="1"/>
  <c r="D182" i="28"/>
  <c r="D51" i="28"/>
  <c r="F51" i="28" s="1"/>
  <c r="D31" i="28"/>
  <c r="F31" i="28" s="1"/>
  <c r="D15" i="28"/>
  <c r="F15" i="28" s="1"/>
  <c r="D7" i="28"/>
  <c r="F7" i="28" s="1"/>
  <c r="D167" i="28"/>
  <c r="P19" i="56"/>
  <c r="D147" i="28"/>
  <c r="D46" i="28"/>
  <c r="F46" i="28" s="1"/>
  <c r="D42" i="28"/>
  <c r="F42" i="28" s="1"/>
  <c r="D34" i="28"/>
  <c r="F34" i="28" s="1"/>
  <c r="D26" i="28"/>
  <c r="F26" i="28" s="1"/>
  <c r="D18" i="28"/>
  <c r="F18" i="28" s="1"/>
  <c r="D10" i="28"/>
  <c r="F10" i="28" s="1"/>
  <c r="D159" i="28"/>
  <c r="D187" i="28"/>
  <c r="D179" i="28"/>
  <c r="D171" i="28"/>
  <c r="D192" i="28"/>
  <c r="D184" i="28"/>
  <c r="D176" i="28"/>
  <c r="D168" i="28"/>
  <c r="D36" i="28"/>
  <c r="F36" i="28" s="1"/>
  <c r="D28" i="28"/>
  <c r="F28" i="28" s="1"/>
  <c r="D20" i="28"/>
  <c r="F20" i="28" s="1"/>
  <c r="D12" i="28"/>
  <c r="F12" i="28" s="1"/>
  <c r="D4" i="28"/>
  <c r="F4" i="28" s="1"/>
  <c r="D153" i="28"/>
  <c r="D145" i="28"/>
  <c r="D137" i="28"/>
  <c r="D189" i="28"/>
  <c r="D181" i="28"/>
  <c r="D173" i="28"/>
  <c r="D165" i="28"/>
  <c r="D49" i="28"/>
  <c r="F49" i="28" s="1"/>
  <c r="D41" i="28"/>
  <c r="F41" i="28" s="1"/>
  <c r="D33" i="28"/>
  <c r="F33" i="28" s="1"/>
  <c r="D25" i="28"/>
  <c r="F25" i="28" s="1"/>
  <c r="D17" i="28"/>
  <c r="F17" i="28" s="1"/>
  <c r="D9" i="28"/>
  <c r="F9" i="28" s="1"/>
  <c r="D152" i="28"/>
  <c r="D144" i="28"/>
  <c r="D136" i="28"/>
  <c r="D186" i="28"/>
  <c r="D178" i="28"/>
  <c r="D170" i="28"/>
  <c r="W21" i="57"/>
  <c r="X21" i="57" s="1"/>
  <c r="W19" i="57"/>
  <c r="X19" i="57" s="1"/>
  <c r="W17" i="57"/>
  <c r="X17" i="57" s="1"/>
  <c r="D38" i="28"/>
  <c r="F38" i="28" s="1"/>
  <c r="D30" i="28"/>
  <c r="F30" i="28" s="1"/>
  <c r="D22" i="28"/>
  <c r="F22" i="28" s="1"/>
  <c r="D14" i="28"/>
  <c r="F14" i="28" s="1"/>
  <c r="D6" i="28"/>
  <c r="F6" i="28" s="1"/>
  <c r="D134" i="28"/>
  <c r="D151" i="28"/>
  <c r="D143" i="28"/>
  <c r="D135" i="28"/>
  <c r="D163" i="28"/>
  <c r="D158" i="28"/>
  <c r="D150" i="28"/>
  <c r="D142" i="28"/>
  <c r="D188" i="28"/>
  <c r="D180" i="28"/>
  <c r="D172" i="28"/>
  <c r="D133" i="28"/>
  <c r="W20" i="57"/>
  <c r="X20" i="57" s="1"/>
  <c r="W18" i="57"/>
  <c r="X18" i="57" s="1"/>
  <c r="W16" i="57"/>
  <c r="X16" i="57" s="1"/>
  <c r="W23" i="57"/>
  <c r="X23" i="57" s="1"/>
  <c r="K16" i="28"/>
  <c r="W22" i="57"/>
  <c r="X22" i="57" s="1"/>
  <c r="W15" i="57"/>
  <c r="X15" i="57" s="1"/>
  <c r="U5" i="57"/>
  <c r="U8" i="57"/>
  <c r="U13" i="57"/>
  <c r="U12" i="57"/>
  <c r="U9" i="57"/>
  <c r="V8" i="57"/>
  <c r="V12" i="57"/>
  <c r="U6" i="57"/>
  <c r="U10" i="57"/>
  <c r="W11" i="57"/>
  <c r="U14" i="57"/>
  <c r="V5" i="57"/>
  <c r="V9" i="57"/>
  <c r="W9" i="57" s="1"/>
  <c r="V13" i="57"/>
  <c r="U7" i="57"/>
  <c r="U11" i="57"/>
  <c r="V6" i="57"/>
  <c r="V10" i="57"/>
  <c r="V14" i="57"/>
  <c r="W14" i="57" s="1"/>
  <c r="P8" i="56"/>
  <c r="P12" i="56"/>
  <c r="P16" i="56"/>
  <c r="P20" i="56"/>
  <c r="P24" i="56"/>
  <c r="P28" i="56"/>
  <c r="P32" i="56"/>
  <c r="P5" i="56"/>
  <c r="P9" i="56"/>
  <c r="P13" i="56"/>
  <c r="P17" i="56"/>
  <c r="P21" i="56"/>
  <c r="P25" i="56"/>
  <c r="P29" i="56"/>
  <c r="P33" i="56"/>
  <c r="P6" i="56"/>
  <c r="P10" i="56"/>
  <c r="P14" i="56"/>
  <c r="P18" i="56"/>
  <c r="P22" i="56"/>
  <c r="P26" i="56"/>
  <c r="P30" i="56"/>
  <c r="P34" i="56"/>
  <c r="O33" i="46"/>
  <c r="O30" i="46"/>
  <c r="O29" i="46"/>
  <c r="O14" i="46"/>
  <c r="O34" i="46"/>
  <c r="O10" i="46"/>
  <c r="O22" i="46"/>
  <c r="O17" i="46"/>
  <c r="O9" i="46"/>
  <c r="O26" i="46"/>
  <c r="O21" i="46"/>
  <c r="O6" i="46"/>
  <c r="O18" i="46"/>
  <c r="O13" i="46"/>
  <c r="O25" i="46"/>
  <c r="O32" i="46"/>
  <c r="O28" i="46"/>
  <c r="O24" i="46"/>
  <c r="O20" i="46"/>
  <c r="O16" i="46"/>
  <c r="O12" i="46"/>
  <c r="O8" i="46"/>
  <c r="R3" i="59" l="1"/>
  <c r="H7" i="51"/>
  <c r="J8" i="28"/>
  <c r="J45" i="28"/>
  <c r="J16" i="28"/>
  <c r="G16" i="28"/>
  <c r="H16" i="28"/>
  <c r="K8" i="28"/>
  <c r="H45" i="28"/>
  <c r="G45" i="28"/>
  <c r="K45" i="28"/>
  <c r="H15" i="28"/>
  <c r="H40" i="28"/>
  <c r="K21" i="28"/>
  <c r="H21" i="28"/>
  <c r="P3" i="56"/>
  <c r="G6" i="51" s="1"/>
  <c r="D34" i="26" s="1"/>
  <c r="J5" i="28"/>
  <c r="J31" i="28"/>
  <c r="H12" i="28"/>
  <c r="J21" i="28"/>
  <c r="G21" i="28"/>
  <c r="H38" i="28"/>
  <c r="K14" i="28"/>
  <c r="G27" i="28"/>
  <c r="H27" i="28"/>
  <c r="J27" i="28"/>
  <c r="K5" i="28"/>
  <c r="J11" i="28"/>
  <c r="G31" i="28"/>
  <c r="H20" i="28"/>
  <c r="G40" i="28"/>
  <c r="H31" i="28"/>
  <c r="K40" i="28"/>
  <c r="K31" i="28"/>
  <c r="J40" i="28"/>
  <c r="G13" i="28"/>
  <c r="K23" i="28"/>
  <c r="H13" i="28"/>
  <c r="H49" i="28"/>
  <c r="G36" i="28"/>
  <c r="J36" i="28"/>
  <c r="H44" i="28"/>
  <c r="J13" i="28"/>
  <c r="K50" i="28"/>
  <c r="H23" i="28"/>
  <c r="H50" i="28"/>
  <c r="J23" i="28"/>
  <c r="K4" i="28"/>
  <c r="K13" i="28"/>
  <c r="G50" i="28"/>
  <c r="J50" i="28"/>
  <c r="G23" i="28"/>
  <c r="J4" i="28"/>
  <c r="J26" i="28"/>
  <c r="J37" i="28"/>
  <c r="K38" i="28"/>
  <c r="K27" i="28"/>
  <c r="K47" i="28"/>
  <c r="J18" i="28"/>
  <c r="K24" i="28"/>
  <c r="G30" i="28"/>
  <c r="K30" i="28"/>
  <c r="H30" i="28"/>
  <c r="J49" i="28"/>
  <c r="G37" i="28"/>
  <c r="G22" i="28"/>
  <c r="G38" i="28"/>
  <c r="J38" i="28"/>
  <c r="G24" i="28"/>
  <c r="G43" i="28"/>
  <c r="H37" i="28"/>
  <c r="J24" i="28"/>
  <c r="K37" i="28"/>
  <c r="H24" i="28"/>
  <c r="K25" i="28"/>
  <c r="J6" i="28"/>
  <c r="H25" i="28"/>
  <c r="G25" i="28"/>
  <c r="G46" i="28"/>
  <c r="H36" i="28"/>
  <c r="J29" i="28"/>
  <c r="K52" i="28"/>
  <c r="G32" i="28"/>
  <c r="G49" i="28"/>
  <c r="H26" i="28"/>
  <c r="H52" i="28"/>
  <c r="J30" i="28"/>
  <c r="G10" i="28"/>
  <c r="G52" i="28"/>
  <c r="H28" i="28"/>
  <c r="J32" i="28"/>
  <c r="K32" i="28"/>
  <c r="G26" i="28"/>
  <c r="H29" i="28"/>
  <c r="J35" i="28"/>
  <c r="J52" i="28"/>
  <c r="K36" i="28"/>
  <c r="K29" i="28"/>
  <c r="G15" i="28"/>
  <c r="G29" i="28"/>
  <c r="H46" i="28"/>
  <c r="H32" i="28"/>
  <c r="J28" i="28"/>
  <c r="G14" i="28"/>
  <c r="G33" i="28"/>
  <c r="H18" i="28"/>
  <c r="J19" i="28"/>
  <c r="J51" i="28"/>
  <c r="K18" i="28"/>
  <c r="G47" i="28"/>
  <c r="H19" i="28"/>
  <c r="H47" i="28"/>
  <c r="J20" i="28"/>
  <c r="K22" i="28"/>
  <c r="K48" i="28"/>
  <c r="K19" i="28"/>
  <c r="H10" i="28"/>
  <c r="J10" i="28"/>
  <c r="K51" i="28"/>
  <c r="H33" i="28"/>
  <c r="G18" i="28"/>
  <c r="J22" i="28"/>
  <c r="J43" i="28"/>
  <c r="K6" i="28"/>
  <c r="K26" i="28"/>
  <c r="K41" i="28"/>
  <c r="K43" i="28"/>
  <c r="G19" i="28"/>
  <c r="G51" i="28"/>
  <c r="H22" i="28"/>
  <c r="H41" i="28"/>
  <c r="H51" i="28"/>
  <c r="K33" i="28"/>
  <c r="G41" i="28"/>
  <c r="H14" i="28"/>
  <c r="H43" i="28"/>
  <c r="J14" i="28"/>
  <c r="J33" i="28"/>
  <c r="J47" i="28"/>
  <c r="K10" i="28"/>
  <c r="K49" i="28"/>
  <c r="J12" i="28"/>
  <c r="K7" i="28"/>
  <c r="G39" i="28"/>
  <c r="K20" i="28"/>
  <c r="G48" i="28"/>
  <c r="H39" i="28"/>
  <c r="J46" i="28"/>
  <c r="K17" i="28"/>
  <c r="K39" i="28"/>
  <c r="J44" i="28"/>
  <c r="K34" i="28"/>
  <c r="G9" i="28"/>
  <c r="G17" i="28"/>
  <c r="H48" i="28"/>
  <c r="J7" i="28"/>
  <c r="J15" i="28"/>
  <c r="J39" i="28"/>
  <c r="G34" i="28"/>
  <c r="G42" i="28"/>
  <c r="H9" i="28"/>
  <c r="H17" i="28"/>
  <c r="J48" i="28"/>
  <c r="K42" i="28"/>
  <c r="K35" i="28"/>
  <c r="K11" i="28"/>
  <c r="G11" i="28"/>
  <c r="G35" i="28"/>
  <c r="H34" i="28"/>
  <c r="H42" i="28"/>
  <c r="J9" i="28"/>
  <c r="J17" i="28"/>
  <c r="J25" i="28"/>
  <c r="J41" i="28"/>
  <c r="K12" i="28"/>
  <c r="K28" i="28"/>
  <c r="K44" i="28"/>
  <c r="K15" i="28"/>
  <c r="K9" i="28"/>
  <c r="G12" i="28"/>
  <c r="G20" i="28"/>
  <c r="G28" i="28"/>
  <c r="G44" i="28"/>
  <c r="H11" i="28"/>
  <c r="H35" i="28"/>
  <c r="J34" i="28"/>
  <c r="J42" i="28"/>
  <c r="K46" i="28"/>
  <c r="W10" i="57"/>
  <c r="X10" i="57" s="1"/>
  <c r="W13" i="57"/>
  <c r="X13" i="57" s="1"/>
  <c r="X9" i="57"/>
  <c r="X14" i="57"/>
  <c r="V3" i="57"/>
  <c r="G9" i="51" s="1"/>
  <c r="D37" i="26" s="1"/>
  <c r="C19" i="33" s="1"/>
  <c r="U3" i="57"/>
  <c r="F9" i="51" s="1"/>
  <c r="C37" i="26" s="1"/>
  <c r="S3" i="57"/>
  <c r="D9" i="51" s="1"/>
  <c r="C26" i="26" s="1"/>
  <c r="W12" i="57"/>
  <c r="X12" i="57" s="1"/>
  <c r="X11" i="57"/>
  <c r="W8" i="57"/>
  <c r="X8" i="57" s="1"/>
  <c r="T3" i="57"/>
  <c r="E9" i="51" s="1"/>
  <c r="D26" i="26" s="1"/>
  <c r="O3" i="55"/>
  <c r="G8" i="51" s="1"/>
  <c r="D36" i="26" s="1"/>
  <c r="C7" i="27" l="1"/>
  <c r="J7" i="27" s="1"/>
  <c r="C8" i="27"/>
  <c r="J8" i="27" s="1"/>
  <c r="C9" i="27"/>
  <c r="J9" i="27" s="1"/>
  <c r="C10" i="27"/>
  <c r="J10" i="27" s="1"/>
  <c r="C11" i="27"/>
  <c r="J11" i="27" s="1"/>
  <c r="C12" i="27"/>
  <c r="J12" i="27" s="1"/>
  <c r="C13" i="27"/>
  <c r="J13" i="27" s="1"/>
  <c r="C14" i="27"/>
  <c r="J14" i="27" s="1"/>
  <c r="C15" i="27"/>
  <c r="J15" i="27" s="1"/>
  <c r="C16" i="27"/>
  <c r="J16" i="27" s="1"/>
  <c r="C17" i="27"/>
  <c r="J17" i="27" s="1"/>
  <c r="C18" i="27"/>
  <c r="J18" i="27" s="1"/>
  <c r="C19" i="27"/>
  <c r="J19" i="27" s="1"/>
  <c r="C20" i="27"/>
  <c r="J20" i="27" s="1"/>
  <c r="C21" i="27"/>
  <c r="J21" i="27" s="1"/>
  <c r="C22" i="27"/>
  <c r="J22" i="27" s="1"/>
  <c r="C23" i="27"/>
  <c r="J23" i="27" s="1"/>
  <c r="C24" i="27"/>
  <c r="J24" i="27" s="1"/>
  <c r="C25" i="27"/>
  <c r="J25" i="27" s="1"/>
  <c r="C26" i="27"/>
  <c r="J26" i="27" s="1"/>
  <c r="C27" i="27"/>
  <c r="J27" i="27" s="1"/>
  <c r="C28" i="27"/>
  <c r="J28" i="27" s="1"/>
  <c r="C29" i="27"/>
  <c r="J29" i="27" s="1"/>
  <c r="C30" i="27"/>
  <c r="J30" i="27" s="1"/>
  <c r="C31" i="27"/>
  <c r="J31" i="27" s="1"/>
  <c r="C32" i="27"/>
  <c r="J32" i="27" s="1"/>
  <c r="C33" i="27"/>
  <c r="J33" i="27" s="1"/>
  <c r="C34" i="27"/>
  <c r="J34" i="27" s="1"/>
  <c r="C35" i="27"/>
  <c r="J35" i="27" s="1"/>
  <c r="C36" i="27"/>
  <c r="J36" i="27" s="1"/>
  <c r="C37" i="27"/>
  <c r="J37" i="27" s="1"/>
  <c r="C38" i="27"/>
  <c r="J38" i="27" s="1"/>
  <c r="C39" i="27"/>
  <c r="J39" i="27" s="1"/>
  <c r="C40" i="27"/>
  <c r="J40" i="27" s="1"/>
  <c r="C41" i="27"/>
  <c r="J41" i="27" s="1"/>
  <c r="C42" i="27"/>
  <c r="J42" i="27" s="1"/>
  <c r="C43" i="27"/>
  <c r="J43" i="27" s="1"/>
  <c r="C44" i="27"/>
  <c r="J44" i="27" s="1"/>
  <c r="C45" i="27"/>
  <c r="J45" i="27" s="1"/>
  <c r="C46" i="27"/>
  <c r="J46" i="27" s="1"/>
  <c r="C47" i="27"/>
  <c r="J47" i="27" s="1"/>
  <c r="C48" i="27"/>
  <c r="J48" i="27" s="1"/>
  <c r="C49" i="27"/>
  <c r="J49" i="27" s="1"/>
  <c r="C50" i="27"/>
  <c r="J50" i="27" s="1"/>
  <c r="C51" i="27"/>
  <c r="J51" i="27" s="1"/>
  <c r="C52" i="27"/>
  <c r="J52" i="27" s="1"/>
  <c r="C53" i="27"/>
  <c r="J53" i="27" s="1"/>
  <c r="C54" i="27"/>
  <c r="J54" i="27" s="1"/>
  <c r="C55" i="27"/>
  <c r="J55" i="27" s="1"/>
  <c r="C6" i="27"/>
  <c r="J6" i="27" s="1"/>
  <c r="D101" i="28" l="1"/>
  <c r="D100" i="28"/>
  <c r="D92" i="28"/>
  <c r="D84" i="28"/>
  <c r="D76" i="28"/>
  <c r="D68" i="28"/>
  <c r="D60" i="28"/>
  <c r="D93" i="28"/>
  <c r="D99" i="28"/>
  <c r="D91" i="28"/>
  <c r="D83" i="28"/>
  <c r="D75" i="28"/>
  <c r="D67" i="28"/>
  <c r="D59" i="28"/>
  <c r="D61" i="28"/>
  <c r="D98" i="28"/>
  <c r="D90" i="28"/>
  <c r="D82" i="28"/>
  <c r="D74" i="28"/>
  <c r="D66" i="28"/>
  <c r="D58" i="28"/>
  <c r="D97" i="28"/>
  <c r="D89" i="28"/>
  <c r="D81" i="28"/>
  <c r="D73" i="28"/>
  <c r="D65" i="28"/>
  <c r="D57" i="28"/>
  <c r="D69" i="28"/>
  <c r="D96" i="28"/>
  <c r="D88" i="28"/>
  <c r="D80" i="28"/>
  <c r="D72" i="28"/>
  <c r="D64" i="28"/>
  <c r="D56" i="28"/>
  <c r="D85" i="28"/>
  <c r="D95" i="28"/>
  <c r="D87" i="28"/>
  <c r="D79" i="28"/>
  <c r="D71" i="28"/>
  <c r="D63" i="28"/>
  <c r="D55" i="28"/>
  <c r="D77" i="28"/>
  <c r="D102" i="28"/>
  <c r="D94" i="28"/>
  <c r="D86" i="28"/>
  <c r="D78" i="28"/>
  <c r="D70" i="28"/>
  <c r="D62" i="28"/>
  <c r="D54" i="28"/>
  <c r="F6" i="27"/>
  <c r="E53" i="28" s="1"/>
  <c r="M6" i="27"/>
  <c r="K6" i="27"/>
  <c r="L6" i="27"/>
  <c r="O6" i="27"/>
  <c r="O12" i="27"/>
  <c r="P12" i="27" s="1"/>
  <c r="O54" i="27"/>
  <c r="P54" i="27" s="1"/>
  <c r="O52" i="27"/>
  <c r="P52" i="27"/>
  <c r="O50" i="27"/>
  <c r="P50" i="27" s="1"/>
  <c r="O48" i="27"/>
  <c r="P48" i="27"/>
  <c r="O46" i="27"/>
  <c r="P46" i="27" s="1"/>
  <c r="O44" i="27"/>
  <c r="P44" i="27"/>
  <c r="O42" i="27"/>
  <c r="P42" i="27" s="1"/>
  <c r="O40" i="27"/>
  <c r="P40" i="27"/>
  <c r="O38" i="27"/>
  <c r="P38" i="27" s="1"/>
  <c r="O36" i="27"/>
  <c r="P36" i="27"/>
  <c r="O34" i="27"/>
  <c r="P34" i="27" s="1"/>
  <c r="O32" i="27"/>
  <c r="P32" i="27"/>
  <c r="O30" i="27"/>
  <c r="P30" i="27" s="1"/>
  <c r="O28" i="27"/>
  <c r="P28" i="27"/>
  <c r="O26" i="27"/>
  <c r="P26" i="27" s="1"/>
  <c r="O24" i="27"/>
  <c r="P24" i="27"/>
  <c r="O22" i="27"/>
  <c r="P22" i="27" s="1"/>
  <c r="O20" i="27"/>
  <c r="P20" i="27"/>
  <c r="O18" i="27"/>
  <c r="P18" i="27" s="1"/>
  <c r="O16" i="27"/>
  <c r="P16" i="27"/>
  <c r="O14" i="27"/>
  <c r="P14" i="27" s="1"/>
  <c r="O9" i="27"/>
  <c r="O11" i="27"/>
  <c r="P11" i="27"/>
  <c r="O8" i="27"/>
  <c r="O55" i="27"/>
  <c r="P55" i="27" s="1"/>
  <c r="O53" i="27"/>
  <c r="P53" i="27"/>
  <c r="O51" i="27"/>
  <c r="P51" i="27" s="1"/>
  <c r="O49" i="27"/>
  <c r="P49" i="27"/>
  <c r="O47" i="27"/>
  <c r="P47" i="27" s="1"/>
  <c r="O45" i="27"/>
  <c r="P45" i="27"/>
  <c r="O43" i="27"/>
  <c r="P43" i="27" s="1"/>
  <c r="O41" i="27"/>
  <c r="P41" i="27"/>
  <c r="O39" i="27"/>
  <c r="P39" i="27" s="1"/>
  <c r="O37" i="27"/>
  <c r="P37" i="27"/>
  <c r="O35" i="27"/>
  <c r="P35" i="27" s="1"/>
  <c r="O33" i="27"/>
  <c r="P33" i="27"/>
  <c r="O31" i="27"/>
  <c r="P31" i="27" s="1"/>
  <c r="O29" i="27"/>
  <c r="P29" i="27"/>
  <c r="O27" i="27"/>
  <c r="P27" i="27" s="1"/>
  <c r="O25" i="27"/>
  <c r="P25" i="27"/>
  <c r="O23" i="27"/>
  <c r="P23" i="27" s="1"/>
  <c r="O21" i="27"/>
  <c r="P21" i="27"/>
  <c r="O19" i="27"/>
  <c r="P19" i="27" s="1"/>
  <c r="O17" i="27"/>
  <c r="P17" i="27"/>
  <c r="O15" i="27"/>
  <c r="P15" i="27" s="1"/>
  <c r="O13" i="27"/>
  <c r="P13" i="27"/>
  <c r="O10" i="27"/>
  <c r="P10" i="27"/>
  <c r="O7" i="27"/>
  <c r="P6" i="27" l="1"/>
  <c r="B104" i="28"/>
  <c r="C104" i="28"/>
  <c r="F104" i="28"/>
  <c r="J104" i="28"/>
  <c r="K104" i="28"/>
  <c r="M104" i="28"/>
  <c r="B105" i="28"/>
  <c r="C105" i="28"/>
  <c r="F105" i="28"/>
  <c r="J105" i="28"/>
  <c r="K105" i="28"/>
  <c r="M105" i="28"/>
  <c r="B106" i="28"/>
  <c r="C106" i="28"/>
  <c r="F106" i="28"/>
  <c r="J106" i="28"/>
  <c r="K106" i="28"/>
  <c r="M106" i="28"/>
  <c r="B107" i="28"/>
  <c r="C107" i="28"/>
  <c r="F107" i="28"/>
  <c r="J107" i="28"/>
  <c r="K107" i="28"/>
  <c r="M107" i="28"/>
  <c r="B108" i="28"/>
  <c r="C108" i="28"/>
  <c r="F108" i="28"/>
  <c r="J108" i="28"/>
  <c r="K108" i="28"/>
  <c r="M108" i="28"/>
  <c r="B109" i="28"/>
  <c r="C109" i="28"/>
  <c r="F109" i="28"/>
  <c r="J109" i="28"/>
  <c r="K109" i="28"/>
  <c r="M109" i="28"/>
  <c r="B110" i="28"/>
  <c r="C110" i="28"/>
  <c r="F110" i="28"/>
  <c r="J110" i="28"/>
  <c r="K110" i="28"/>
  <c r="M110" i="28"/>
  <c r="B111" i="28"/>
  <c r="C111" i="28"/>
  <c r="F111" i="28"/>
  <c r="J111" i="28"/>
  <c r="K111" i="28"/>
  <c r="M111" i="28"/>
  <c r="B112" i="28"/>
  <c r="C112" i="28"/>
  <c r="F112" i="28"/>
  <c r="J112" i="28"/>
  <c r="K112" i="28"/>
  <c r="M112" i="28"/>
  <c r="B113" i="28"/>
  <c r="C113" i="28"/>
  <c r="F113" i="28"/>
  <c r="J113" i="28"/>
  <c r="K113" i="28"/>
  <c r="M113" i="28"/>
  <c r="B114" i="28"/>
  <c r="C114" i="28"/>
  <c r="F114" i="28"/>
  <c r="J114" i="28"/>
  <c r="K114" i="28"/>
  <c r="M114" i="28"/>
  <c r="B115" i="28"/>
  <c r="C115" i="28"/>
  <c r="F115" i="28"/>
  <c r="J115" i="28"/>
  <c r="K115" i="28"/>
  <c r="M115" i="28"/>
  <c r="B116" i="28"/>
  <c r="C116" i="28"/>
  <c r="F116" i="28"/>
  <c r="J116" i="28"/>
  <c r="K116" i="28"/>
  <c r="M116" i="28"/>
  <c r="B117" i="28"/>
  <c r="C117" i="28"/>
  <c r="F117" i="28"/>
  <c r="J117" i="28"/>
  <c r="K117" i="28"/>
  <c r="M117" i="28"/>
  <c r="B118" i="28"/>
  <c r="C118" i="28"/>
  <c r="F118" i="28"/>
  <c r="J118" i="28"/>
  <c r="K118" i="28"/>
  <c r="M118" i="28"/>
  <c r="B119" i="28"/>
  <c r="C119" i="28"/>
  <c r="F119" i="28"/>
  <c r="J119" i="28"/>
  <c r="K119" i="28"/>
  <c r="M119" i="28"/>
  <c r="B120" i="28"/>
  <c r="C120" i="28"/>
  <c r="F120" i="28"/>
  <c r="J120" i="28"/>
  <c r="K120" i="28"/>
  <c r="M120" i="28"/>
  <c r="B121" i="28"/>
  <c r="C121" i="28"/>
  <c r="F121" i="28"/>
  <c r="J121" i="28"/>
  <c r="K121" i="28"/>
  <c r="M121" i="28"/>
  <c r="B122" i="28"/>
  <c r="C122" i="28"/>
  <c r="F122" i="28"/>
  <c r="J122" i="28"/>
  <c r="K122" i="28"/>
  <c r="M122" i="28"/>
  <c r="B123" i="28"/>
  <c r="C123" i="28"/>
  <c r="F123" i="28"/>
  <c r="J123" i="28"/>
  <c r="K123" i="28"/>
  <c r="M123" i="28"/>
  <c r="B124" i="28"/>
  <c r="C124" i="28"/>
  <c r="F124" i="28"/>
  <c r="J124" i="28"/>
  <c r="K124" i="28"/>
  <c r="M124" i="28"/>
  <c r="B125" i="28"/>
  <c r="C125" i="28"/>
  <c r="F125" i="28"/>
  <c r="J125" i="28"/>
  <c r="K125" i="28"/>
  <c r="M125" i="28"/>
  <c r="B126" i="28"/>
  <c r="C126" i="28"/>
  <c r="F126" i="28"/>
  <c r="J126" i="28"/>
  <c r="K126" i="28"/>
  <c r="M126" i="28"/>
  <c r="B127" i="28"/>
  <c r="C127" i="28"/>
  <c r="F127" i="28"/>
  <c r="J127" i="28"/>
  <c r="K127" i="28"/>
  <c r="M127" i="28"/>
  <c r="B128" i="28"/>
  <c r="C128" i="28"/>
  <c r="F128" i="28"/>
  <c r="J128" i="28"/>
  <c r="K128" i="28"/>
  <c r="M128" i="28"/>
  <c r="B129" i="28"/>
  <c r="C129" i="28"/>
  <c r="F129" i="28"/>
  <c r="J129" i="28"/>
  <c r="K129" i="28"/>
  <c r="M129" i="28"/>
  <c r="B130" i="28"/>
  <c r="C130" i="28"/>
  <c r="F130" i="28"/>
  <c r="J130" i="28"/>
  <c r="K130" i="28"/>
  <c r="M130" i="28"/>
  <c r="B131" i="28"/>
  <c r="C131" i="28"/>
  <c r="F131" i="28"/>
  <c r="J131" i="28"/>
  <c r="K131" i="28"/>
  <c r="M131" i="28"/>
  <c r="B132" i="28"/>
  <c r="C132" i="28"/>
  <c r="F132" i="28"/>
  <c r="J132" i="28"/>
  <c r="K132" i="28"/>
  <c r="M132" i="28"/>
  <c r="M103" i="28"/>
  <c r="K103" i="28"/>
  <c r="J103" i="28"/>
  <c r="F103" i="28"/>
  <c r="C10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4" i="28"/>
  <c r="C4" i="28"/>
  <c r="B5" i="28"/>
  <c r="C5" i="28"/>
  <c r="B6" i="28"/>
  <c r="C6" i="28"/>
  <c r="B7" i="28"/>
  <c r="C7" i="28"/>
  <c r="B8" i="28"/>
  <c r="C8" i="28"/>
  <c r="B9" i="28"/>
  <c r="C9" i="28"/>
  <c r="B10" i="28"/>
  <c r="C10" i="28"/>
  <c r="B11" i="28"/>
  <c r="C11" i="28"/>
  <c r="B12" i="28"/>
  <c r="C12" i="28"/>
  <c r="B13" i="28"/>
  <c r="C13" i="28"/>
  <c r="B14" i="28"/>
  <c r="C14" i="28"/>
  <c r="B15" i="28"/>
  <c r="C15" i="28"/>
  <c r="B16" i="28"/>
  <c r="C16" i="28"/>
  <c r="B17" i="28"/>
  <c r="C17" i="28"/>
  <c r="B18" i="28"/>
  <c r="C18" i="28"/>
  <c r="B19" i="28"/>
  <c r="C19" i="28"/>
  <c r="B20" i="28"/>
  <c r="C20" i="28"/>
  <c r="B21" i="28"/>
  <c r="C21" i="28"/>
  <c r="B22" i="28"/>
  <c r="C22" i="28"/>
  <c r="B23" i="28"/>
  <c r="C23" i="28"/>
  <c r="B24" i="28"/>
  <c r="C24" i="28"/>
  <c r="B25" i="28"/>
  <c r="C25" i="28"/>
  <c r="B26" i="28"/>
  <c r="C26" i="28"/>
  <c r="B27" i="28"/>
  <c r="C27" i="28"/>
  <c r="B28" i="28"/>
  <c r="C28" i="28"/>
  <c r="B29" i="28"/>
  <c r="C29" i="28"/>
  <c r="B30" i="28"/>
  <c r="C30" i="28"/>
  <c r="B31" i="28"/>
  <c r="C31" i="28"/>
  <c r="B32" i="28"/>
  <c r="C32" i="28"/>
  <c r="B33" i="28"/>
  <c r="C33" i="28"/>
  <c r="B34" i="28"/>
  <c r="C34" i="28"/>
  <c r="B35" i="28"/>
  <c r="C35" i="28"/>
  <c r="B36" i="28"/>
  <c r="C36" i="28"/>
  <c r="B37" i="28"/>
  <c r="C37" i="28"/>
  <c r="B38" i="28"/>
  <c r="C38" i="28"/>
  <c r="B39" i="28"/>
  <c r="C39" i="28"/>
  <c r="B40" i="28"/>
  <c r="C40" i="28"/>
  <c r="B41" i="28"/>
  <c r="C41" i="28"/>
  <c r="B42" i="28"/>
  <c r="C42" i="28"/>
  <c r="B43" i="28"/>
  <c r="C43" i="28"/>
  <c r="B44" i="28"/>
  <c r="C44" i="28"/>
  <c r="B45" i="28"/>
  <c r="C45" i="28"/>
  <c r="B46" i="28"/>
  <c r="C46" i="28"/>
  <c r="B47" i="28"/>
  <c r="C47" i="28"/>
  <c r="B48" i="28"/>
  <c r="C48" i="28"/>
  <c r="B49" i="28"/>
  <c r="C49" i="28"/>
  <c r="B50" i="28"/>
  <c r="C50" i="28"/>
  <c r="B51" i="28"/>
  <c r="C51" i="28"/>
  <c r="B52" i="28"/>
  <c r="C52" i="28"/>
  <c r="K53" i="28"/>
  <c r="J53" i="28"/>
  <c r="F53" i="28"/>
  <c r="D53" i="28"/>
  <c r="C53" i="28"/>
  <c r="C3" i="28"/>
  <c r="P8" i="53"/>
  <c r="Q8" i="53"/>
  <c r="R8" i="53"/>
  <c r="O8" i="53"/>
  <c r="N7" i="53"/>
  <c r="N5" i="53"/>
  <c r="N4" i="53"/>
  <c r="I7" i="53"/>
  <c r="H7" i="53"/>
  <c r="G7" i="53"/>
  <c r="F7" i="53"/>
  <c r="E7" i="53"/>
  <c r="D7" i="53"/>
  <c r="C7" i="53"/>
  <c r="B7" i="53"/>
  <c r="N6" i="53"/>
  <c r="I6" i="53"/>
  <c r="H6" i="53"/>
  <c r="G6" i="53"/>
  <c r="F6" i="53"/>
  <c r="E6" i="53"/>
  <c r="D6" i="53"/>
  <c r="C6" i="53"/>
  <c r="B6" i="53"/>
  <c r="M5" i="53"/>
  <c r="I5" i="53"/>
  <c r="H5" i="53"/>
  <c r="G5" i="53"/>
  <c r="F5" i="53"/>
  <c r="E5" i="53"/>
  <c r="D5" i="53"/>
  <c r="C5" i="53"/>
  <c r="B5" i="53"/>
  <c r="L4" i="53"/>
  <c r="K4" i="53"/>
  <c r="J4" i="53"/>
  <c r="J8" i="53" s="1"/>
  <c r="I4" i="53"/>
  <c r="I8" i="53" s="1"/>
  <c r="H4" i="53"/>
  <c r="H8" i="53" s="1"/>
  <c r="G4" i="53"/>
  <c r="G8" i="53" s="1"/>
  <c r="F4" i="53"/>
  <c r="F8" i="53" s="1"/>
  <c r="E4" i="53"/>
  <c r="E8" i="53" s="1"/>
  <c r="D4" i="53"/>
  <c r="D8" i="53" s="1"/>
  <c r="C4" i="53"/>
  <c r="C8" i="53" s="1"/>
  <c r="B4" i="53"/>
  <c r="B8" i="53" s="1"/>
  <c r="D24" i="52"/>
  <c r="D18" i="52"/>
  <c r="D30" i="52" s="1"/>
  <c r="D33" i="52" l="1"/>
  <c r="D32" i="52"/>
  <c r="D31" i="52"/>
  <c r="D23" i="52"/>
  <c r="D25" i="52"/>
  <c r="D22" i="52"/>
  <c r="B15" i="52"/>
  <c r="D17" i="52"/>
  <c r="D19" i="52"/>
  <c r="D16" i="52"/>
  <c r="B42" i="26" l="1"/>
  <c r="B6" i="22"/>
  <c r="R7" i="57" s="1"/>
  <c r="N195" i="28" l="1"/>
  <c r="W7" i="57"/>
  <c r="X7" i="57" s="1"/>
  <c r="R5" i="57"/>
  <c r="N193" i="28" s="1"/>
  <c r="R6" i="57"/>
  <c r="V3" i="1"/>
  <c r="G3" i="51" s="1"/>
  <c r="D31" i="26" s="1"/>
  <c r="H53" i="28"/>
  <c r="R3" i="57" l="1"/>
  <c r="C9" i="51" s="1"/>
  <c r="I9" i="51" s="1"/>
  <c r="W5" i="57"/>
  <c r="X5" i="57" s="1"/>
  <c r="N194" i="28"/>
  <c r="W6" i="57"/>
  <c r="X6" i="57" s="1"/>
  <c r="C5" i="46"/>
  <c r="J5" i="46" s="1"/>
  <c r="AN5" i="22"/>
  <c r="AN6" i="22"/>
  <c r="AN7" i="22"/>
  <c r="AN8" i="22"/>
  <c r="AN9" i="22"/>
  <c r="AN10" i="22"/>
  <c r="AN11" i="22"/>
  <c r="AN12" i="22"/>
  <c r="AN13" i="22"/>
  <c r="AN4" i="22"/>
  <c r="W3" i="57" l="1"/>
  <c r="X3" i="57" s="1"/>
  <c r="M5" i="46"/>
  <c r="L5" i="46"/>
  <c r="K5" i="46"/>
  <c r="O5" i="46"/>
  <c r="D103" i="28"/>
  <c r="F5" i="46"/>
  <c r="D120" i="28"/>
  <c r="D110" i="28"/>
  <c r="D126" i="28"/>
  <c r="D112" i="28"/>
  <c r="D118" i="28"/>
  <c r="D111" i="28"/>
  <c r="D119" i="28"/>
  <c r="D127" i="28"/>
  <c r="D128" i="28"/>
  <c r="D105" i="28"/>
  <c r="D113" i="28"/>
  <c r="D121" i="28"/>
  <c r="D129" i="28"/>
  <c r="D104" i="28"/>
  <c r="D106" i="28"/>
  <c r="D114" i="28"/>
  <c r="D122" i="28"/>
  <c r="D130" i="28"/>
  <c r="D107" i="28"/>
  <c r="D115" i="28"/>
  <c r="D123" i="28"/>
  <c r="D131" i="28"/>
  <c r="D108" i="28"/>
  <c r="D116" i="28"/>
  <c r="D124" i="28"/>
  <c r="D132" i="28"/>
  <c r="D109" i="28"/>
  <c r="D117" i="28"/>
  <c r="D125" i="28"/>
  <c r="G53" i="28"/>
  <c r="H9" i="51" l="1"/>
  <c r="O3" i="46"/>
  <c r="G5" i="51" s="1"/>
  <c r="H103" i="28"/>
  <c r="N103" i="28"/>
  <c r="P5" i="46"/>
  <c r="N53" i="28"/>
  <c r="N6" i="27"/>
  <c r="D33" i="26" l="1"/>
  <c r="G103" i="28"/>
  <c r="N5" i="46" l="1"/>
  <c r="Q5" i="46" l="1"/>
  <c r="C5" i="1"/>
  <c r="T5" i="1" l="1"/>
  <c r="S5" i="1"/>
  <c r="F5" i="1"/>
  <c r="E3" i="28" s="1"/>
  <c r="Q5" i="1"/>
  <c r="R5" i="1" s="1"/>
  <c r="W5" i="1" l="1"/>
  <c r="N3" i="28"/>
  <c r="M35" i="28"/>
  <c r="M51" i="28"/>
  <c r="M13" i="28"/>
  <c r="M34" i="28"/>
  <c r="M48" i="28"/>
  <c r="M23" i="28"/>
  <c r="M38" i="28"/>
  <c r="M26" i="28"/>
  <c r="M27" i="28"/>
  <c r="M52" i="28"/>
  <c r="M43" i="28"/>
  <c r="M21" i="28"/>
  <c r="M6" i="28"/>
  <c r="M49" i="28"/>
  <c r="M16" i="28"/>
  <c r="M32" i="28"/>
  <c r="M30" i="28"/>
  <c r="M45" i="28"/>
  <c r="M36" i="28"/>
  <c r="M44" i="28"/>
  <c r="M47" i="28"/>
  <c r="M4" i="28"/>
  <c r="M9" i="28"/>
  <c r="M50" i="28"/>
  <c r="M14" i="28"/>
  <c r="M33" i="28"/>
  <c r="M41" i="28"/>
  <c r="M24" i="28"/>
  <c r="M25" i="28"/>
  <c r="M40" i="28"/>
  <c r="M10" i="28"/>
  <c r="M29" i="28"/>
  <c r="M20" i="28"/>
  <c r="M39" i="28"/>
  <c r="M37" i="28"/>
  <c r="M12" i="28"/>
  <c r="M5" i="28"/>
  <c r="M42" i="28"/>
  <c r="M22" i="28"/>
  <c r="M15" i="28"/>
  <c r="M7" i="28"/>
  <c r="M8" i="28"/>
  <c r="M17" i="28"/>
  <c r="M46" i="28"/>
  <c r="M18" i="28"/>
  <c r="M19" i="28"/>
  <c r="M11" i="28"/>
  <c r="M28" i="28"/>
  <c r="M31" i="28"/>
  <c r="U5" i="1"/>
  <c r="X5" i="1" l="1"/>
  <c r="O4" i="27" l="1"/>
  <c r="G4" i="51" s="1"/>
  <c r="D32" i="26" l="1"/>
  <c r="G10" i="51"/>
  <c r="B103" i="28"/>
  <c r="B53" i="28"/>
  <c r="B3" i="28"/>
  <c r="D39" i="26" l="1"/>
  <c r="B19" i="33"/>
  <c r="Q6" i="27"/>
  <c r="C11" i="26" l="1"/>
  <c r="D3" i="28"/>
  <c r="K3" i="28" l="1"/>
  <c r="J3" i="28"/>
  <c r="F3" i="28"/>
  <c r="M3" i="28"/>
  <c r="H3" i="28"/>
  <c r="G3" i="28"/>
  <c r="B26" i="33" l="1"/>
  <c r="D19" i="33"/>
  <c r="C13" i="52" l="1"/>
  <c r="F38" i="1" l="1"/>
  <c r="E36" i="28" s="1"/>
  <c r="F15" i="46"/>
  <c r="F6" i="46"/>
  <c r="F20" i="46"/>
  <c r="F17" i="46"/>
  <c r="F16" i="46"/>
  <c r="F24" i="46"/>
  <c r="F29" i="46"/>
  <c r="H5" i="28"/>
  <c r="N18" i="56" l="1"/>
  <c r="H146" i="28" s="1"/>
  <c r="M9" i="56"/>
  <c r="G137" i="28" s="1"/>
  <c r="L30" i="46"/>
  <c r="L32" i="46"/>
  <c r="F27" i="46"/>
  <c r="F14" i="46"/>
  <c r="F30" i="46"/>
  <c r="F11" i="46"/>
  <c r="F7" i="46"/>
  <c r="U44" i="1"/>
  <c r="K24" i="46"/>
  <c r="L11" i="56"/>
  <c r="F51" i="1"/>
  <c r="E49" i="28" s="1"/>
  <c r="M8" i="46"/>
  <c r="H106" i="28" s="1"/>
  <c r="E173" i="28"/>
  <c r="F20" i="56"/>
  <c r="E148" i="28" s="1"/>
  <c r="F33" i="46"/>
  <c r="F19" i="46"/>
  <c r="L5" i="56"/>
  <c r="K49" i="27"/>
  <c r="N96" i="28" s="1"/>
  <c r="K19" i="46"/>
  <c r="F21" i="46"/>
  <c r="L42" i="27"/>
  <c r="K50" i="27"/>
  <c r="N97" i="28" s="1"/>
  <c r="M20" i="56"/>
  <c r="F45" i="1"/>
  <c r="E43" i="28" s="1"/>
  <c r="K17" i="46"/>
  <c r="H6" i="28"/>
  <c r="F9" i="46"/>
  <c r="F32" i="46"/>
  <c r="H7" i="28"/>
  <c r="F13" i="46"/>
  <c r="L32" i="56"/>
  <c r="M7" i="56"/>
  <c r="M34" i="56"/>
  <c r="N21" i="56"/>
  <c r="H149" i="28" s="1"/>
  <c r="N30" i="56"/>
  <c r="H158" i="28" s="1"/>
  <c r="N19" i="56"/>
  <c r="H147" i="28" s="1"/>
  <c r="M23" i="56"/>
  <c r="M16" i="56"/>
  <c r="N6" i="56"/>
  <c r="H134" i="28" s="1"/>
  <c r="N28" i="56"/>
  <c r="H156" i="28" s="1"/>
  <c r="M25" i="56"/>
  <c r="N27" i="56"/>
  <c r="H155" i="28" s="1"/>
  <c r="M10" i="56"/>
  <c r="M30" i="56"/>
  <c r="N33" i="56"/>
  <c r="H161" i="28" s="1"/>
  <c r="N11" i="56"/>
  <c r="H139" i="28" s="1"/>
  <c r="M26" i="56"/>
  <c r="N20" i="56"/>
  <c r="H148" i="28" s="1"/>
  <c r="M29" i="56"/>
  <c r="N8" i="56"/>
  <c r="H136" i="28" s="1"/>
  <c r="M18" i="56"/>
  <c r="N25" i="56"/>
  <c r="H153" i="28" s="1"/>
  <c r="N14" i="56"/>
  <c r="H142" i="28" s="1"/>
  <c r="M22" i="56"/>
  <c r="N26" i="56"/>
  <c r="H154" i="28" s="1"/>
  <c r="N13" i="56"/>
  <c r="H141" i="28" s="1"/>
  <c r="M11" i="56"/>
  <c r="N12" i="56"/>
  <c r="H140" i="28" s="1"/>
  <c r="N17" i="56"/>
  <c r="H145" i="28" s="1"/>
  <c r="N16" i="56"/>
  <c r="H144" i="28" s="1"/>
  <c r="N34" i="56"/>
  <c r="H162" i="28" s="1"/>
  <c r="N24" i="56"/>
  <c r="H152" i="28" s="1"/>
  <c r="N10" i="56"/>
  <c r="H138" i="28" s="1"/>
  <c r="M15" i="56"/>
  <c r="M33" i="56"/>
  <c r="M5" i="56"/>
  <c r="N5" i="56"/>
  <c r="M13" i="56"/>
  <c r="M12" i="56"/>
  <c r="N9" i="56"/>
  <c r="H137" i="28" s="1"/>
  <c r="N7" i="56"/>
  <c r="H135" i="28" s="1"/>
  <c r="N23" i="56"/>
  <c r="H151" i="28" s="1"/>
  <c r="M17" i="56"/>
  <c r="N15" i="56"/>
  <c r="H143" i="28" s="1"/>
  <c r="M24" i="56"/>
  <c r="M32" i="56"/>
  <c r="N29" i="56"/>
  <c r="H157" i="28" s="1"/>
  <c r="M14" i="56"/>
  <c r="M27" i="56"/>
  <c r="M19" i="56"/>
  <c r="N22" i="56"/>
  <c r="H150" i="28" s="1"/>
  <c r="N32" i="56"/>
  <c r="H160" i="28" s="1"/>
  <c r="M31" i="56"/>
  <c r="M6" i="56"/>
  <c r="N31" i="56"/>
  <c r="H159" i="28" s="1"/>
  <c r="M28" i="56"/>
  <c r="K12" i="27"/>
  <c r="N59" i="28" s="1"/>
  <c r="H183" i="28"/>
  <c r="U28" i="1"/>
  <c r="M8" i="56"/>
  <c r="L10" i="46"/>
  <c r="F8" i="46"/>
  <c r="F28" i="46"/>
  <c r="F10" i="46"/>
  <c r="F34" i="46"/>
  <c r="F18" i="46"/>
  <c r="F22" i="46"/>
  <c r="E192" i="28"/>
  <c r="L12" i="46"/>
  <c r="L46" i="27"/>
  <c r="M21" i="56"/>
  <c r="U29" i="1"/>
  <c r="K39" i="27"/>
  <c r="N86" i="28" s="1"/>
  <c r="F25" i="46"/>
  <c r="F23" i="46"/>
  <c r="F26" i="46"/>
  <c r="F31" i="46"/>
  <c r="F12" i="46"/>
  <c r="K13" i="27"/>
  <c r="N60" i="28" s="1"/>
  <c r="U23" i="1"/>
  <c r="K9" i="27"/>
  <c r="M34" i="27"/>
  <c r="H81" i="28" s="1"/>
  <c r="U47" i="1"/>
  <c r="M18" i="27"/>
  <c r="H65" i="28" s="1"/>
  <c r="L27" i="46"/>
  <c r="F29" i="1"/>
  <c r="E27" i="28" s="1"/>
  <c r="F21" i="56"/>
  <c r="E149" i="28" s="1"/>
  <c r="U12" i="1"/>
  <c r="F49" i="27"/>
  <c r="E96" i="28" s="1"/>
  <c r="K37" i="27"/>
  <c r="N84" i="28" s="1"/>
  <c r="F22" i="27"/>
  <c r="E69" i="28" s="1"/>
  <c r="M13" i="27"/>
  <c r="H60" i="28" s="1"/>
  <c r="U33" i="1"/>
  <c r="L47" i="27"/>
  <c r="F15" i="27"/>
  <c r="E62" i="28" s="1"/>
  <c r="L14" i="46"/>
  <c r="L41" i="27"/>
  <c r="M30" i="27"/>
  <c r="H77" i="28" s="1"/>
  <c r="U48" i="1"/>
  <c r="K11" i="27"/>
  <c r="N58" i="28" s="1"/>
  <c r="L26" i="46"/>
  <c r="K20" i="27"/>
  <c r="N67" i="28" s="1"/>
  <c r="M7" i="27"/>
  <c r="K47" i="27"/>
  <c r="N94" i="28" s="1"/>
  <c r="L31" i="46"/>
  <c r="L8" i="46"/>
  <c r="K30" i="27"/>
  <c r="N77" i="28" s="1"/>
  <c r="E164" i="28"/>
  <c r="F19" i="1"/>
  <c r="E17" i="28" s="1"/>
  <c r="K22" i="46"/>
  <c r="L16" i="46"/>
  <c r="M22" i="27"/>
  <c r="H69" i="28" s="1"/>
  <c r="K26" i="27"/>
  <c r="N73" i="28" s="1"/>
  <c r="F12" i="56"/>
  <c r="E140" i="28" s="1"/>
  <c r="U41" i="1"/>
  <c r="K38" i="27"/>
  <c r="N85" i="28" s="1"/>
  <c r="M39" i="27"/>
  <c r="H86" i="28" s="1"/>
  <c r="F10" i="56"/>
  <c r="E138" i="28" s="1"/>
  <c r="E184" i="28"/>
  <c r="F23" i="56"/>
  <c r="E151" i="28" s="1"/>
  <c r="M28" i="27"/>
  <c r="H75" i="28" s="1"/>
  <c r="M11" i="46"/>
  <c r="H109" i="28" s="1"/>
  <c r="M15" i="46"/>
  <c r="H113" i="28" s="1"/>
  <c r="F25" i="1"/>
  <c r="E23" i="28" s="1"/>
  <c r="U40" i="1"/>
  <c r="M16" i="27"/>
  <c r="H63" i="28" s="1"/>
  <c r="F51" i="27"/>
  <c r="E98" i="28" s="1"/>
  <c r="F46" i="27"/>
  <c r="E93" i="28" s="1"/>
  <c r="F52" i="1"/>
  <c r="E50" i="28" s="1"/>
  <c r="L33" i="46"/>
  <c r="F12" i="1"/>
  <c r="E10" i="28" s="1"/>
  <c r="F35" i="1"/>
  <c r="E33" i="28" s="1"/>
  <c r="F16" i="1"/>
  <c r="E14" i="28" s="1"/>
  <c r="M19" i="46"/>
  <c r="H117" i="28" s="1"/>
  <c r="L28" i="27"/>
  <c r="M21" i="27"/>
  <c r="H68" i="28" s="1"/>
  <c r="E12" i="28"/>
  <c r="H178" i="28"/>
  <c r="M20" i="46"/>
  <c r="H118" i="28" s="1"/>
  <c r="E182" i="28"/>
  <c r="L7" i="56"/>
  <c r="U26" i="1"/>
  <c r="F20" i="1"/>
  <c r="E18" i="28" s="1"/>
  <c r="F16" i="56"/>
  <c r="E144" i="28" s="1"/>
  <c r="U22" i="1"/>
  <c r="L40" i="27"/>
  <c r="K54" i="27"/>
  <c r="N101" i="28" s="1"/>
  <c r="F10" i="27"/>
  <c r="E57" i="28" s="1"/>
  <c r="U50" i="1"/>
  <c r="M45" i="27"/>
  <c r="H92" i="28" s="1"/>
  <c r="F42" i="1"/>
  <c r="E40" i="28" s="1"/>
  <c r="L53" i="27"/>
  <c r="F35" i="27"/>
  <c r="E82" i="28" s="1"/>
  <c r="M24" i="46"/>
  <c r="H122" i="28" s="1"/>
  <c r="K52" i="27"/>
  <c r="N99" i="28" s="1"/>
  <c r="M38" i="27"/>
  <c r="H85" i="28" s="1"/>
  <c r="M49" i="27"/>
  <c r="H96" i="28" s="1"/>
  <c r="F13" i="27"/>
  <c r="E60" i="28" s="1"/>
  <c r="M32" i="46"/>
  <c r="H130" i="28" s="1"/>
  <c r="M26" i="46"/>
  <c r="H124" i="28" s="1"/>
  <c r="L25" i="46"/>
  <c r="H181" i="28"/>
  <c r="L30" i="27"/>
  <c r="M33" i="27"/>
  <c r="H80" i="28" s="1"/>
  <c r="L34" i="46"/>
  <c r="H171" i="28"/>
  <c r="U25" i="1"/>
  <c r="F26" i="56"/>
  <c r="E154" i="28" s="1"/>
  <c r="K51" i="27"/>
  <c r="N98" i="28" s="1"/>
  <c r="F45" i="27"/>
  <c r="E92" i="28" s="1"/>
  <c r="M32" i="27"/>
  <c r="H79" i="28" s="1"/>
  <c r="F54" i="1"/>
  <c r="E52" i="28" s="1"/>
  <c r="M34" i="46"/>
  <c r="H132" i="28" s="1"/>
  <c r="F27" i="56"/>
  <c r="E155" i="28" s="1"/>
  <c r="F25" i="56"/>
  <c r="E153" i="28" s="1"/>
  <c r="F22" i="56"/>
  <c r="E150" i="28" s="1"/>
  <c r="M33" i="46"/>
  <c r="H131" i="28" s="1"/>
  <c r="F47" i="27"/>
  <c r="E94" i="28" s="1"/>
  <c r="L54" i="27"/>
  <c r="M23" i="27"/>
  <c r="H70" i="28" s="1"/>
  <c r="L49" i="27"/>
  <c r="U21" i="1"/>
  <c r="U36" i="1"/>
  <c r="K22" i="27"/>
  <c r="N69" i="28" s="1"/>
  <c r="F30" i="56"/>
  <c r="E158" i="28" s="1"/>
  <c r="E191" i="28"/>
  <c r="E15" i="28"/>
  <c r="F49" i="1"/>
  <c r="E47" i="28" s="1"/>
  <c r="K21" i="27"/>
  <c r="N68" i="28" s="1"/>
  <c r="F31" i="1"/>
  <c r="E29" i="28" s="1"/>
  <c r="M48" i="27"/>
  <c r="H95" i="28" s="1"/>
  <c r="U43" i="1"/>
  <c r="L21" i="27"/>
  <c r="M36" i="27"/>
  <c r="H83" i="28" s="1"/>
  <c r="H165" i="28"/>
  <c r="F28" i="56"/>
  <c r="E156" i="28" s="1"/>
  <c r="K18" i="27"/>
  <c r="N65" i="28" s="1"/>
  <c r="F33" i="1"/>
  <c r="E31" i="28" s="1"/>
  <c r="M22" i="46"/>
  <c r="H120" i="28" s="1"/>
  <c r="L14" i="56"/>
  <c r="M13" i="46"/>
  <c r="H111" i="28" s="1"/>
  <c r="F40" i="27"/>
  <c r="E87" i="28" s="1"/>
  <c r="L17" i="46"/>
  <c r="U49" i="1"/>
  <c r="F11" i="56"/>
  <c r="E139" i="28" s="1"/>
  <c r="F40" i="1"/>
  <c r="E38" i="28" s="1"/>
  <c r="L12" i="27"/>
  <c r="F17" i="27"/>
  <c r="E64" i="28" s="1"/>
  <c r="L20" i="46"/>
  <c r="F14" i="56"/>
  <c r="E142" i="28" s="1"/>
  <c r="F7" i="27"/>
  <c r="E54" i="28" s="1"/>
  <c r="L29" i="56"/>
  <c r="F37" i="27"/>
  <c r="E84" i="28" s="1"/>
  <c r="F43" i="27"/>
  <c r="E90" i="28" s="1"/>
  <c r="L28" i="56"/>
  <c r="K26" i="46"/>
  <c r="U15" i="1"/>
  <c r="H167" i="28"/>
  <c r="F14" i="27"/>
  <c r="E61" i="28" s="1"/>
  <c r="U30" i="1"/>
  <c r="F7" i="1"/>
  <c r="E5" i="28" s="1"/>
  <c r="K20" i="46"/>
  <c r="M6" i="46"/>
  <c r="L27" i="27"/>
  <c r="H166" i="28"/>
  <c r="E175" i="28"/>
  <c r="L31" i="56"/>
  <c r="M42" i="27"/>
  <c r="H89" i="28" s="1"/>
  <c r="F9" i="56"/>
  <c r="E137" i="28" s="1"/>
  <c r="K23" i="27"/>
  <c r="N70" i="28" s="1"/>
  <c r="F24" i="56"/>
  <c r="E152" i="28" s="1"/>
  <c r="F32" i="56"/>
  <c r="E160" i="28" s="1"/>
  <c r="M12" i="27"/>
  <c r="H59" i="28" s="1"/>
  <c r="M15" i="27"/>
  <c r="H62" i="28" s="1"/>
  <c r="H176" i="28"/>
  <c r="M23" i="46"/>
  <c r="H121" i="28" s="1"/>
  <c r="M14" i="46"/>
  <c r="H112" i="28" s="1"/>
  <c r="H186" i="28"/>
  <c r="K31" i="46"/>
  <c r="K14" i="27"/>
  <c r="N61" i="28" s="1"/>
  <c r="L6" i="46"/>
  <c r="U35" i="1"/>
  <c r="K27" i="46"/>
  <c r="L23" i="46"/>
  <c r="K9" i="46"/>
  <c r="F6" i="56"/>
  <c r="E134" i="28" s="1"/>
  <c r="H170" i="28"/>
  <c r="M17" i="27"/>
  <c r="H64" i="28" s="1"/>
  <c r="M21" i="46"/>
  <c r="H119" i="28" s="1"/>
  <c r="F9" i="1"/>
  <c r="E7" i="28" s="1"/>
  <c r="K36" i="27"/>
  <c r="N83" i="28" s="1"/>
  <c r="E188" i="28"/>
  <c r="E186" i="28"/>
  <c r="U20" i="1"/>
  <c r="F6" i="1"/>
  <c r="E4" i="28" s="1"/>
  <c r="F31" i="27"/>
  <c r="E78" i="28" s="1"/>
  <c r="E185" i="28"/>
  <c r="H177" i="28"/>
  <c r="L48" i="27"/>
  <c r="K42" i="27"/>
  <c r="N89" i="28" s="1"/>
  <c r="K15" i="27"/>
  <c r="N62" i="28" s="1"/>
  <c r="K45" i="27"/>
  <c r="N92" i="28" s="1"/>
  <c r="L34" i="27"/>
  <c r="K55" i="27"/>
  <c r="N102" i="28" s="1"/>
  <c r="E13" i="28"/>
  <c r="H172" i="28"/>
  <c r="F15" i="56"/>
  <c r="E143" i="28" s="1"/>
  <c r="L9" i="27"/>
  <c r="U51" i="1"/>
  <c r="F22" i="1"/>
  <c r="E20" i="28" s="1"/>
  <c r="M40" i="27"/>
  <c r="H87" i="28" s="1"/>
  <c r="M19" i="27"/>
  <c r="H66" i="28" s="1"/>
  <c r="F44" i="27"/>
  <c r="E91" i="28" s="1"/>
  <c r="F53" i="1"/>
  <c r="E51" i="28" s="1"/>
  <c r="M54" i="27"/>
  <c r="H101" i="28" s="1"/>
  <c r="F32" i="27"/>
  <c r="E79" i="28" s="1"/>
  <c r="L44" i="27"/>
  <c r="K12" i="46"/>
  <c r="F48" i="27"/>
  <c r="E95" i="28" s="1"/>
  <c r="K48" i="27"/>
  <c r="N95" i="28" s="1"/>
  <c r="U52" i="1"/>
  <c r="F5" i="55"/>
  <c r="E163" i="28" s="1"/>
  <c r="L22" i="27"/>
  <c r="L35" i="27"/>
  <c r="K25" i="46"/>
  <c r="K29" i="27"/>
  <c r="N76" i="28" s="1"/>
  <c r="M28" i="46"/>
  <c r="H126" i="28" s="1"/>
  <c r="F21" i="1"/>
  <c r="E19" i="28" s="1"/>
  <c r="F33" i="27"/>
  <c r="E80" i="28" s="1"/>
  <c r="L14" i="27"/>
  <c r="L22" i="56"/>
  <c r="F39" i="1"/>
  <c r="E37" i="28" s="1"/>
  <c r="L24" i="27"/>
  <c r="M44" i="27"/>
  <c r="H91" i="28" s="1"/>
  <c r="U54" i="1"/>
  <c r="F30" i="1"/>
  <c r="E28" i="28" s="1"/>
  <c r="U31" i="1"/>
  <c r="M35" i="27"/>
  <c r="H82" i="28" s="1"/>
  <c r="M24" i="27"/>
  <c r="H71" i="28" s="1"/>
  <c r="L45" i="27"/>
  <c r="H174" i="28"/>
  <c r="H164" i="28"/>
  <c r="F55" i="27"/>
  <c r="E102" i="28" s="1"/>
  <c r="F46" i="1"/>
  <c r="E44" i="28" s="1"/>
  <c r="L13" i="56"/>
  <c r="K10" i="46"/>
  <c r="M26" i="27"/>
  <c r="H73" i="28" s="1"/>
  <c r="F18" i="27"/>
  <c r="E65" i="28" s="1"/>
  <c r="L55" i="27"/>
  <c r="L43" i="27"/>
  <c r="H190" i="28"/>
  <c r="K33" i="27"/>
  <c r="N80" i="28" s="1"/>
  <c r="F33" i="56"/>
  <c r="E161" i="28" s="1"/>
  <c r="M14" i="27"/>
  <c r="H61" i="28" s="1"/>
  <c r="F18" i="56"/>
  <c r="E146" i="28" s="1"/>
  <c r="K41" i="27"/>
  <c r="N88" i="28" s="1"/>
  <c r="K34" i="46"/>
  <c r="F50" i="1"/>
  <c r="E48" i="28" s="1"/>
  <c r="L17" i="27"/>
  <c r="L16" i="56"/>
  <c r="M53" i="27"/>
  <c r="H100" i="28" s="1"/>
  <c r="E174" i="28"/>
  <c r="U42" i="1"/>
  <c r="F36" i="27"/>
  <c r="E83" i="28" s="1"/>
  <c r="L19" i="46"/>
  <c r="K18" i="46"/>
  <c r="E189" i="28"/>
  <c r="U27" i="1"/>
  <c r="L22" i="46"/>
  <c r="M17" i="46"/>
  <c r="H115" i="28" s="1"/>
  <c r="F8" i="1"/>
  <c r="E6" i="28" s="1"/>
  <c r="U53" i="1"/>
  <c r="F26" i="1"/>
  <c r="E24" i="28" s="1"/>
  <c r="U38" i="1"/>
  <c r="F29" i="27"/>
  <c r="E76" i="28" s="1"/>
  <c r="F27" i="27"/>
  <c r="E74" i="28" s="1"/>
  <c r="H173" i="28"/>
  <c r="K44" i="27"/>
  <c r="N91" i="28" s="1"/>
  <c r="K15" i="46"/>
  <c r="M41" i="27"/>
  <c r="H88" i="28" s="1"/>
  <c r="U45" i="1"/>
  <c r="M9" i="27"/>
  <c r="H56" i="28" s="1"/>
  <c r="F18" i="1"/>
  <c r="E16" i="28" s="1"/>
  <c r="L38" i="27"/>
  <c r="K7" i="27"/>
  <c r="P7" i="27" s="1"/>
  <c r="M10" i="27"/>
  <c r="H57" i="28" s="1"/>
  <c r="L36" i="27"/>
  <c r="M55" i="27"/>
  <c r="H102" i="28" s="1"/>
  <c r="U39" i="1"/>
  <c r="K16" i="27"/>
  <c r="N63" i="28" s="1"/>
  <c r="M29" i="46"/>
  <c r="H127" i="28" s="1"/>
  <c r="F19" i="27"/>
  <c r="E66" i="28" s="1"/>
  <c r="L21" i="46"/>
  <c r="F19" i="56"/>
  <c r="E147" i="28" s="1"/>
  <c r="M5" i="55"/>
  <c r="F24" i="1"/>
  <c r="E22" i="28" s="1"/>
  <c r="F13" i="1"/>
  <c r="E11" i="28" s="1"/>
  <c r="L5" i="55"/>
  <c r="L26" i="56"/>
  <c r="F28" i="1"/>
  <c r="E26" i="28" s="1"/>
  <c r="L16" i="27"/>
  <c r="F36" i="1"/>
  <c r="E34" i="28" s="1"/>
  <c r="E181" i="28"/>
  <c r="E190" i="28"/>
  <c r="M8" i="27"/>
  <c r="H55" i="28" s="1"/>
  <c r="M29" i="27"/>
  <c r="H76" i="28" s="1"/>
  <c r="H169" i="28"/>
  <c r="H184" i="28"/>
  <c r="L11" i="46"/>
  <c r="M30" i="46"/>
  <c r="H128" i="28" s="1"/>
  <c r="F28" i="27"/>
  <c r="E75" i="28" s="1"/>
  <c r="U16" i="1"/>
  <c r="M31" i="46"/>
  <c r="H129" i="28" s="1"/>
  <c r="E169" i="28"/>
  <c r="E177" i="28"/>
  <c r="F12" i="27"/>
  <c r="E59" i="28" s="1"/>
  <c r="K7" i="46"/>
  <c r="L15" i="27"/>
  <c r="F50" i="27"/>
  <c r="E97" i="28" s="1"/>
  <c r="M31" i="27"/>
  <c r="H78" i="28" s="1"/>
  <c r="F25" i="27"/>
  <c r="E72" i="28" s="1"/>
  <c r="M46" i="27"/>
  <c r="H93" i="28" s="1"/>
  <c r="F37" i="1"/>
  <c r="E35" i="28" s="1"/>
  <c r="F54" i="27"/>
  <c r="E101" i="28" s="1"/>
  <c r="F11" i="1"/>
  <c r="E9" i="28" s="1"/>
  <c r="L30" i="56"/>
  <c r="M9" i="46"/>
  <c r="H107" i="28" s="1"/>
  <c r="L13" i="27"/>
  <c r="K34" i="27"/>
  <c r="N81" i="28" s="1"/>
  <c r="E179" i="28"/>
  <c r="L15" i="46"/>
  <c r="M20" i="27"/>
  <c r="H67" i="28" s="1"/>
  <c r="H182" i="28"/>
  <c r="M11" i="27"/>
  <c r="H58" i="28" s="1"/>
  <c r="F47" i="1"/>
  <c r="E45" i="28" s="1"/>
  <c r="F43" i="1"/>
  <c r="E41" i="28" s="1"/>
  <c r="U32" i="1"/>
  <c r="K28" i="46"/>
  <c r="K10" i="27"/>
  <c r="N57" i="28" s="1"/>
  <c r="K24" i="27"/>
  <c r="N71" i="28" s="1"/>
  <c r="L52" i="27"/>
  <c r="M10" i="46"/>
  <c r="H108" i="28" s="1"/>
  <c r="K19" i="27"/>
  <c r="N66" i="28" s="1"/>
  <c r="F13" i="56"/>
  <c r="E141" i="28" s="1"/>
  <c r="H179" i="28"/>
  <c r="L28" i="46"/>
  <c r="K46" i="27"/>
  <c r="N93" i="28" s="1"/>
  <c r="K29" i="46"/>
  <c r="K40" i="27"/>
  <c r="N87" i="28" s="1"/>
  <c r="H168" i="28"/>
  <c r="K16" i="46"/>
  <c r="M25" i="27"/>
  <c r="H72" i="28" s="1"/>
  <c r="E178" i="28"/>
  <c r="U46" i="1"/>
  <c r="L26" i="27"/>
  <c r="E171" i="28"/>
  <c r="F10" i="1"/>
  <c r="E8" i="28" s="1"/>
  <c r="M18" i="46"/>
  <c r="H116" i="28" s="1"/>
  <c r="U34" i="1"/>
  <c r="F7" i="56"/>
  <c r="E135" i="28" s="1"/>
  <c r="H185" i="28"/>
  <c r="M16" i="46"/>
  <c r="H114" i="28" s="1"/>
  <c r="H189" i="28"/>
  <c r="H175" i="28"/>
  <c r="K6" i="46"/>
  <c r="M7" i="46"/>
  <c r="H105" i="28" s="1"/>
  <c r="H191" i="28"/>
  <c r="U13" i="1"/>
  <c r="F5" i="56"/>
  <c r="E133" i="28" s="1"/>
  <c r="F17" i="56"/>
  <c r="E145" i="28" s="1"/>
  <c r="M47" i="27"/>
  <c r="H94" i="28" s="1"/>
  <c r="E183" i="28"/>
  <c r="F31" i="56"/>
  <c r="E159" i="28" s="1"/>
  <c r="L20" i="27"/>
  <c r="E180" i="28"/>
  <c r="H192" i="28"/>
  <c r="M27" i="46"/>
  <c r="H125" i="28" s="1"/>
  <c r="F32" i="1"/>
  <c r="E30" i="28" s="1"/>
  <c r="F23" i="27"/>
  <c r="E70" i="28" s="1"/>
  <c r="M52" i="27"/>
  <c r="H99" i="28" s="1"/>
  <c r="E187" i="28"/>
  <c r="F52" i="27"/>
  <c r="E99" i="28" s="1"/>
  <c r="F24" i="27"/>
  <c r="E71" i="28" s="1"/>
  <c r="L23" i="56"/>
  <c r="U37" i="1"/>
  <c r="K32" i="27"/>
  <c r="N79" i="28" s="1"/>
  <c r="F38" i="27"/>
  <c r="E85" i="28" s="1"/>
  <c r="K27" i="27"/>
  <c r="N74" i="28" s="1"/>
  <c r="H188" i="28"/>
  <c r="K5" i="55"/>
  <c r="F8" i="27"/>
  <c r="E55" i="28" s="1"/>
  <c r="L25" i="56"/>
  <c r="K17" i="27"/>
  <c r="N64" i="28" s="1"/>
  <c r="M51" i="27"/>
  <c r="H98" i="28" s="1"/>
  <c r="L32" i="27"/>
  <c r="F39" i="27"/>
  <c r="E86" i="28" s="1"/>
  <c r="H180" i="28"/>
  <c r="L7" i="46"/>
  <c r="L7" i="27"/>
  <c r="U19" i="1"/>
  <c r="L37" i="27"/>
  <c r="L6" i="56"/>
  <c r="E172" i="28"/>
  <c r="L11" i="27"/>
  <c r="L27" i="56"/>
  <c r="F48" i="1"/>
  <c r="E46" i="28" s="1"/>
  <c r="F23" i="1"/>
  <c r="E21" i="28" s="1"/>
  <c r="E165" i="28"/>
  <c r="F8" i="56"/>
  <c r="E136" i="28" s="1"/>
  <c r="E176" i="28"/>
  <c r="L24" i="56"/>
  <c r="M12" i="46"/>
  <c r="H110" i="28" s="1"/>
  <c r="K43" i="27"/>
  <c r="N90" i="28" s="1"/>
  <c r="M50" i="27"/>
  <c r="H97" i="28" s="1"/>
  <c r="L8" i="56"/>
  <c r="F20" i="27"/>
  <c r="E67" i="28" s="1"/>
  <c r="L51" i="27"/>
  <c r="L34" i="56"/>
  <c r="F41" i="1"/>
  <c r="E39" i="28" s="1"/>
  <c r="M25" i="46"/>
  <c r="H123" i="28" s="1"/>
  <c r="L29" i="27"/>
  <c r="E167" i="28"/>
  <c r="F26" i="27"/>
  <c r="E73" i="28" s="1"/>
  <c r="K8" i="46"/>
  <c r="L15" i="56"/>
  <c r="F27" i="1"/>
  <c r="E25" i="28" s="1"/>
  <c r="F11" i="27"/>
  <c r="E58" i="28" s="1"/>
  <c r="U11" i="1"/>
  <c r="U24" i="1"/>
  <c r="L19" i="27"/>
  <c r="F29" i="56"/>
  <c r="E157" i="28" s="1"/>
  <c r="F41" i="27"/>
  <c r="E88" i="28" s="1"/>
  <c r="L9" i="56"/>
  <c r="L24" i="46"/>
  <c r="L19" i="56"/>
  <c r="K21" i="46"/>
  <c r="L50" i="27"/>
  <c r="F34" i="1"/>
  <c r="E32" i="28" s="1"/>
  <c r="F30" i="27"/>
  <c r="E77" i="28" s="1"/>
  <c r="K33" i="46"/>
  <c r="L18" i="27"/>
  <c r="K25" i="27"/>
  <c r="N72" i="28" s="1"/>
  <c r="H4" i="28"/>
  <c r="F34" i="56"/>
  <c r="E162" i="28" s="1"/>
  <c r="F53" i="27"/>
  <c r="E100" i="28" s="1"/>
  <c r="F21" i="27"/>
  <c r="E68" i="28" s="1"/>
  <c r="E170" i="28"/>
  <c r="F42" i="27"/>
  <c r="E89" i="28" s="1"/>
  <c r="F44" i="1"/>
  <c r="E42" i="28" s="1"/>
  <c r="L39" i="27"/>
  <c r="L31" i="27"/>
  <c r="L29" i="46"/>
  <c r="K31" i="27"/>
  <c r="N78" i="28" s="1"/>
  <c r="M27" i="27"/>
  <c r="H74" i="28" s="1"/>
  <c r="K11" i="46"/>
  <c r="L18" i="46"/>
  <c r="F9" i="27"/>
  <c r="E56" i="28" s="1"/>
  <c r="H187" i="28"/>
  <c r="K30" i="46"/>
  <c r="L33" i="27"/>
  <c r="E166" i="28"/>
  <c r="K53" i="27"/>
  <c r="N100" i="28" s="1"/>
  <c r="L20" i="56"/>
  <c r="G4" i="28"/>
  <c r="E168" i="28"/>
  <c r="F34" i="27"/>
  <c r="E81" i="28" s="1"/>
  <c r="K23" i="46"/>
  <c r="L13" i="46"/>
  <c r="L10" i="56"/>
  <c r="U14" i="1"/>
  <c r="L9" i="46"/>
  <c r="K13" i="46"/>
  <c r="L23" i="27"/>
  <c r="L18" i="56"/>
  <c r="L17" i="56"/>
  <c r="K28" i="27"/>
  <c r="N75" i="28" s="1"/>
  <c r="L8" i="27"/>
  <c r="K35" i="27"/>
  <c r="N82" i="28" s="1"/>
  <c r="L21" i="56"/>
  <c r="L25" i="27"/>
  <c r="L12" i="56"/>
  <c r="L10" i="27"/>
  <c r="M37" i="27"/>
  <c r="H84" i="28" s="1"/>
  <c r="K32" i="46"/>
  <c r="U17" i="1"/>
  <c r="F16" i="27"/>
  <c r="E63" i="28" s="1"/>
  <c r="L33" i="56"/>
  <c r="H8" i="28"/>
  <c r="M43" i="27"/>
  <c r="H90" i="28" s="1"/>
  <c r="U18" i="1"/>
  <c r="K14" i="46"/>
  <c r="K8" i="27"/>
  <c r="U10" i="1" l="1"/>
  <c r="G8" i="28"/>
  <c r="U9" i="1"/>
  <c r="G7" i="28"/>
  <c r="U8" i="1"/>
  <c r="G6" i="28"/>
  <c r="U7" i="1"/>
  <c r="G5" i="28"/>
  <c r="N56" i="28"/>
  <c r="P9" i="27"/>
  <c r="N55" i="28"/>
  <c r="P8" i="27"/>
  <c r="O9" i="56"/>
  <c r="T3" i="1"/>
  <c r="N3" i="56"/>
  <c r="E6" i="51" s="1"/>
  <c r="D23" i="26" s="1"/>
  <c r="M3" i="56"/>
  <c r="D6" i="51" s="1"/>
  <c r="C23" i="26" s="1"/>
  <c r="L3" i="56"/>
  <c r="C6" i="51" s="1"/>
  <c r="P13" i="46"/>
  <c r="N111" i="28"/>
  <c r="G178" i="28"/>
  <c r="G173" i="28"/>
  <c r="Q9" i="56"/>
  <c r="N137" i="28"/>
  <c r="N186" i="28"/>
  <c r="Q27" i="56"/>
  <c r="N155" i="28"/>
  <c r="G54" i="28"/>
  <c r="N7" i="27"/>
  <c r="L4" i="27"/>
  <c r="D4" i="51" s="1"/>
  <c r="C21" i="26" s="1"/>
  <c r="Q25" i="56"/>
  <c r="N153" i="28"/>
  <c r="N172" i="28"/>
  <c r="W11" i="1"/>
  <c r="X11" i="1" s="1"/>
  <c r="N9" i="28"/>
  <c r="W45" i="1"/>
  <c r="X45" i="1" s="1"/>
  <c r="N43" i="28"/>
  <c r="N184" i="28"/>
  <c r="N167" i="28"/>
  <c r="Q26" i="56"/>
  <c r="N154" i="28"/>
  <c r="G83" i="28"/>
  <c r="N36" i="27"/>
  <c r="Q36" i="27" s="1"/>
  <c r="P15" i="46"/>
  <c r="N113" i="28"/>
  <c r="N19" i="46"/>
  <c r="G117" i="28"/>
  <c r="P34" i="46"/>
  <c r="N132" i="28"/>
  <c r="W13" i="1"/>
  <c r="X13" i="1" s="1"/>
  <c r="N11" i="28"/>
  <c r="N39" i="28"/>
  <c r="W41" i="1"/>
  <c r="X41" i="1" s="1"/>
  <c r="N110" i="28"/>
  <c r="P12" i="46"/>
  <c r="G166" i="28"/>
  <c r="N118" i="28"/>
  <c r="P20" i="46"/>
  <c r="N17" i="46"/>
  <c r="G115" i="28"/>
  <c r="N34" i="28"/>
  <c r="W36" i="1"/>
  <c r="X36" i="1" s="1"/>
  <c r="N45" i="28"/>
  <c r="W47" i="1"/>
  <c r="X47" i="1" s="1"/>
  <c r="N47" i="28"/>
  <c r="W49" i="1"/>
  <c r="X49" i="1" s="1"/>
  <c r="G129" i="28"/>
  <c r="N31" i="46"/>
  <c r="G93" i="28"/>
  <c r="N46" i="27"/>
  <c r="Q46" i="27" s="1"/>
  <c r="W42" i="1"/>
  <c r="X42" i="1" s="1"/>
  <c r="N40" i="28"/>
  <c r="G156" i="28"/>
  <c r="O28" i="56"/>
  <c r="G142" i="28"/>
  <c r="O14" i="56"/>
  <c r="O22" i="56"/>
  <c r="G150" i="28"/>
  <c r="O16" i="56"/>
  <c r="G144" i="28"/>
  <c r="G184" i="28"/>
  <c r="P17" i="46"/>
  <c r="N115" i="28"/>
  <c r="P19" i="46"/>
  <c r="N117" i="28"/>
  <c r="N122" i="28"/>
  <c r="P24" i="46"/>
  <c r="N188" i="28"/>
  <c r="W9" i="1"/>
  <c r="N7" i="28"/>
  <c r="P33" i="46"/>
  <c r="N131" i="28"/>
  <c r="Q15" i="56"/>
  <c r="N143" i="28"/>
  <c r="N10" i="28"/>
  <c r="W12" i="1"/>
  <c r="X12" i="1" s="1"/>
  <c r="N152" i="28"/>
  <c r="Q24" i="56"/>
  <c r="W18" i="1"/>
  <c r="X18" i="1" s="1"/>
  <c r="N16" i="28"/>
  <c r="N7" i="46"/>
  <c r="G105" i="28"/>
  <c r="N151" i="28"/>
  <c r="Q23" i="56"/>
  <c r="N191" i="28"/>
  <c r="W31" i="1"/>
  <c r="X31" i="1" s="1"/>
  <c r="N29" i="28"/>
  <c r="N13" i="27"/>
  <c r="Q13" i="27" s="1"/>
  <c r="G60" i="28"/>
  <c r="G163" i="28"/>
  <c r="N5" i="55"/>
  <c r="L3" i="55"/>
  <c r="D8" i="51" s="1"/>
  <c r="C25" i="26" s="1"/>
  <c r="G119" i="28"/>
  <c r="N21" i="46"/>
  <c r="G183" i="28"/>
  <c r="N43" i="27"/>
  <c r="Q43" i="27" s="1"/>
  <c r="G90" i="28"/>
  <c r="N141" i="28"/>
  <c r="Q13" i="56"/>
  <c r="N123" i="28"/>
  <c r="P25" i="46"/>
  <c r="G91" i="28"/>
  <c r="N44" i="27"/>
  <c r="Q44" i="27" s="1"/>
  <c r="G189" i="28"/>
  <c r="N170" i="28"/>
  <c r="G176" i="28"/>
  <c r="N30" i="27"/>
  <c r="Q30" i="27" s="1"/>
  <c r="G77" i="28"/>
  <c r="G114" i="28"/>
  <c r="N16" i="46"/>
  <c r="N27" i="46"/>
  <c r="G125" i="28"/>
  <c r="N15" i="28"/>
  <c r="W17" i="1"/>
  <c r="X17" i="1" s="1"/>
  <c r="W34" i="1"/>
  <c r="X34" i="1" s="1"/>
  <c r="N32" i="28"/>
  <c r="O12" i="56"/>
  <c r="G140" i="28"/>
  <c r="O23" i="56"/>
  <c r="G151" i="28"/>
  <c r="N21" i="28"/>
  <c r="W23" i="1"/>
  <c r="X23" i="1" s="1"/>
  <c r="Q21" i="56"/>
  <c r="N149" i="28"/>
  <c r="N13" i="46"/>
  <c r="G111" i="28"/>
  <c r="W10" i="1"/>
  <c r="N8" i="28"/>
  <c r="G107" i="28"/>
  <c r="N9" i="46"/>
  <c r="G175" i="28"/>
  <c r="N33" i="27"/>
  <c r="Q33" i="27" s="1"/>
  <c r="G80" i="28"/>
  <c r="N29" i="46"/>
  <c r="G127" i="28"/>
  <c r="N176" i="28"/>
  <c r="N36" i="28"/>
  <c r="W38" i="1"/>
  <c r="X38" i="1" s="1"/>
  <c r="N49" i="28"/>
  <c r="W51" i="1"/>
  <c r="X51" i="1" s="1"/>
  <c r="G185" i="28"/>
  <c r="W37" i="1"/>
  <c r="X37" i="1" s="1"/>
  <c r="N35" i="28"/>
  <c r="K3" i="55"/>
  <c r="C8" i="51" s="1"/>
  <c r="N163" i="28"/>
  <c r="P5" i="55"/>
  <c r="N17" i="28"/>
  <c r="W19" i="1"/>
  <c r="X19" i="1" s="1"/>
  <c r="P29" i="46"/>
  <c r="N127" i="28"/>
  <c r="G99" i="28"/>
  <c r="N52" i="27"/>
  <c r="Q52" i="27" s="1"/>
  <c r="N177" i="28"/>
  <c r="N54" i="28"/>
  <c r="K4" i="27"/>
  <c r="C4" i="51" s="1"/>
  <c r="I4" i="51" s="1"/>
  <c r="W16" i="1"/>
  <c r="X16" i="1" s="1"/>
  <c r="N14" i="28"/>
  <c r="N55" i="27"/>
  <c r="Q55" i="27" s="1"/>
  <c r="G102" i="28"/>
  <c r="Q22" i="56"/>
  <c r="N150" i="28"/>
  <c r="G82" i="28"/>
  <c r="N35" i="27"/>
  <c r="Q35" i="27" s="1"/>
  <c r="N9" i="27"/>
  <c r="G56" i="28"/>
  <c r="G179" i="28"/>
  <c r="N185" i="28"/>
  <c r="P26" i="46"/>
  <c r="N124" i="28"/>
  <c r="N20" i="46"/>
  <c r="G118" i="28"/>
  <c r="N49" i="27"/>
  <c r="Q49" i="27" s="1"/>
  <c r="G96" i="28"/>
  <c r="N40" i="27"/>
  <c r="Q40" i="27" s="1"/>
  <c r="G87" i="28"/>
  <c r="N120" i="28"/>
  <c r="P22" i="46"/>
  <c r="W52" i="1"/>
  <c r="X52" i="1" s="1"/>
  <c r="N50" i="28"/>
  <c r="N41" i="27"/>
  <c r="Q41" i="27" s="1"/>
  <c r="G88" i="28"/>
  <c r="N12" i="46"/>
  <c r="G110" i="28"/>
  <c r="G134" i="28"/>
  <c r="O6" i="56"/>
  <c r="G160" i="28"/>
  <c r="O32" i="56"/>
  <c r="G141" i="28"/>
  <c r="O13" i="56"/>
  <c r="O30" i="56"/>
  <c r="G158" i="28"/>
  <c r="O20" i="56"/>
  <c r="G148" i="28"/>
  <c r="N174" i="28"/>
  <c r="N180" i="28"/>
  <c r="N130" i="28"/>
  <c r="P32" i="46"/>
  <c r="N189" i="28"/>
  <c r="W6" i="1"/>
  <c r="N4" i="28"/>
  <c r="R3" i="1"/>
  <c r="C3" i="51" s="1"/>
  <c r="G55" i="28"/>
  <c r="N8" i="27"/>
  <c r="W33" i="1"/>
  <c r="X33" i="1" s="1"/>
  <c r="N31" i="28"/>
  <c r="N121" i="28"/>
  <c r="P23" i="46"/>
  <c r="P30" i="46"/>
  <c r="N128" i="28"/>
  <c r="N31" i="27"/>
  <c r="Q31" i="27" s="1"/>
  <c r="G78" i="28"/>
  <c r="P8" i="46"/>
  <c r="N106" i="28"/>
  <c r="N166" i="28"/>
  <c r="G58" i="28"/>
  <c r="N11" i="27"/>
  <c r="Q11" i="27" s="1"/>
  <c r="N104" i="28"/>
  <c r="K3" i="46"/>
  <c r="C5" i="51" s="1"/>
  <c r="I5" i="51" s="1"/>
  <c r="P6" i="46"/>
  <c r="N181" i="28"/>
  <c r="Q30" i="56"/>
  <c r="N158" i="28"/>
  <c r="G62" i="28"/>
  <c r="N15" i="27"/>
  <c r="Q15" i="27" s="1"/>
  <c r="G171" i="28"/>
  <c r="N19" i="28"/>
  <c r="W21" i="1"/>
  <c r="X21" i="1" s="1"/>
  <c r="N38" i="27"/>
  <c r="Q38" i="27" s="1"/>
  <c r="G85" i="28"/>
  <c r="G120" i="28"/>
  <c r="N22" i="46"/>
  <c r="N33" i="28"/>
  <c r="W35" i="1"/>
  <c r="X35" i="1" s="1"/>
  <c r="N22" i="27"/>
  <c r="Q22" i="27" s="1"/>
  <c r="G69" i="28"/>
  <c r="W43" i="1"/>
  <c r="X43" i="1" s="1"/>
  <c r="N41" i="28"/>
  <c r="N12" i="28"/>
  <c r="W14" i="1"/>
  <c r="X14" i="1" s="1"/>
  <c r="N173" i="28"/>
  <c r="N6" i="46"/>
  <c r="G104" i="28"/>
  <c r="L3" i="46"/>
  <c r="D5" i="51" s="1"/>
  <c r="C22" i="26" s="1"/>
  <c r="Q31" i="56"/>
  <c r="N159" i="28"/>
  <c r="Q28" i="56"/>
  <c r="N156" i="28"/>
  <c r="N142" i="28"/>
  <c r="Q14" i="56"/>
  <c r="G68" i="28"/>
  <c r="N21" i="27"/>
  <c r="Q21" i="27" s="1"/>
  <c r="G188" i="28"/>
  <c r="G123" i="28"/>
  <c r="N25" i="46"/>
  <c r="N165" i="28"/>
  <c r="G187" i="28"/>
  <c r="M4" i="27"/>
  <c r="E4" i="51" s="1"/>
  <c r="D21" i="26" s="1"/>
  <c r="H54" i="28"/>
  <c r="N14" i="46"/>
  <c r="G112" i="28"/>
  <c r="N10" i="46"/>
  <c r="G108" i="28"/>
  <c r="O31" i="56"/>
  <c r="G159" i="28"/>
  <c r="G152" i="28"/>
  <c r="O24" i="56"/>
  <c r="H133" i="28"/>
  <c r="O18" i="56"/>
  <c r="G146" i="28"/>
  <c r="G138" i="28"/>
  <c r="O10" i="56"/>
  <c r="G170" i="28"/>
  <c r="N133" i="28"/>
  <c r="Q5" i="56"/>
  <c r="N25" i="28"/>
  <c r="W27" i="1"/>
  <c r="X27" i="1" s="1"/>
  <c r="G130" i="28"/>
  <c r="N32" i="46"/>
  <c r="N171" i="28"/>
  <c r="N39" i="27"/>
  <c r="Q39" i="27" s="1"/>
  <c r="G86" i="28"/>
  <c r="G97" i="28"/>
  <c r="N50" i="27"/>
  <c r="Q50" i="27" s="1"/>
  <c r="N19" i="27"/>
  <c r="Q19" i="27" s="1"/>
  <c r="G66" i="28"/>
  <c r="N187" i="28"/>
  <c r="N162" i="28"/>
  <c r="Q34" i="56"/>
  <c r="N13" i="28"/>
  <c r="W15" i="1"/>
  <c r="X15" i="1" s="1"/>
  <c r="G79" i="28"/>
  <c r="N32" i="27"/>
  <c r="Q32" i="27" s="1"/>
  <c r="G169" i="28"/>
  <c r="P16" i="46"/>
  <c r="N114" i="28"/>
  <c r="P7" i="46"/>
  <c r="N105" i="28"/>
  <c r="G109" i="28"/>
  <c r="N11" i="46"/>
  <c r="N23" i="28"/>
  <c r="W25" i="1"/>
  <c r="X25" i="1" s="1"/>
  <c r="N52" i="28"/>
  <c r="W54" i="1"/>
  <c r="X54" i="1" s="1"/>
  <c r="W53" i="1"/>
  <c r="X53" i="1" s="1"/>
  <c r="N51" i="28"/>
  <c r="N14" i="27"/>
  <c r="Q14" i="27" s="1"/>
  <c r="G61" i="28"/>
  <c r="N192" i="28"/>
  <c r="G59" i="28"/>
  <c r="N12" i="27"/>
  <c r="Q12" i="27" s="1"/>
  <c r="G180" i="28"/>
  <c r="N53" i="27"/>
  <c r="Q53" i="27" s="1"/>
  <c r="G100" i="28"/>
  <c r="N33" i="46"/>
  <c r="G131" i="28"/>
  <c r="O8" i="56"/>
  <c r="G136" i="28"/>
  <c r="G133" i="28"/>
  <c r="O5" i="56"/>
  <c r="G168" i="28"/>
  <c r="N28" i="28"/>
  <c r="W30" i="1"/>
  <c r="X30" i="1" s="1"/>
  <c r="N30" i="46"/>
  <c r="G128" i="28"/>
  <c r="G57" i="28"/>
  <c r="N10" i="27"/>
  <c r="Q10" i="27" s="1"/>
  <c r="N168" i="28"/>
  <c r="Q33" i="56"/>
  <c r="N161" i="28"/>
  <c r="Q17" i="56"/>
  <c r="N145" i="28"/>
  <c r="G165" i="28"/>
  <c r="P21" i="46"/>
  <c r="N119" i="28"/>
  <c r="N51" i="27"/>
  <c r="Q51" i="27" s="1"/>
  <c r="G98" i="28"/>
  <c r="Q6" i="56"/>
  <c r="N134" i="28"/>
  <c r="G190" i="28"/>
  <c r="G192" i="28"/>
  <c r="N28" i="46"/>
  <c r="G126" i="28"/>
  <c r="N126" i="28"/>
  <c r="P28" i="46"/>
  <c r="N30" i="28"/>
  <c r="W32" i="1"/>
  <c r="X32" i="1" s="1"/>
  <c r="G63" i="28"/>
  <c r="N16" i="27"/>
  <c r="Q16" i="27" s="1"/>
  <c r="Q16" i="56"/>
  <c r="N144" i="28"/>
  <c r="N178" i="28"/>
  <c r="G95" i="28"/>
  <c r="N48" i="27"/>
  <c r="Q48" i="27" s="1"/>
  <c r="N107" i="28"/>
  <c r="P9" i="46"/>
  <c r="N54" i="27"/>
  <c r="Q54" i="27" s="1"/>
  <c r="G101" i="28"/>
  <c r="G186" i="28"/>
  <c r="N38" i="28"/>
  <c r="W40" i="1"/>
  <c r="X40" i="1" s="1"/>
  <c r="N26" i="46"/>
  <c r="G124" i="28"/>
  <c r="N190" i="28"/>
  <c r="G182" i="28"/>
  <c r="O17" i="56"/>
  <c r="G145" i="28"/>
  <c r="O33" i="56"/>
  <c r="G161" i="28"/>
  <c r="O11" i="56"/>
  <c r="G139" i="28"/>
  <c r="G157" i="28"/>
  <c r="O29" i="56"/>
  <c r="G153" i="28"/>
  <c r="O25" i="56"/>
  <c r="O34" i="56"/>
  <c r="G162" i="28"/>
  <c r="N175" i="28"/>
  <c r="W46" i="1"/>
  <c r="X46" i="1" s="1"/>
  <c r="N44" i="28"/>
  <c r="N25" i="27"/>
  <c r="Q25" i="27" s="1"/>
  <c r="G72" i="28"/>
  <c r="W24" i="1"/>
  <c r="X24" i="1" s="1"/>
  <c r="N22" i="28"/>
  <c r="N24" i="28"/>
  <c r="W26" i="1"/>
  <c r="X26" i="1" s="1"/>
  <c r="Q18" i="56"/>
  <c r="N146" i="28"/>
  <c r="S3" i="1"/>
  <c r="D3" i="51" s="1"/>
  <c r="U6" i="1"/>
  <c r="G116" i="28"/>
  <c r="N18" i="46"/>
  <c r="N18" i="27"/>
  <c r="Q18" i="27" s="1"/>
  <c r="G65" i="28"/>
  <c r="Q19" i="56"/>
  <c r="N147" i="28"/>
  <c r="N46" i="28"/>
  <c r="W48" i="1"/>
  <c r="X48" i="1" s="1"/>
  <c r="N37" i="27"/>
  <c r="Q37" i="27" s="1"/>
  <c r="G84" i="28"/>
  <c r="G167" i="28"/>
  <c r="G113" i="28"/>
  <c r="N15" i="46"/>
  <c r="G174" i="28"/>
  <c r="W8" i="1"/>
  <c r="N6" i="28"/>
  <c r="G64" i="28"/>
  <c r="N17" i="27"/>
  <c r="Q17" i="27" s="1"/>
  <c r="G181" i="28"/>
  <c r="N183" i="28"/>
  <c r="G121" i="28"/>
  <c r="N23" i="46"/>
  <c r="N37" i="28"/>
  <c r="W39" i="1"/>
  <c r="X39" i="1" s="1"/>
  <c r="G74" i="28"/>
  <c r="N27" i="27"/>
  <c r="Q27" i="27" s="1"/>
  <c r="W29" i="1"/>
  <c r="X29" i="1" s="1"/>
  <c r="N27" i="28"/>
  <c r="Q29" i="56"/>
  <c r="N157" i="28"/>
  <c r="N169" i="28"/>
  <c r="G75" i="28"/>
  <c r="N28" i="27"/>
  <c r="Q28" i="27" s="1"/>
  <c r="W44" i="1"/>
  <c r="X44" i="1" s="1"/>
  <c r="N42" i="28"/>
  <c r="G172" i="28"/>
  <c r="G94" i="28"/>
  <c r="N47" i="27"/>
  <c r="Q47" i="27" s="1"/>
  <c r="G164" i="28"/>
  <c r="N5" i="28"/>
  <c r="W7" i="1"/>
  <c r="O19" i="56"/>
  <c r="G147" i="28"/>
  <c r="G143" i="28"/>
  <c r="O15" i="56"/>
  <c r="G135" i="28"/>
  <c r="O7" i="56"/>
  <c r="N42" i="27"/>
  <c r="Q42" i="27" s="1"/>
  <c r="G89" i="28"/>
  <c r="N112" i="28"/>
  <c r="P14" i="46"/>
  <c r="Q12" i="56"/>
  <c r="N140" i="28"/>
  <c r="N23" i="27"/>
  <c r="Q23" i="27" s="1"/>
  <c r="G70" i="28"/>
  <c r="Q10" i="56"/>
  <c r="N138" i="28"/>
  <c r="Q20" i="56"/>
  <c r="N148" i="28"/>
  <c r="P11" i="46"/>
  <c r="N109" i="28"/>
  <c r="W20" i="1"/>
  <c r="X20" i="1" s="1"/>
  <c r="N18" i="28"/>
  <c r="N24" i="46"/>
  <c r="G122" i="28"/>
  <c r="G76" i="28"/>
  <c r="N29" i="27"/>
  <c r="Q29" i="27" s="1"/>
  <c r="N136" i="28"/>
  <c r="Q8" i="56"/>
  <c r="N179" i="28"/>
  <c r="W28" i="1"/>
  <c r="X28" i="1" s="1"/>
  <c r="N26" i="28"/>
  <c r="N48" i="28"/>
  <c r="W50" i="1"/>
  <c r="X50" i="1" s="1"/>
  <c r="N20" i="27"/>
  <c r="Q20" i="27" s="1"/>
  <c r="G67" i="28"/>
  <c r="N20" i="28"/>
  <c r="W22" i="1"/>
  <c r="X22" i="1" s="1"/>
  <c r="N26" i="27"/>
  <c r="Q26" i="27" s="1"/>
  <c r="G73" i="28"/>
  <c r="G191" i="28"/>
  <c r="H163" i="28"/>
  <c r="M3" i="55"/>
  <c r="E8" i="51" s="1"/>
  <c r="D25" i="26" s="1"/>
  <c r="P18" i="46"/>
  <c r="N116" i="28"/>
  <c r="N108" i="28"/>
  <c r="P10" i="46"/>
  <c r="N45" i="27"/>
  <c r="Q45" i="27" s="1"/>
  <c r="G92" i="28"/>
  <c r="G71" i="28"/>
  <c r="N24" i="27"/>
  <c r="Q24" i="27" s="1"/>
  <c r="G81" i="28"/>
  <c r="N34" i="27"/>
  <c r="Q34" i="27" s="1"/>
  <c r="P27" i="46"/>
  <c r="N125" i="28"/>
  <c r="P31" i="46"/>
  <c r="N129" i="28"/>
  <c r="M3" i="46"/>
  <c r="E5" i="51" s="1"/>
  <c r="D22" i="26" s="1"/>
  <c r="H104" i="28"/>
  <c r="N164" i="28"/>
  <c r="G177" i="28"/>
  <c r="G132" i="28"/>
  <c r="N34" i="46"/>
  <c r="Q7" i="56"/>
  <c r="N135" i="28"/>
  <c r="N8" i="46"/>
  <c r="G106" i="28"/>
  <c r="N182" i="28"/>
  <c r="G149" i="28"/>
  <c r="O21" i="56"/>
  <c r="O27" i="56"/>
  <c r="G155" i="28"/>
  <c r="G154" i="28"/>
  <c r="O26" i="56"/>
  <c r="N160" i="28"/>
  <c r="Q32" i="56"/>
  <c r="N139" i="28"/>
  <c r="Q11" i="56"/>
  <c r="X9" i="1" l="1"/>
  <c r="X8" i="1"/>
  <c r="X10" i="1"/>
  <c r="X7" i="1"/>
  <c r="Q9" i="27"/>
  <c r="R32" i="56"/>
  <c r="Q8" i="27"/>
  <c r="R22" i="56"/>
  <c r="R9" i="56"/>
  <c r="R16" i="56"/>
  <c r="E3" i="51"/>
  <c r="D20" i="26" s="1"/>
  <c r="D27" i="26" s="1"/>
  <c r="U3" i="1"/>
  <c r="F3" i="51" s="1"/>
  <c r="C31" i="26" s="1"/>
  <c r="Q3" i="56"/>
  <c r="O3" i="56"/>
  <c r="F6" i="51" s="1"/>
  <c r="C34" i="26" s="1"/>
  <c r="R6" i="56"/>
  <c r="R11" i="56"/>
  <c r="Q21" i="46"/>
  <c r="Q10" i="46"/>
  <c r="Q19" i="46"/>
  <c r="R29" i="56"/>
  <c r="Q7" i="46"/>
  <c r="R30" i="56"/>
  <c r="Q11" i="46"/>
  <c r="R12" i="56"/>
  <c r="Q16" i="46"/>
  <c r="Q31" i="46"/>
  <c r="Q14" i="46"/>
  <c r="Q9" i="46"/>
  <c r="R14" i="56"/>
  <c r="R10" i="56"/>
  <c r="Q28" i="46"/>
  <c r="R8" i="56"/>
  <c r="Q27" i="46"/>
  <c r="R20" i="56"/>
  <c r="Q18" i="46"/>
  <c r="R19" i="56"/>
  <c r="R18" i="56"/>
  <c r="Q30" i="46"/>
  <c r="Q29" i="46"/>
  <c r="Q33" i="46"/>
  <c r="R13" i="56"/>
  <c r="C20" i="26"/>
  <c r="C27" i="26" s="1"/>
  <c r="D10" i="51"/>
  <c r="R34" i="56"/>
  <c r="Q5" i="55"/>
  <c r="P3" i="55"/>
  <c r="R7" i="56"/>
  <c r="R33" i="56"/>
  <c r="R31" i="56"/>
  <c r="I3" i="51"/>
  <c r="C10" i="51"/>
  <c r="N3" i="55"/>
  <c r="F8" i="51" s="1"/>
  <c r="C36" i="26" s="1"/>
  <c r="R23" i="56"/>
  <c r="Q17" i="46"/>
  <c r="Q12" i="46"/>
  <c r="Q34" i="46"/>
  <c r="R26" i="56"/>
  <c r="N4" i="27"/>
  <c r="Q7" i="27"/>
  <c r="I6" i="51"/>
  <c r="R5" i="56"/>
  <c r="Q23" i="46"/>
  <c r="X6" i="1"/>
  <c r="W3" i="1"/>
  <c r="I8" i="51"/>
  <c r="Q20" i="46"/>
  <c r="N3" i="46"/>
  <c r="F5" i="51" s="1"/>
  <c r="C33" i="26" s="1"/>
  <c r="R21" i="56"/>
  <c r="Q25" i="46"/>
  <c r="R15" i="56"/>
  <c r="Q24" i="46"/>
  <c r="R27" i="56"/>
  <c r="Q22" i="46"/>
  <c r="Q15" i="46"/>
  <c r="P3" i="46"/>
  <c r="Q6" i="46"/>
  <c r="Q8" i="46"/>
  <c r="Q32" i="46"/>
  <c r="Q26" i="46"/>
  <c r="P4" i="27"/>
  <c r="H4" i="51" s="1"/>
  <c r="R17" i="56"/>
  <c r="R28" i="56"/>
  <c r="R24" i="56"/>
  <c r="R25" i="56"/>
  <c r="Q13" i="46"/>
  <c r="J7" i="51" l="1"/>
  <c r="E35" i="26" s="1"/>
  <c r="F35" i="26" s="1"/>
  <c r="G35" i="26" s="1"/>
  <c r="I10" i="51"/>
  <c r="X3" i="1"/>
  <c r="F11" i="26"/>
  <c r="F13" i="52" s="1"/>
  <c r="B3" i="33"/>
  <c r="B24" i="33"/>
  <c r="H8" i="51"/>
  <c r="Q3" i="55"/>
  <c r="I135" i="28"/>
  <c r="H5" i="51"/>
  <c r="Q3" i="46"/>
  <c r="H6" i="51"/>
  <c r="R3" i="56"/>
  <c r="J3" i="51"/>
  <c r="E31" i="26" s="1"/>
  <c r="F31" i="26" s="1"/>
  <c r="E10" i="51"/>
  <c r="F4" i="51"/>
  <c r="C32" i="26" s="1"/>
  <c r="C39" i="26" s="1"/>
  <c r="I165" i="28"/>
  <c r="I54" i="28"/>
  <c r="I130" i="28"/>
  <c r="I145" i="28"/>
  <c r="I156" i="28"/>
  <c r="I27" i="28"/>
  <c r="I21" i="28"/>
  <c r="I182" i="28"/>
  <c r="I112" i="28"/>
  <c r="I140" i="28"/>
  <c r="I185" i="28"/>
  <c r="I116" i="28"/>
  <c r="I29" i="28"/>
  <c r="I39" i="28"/>
  <c r="I122" i="28"/>
  <c r="I181" i="28"/>
  <c r="I32" i="28"/>
  <c r="I188" i="28"/>
  <c r="I148" i="28"/>
  <c r="I123" i="28"/>
  <c r="I133" i="28"/>
  <c r="I167" i="28"/>
  <c r="I143" i="28"/>
  <c r="I120" i="28"/>
  <c r="I186" i="28"/>
  <c r="I176" i="28"/>
  <c r="I22" i="28"/>
  <c r="I113" i="28"/>
  <c r="I127" i="28"/>
  <c r="I171" i="28"/>
  <c r="I110" i="28"/>
  <c r="I172" i="28"/>
  <c r="I141" i="28"/>
  <c r="I40" i="28"/>
  <c r="I28" i="28"/>
  <c r="I191" i="28"/>
  <c r="I153" i="28"/>
  <c r="I124" i="28"/>
  <c r="I136" i="28"/>
  <c r="I47" i="28"/>
  <c r="I14" i="28"/>
  <c r="I134" i="28"/>
  <c r="J8" i="51"/>
  <c r="E36" i="26" s="1"/>
  <c r="F36" i="26" s="1"/>
  <c r="G36" i="26" s="1"/>
  <c r="I184" i="28"/>
  <c r="I125" i="28"/>
  <c r="I121" i="28"/>
  <c r="I187" i="28"/>
  <c r="I17" i="28"/>
  <c r="I117" i="28"/>
  <c r="I106" i="28"/>
  <c r="I179" i="28"/>
  <c r="I6" i="28"/>
  <c r="I178" i="28"/>
  <c r="I142" i="28"/>
  <c r="I19" i="28"/>
  <c r="Q4" i="27"/>
  <c r="I158" i="28"/>
  <c r="I15" i="28"/>
  <c r="I13" i="28"/>
  <c r="I164" i="28"/>
  <c r="I11" i="28"/>
  <c r="I183" i="28"/>
  <c r="I131" i="28"/>
  <c r="I189" i="28"/>
  <c r="I126" i="28"/>
  <c r="I175" i="28"/>
  <c r="I149" i="28"/>
  <c r="J6" i="51"/>
  <c r="E34" i="26" s="1"/>
  <c r="F34" i="26" s="1"/>
  <c r="G34" i="26" s="1"/>
  <c r="I49" i="28"/>
  <c r="I44" i="28"/>
  <c r="I137" i="28"/>
  <c r="I8" i="28"/>
  <c r="I114" i="28"/>
  <c r="I192" i="28"/>
  <c r="I45" i="28"/>
  <c r="I48" i="28"/>
  <c r="I16" i="28"/>
  <c r="I31" i="28"/>
  <c r="I144" i="28"/>
  <c r="I24" i="28"/>
  <c r="I7" i="28"/>
  <c r="I150" i="28"/>
  <c r="I111" i="28"/>
  <c r="I33" i="28"/>
  <c r="I170" i="28"/>
  <c r="I173" i="28"/>
  <c r="I108" i="28"/>
  <c r="I118" i="28"/>
  <c r="I35" i="28"/>
  <c r="I109" i="28"/>
  <c r="I105" i="28"/>
  <c r="I151" i="28"/>
  <c r="I129" i="28"/>
  <c r="I119" i="28"/>
  <c r="I159" i="28"/>
  <c r="H3" i="51"/>
  <c r="I10" i="28"/>
  <c r="I128" i="28"/>
  <c r="I38" i="28"/>
  <c r="I139" i="28"/>
  <c r="I46" i="28"/>
  <c r="I43" i="28"/>
  <c r="I37" i="28"/>
  <c r="I51" i="28"/>
  <c r="I174" i="28"/>
  <c r="I163" i="28"/>
  <c r="I41" i="28"/>
  <c r="I146" i="28"/>
  <c r="I154" i="28"/>
  <c r="I138" i="28"/>
  <c r="I36" i="28"/>
  <c r="I166" i="28"/>
  <c r="I168" i="28"/>
  <c r="I20" i="28"/>
  <c r="I4" i="28"/>
  <c r="I147" i="28"/>
  <c r="I132" i="28"/>
  <c r="I177" i="28"/>
  <c r="I23" i="28"/>
  <c r="I26" i="28"/>
  <c r="I30" i="28"/>
  <c r="I160" i="28"/>
  <c r="I25" i="28"/>
  <c r="I157" i="28"/>
  <c r="I34" i="28"/>
  <c r="I180" i="28"/>
  <c r="I161" i="28"/>
  <c r="J4" i="51"/>
  <c r="E32" i="26" s="1"/>
  <c r="F32" i="26" s="1"/>
  <c r="J5" i="51"/>
  <c r="E33" i="26" s="1"/>
  <c r="F33" i="26" s="1"/>
  <c r="G33" i="26" s="1"/>
  <c r="I204" i="28"/>
  <c r="I103" i="28"/>
  <c r="I203" i="28"/>
  <c r="I210" i="28"/>
  <c r="I211" i="28"/>
  <c r="I200" i="28"/>
  <c r="I212" i="28"/>
  <c r="I202" i="28"/>
  <c r="I3" i="28"/>
  <c r="I201" i="28"/>
  <c r="I205" i="28"/>
  <c r="I208" i="28"/>
  <c r="I195" i="28"/>
  <c r="I193" i="28"/>
  <c r="J9" i="51"/>
  <c r="E37" i="26" s="1"/>
  <c r="I194" i="28"/>
  <c r="I53" i="28"/>
  <c r="I197" i="28"/>
  <c r="I209" i="28"/>
  <c r="I198" i="28"/>
  <c r="I196" i="28"/>
  <c r="I199" i="28"/>
  <c r="I207" i="28"/>
  <c r="I206" i="28"/>
  <c r="I96" i="28"/>
  <c r="I63" i="28"/>
  <c r="I77" i="28"/>
  <c r="I64" i="28"/>
  <c r="I73" i="28"/>
  <c r="I59" i="28"/>
  <c r="I61" i="28"/>
  <c r="I87" i="28"/>
  <c r="I99" i="28"/>
  <c r="I82" i="28"/>
  <c r="I93" i="28"/>
  <c r="I70" i="28"/>
  <c r="I101" i="28"/>
  <c r="I84" i="28"/>
  <c r="I75" i="28"/>
  <c r="I57" i="28"/>
  <c r="I85" i="28"/>
  <c r="I97" i="28"/>
  <c r="I95" i="28"/>
  <c r="I69" i="28"/>
  <c r="I91" i="28"/>
  <c r="I67" i="28"/>
  <c r="I79" i="28"/>
  <c r="I102" i="28"/>
  <c r="I58" i="28"/>
  <c r="I100" i="28"/>
  <c r="I66" i="28"/>
  <c r="I76" i="28"/>
  <c r="I88" i="28"/>
  <c r="I71" i="28"/>
  <c r="I74" i="28"/>
  <c r="I72" i="28"/>
  <c r="I83" i="28"/>
  <c r="I56" i="28"/>
  <c r="I81" i="28"/>
  <c r="I68" i="28"/>
  <c r="I94" i="28"/>
  <c r="I78" i="28"/>
  <c r="I62" i="28"/>
  <c r="I98" i="28"/>
  <c r="I90" i="28"/>
  <c r="I80" i="28"/>
  <c r="I92" i="28"/>
  <c r="I60" i="28"/>
  <c r="I86" i="28"/>
  <c r="I89" i="28"/>
  <c r="I65" i="28"/>
  <c r="I55" i="28"/>
  <c r="I162" i="28"/>
  <c r="I42" i="28"/>
  <c r="I115" i="28"/>
  <c r="I104" i="28"/>
  <c r="I107" i="28"/>
  <c r="I52" i="28"/>
  <c r="I155" i="28"/>
  <c r="I50" i="28"/>
  <c r="I190" i="28"/>
  <c r="I9" i="28"/>
  <c r="I18" i="28"/>
  <c r="I5" i="28"/>
  <c r="I152" i="28"/>
  <c r="I12" i="28"/>
  <c r="I169" i="28"/>
  <c r="B18" i="33" l="1"/>
  <c r="F37" i="26"/>
  <c r="G37" i="26" s="1"/>
  <c r="C18" i="33"/>
  <c r="C20" i="33" s="1"/>
  <c r="H10" i="51"/>
  <c r="F10" i="51"/>
  <c r="G32" i="26"/>
  <c r="J10" i="51"/>
  <c r="B21" i="33" l="1"/>
  <c r="B20" i="33"/>
  <c r="D18" i="33"/>
  <c r="C21" i="33"/>
  <c r="D21" i="33" l="1"/>
  <c r="D20" i="33"/>
  <c r="G31" i="26"/>
  <c r="E39" i="26" l="1"/>
  <c r="F39" i="26"/>
  <c r="G39" i="26" l="1"/>
  <c r="E11" i="26"/>
  <c r="E13" i="52" s="1"/>
  <c r="D11" i="26"/>
  <c r="D13" i="52" s="1"/>
  <c r="B25" i="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Sheaffer, Andrew</author>
    <author>Kurtz, Spencer</author>
  </authors>
  <commentList>
    <comment ref="B13" authorId="0" shapeId="0" xr:uid="{51CC2BC9-DE43-46DD-A295-3C14B4685552}">
      <text>
        <r>
          <rPr>
            <sz val="9"/>
            <color indexed="81"/>
            <rFont val="Tahoma"/>
            <family val="2"/>
          </rPr>
          <t>Publically funded organizations include organizations that are primarily funded by Federal, state or municipal sources.  Examples include: Federal, state or municipal organizations/facilities, public schools and universities, museums, public hospitals/clinics, etc.</t>
        </r>
      </text>
    </comment>
    <comment ref="E27" authorId="1" shapeId="0" xr:uid="{00000000-0006-0000-0000-000001000000}">
      <text>
        <r>
          <rPr>
            <sz val="9"/>
            <color indexed="81"/>
            <rFont val="Tahoma"/>
            <family val="2"/>
          </rPr>
          <t xml:space="preserve"> Input the 'blended' rate of electricity for the given account number, i.e. the total electric utility costs for at least the previous 12 months divided by the total kWh consumption during the same time period.  This data is not used to calculate incentives, but allows this application to provide an estimate of the reduction in the customers energy bills resulting from the implementation of measures contained in the application.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Kurtz, Spencer</author>
    <author>tc={8EF07D4B-37BF-4245-9CA3-94EB6DE9529C}</author>
    <author>tc={62C74FEC-860C-4FD5-BBC1-61E30FA1D7C5}</author>
    <author>tc={13CE2E3C-D381-46CB-B794-332D929AC969}</author>
  </authors>
  <commentList>
    <comment ref="K4" authorId="0" shapeId="0" xr:uid="{925763B6-7284-4CED-854D-63B36C45F65C}">
      <text>
        <r>
          <rPr>
            <b/>
            <sz val="9"/>
            <color indexed="81"/>
            <rFont val="Tahoma"/>
            <family val="2"/>
          </rPr>
          <t>EFLH cooling for A/C unit</t>
        </r>
      </text>
    </comment>
    <comment ref="L4" authorId="0" shapeId="0" xr:uid="{94F4E5D8-13D7-47FD-B5D8-48FBB3F310B3}">
      <text>
        <r>
          <rPr>
            <b/>
            <sz val="9"/>
            <color indexed="81"/>
            <rFont val="Tahoma"/>
            <family val="2"/>
          </rPr>
          <t>CF for A/C unit</t>
        </r>
      </text>
    </comment>
    <comment ref="K5" authorId="0" shapeId="0" xr:uid="{59CF48A0-AF6F-4720-BC5A-8E1BBC3B73CA}">
      <text>
        <r>
          <rPr>
            <b/>
            <sz val="9"/>
            <color indexed="81"/>
            <rFont val="Tahoma"/>
            <family val="2"/>
          </rPr>
          <t>EFLH cooling for heat pump unit</t>
        </r>
        <r>
          <rPr>
            <sz val="9"/>
            <color indexed="81"/>
            <rFont val="Tahoma"/>
            <family val="2"/>
          </rPr>
          <t xml:space="preserve">
</t>
        </r>
      </text>
    </comment>
    <comment ref="L5" authorId="0" shapeId="0" xr:uid="{24774E4D-5FB6-4782-A42B-727D55EE65D2}">
      <text>
        <r>
          <rPr>
            <sz val="9"/>
            <color indexed="81"/>
            <rFont val="Tahoma"/>
            <family val="2"/>
          </rPr>
          <t xml:space="preserve">CF for heat pump unit
</t>
        </r>
      </text>
    </comment>
    <comment ref="N5" authorId="0" shapeId="0" xr:uid="{B76BD9C3-CD71-489D-AC78-609CA04FFAC6}">
      <text>
        <r>
          <rPr>
            <sz val="9"/>
            <color indexed="81"/>
            <rFont val="Tahoma"/>
            <family val="2"/>
          </rPr>
          <t xml:space="preserve">EFLH heating for heat pumps
</t>
        </r>
      </text>
    </comment>
    <comment ref="M116" authorId="1" shapeId="0" xr:uid="{8EF07D4B-37BF-4245-9CA3-94EB6DE9529C}">
      <text>
        <t>[Threaded comment]
Your version of Excel allows you to read this threaded comment; however, any edits to it will get removed if the file is opened in a newer version of Excel. Learn more: https://go.microsoft.com/fwlink/?linkid=870924
Comment:
    SEER2</t>
      </text>
    </comment>
    <comment ref="M121" authorId="2" shapeId="0" xr:uid="{62C74FEC-860C-4FD5-BBC1-61E30FA1D7C5}">
      <text>
        <t>[Threaded comment]
Your version of Excel allows you to read this threaded comment; however, any edits to it will get removed if the file is opened in a newer version of Excel. Learn more: https://go.microsoft.com/fwlink/?linkid=870924
Comment:
    SEER2</t>
      </text>
    </comment>
    <comment ref="N121" authorId="3" shapeId="0" xr:uid="{13CE2E3C-D381-46CB-B794-332D929AC969}">
      <text>
        <t>[Threaded comment]
Your version of Excel allows you to read this threaded comment; however, any edits to it will get removed if the file is opened in a newer version of Excel. Learn more: https://go.microsoft.com/fwlink/?linkid=870924
Comment:
    HSPF2</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27789A80-6960-4C01-B6BE-5C3384D3D9AE}">
      <text>
        <r>
          <rPr>
            <sz val="9"/>
            <color indexed="81"/>
            <rFont val="Tahoma"/>
            <family val="2"/>
          </rPr>
          <t>Add any additional or relevant notes or information for the project here that isn't captured in the previous "customer inputs" for each line item.</t>
        </r>
      </text>
    </comment>
    <comment ref="E4" authorId="0" shapeId="0" xr:uid="{8065A11A-040A-4D3C-88BD-557317A3A6AA}">
      <text>
        <r>
          <rPr>
            <b/>
            <sz val="9"/>
            <color indexed="81"/>
            <rFont val="Tahoma"/>
            <family val="2"/>
          </rPr>
          <t xml:space="preserve">HVAC Measures - Minimum Efficiency Requirements
High Eff. AC Unit 
</t>
        </r>
        <r>
          <rPr>
            <sz val="9"/>
            <color indexed="81"/>
            <rFont val="Tahoma"/>
            <family val="2"/>
          </rPr>
          <t>*AC Unit (&lt; 5.4 tons):  min 12.3 EER, 14.5 SEER2;   
*AC Unit (5.4 to 11.2 tons):  min. 12.2 EER, 14.8 SEER;   
*AC Unit (11.3 to 20 tons):  min. 12.2 EER, 14.8 SEER;   
*AC Unit (20.1 to 63.3 tons):  min. 10.8 EER, 13.5 SEER;   
*AC Unit (&gt; 63.3 tons):  min. 10.4 EER, 13.0 SEER;   
*Must be AHRI Certified</t>
        </r>
        <r>
          <rPr>
            <b/>
            <sz val="9"/>
            <color indexed="81"/>
            <rFont val="Tahoma"/>
            <family val="2"/>
          </rPr>
          <t xml:space="preserve">
High Eff. Heat Pump Unit 
</t>
        </r>
        <r>
          <rPr>
            <sz val="9"/>
            <color indexed="81"/>
            <rFont val="Tahoma"/>
            <family val="2"/>
          </rPr>
          <t>*HP Unit (&lt; 5.4 tons):  min. 12.3 EER, 14.5 SEER2, 8.0 HSPF2;   
*HP Unit (5.4 to 11.2 tons):  min. 11.3 EER, 14.5 SEER, 12.0 HSPF;   
*HP Unit (11.3 to 20 tons):  min. 10.9 EER, 14.0 SEER, 12.0 HSPF;   
*HP Unit (&gt;20.1 tons):  min. 10.3 EER, 13.0 SEER, 12.0 HSPF;   
*Must be AHRI Certified</t>
        </r>
        <r>
          <rPr>
            <b/>
            <sz val="9"/>
            <color indexed="81"/>
            <rFont val="Tahoma"/>
            <family val="2"/>
          </rPr>
          <t xml:space="preserve"> 
High Eff. Packaged Terminal AC (PTAC) Unit 
</t>
        </r>
        <r>
          <rPr>
            <sz val="9"/>
            <color indexed="81"/>
            <rFont val="Tahoma"/>
            <family val="2"/>
          </rPr>
          <t>*Standard PTAC (&lt; 0.6 tons):  min. 13 EER;   
*Standard PTAC (0.6 to 1.25 tons):  min. 12 EER;   
*Standard PTAC (≥ 1.25 tons):  min. 11 EER;   
*Non-Standard PTAC (&lt; 0.6 tons):  min. 11 EER;   
*Non-Standard PTAC (0.6 to 1.25 tons):  min. 9 EER;   
*Non-Standard PTAC (≥ 1.25 tons):  min. 9 EER;   
*Standard refers to PTAC dimensions of  (42″ wide, 16″ high, and 13 3/4″ deep), all other dimensions are non-standard. 
*Must be AHRI Certified</t>
        </r>
        <r>
          <rPr>
            <b/>
            <sz val="9"/>
            <color indexed="81"/>
            <rFont val="Tahoma"/>
            <family val="2"/>
          </rPr>
          <t xml:space="preserve">
High Eff. Packaged Terminal HP (PTHP) Unit 
</t>
        </r>
        <r>
          <rPr>
            <sz val="9"/>
            <color indexed="81"/>
            <rFont val="Tahoma"/>
            <family val="2"/>
          </rPr>
          <t>*Standard PTHP (&lt; 0.6 tons): 13 EER, 3.5 COP;   
*Standard PTHP (0.6 to 1.25 tons): 12 EER, 3.4 COP;   
*Standard PTHP (≥ 1.25 tons): 11 EER, 3.3 COP;   
*Non-Standard PTHP (&lt; 0.6 tons): 10 EER, 3.2 COP;   
*Non-Standard PTHP (0.6 to 1.25 tons): 9 EER, 3.1 COP;   
*Non-Standard PTHP (≥ 1.25 tons): 8 EER, 3 COP;   
*Standard refers to PTAC dimensions of  (42″ wide, 16″ high, and 13 3, 4″ deep), all other dimensions are non-standard.
*Must be AHRI Certified</t>
        </r>
        <r>
          <rPr>
            <b/>
            <sz val="9"/>
            <color indexed="81"/>
            <rFont val="Tahoma"/>
            <family val="2"/>
          </rPr>
          <t xml:space="preserve">
High Eff. Air-Cooled Chiller 
</t>
        </r>
        <r>
          <rPr>
            <sz val="9"/>
            <color indexed="81"/>
            <rFont val="Tahoma"/>
            <family val="2"/>
          </rPr>
          <t xml:space="preserve">*Air-Cooled Chiller (&lt;150 tons):  min 10.2 full-load EER, 15.8 IPLV EER;   
*Air-Cooled Chiller (&gt; 150 tons):  min 10.2 full-load EER, 16.0 IPLV EER;   </t>
        </r>
        <r>
          <rPr>
            <b/>
            <sz val="9"/>
            <color indexed="81"/>
            <rFont val="Tahoma"/>
            <family val="2"/>
          </rPr>
          <t xml:space="preserve">
High Eff. Positive Displacement Water-Cooled Chiller 
</t>
        </r>
        <r>
          <rPr>
            <sz val="9"/>
            <color indexed="81"/>
            <rFont val="Tahoma"/>
            <family val="2"/>
          </rPr>
          <t xml:space="preserve">*Water-Cooled PD Chiller (&lt; 75 tons):  min full-load kW/ton 0.74, IPLV kW/ton 0.5;   
*Water-Cooled PD Chiller (75 to 150 tons):  min full-load kW/ton 0.71, IPLV kW/ton 0.49;   
*Water-Cooled PD Chiller (150 to 300 tons):  min full-load kW/ton 0.65, IPLV kW/ton 0.44;   
*Water-Cooled PD Chiller (&gt; 300 tons):  min full-load kW/ton 0.57, IPLV kW/ton 0.41;  </t>
        </r>
        <r>
          <rPr>
            <b/>
            <sz val="9"/>
            <color indexed="81"/>
            <rFont val="Tahoma"/>
            <family val="2"/>
          </rPr>
          <t xml:space="preserve">    
High Eff. Centrifugal Water-Cooled Chiller 
</t>
        </r>
        <r>
          <rPr>
            <sz val="9"/>
            <color indexed="81"/>
            <rFont val="Tahoma"/>
            <family val="2"/>
          </rPr>
          <t xml:space="preserve">*Water-Cooled Cent. Chiller (&lt;300 tons):  min full-load kW/ton 0.6, IPLV kW/ton 0.4;   
*Water-Cooled Cent. Chiller (300 to 600 tons):  min full-load kW/ton 0.55, IPLV kW/ton 0.38;   
*Water-Cooled Cent. Chiller (&gt;600 tons):  min full-load kW/ton 0.55, IPLV kW/ton 0.38; </t>
        </r>
      </text>
    </comment>
    <comment ref="J4" authorId="0" shapeId="0" xr:uid="{39C1FB96-5FC8-454E-959B-80C186A61424}">
      <text>
        <r>
          <rPr>
            <b/>
            <sz val="9"/>
            <color indexed="81"/>
            <rFont val="Tahoma"/>
            <family val="2"/>
          </rPr>
          <t>This input is only for the high efficiency A/C and heat pump unit measures</t>
        </r>
        <r>
          <rPr>
            <sz val="9"/>
            <color indexed="81"/>
            <rFont val="Tahoma"/>
            <family val="2"/>
          </rPr>
          <t xml:space="preserve">
</t>
        </r>
      </text>
    </comment>
    <comment ref="K4" authorId="0" shapeId="0" xr:uid="{8943A4EA-7000-40E6-B786-6FB024C6C39F}">
      <text>
        <r>
          <rPr>
            <b/>
            <sz val="9"/>
            <color indexed="81"/>
            <rFont val="Tahoma"/>
            <family val="2"/>
          </rPr>
          <t>This input is only for the high efficiency A/C and heat pump unit measures</t>
        </r>
        <r>
          <rPr>
            <sz val="9"/>
            <color indexed="81"/>
            <rFont val="Tahoma"/>
            <family val="2"/>
          </rPr>
          <t xml:space="preserve">
</t>
        </r>
      </text>
    </comment>
    <comment ref="L4" authorId="0" shapeId="0" xr:uid="{C3B60BF0-BFB5-4F6E-BD0E-621E053B5203}">
      <text>
        <r>
          <rPr>
            <b/>
            <sz val="9"/>
            <color indexed="81"/>
            <rFont val="Tahoma"/>
            <family val="2"/>
          </rPr>
          <t xml:space="preserve">This input is only for the high efficiency heat pump unit measure </t>
        </r>
        <r>
          <rPr>
            <sz val="9"/>
            <color indexed="81"/>
            <rFont val="Tahoma"/>
            <family val="2"/>
          </rPr>
          <t xml:space="preserve">
</t>
        </r>
      </text>
    </comment>
    <comment ref="M4" authorId="0" shapeId="0" xr:uid="{1591F68B-E7CE-489F-9332-88591165EB7B}">
      <text>
        <r>
          <rPr>
            <b/>
            <sz val="9"/>
            <color indexed="81"/>
            <rFont val="Tahoma"/>
            <family val="2"/>
          </rPr>
          <t>Use the manufacturer full load kW/ton efficiency for the specific make and model. If that is not available, use the baseline efficiency values designated in the IECC 2009 energy code or the New Orleans Technical Reference Manual (TRM) v7.0</t>
        </r>
        <r>
          <rPr>
            <sz val="9"/>
            <color indexed="81"/>
            <rFont val="Tahoma"/>
            <family val="2"/>
          </rPr>
          <t xml:space="preserve">
</t>
        </r>
      </text>
    </comment>
    <comment ref="N4" authorId="0" shapeId="0" xr:uid="{D016D813-8258-4A4C-A3DC-5287A1369A12}">
      <text>
        <r>
          <rPr>
            <b/>
            <sz val="9"/>
            <color indexed="81"/>
            <rFont val="Tahoma"/>
            <family val="2"/>
          </rPr>
          <t>Use the manufacturer part load kW/ton efficiency (IPLV) for the specific make and model. If that is not available, use the baseline efficiency values designated in the IECC 2009 energy code or the New Orleans Technical Reference Manual (TRM) v7.0</t>
        </r>
        <r>
          <rPr>
            <sz val="9"/>
            <color indexed="81"/>
            <rFont val="Tahoma"/>
            <family val="2"/>
          </rPr>
          <t xml:space="preserve">
</t>
        </r>
      </text>
    </comment>
    <comment ref="R4" authorId="0" shapeId="0" xr:uid="{00000000-0006-0000-0200-000006000000}">
      <text>
        <r>
          <rPr>
            <sz val="9"/>
            <color indexed="81"/>
            <rFont val="Tahoma"/>
            <family val="2"/>
          </rPr>
          <t>The estimated incentive shown below does not incorporate project level incentive caps, which may reduce the total incentive paid to a project.</t>
        </r>
      </text>
    </comment>
    <comment ref="W4" authorId="0" shapeId="0" xr:uid="{38C9D8EC-C80F-48C5-8A92-68D7248A52A8}">
      <text>
        <r>
          <rPr>
            <sz val="9"/>
            <color indexed="81"/>
            <rFont val="Tahoma"/>
            <family val="2"/>
          </rPr>
          <t xml:space="preserve">The sum of net measure costs shown on this tab and other tabs may not equal the total net project cost shown on the Summary page due to the influence of project caps, which are not incorporated here, but are incorporated into the net project cost shown on the Summary page.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5" authorId="0" shapeId="0" xr:uid="{8A42AD46-EFD6-4EAE-BB2F-FAFF90DEC139}">
      <text>
        <r>
          <rPr>
            <sz val="9"/>
            <color indexed="81"/>
            <rFont val="Tahoma"/>
            <family val="2"/>
          </rPr>
          <t>Add any additional or relevant notes or information for the project here that isn't captured in the previous "customer inputs" for each line item.</t>
        </r>
      </text>
    </comment>
    <comment ref="E5" authorId="1" shapeId="0" xr:uid="{15A9014C-490B-4575-B1B8-B6145EE82ED8}">
      <text>
        <r>
          <rPr>
            <sz val="9"/>
            <color indexed="81"/>
            <rFont val="Tahoma"/>
            <family val="2"/>
          </rPr>
          <t xml:space="preserve">Building/Space Type - Choose the most appropriate space type. If you don't see a space type that applies to your project location, please contact the Energy Smart program and we can assist you in choosing the best option. </t>
        </r>
      </text>
    </comment>
    <comment ref="K5" authorId="0" shapeId="0" xr:uid="{C577A4FD-8756-486A-A757-0099136FC362}">
      <text>
        <r>
          <rPr>
            <sz val="9"/>
            <color indexed="81"/>
            <rFont val="Tahoma"/>
            <family val="2"/>
          </rPr>
          <t>The estimated incentive shown below does not incorporate project level incentive caps, which may reduce the total incentive paid to a project.</t>
        </r>
      </text>
    </comment>
    <comment ref="P5" authorId="0" shapeId="0" xr:uid="{537E3DD7-C964-4BEA-986D-E47284CCFFBD}">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A32F2256-7DF3-4448-913E-5225BC9C90B3}">
      <text>
        <r>
          <rPr>
            <sz val="9"/>
            <color indexed="81"/>
            <rFont val="Tahoma"/>
            <family val="2"/>
          </rPr>
          <t>Add any additional or relevant notes or information for the project here that isn't captured in the previous "customer inputs" for each line item.</t>
        </r>
      </text>
    </comment>
    <comment ref="K4" authorId="0" shapeId="0" xr:uid="{372E2596-0167-4F15-B8BB-9504984122D1}">
      <text>
        <r>
          <rPr>
            <sz val="9"/>
            <color indexed="81"/>
            <rFont val="Tahoma"/>
            <family val="2"/>
          </rPr>
          <t>The estimated incentive shown below does not incorporate project level incentive caps, which may reduce the total incentive paid to a project.</t>
        </r>
      </text>
    </comment>
    <comment ref="P4" authorId="0" shapeId="0" xr:uid="{61CD1E34-8A0E-4C38-B2E6-4F19547BC4F0}">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4" authorId="0" shapeId="0" xr:uid="{8852E928-861B-4F50-9F15-931B672FE59D}">
      <text>
        <r>
          <rPr>
            <sz val="9"/>
            <color indexed="81"/>
            <rFont val="Tahoma"/>
            <family val="2"/>
          </rPr>
          <t>Add any additional or relevant notes or information for the project here that isn't captured in the previous "customer inputs" for each line item.</t>
        </r>
      </text>
    </comment>
    <comment ref="G4" authorId="1" shapeId="0" xr:uid="{370AD503-8518-4BE4-9F30-261E8131BB5E}">
      <text>
        <r>
          <rPr>
            <sz val="9"/>
            <color indexed="81"/>
            <rFont val="Tahoma"/>
            <family val="2"/>
          </rPr>
          <t>Window Direction refers to the primary cardinal direction that the outside of the window faces.  North facing windows are not eligible for incentives.</t>
        </r>
      </text>
    </comment>
    <comment ref="L4" authorId="0" shapeId="0" xr:uid="{E43AAA2B-FB59-4601-9A63-82D64B22A17C}">
      <text>
        <r>
          <rPr>
            <sz val="9"/>
            <color indexed="81"/>
            <rFont val="Tahoma"/>
            <family val="2"/>
          </rPr>
          <t>The estimated incentive shown below does not incorporate project level incentive caps, which may reduce the total incentive paid to a project.</t>
        </r>
      </text>
    </comment>
    <comment ref="Q4" authorId="0" shapeId="0" xr:uid="{FD1B5E53-4A50-44AD-A48E-79282DAC1595}">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Kurtz, Spencer</author>
    <author>Sheaffer, Andrew</author>
  </authors>
  <commentList>
    <comment ref="D4" authorId="0" shapeId="0" xr:uid="{DAAD1285-F039-432A-AAE5-D132FE3F433E}">
      <text>
        <r>
          <rPr>
            <sz val="9"/>
            <color indexed="81"/>
            <rFont val="Tahoma"/>
            <family val="2"/>
          </rPr>
          <t>Add any additional or relevant notes or information for the project here that isn't captured in the previous "customer inputs" for each line item.</t>
        </r>
      </text>
    </comment>
    <comment ref="E4" authorId="0" shapeId="0" xr:uid="{CCA20AD5-BC79-40D4-8F6D-89C46A550AAC}">
      <text>
        <r>
          <rPr>
            <b/>
            <sz val="9"/>
            <color indexed="81"/>
            <rFont val="Tahoma"/>
            <family val="2"/>
          </rPr>
          <t xml:space="preserve">NOLA TRM V7.0 Table 2-153 Efficient and Premium Window Specifications
Efficient Windows
SHGC      ≤ 0.25
U Factor      ≤ 0.40 
Premium Windows 
SHGC       ≤ 0.23
U Factor     ≤ 0.36
Only premium windows are eligible for New Construction.
</t>
        </r>
        <r>
          <rPr>
            <sz val="9"/>
            <color indexed="81"/>
            <rFont val="Tahoma"/>
            <family val="2"/>
          </rPr>
          <t xml:space="preserve">
</t>
        </r>
      </text>
    </comment>
    <comment ref="G4" authorId="1" shapeId="0" xr:uid="{9337BB8A-59AD-42D6-9F65-DD6146A6C1F6}">
      <text>
        <r>
          <rPr>
            <sz val="9"/>
            <color indexed="81"/>
            <rFont val="Tahoma"/>
            <family val="2"/>
          </rPr>
          <t>Window Direction refers to the primary cardinal direction that the outside of the window faces.</t>
        </r>
      </text>
    </comment>
    <comment ref="L4" authorId="0" shapeId="0" xr:uid="{5948E310-4F6C-4E1F-9A1F-2FB65357F6BF}">
      <text>
        <r>
          <rPr>
            <sz val="9"/>
            <color indexed="81"/>
            <rFont val="Tahoma"/>
            <family val="2"/>
          </rPr>
          <t>The estimated incentive shown below does not incorporate project level incentive caps, which may reduce the total incentive paid to a project.</t>
        </r>
      </text>
    </comment>
    <comment ref="Q4" authorId="0" shapeId="0" xr:uid="{E14AC848-E4DE-4322-80B0-B5DE0C422A8C}">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1DB39A87-3FF1-46CB-9139-B5E0C7B613B5}">
      <text>
        <r>
          <rPr>
            <sz val="9"/>
            <color indexed="81"/>
            <rFont val="Tahoma"/>
            <family val="2"/>
          </rPr>
          <t>Add any additional or relevant notes or information for the project here that isn't captured in the previous "customer inputs" for each line item.</t>
        </r>
      </text>
    </comment>
    <comment ref="K4" authorId="0" shapeId="0" xr:uid="{40736DC0-C175-4884-A3FD-1DB4D6A3C369}">
      <text>
        <r>
          <rPr>
            <sz val="9"/>
            <color indexed="81"/>
            <rFont val="Tahoma"/>
            <family val="2"/>
          </rPr>
          <t>The estimated incentive shown below does not incorporate project level incentive caps, which may reduce the total incentive paid to a project.</t>
        </r>
      </text>
    </comment>
    <comment ref="P4" authorId="0" shapeId="0" xr:uid="{C6642756-75EC-402F-9119-0730B5C51A69}">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Kurtz, Spencer</author>
  </authors>
  <commentList>
    <comment ref="D4" authorId="0" shapeId="0" xr:uid="{CDB13C63-E3AA-4ADC-B5BB-53DD53F76244}">
      <text>
        <r>
          <rPr>
            <sz val="9"/>
            <color indexed="81"/>
            <rFont val="Tahoma"/>
            <family val="2"/>
          </rPr>
          <t>Add any additional or relevant notes or information for the project here that isn't captured in the previous "customer inputs" for each line item.</t>
        </r>
      </text>
    </comment>
    <comment ref="R4" authorId="0" shapeId="0" xr:uid="{1D268420-1B11-4337-8209-A03125C8CE8D}">
      <text>
        <r>
          <rPr>
            <sz val="9"/>
            <color indexed="81"/>
            <rFont val="Tahoma"/>
            <family val="2"/>
          </rPr>
          <t>The estimated incentive shown below does not incorporate project level incentive caps, which may reduce the total incentive paid to a project.</t>
        </r>
      </text>
    </comment>
    <comment ref="W4" authorId="0" shapeId="0" xr:uid="{9F4A06D3-C317-44AB-A1D9-E9D452E820C7}">
      <text>
        <r>
          <rPr>
            <sz val="9"/>
            <color indexed="81"/>
            <rFont val="Tahoma"/>
            <family val="2"/>
          </rPr>
          <t>The sum of net measure costs shown on this tab and other tabs may not equal the total net project cost shown on the Summary page due to the influence of project caps, which are not incorporated here, but are incorporated into the net project cost shown on the Summary page.</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Sheaffer, Andrew</author>
  </authors>
  <commentList>
    <comment ref="E30" authorId="0" shapeId="0" xr:uid="{A243DF63-C6FE-44A0-BE77-0D1A27EF4ED7}">
      <text>
        <r>
          <rPr>
            <sz val="9"/>
            <color indexed="81"/>
            <rFont val="Tahoma"/>
            <family val="2"/>
          </rPr>
          <t>Incentives detailed here may differ from total incentives shown on measure input sheets due to project caps (see information on project caps on the Eligibility Tab).</t>
        </r>
      </text>
    </comment>
  </commentList>
</comments>
</file>

<file path=xl/sharedStrings.xml><?xml version="1.0" encoding="utf-8"?>
<sst xmlns="http://schemas.openxmlformats.org/spreadsheetml/2006/main" count="1473" uniqueCount="593">
  <si>
    <t>Data Entry Cell</t>
  </si>
  <si>
    <t>No Data Entry Required Cell</t>
  </si>
  <si>
    <t>HVAC Tab</t>
  </si>
  <si>
    <t>Refrigeration Tab</t>
  </si>
  <si>
    <t>Com Kitchen Tab</t>
  </si>
  <si>
    <t>Window Film Tab</t>
  </si>
  <si>
    <t>Misc Tab</t>
  </si>
  <si>
    <t>Custom Tab</t>
  </si>
  <si>
    <t>Summary Tab</t>
  </si>
  <si>
    <t>Contains a project-level summary of all measures entered into the workbook. No data entry is required on this tab.</t>
  </si>
  <si>
    <t>Signature Tab</t>
  </si>
  <si>
    <t>Product of APTIM Environmental &amp; Infrastruction, LLC</t>
  </si>
  <si>
    <t>Entergy New Orleans Customer Information</t>
  </si>
  <si>
    <t>Project Information</t>
  </si>
  <si>
    <t>Business/Organization Name</t>
  </si>
  <si>
    <t>Brief Project Description</t>
  </si>
  <si>
    <t>Customer Contact Name</t>
  </si>
  <si>
    <t>Legal Street Address 
(as shown on W-9)</t>
  </si>
  <si>
    <t>City</t>
  </si>
  <si>
    <t>State</t>
  </si>
  <si>
    <t>Estimated Project Start Date</t>
  </si>
  <si>
    <t>ZIP Code</t>
  </si>
  <si>
    <t>Estimated Project Completion Date</t>
  </si>
  <si>
    <t>Phone Number</t>
  </si>
  <si>
    <t>Program Type</t>
  </si>
  <si>
    <t>Small Commercial Solutions (project site demand &lt; 100kW)</t>
  </si>
  <si>
    <t>Contact Email Address</t>
  </si>
  <si>
    <t>Project Stage</t>
  </si>
  <si>
    <t>Pre-Retrofit</t>
  </si>
  <si>
    <t>Business/Organization Classification</t>
  </si>
  <si>
    <t>Project Installation Type</t>
  </si>
  <si>
    <t>Is this a publically funded organization?</t>
  </si>
  <si>
    <t>Job Site Information</t>
  </si>
  <si>
    <t>Is this Customer a Disadvantaged Business Enterprise (DBE)?</t>
  </si>
  <si>
    <t>Job Site Business/Organization Name</t>
  </si>
  <si>
    <t>Trade Ally/Contractor Information</t>
  </si>
  <si>
    <t>Job Site Contact Name</t>
  </si>
  <si>
    <t>Business Name</t>
  </si>
  <si>
    <t>Job Site Address</t>
  </si>
  <si>
    <t>Trade Ally Contact Name</t>
  </si>
  <si>
    <t>Address</t>
  </si>
  <si>
    <t>ZIP</t>
  </si>
  <si>
    <t>Email Address</t>
  </si>
  <si>
    <t>Entergy Account Number</t>
  </si>
  <si>
    <t>New Account? (last 8 weeks)</t>
  </si>
  <si>
    <t>No</t>
  </si>
  <si>
    <t>Registered Trade Ally?</t>
  </si>
  <si>
    <t>Year Built</t>
  </si>
  <si>
    <t>Additional Contact Information (Optional)</t>
  </si>
  <si>
    <t>Square Footage</t>
  </si>
  <si>
    <t>Does the customer own or rent/lease the job site location?</t>
  </si>
  <si>
    <t>Own</t>
  </si>
  <si>
    <t>Additional Contact Name</t>
  </si>
  <si>
    <t>Average Electric Rate ($/kWh)</t>
  </si>
  <si>
    <t>Building Type</t>
  </si>
  <si>
    <t>Education: K-12</t>
  </si>
  <si>
    <t>Heating &amp; Cooling System</t>
  </si>
  <si>
    <t>A/C with gas heat</t>
  </si>
  <si>
    <t>Water Heating System</t>
  </si>
  <si>
    <t>Electric</t>
  </si>
  <si>
    <t>Incentive Payment Information</t>
  </si>
  <si>
    <t>Mail Incentive Check To</t>
  </si>
  <si>
    <t>Customer</t>
  </si>
  <si>
    <t>Attention To (Optional)</t>
  </si>
  <si>
    <t>Project Role</t>
  </si>
  <si>
    <t>Make Check Payable To</t>
  </si>
  <si>
    <t>Additional Information</t>
  </si>
  <si>
    <t>Federal Tax ID Number</t>
  </si>
  <si>
    <t>If Energy Smart has a question, we should contact:</t>
  </si>
  <si>
    <t>Tax Entity</t>
  </si>
  <si>
    <t xml:space="preserve">How did you hear about the Energy Smart Program? </t>
  </si>
  <si>
    <t>Search Engine</t>
  </si>
  <si>
    <t>Prescriptive HVAC Measure Input</t>
  </si>
  <si>
    <t>Building/Space Type</t>
  </si>
  <si>
    <t>Health Clinic</t>
  </si>
  <si>
    <t>Proposed</t>
  </si>
  <si>
    <t>Totals</t>
  </si>
  <si>
    <t>Line Ref. No.</t>
  </si>
  <si>
    <t>Measure Number</t>
  </si>
  <si>
    <t>Location / Measure Notes</t>
  </si>
  <si>
    <t>HVAC Measure</t>
  </si>
  <si>
    <t>Unit of Measure</t>
  </si>
  <si>
    <t>Number of Units</t>
  </si>
  <si>
    <t>EER</t>
  </si>
  <si>
    <t>IEER/SEER</t>
  </si>
  <si>
    <t>HSPF</t>
  </si>
  <si>
    <t>Total Equipment Cost</t>
  </si>
  <si>
    <t>Total Labor Cost</t>
  </si>
  <si>
    <t>Per-Unit Incentive</t>
  </si>
  <si>
    <t>Estimated Incentive</t>
  </si>
  <si>
    <t>Energy Savings (kWh)</t>
  </si>
  <si>
    <t>Demand Reduction (kW)</t>
  </si>
  <si>
    <t>Cost Savings</t>
  </si>
  <si>
    <t>Gross Measure Cost</t>
  </si>
  <si>
    <t>Net Measure Cost</t>
  </si>
  <si>
    <t>Simple Payback (Years)</t>
  </si>
  <si>
    <t>High Eff. AC Unit</t>
  </si>
  <si>
    <t>High Eff. Heat Pump Unit</t>
  </si>
  <si>
    <t>High Eff. Air-Cooled Chiller</t>
  </si>
  <si>
    <t>High Eff. Centrifugal Water-Cooled Chiller</t>
  </si>
  <si>
    <t>Smart Thermostats for Small Business</t>
  </si>
  <si>
    <t>Prescriptive Refrigeration Measure Input</t>
  </si>
  <si>
    <t>Refrigeration Measure</t>
  </si>
  <si>
    <t>LED Refrigerated Case Lighting (without Controls)</t>
  </si>
  <si>
    <t>ECM Motor for Freezer or Cooler</t>
  </si>
  <si>
    <t>Door Gaskets - Coolers (Refrigeration)</t>
  </si>
  <si>
    <t>ENERGY STAR Solid Door Freezer</t>
  </si>
  <si>
    <t>Prescriptive Commercial Kitchen Measure Input</t>
  </si>
  <si>
    <t>Commercial Kitchen Measure</t>
  </si>
  <si>
    <t>ENERGY STAR Electric Griddle</t>
  </si>
  <si>
    <t>ENERGY STAR Commercial Electric Steam Cooker</t>
  </si>
  <si>
    <t>Prescriptive Window Film Measure Input</t>
  </si>
  <si>
    <t>Window Film Measure</t>
  </si>
  <si>
    <t>Window Direction</t>
  </si>
  <si>
    <t>Number of Units (Sq.Ft.)</t>
  </si>
  <si>
    <t>Measure Lookup Detail</t>
  </si>
  <si>
    <t>Window film, gas heat w/AC</t>
  </si>
  <si>
    <t>East</t>
  </si>
  <si>
    <t>South</t>
  </si>
  <si>
    <t>West</t>
  </si>
  <si>
    <t>Window film, heat pump heating/cooling</t>
  </si>
  <si>
    <t>Window film, electric resistance heat w/AC</t>
  </si>
  <si>
    <t>Premium Windows</t>
  </si>
  <si>
    <t>North</t>
  </si>
  <si>
    <t>Efficient Windows</t>
  </si>
  <si>
    <t>Prescriptive Miscellaneous Measure Input</t>
  </si>
  <si>
    <t>Miscellaneous Measure</t>
  </si>
  <si>
    <t>Advanced Power Strips</t>
  </si>
  <si>
    <t>Computer Power Management</t>
  </si>
  <si>
    <t>Custom Measure Input</t>
  </si>
  <si>
    <t>Existing</t>
  </si>
  <si>
    <t>Measure Name</t>
  </si>
  <si>
    <t>Measure Type</t>
  </si>
  <si>
    <t>Measure Classification</t>
  </si>
  <si>
    <t>Location</t>
  </si>
  <si>
    <t>HVAC in Location</t>
  </si>
  <si>
    <t>Summary of Existing Conditions</t>
  </si>
  <si>
    <t>Existing Energy Consumption (kWh/yr)</t>
  </si>
  <si>
    <t>Existing Peak Demand (kW)</t>
  </si>
  <si>
    <t>Summary of Proposed Conditions</t>
  </si>
  <si>
    <t>Proposed Energy Consumption (kWh/yr)</t>
  </si>
  <si>
    <t>Proposed Peak Demand (kW)</t>
  </si>
  <si>
    <t>Replacement</t>
  </si>
  <si>
    <t xml:space="preserve">New Fan Motors (Efficient) </t>
  </si>
  <si>
    <t>Gas heat w/AC</t>
  </si>
  <si>
    <t>Retrofit</t>
  </si>
  <si>
    <t xml:space="preserve">RCx of Existing BAS </t>
  </si>
  <si>
    <t>Electric resistance heat w/AC</t>
  </si>
  <si>
    <t>Air Handler Coil Cleaning</t>
  </si>
  <si>
    <t>Project Summary Report</t>
  </si>
  <si>
    <t>Project Summary</t>
  </si>
  <si>
    <t>Total Gross Project Cost</t>
  </si>
  <si>
    <t>Estimated Project Incentive</t>
  </si>
  <si>
    <t>Net Project Cost</t>
  </si>
  <si>
    <t>Project Energy Savings (kWh)</t>
  </si>
  <si>
    <t xml:space="preserve">Project Contacts </t>
  </si>
  <si>
    <t>Trade Ally</t>
  </si>
  <si>
    <t>Additional Contact</t>
  </si>
  <si>
    <t>Energy Savings Summary</t>
  </si>
  <si>
    <t>Incentive Type</t>
  </si>
  <si>
    <t>kW Reduction</t>
  </si>
  <si>
    <t>Total</t>
  </si>
  <si>
    <t>Financial Details</t>
  </si>
  <si>
    <t>Gross Project Cost</t>
  </si>
  <si>
    <t>Energy Smart Program Customer Agreement</t>
  </si>
  <si>
    <t>Under penalty of perjury, I certify that:</t>
  </si>
  <si>
    <t>I have read and agreed to the provisions set forth herein and to the Terms and Conditions available at: energysmartnola.com/business/terms. I understand that Energy Smart may revise these Terms and Conditions at any time and I will not be notified in the event changes are made. To the best of my knowledge, all statements made on this application are complete, true and correct.</t>
  </si>
  <si>
    <t>Link to Energy Smart Program Agreement Terms and Conditions</t>
  </si>
  <si>
    <t>Electronic Signature (Customer)</t>
  </si>
  <si>
    <t>Date</t>
  </si>
  <si>
    <t>Project Completion Notice</t>
  </si>
  <si>
    <t>All project information shown below reflects inputs in the Project Tab of the project application, to update any information shown below, please update the information in the Project Tab of the application.</t>
  </si>
  <si>
    <t>This form should not be used or signed until after the project is installed.  To indicate that a project has been installed, please update the Project Stage field on the Project Tab to "Post-Retrofit"</t>
  </si>
  <si>
    <t>Mail To</t>
  </si>
  <si>
    <t>Attention To</t>
  </si>
  <si>
    <t>Project Installation Completion Date</t>
  </si>
  <si>
    <t xml:space="preserve">I, the below signed, certify that the stated energy efficient measures detailed in this application were completed at the project location identified above and that the actual costs reported represents the final and eligible costs of the approved project. I further certify that, to the best of my knowledge, the statements made on this notice are correct. I have submitted the appropriate supporting documentation including all project invoices. </t>
  </si>
  <si>
    <t>Named Values &amp; Inputs</t>
  </si>
  <si>
    <t>Table_Prescript_Meas</t>
  </si>
  <si>
    <t>Table_WinFilm_Savings</t>
  </si>
  <si>
    <t>Table_Programs_Rates</t>
  </si>
  <si>
    <t>Value_Project_CAP</t>
  </si>
  <si>
    <t>Sort Order</t>
  </si>
  <si>
    <t>Type</t>
  </si>
  <si>
    <t>Measure Description</t>
  </si>
  <si>
    <t>Incentive - SC</t>
  </si>
  <si>
    <t>Incentive - LC</t>
  </si>
  <si>
    <t>Units</t>
  </si>
  <si>
    <t>Deemed kWh Savings</t>
  </si>
  <si>
    <t>Deemed kW Savings</t>
  </si>
  <si>
    <t>Hybrid Lookup</t>
  </si>
  <si>
    <t>Measure No</t>
  </si>
  <si>
    <t>HVAC System</t>
  </si>
  <si>
    <t>Cardinal Direction</t>
  </si>
  <si>
    <t>Lookup Detail</t>
  </si>
  <si>
    <t>List_Programs</t>
  </si>
  <si>
    <t>Custom Incentive Rate</t>
  </si>
  <si>
    <t>List_Biz_Class</t>
  </si>
  <si>
    <t>List_Tax_Entity</t>
  </si>
  <si>
    <t>List_Y_N_U</t>
  </si>
  <si>
    <t>List_Y_N</t>
  </si>
  <si>
    <t>List_DBE_Option</t>
  </si>
  <si>
    <t>List_Project_Stage</t>
  </si>
  <si>
    <t>List_Install_Type</t>
  </si>
  <si>
    <t>List_Ownership</t>
  </si>
  <si>
    <t>List_Bldg_Types</t>
  </si>
  <si>
    <t>List_HVAC</t>
  </si>
  <si>
    <t>List_Water_Heating</t>
  </si>
  <si>
    <t>List_Contacts</t>
  </si>
  <si>
    <t>List_Source</t>
  </si>
  <si>
    <t>List_HVAC_Measure</t>
  </si>
  <si>
    <t>List_Refrig_Measure</t>
  </si>
  <si>
    <t>List_ComKitch_Measure</t>
  </si>
  <si>
    <t>List_WinFilm_Measure</t>
  </si>
  <si>
    <t>List_EffWindow_Measure</t>
  </si>
  <si>
    <t>List_Misc_Measure</t>
  </si>
  <si>
    <t>List_WinFilm_Direction</t>
  </si>
  <si>
    <t>List_EffWindow_Direction</t>
  </si>
  <si>
    <t>List_Custom_Type</t>
  </si>
  <si>
    <t>List_Custom_Class</t>
  </si>
  <si>
    <t>List_Custom_HVAC</t>
  </si>
  <si>
    <t>Value_Measure_CAP</t>
  </si>
  <si>
    <t>HVAC</t>
  </si>
  <si>
    <t>ton</t>
  </si>
  <si>
    <t>Window film East exposure, gas heat w/AC</t>
  </si>
  <si>
    <t xml:space="preserve">Corporation </t>
  </si>
  <si>
    <t>Individual/Sole Proprietor</t>
  </si>
  <si>
    <t>Yes</t>
  </si>
  <si>
    <t>Contractor Install</t>
  </si>
  <si>
    <t>Rent/Lease</t>
  </si>
  <si>
    <t>Leisure Dining: Bar Area</t>
  </si>
  <si>
    <t>Bill Insert</t>
  </si>
  <si>
    <t>ENERGY STAR Commercial Electric Fryer</t>
  </si>
  <si>
    <t>New Air Handling Unit</t>
  </si>
  <si>
    <t>Value_FastTrack_Limit</t>
  </si>
  <si>
    <t>Window film West exposure, gas heat w/AC</t>
  </si>
  <si>
    <t>Large Commercial &amp; Industrial Solutions (project site demand &gt;100 kW)</t>
  </si>
  <si>
    <t>LLC, C,S,P</t>
  </si>
  <si>
    <t>LLC</t>
  </si>
  <si>
    <t>Unknown</t>
  </si>
  <si>
    <t>Post-Retrofit</t>
  </si>
  <si>
    <t>Self Install</t>
  </si>
  <si>
    <t>Corridor/Hallway/Stairwell</t>
  </si>
  <si>
    <t>A/C with electric resistance heat</t>
  </si>
  <si>
    <t>Natural Gas</t>
  </si>
  <si>
    <t>Trade Ally/Contractor</t>
  </si>
  <si>
    <t>Calling Campaign</t>
  </si>
  <si>
    <t>Evaporator Fan Controller for Freezer or Cooler</t>
  </si>
  <si>
    <t xml:space="preserve">New Air-Cooled Chiller </t>
  </si>
  <si>
    <t>Heat pump heating/cooling</t>
  </si>
  <si>
    <t>Value_Cus_IncentRate</t>
  </si>
  <si>
    <t>High Eff. Packaged Terminal AC (PTAC) Unit</t>
  </si>
  <si>
    <t>Window film South exposure, gas heat w/AC</t>
  </si>
  <si>
    <t>Individual/Sole Proprietorship</t>
  </si>
  <si>
    <t>Corporation</t>
  </si>
  <si>
    <t>Yes-DOT Disadvantaged Business Enterprise</t>
  </si>
  <si>
    <t>Direct Install</t>
  </si>
  <si>
    <t>Education: College/University</t>
  </si>
  <si>
    <t>A/C with heat pump heat</t>
  </si>
  <si>
    <t>Oil</t>
  </si>
  <si>
    <t>Direct Mail</t>
  </si>
  <si>
    <t>Anti-Sweat Heater Controls for Freezer or Cooler</t>
  </si>
  <si>
    <t>ENERGY STAR Electric Convection Oven</t>
  </si>
  <si>
    <t>Low-Flow Faucet Aerators</t>
  </si>
  <si>
    <t>New Equipment</t>
  </si>
  <si>
    <t xml:space="preserve">New Water-Cooled Chiller </t>
  </si>
  <si>
    <t>Value_Max_ItoC_Ratio</t>
  </si>
  <si>
    <t>High Eff. Packaged Terminal HP (PTHP) Unit</t>
  </si>
  <si>
    <t>Window film East exposure, heat pump heating/cooling</t>
  </si>
  <si>
    <t>Partnership</t>
  </si>
  <si>
    <t>Yes-Disabled Veteran-Owned Business Enterprise (DVET)</t>
  </si>
  <si>
    <t>Other</t>
  </si>
  <si>
    <t>A/C with no heat</t>
  </si>
  <si>
    <t>Propane</t>
  </si>
  <si>
    <t>Job Site</t>
  </si>
  <si>
    <t>Energy Advisor</t>
  </si>
  <si>
    <t>Refrigerated Case Night Covers</t>
  </si>
  <si>
    <t>Low-Flow Shower Heads</t>
  </si>
  <si>
    <t xml:space="preserve">New Packaged/Rooftop Unit </t>
  </si>
  <si>
    <t>Value_Application_Version</t>
  </si>
  <si>
    <t>unit</t>
  </si>
  <si>
    <t>Window film West exposure, heat pump heating/cooling</t>
  </si>
  <si>
    <t>Trust/Estate</t>
  </si>
  <si>
    <t>Trust/estate</t>
  </si>
  <si>
    <t>Yes-Veteran-Owned Business Enterprise (VBE)</t>
  </si>
  <si>
    <t>Exterior/Outdoors/Parking Lot</t>
  </si>
  <si>
    <t>Refrigerated space (33-41°F)</t>
  </si>
  <si>
    <t>Steam</t>
  </si>
  <si>
    <t>Event/Trade Show</t>
  </si>
  <si>
    <t>ENERGY STAR Solid Door Refrigerator</t>
  </si>
  <si>
    <t>Food Service Kitchen Exhaust Controls</t>
  </si>
  <si>
    <t>Value_Bonus_Rate</t>
  </si>
  <si>
    <t>n/a</t>
  </si>
  <si>
    <t>Window film South exposure, heat pump heating/cooling</t>
  </si>
  <si>
    <t>Non-Profit</t>
  </si>
  <si>
    <t>Exempt</t>
  </si>
  <si>
    <t>Yes-Woman-Owned Business Enterprise (WBE)</t>
  </si>
  <si>
    <t>Food Sales: 24-Hour Supermarket</t>
  </si>
  <si>
    <t>Freezer space (-10-10°F)</t>
  </si>
  <si>
    <t>ENERGY STAR Commercial Dishwasher</t>
  </si>
  <si>
    <t xml:space="preserve">New Pump Motors (Efficient) </t>
  </si>
  <si>
    <t>Commercial Duct Sealing</t>
  </si>
  <si>
    <t>cfm leakage reduction</t>
  </si>
  <si>
    <t>Window film East exposure, electric resistance heat w/AC</t>
  </si>
  <si>
    <t>Yes-SBA 8(a) program</t>
  </si>
  <si>
    <t>Food Sales: Non 24-Hour Supermarket</t>
  </si>
  <si>
    <t>N/A (Unconditioned)</t>
  </si>
  <si>
    <t>Not Applicable</t>
  </si>
  <si>
    <t>SMS Text</t>
  </si>
  <si>
    <t>Strip Curtains for Walk-In Coolers</t>
  </si>
  <si>
    <t>Pre-Rinse Spray Valves</t>
  </si>
  <si>
    <t>New Fan Coil Unit</t>
  </si>
  <si>
    <t>Window film West exposure, electric resistance heat w/AC</t>
  </si>
  <si>
    <t>Yes-SMA Small Disadvantaged Business Enterprise (SDB)</t>
  </si>
  <si>
    <t>Food Service: Fast Food</t>
  </si>
  <si>
    <t>Social Media</t>
  </si>
  <si>
    <t>Strip Curtains for Walk-In Freezers</t>
  </si>
  <si>
    <t xml:space="preserve">New Cooling Tower </t>
  </si>
  <si>
    <t>High Eff. Positive Displacement Water-Cooled Chiller</t>
  </si>
  <si>
    <t>Window film South exposure, electric resistance heat w/AC</t>
  </si>
  <si>
    <t>Yes-SBA HubZone Business Enterprise (HubZone)</t>
  </si>
  <si>
    <t>Food Service: Sit-Down Restaurant</t>
  </si>
  <si>
    <t>Utility Website</t>
  </si>
  <si>
    <t>Strip Curtains for Refrigerated Warehouse Doors</t>
  </si>
  <si>
    <t>New Cooling Tower and Chiller</t>
  </si>
  <si>
    <t>Yes-LGBT-Owned Business Enterprise</t>
  </si>
  <si>
    <t>Health Care: In-Patient</t>
  </si>
  <si>
    <t xml:space="preserve">VFD for Existing Air Handling Unit </t>
  </si>
  <si>
    <t>Table_EffWindow_Savings</t>
  </si>
  <si>
    <t>Yes-DBE Type Not Listed</t>
  </si>
  <si>
    <t>Health Care: Nursing Home</t>
  </si>
  <si>
    <t>Door Gaskets - Freezers (Refrigeration)</t>
  </si>
  <si>
    <t xml:space="preserve">VFD for Existing Fan Motors </t>
  </si>
  <si>
    <t>Health Care: Out-Patient</t>
  </si>
  <si>
    <t>Auto Door-Closers - Coolers (Refrigeration)</t>
  </si>
  <si>
    <t xml:space="preserve">VFD for Existing Pump Motors </t>
  </si>
  <si>
    <t>Premium Windows, facing North</t>
  </si>
  <si>
    <t>Convenience Store (non-24 hour)</t>
  </si>
  <si>
    <t>Auto Door-Closers - Freezers (Refrigeration)</t>
  </si>
  <si>
    <t xml:space="preserve">New Air Handling Units and VFD </t>
  </si>
  <si>
    <t>Premium Windows, facing South</t>
  </si>
  <si>
    <t>Lodging (Hotel/Motel/Dorm): Common Areas</t>
  </si>
  <si>
    <t xml:space="preserve">New Pumps and VFD </t>
  </si>
  <si>
    <t>Refrigeration</t>
  </si>
  <si>
    <t>Premium Windows, facing West</t>
  </si>
  <si>
    <t>Lodging (Hotel/Motel/Dorm): Room</t>
  </si>
  <si>
    <t>LED Refrigerated Case Lighting (with Controls)</t>
  </si>
  <si>
    <t xml:space="preserve">Existing Chiller Control Optimization </t>
  </si>
  <si>
    <t>motor controlled</t>
  </si>
  <si>
    <t>Premium Windows, facing East</t>
  </si>
  <si>
    <t>Manufacturing</t>
  </si>
  <si>
    <t xml:space="preserve">Existing Cooling Tower Control Optimization </t>
  </si>
  <si>
    <t>linear ft of refrigerated case</t>
  </si>
  <si>
    <t>Efficient Windows, facing North</t>
  </si>
  <si>
    <t>Multi-family Housing: Common Areas</t>
  </si>
  <si>
    <t xml:space="preserve">Existing Cooling Tower and Chiller Control Optimization </t>
  </si>
  <si>
    <t>linear ft of case</t>
  </si>
  <si>
    <t>Efficient Windows, facing South</t>
  </si>
  <si>
    <t>Non-Warehouse Storage (Generic)</t>
  </si>
  <si>
    <t>New Chiller and Controls Optimization</t>
  </si>
  <si>
    <t>Efficient Windows, facing West</t>
  </si>
  <si>
    <t>Office</t>
  </si>
  <si>
    <t>New Cooling Tower and Controls Optimization</t>
  </si>
  <si>
    <t>Efficient Windows, facing East</t>
  </si>
  <si>
    <t>Office (attached to other facility)</t>
  </si>
  <si>
    <t xml:space="preserve">Optimizing Process Cooling </t>
  </si>
  <si>
    <t>sqft covered</t>
  </si>
  <si>
    <t>Parking Structure</t>
  </si>
  <si>
    <t>Optimizing Process Heating</t>
  </si>
  <si>
    <t>Public Assembly</t>
  </si>
  <si>
    <t>Process Heat Recovery</t>
  </si>
  <si>
    <t>Public Order and Safety</t>
  </si>
  <si>
    <t xml:space="preserve">Efficient Air Compressor </t>
  </si>
  <si>
    <t>422530</t>
  </si>
  <si>
    <t>per linear ft</t>
  </si>
  <si>
    <t>Religious Gathering</t>
  </si>
  <si>
    <t xml:space="preserve">Compressed Air Optimization </t>
  </si>
  <si>
    <t>422030</t>
  </si>
  <si>
    <t>Restroom (Generic)</t>
  </si>
  <si>
    <t>Upgrading Existing BAS</t>
  </si>
  <si>
    <t>421830</t>
  </si>
  <si>
    <t>per unit</t>
  </si>
  <si>
    <t>Retail: Enclosed Mall</t>
  </si>
  <si>
    <t xml:space="preserve">New BAS </t>
  </si>
  <si>
    <t>421930</t>
  </si>
  <si>
    <t>Retail: Freestanding</t>
  </si>
  <si>
    <t>door</t>
  </si>
  <si>
    <t>Retail: Other</t>
  </si>
  <si>
    <t xml:space="preserve">Scheduling of Existing BAS </t>
  </si>
  <si>
    <t>Retail: Strip Mall</t>
  </si>
  <si>
    <t xml:space="preserve">Temperature Setback of Existing BAS </t>
  </si>
  <si>
    <t>Commercial Kitchen</t>
  </si>
  <si>
    <t>Service: Excluding Food</t>
  </si>
  <si>
    <t xml:space="preserve">Demand Control Ventilation </t>
  </si>
  <si>
    <t>Warehouse: Non-Refrigerated</t>
  </si>
  <si>
    <t xml:space="preserve">Combined Measures </t>
  </si>
  <si>
    <t>Warehouse: Refrigerated</t>
  </si>
  <si>
    <t>linear ft of width</t>
  </si>
  <si>
    <t>Other/Unknown</t>
  </si>
  <si>
    <t>HVAC Custom Measure - Other</t>
  </si>
  <si>
    <t>exhaust fan HP</t>
  </si>
  <si>
    <t>Chiller Plant Optimization</t>
  </si>
  <si>
    <t>Cool Roof</t>
  </si>
  <si>
    <t>Roof or Wall Insulation</t>
  </si>
  <si>
    <t>Window Film</t>
  </si>
  <si>
    <t>sqft</t>
  </si>
  <si>
    <t>Building Envelope Custom Measure - Other</t>
  </si>
  <si>
    <t>Other - Measure Type Not Listed</t>
  </si>
  <si>
    <t>Misc</t>
  </si>
  <si>
    <t>Custom</t>
  </si>
  <si>
    <t>Table 2‑34 Equivalent Full-Load Hours by building type</t>
  </si>
  <si>
    <r>
      <t>EFLH</t>
    </r>
    <r>
      <rPr>
        <b/>
        <vertAlign val="subscript"/>
        <sz val="11"/>
        <color theme="1"/>
        <rFont val="Calibri"/>
        <family val="2"/>
        <scheme val="minor"/>
      </rPr>
      <t>C</t>
    </r>
  </si>
  <si>
    <r>
      <t>EFLH</t>
    </r>
    <r>
      <rPr>
        <b/>
        <vertAlign val="subscript"/>
        <sz val="11"/>
        <color theme="1"/>
        <rFont val="Calibri"/>
        <family val="2"/>
        <scheme val="minor"/>
      </rPr>
      <t>H</t>
    </r>
  </si>
  <si>
    <t>Coincidence Factor</t>
  </si>
  <si>
    <t>Fast Food</t>
  </si>
  <si>
    <t>Grocery</t>
  </si>
  <si>
    <t>Large Office</t>
  </si>
  <si>
    <t>Lodging</t>
  </si>
  <si>
    <t>Full Menu Restaurant</t>
  </si>
  <si>
    <t>Retail</t>
  </si>
  <si>
    <t>School</t>
  </si>
  <si>
    <t>Small Office</t>
  </si>
  <si>
    <t>University</t>
  </si>
  <si>
    <t>Baseline</t>
  </si>
  <si>
    <t>Efficient (Requirement)</t>
  </si>
  <si>
    <t>Tons Requirement</t>
  </si>
  <si>
    <t>Equipment Type</t>
  </si>
  <si>
    <t>Min EER</t>
  </si>
  <si>
    <t>Min SEER/IEER</t>
  </si>
  <si>
    <t>Min Htg Eff. (HSPF)</t>
  </si>
  <si>
    <t>Min</t>
  </si>
  <si>
    <t>Max</t>
  </si>
  <si>
    <t>A/C Unit (&lt; 5.42 Tons) - Min. efficiency of 12.3 EER/14.5 SEER2</t>
  </si>
  <si>
    <t>A/C Unit (5.42 - 11.24 Tons) - Min. efficiency 12.2 EER/14.8 SEER</t>
  </si>
  <si>
    <t>A/C Unit (11.25 - 19.9 Tons) - Min. efficiency 12.2 EER/14.8 SEER</t>
  </si>
  <si>
    <t>A/C Unit (20 to 63.3 Tons) - Min. efficiency 10.8 EER/13.5 SEER</t>
  </si>
  <si>
    <t>A/C Unit (&gt;63.3 tons) - Min. efficiency 10.4 EER, 13.0 SEER</t>
  </si>
  <si>
    <t>Heat Pump (&lt; 5.42 Tons) - Min. efficiency 12.3 EER/14.5 SEER2/8.0 HSPF2</t>
  </si>
  <si>
    <t>Heat Pump (5.42 - 11.24 Tons) - Min. efficiency 11.3 EER/14.5 SEER/12.0 HSPF</t>
  </si>
  <si>
    <t>Heat Pump (11.25 - 19.9 Tons) - Min. efficiency 10.9 EER/14.0 SEER/12.0 HSPF</t>
  </si>
  <si>
    <t>Heat Pump (&gt;= 20 Tons) - Min. efficiency 10.3 EER/13.0 SEER/12.0 HSPF</t>
  </si>
  <si>
    <t>Table 2‑29 Deemed Savings by Building Type - PTAC</t>
  </si>
  <si>
    <t>kWh</t>
  </si>
  <si>
    <t>kW</t>
  </si>
  <si>
    <t>Table 2‑30 Deemed Savings by Building Type - PTHP</t>
  </si>
  <si>
    <t>Table 2‑37 Deemed Savings – Air-Cooled Chillers</t>
  </si>
  <si>
    <t>&lt;150</t>
  </si>
  <si>
    <t>&gt; 150</t>
  </si>
  <si>
    <t>Capacity (Tons)</t>
  </si>
  <si>
    <t>Path A</t>
  </si>
  <si>
    <t>Path B</t>
  </si>
  <si>
    <t>Energy (kWh/Ton)</t>
  </si>
  <si>
    <t>Demand (kW/Ton)</t>
  </si>
  <si>
    <t>Table 2‑38 Deemed Savings – Water-Cooled Chillers – Positive Displacement</t>
  </si>
  <si>
    <t>&lt; 75</t>
  </si>
  <si>
    <t>&gt; 75 and &lt; 150</t>
  </si>
  <si>
    <t>&gt; 150 and &lt; 300</t>
  </si>
  <si>
    <t>&gt; 300</t>
  </si>
  <si>
    <t>Table 2‑39 Deemed Savings – Water-Cooled Chillers – Centrifugal</t>
  </si>
  <si>
    <t>CAP</t>
  </si>
  <si>
    <t>&lt; 300</t>
  </si>
  <si>
    <t>&gt; 300 and &lt; 600</t>
  </si>
  <si>
    <t>&gt; 600</t>
  </si>
  <si>
    <t>Baseline EER (A/C)</t>
  </si>
  <si>
    <t>Baseline EER (Heat Pump)</t>
  </si>
  <si>
    <t>Baseline IEER/SEER (A/C)</t>
  </si>
  <si>
    <t>Baseline IEER/SEER (Heat Pump)</t>
  </si>
  <si>
    <t>Baseline HSPF (Heat Pump)</t>
  </si>
  <si>
    <t>kWh Savings</t>
  </si>
  <si>
    <t>kW Savings</t>
  </si>
  <si>
    <t>Table_Measure_Caps</t>
  </si>
  <si>
    <t>Table_Bonus_Caps</t>
  </si>
  <si>
    <t>Worksheet</t>
  </si>
  <si>
    <t>Estimated Raw Incentive Total</t>
  </si>
  <si>
    <t>Energy Savings Total (kWh)</t>
  </si>
  <si>
    <t>Demand Reduction Total (kW)</t>
  </si>
  <si>
    <t>Cost Savings Total</t>
  </si>
  <si>
    <t>Gross Measure Cost Total</t>
  </si>
  <si>
    <t>Net Measure Cost Total</t>
  </si>
  <si>
    <t>Raw ItoC Ratio</t>
  </si>
  <si>
    <t>Capped Incentive</t>
  </si>
  <si>
    <t>Bonus Rate</t>
  </si>
  <si>
    <t>Raw Incentive Total</t>
  </si>
  <si>
    <t>Uncapped Bonus</t>
  </si>
  <si>
    <t>Final Bonus</t>
  </si>
  <si>
    <t>Prescriptive HVAC</t>
  </si>
  <si>
    <t>Prescriptive Refrigeration</t>
  </si>
  <si>
    <t>Com Kitchen</t>
  </si>
  <si>
    <t>Prescriptive Commercial Kitchen</t>
  </si>
  <si>
    <t>Prescriptive Window Film</t>
  </si>
  <si>
    <t>Prescriptive Miscellaneous</t>
  </si>
  <si>
    <t>Project ID Number</t>
  </si>
  <si>
    <t>Include Snips of Documentation (Business Type, Invoice, DLC, specs)</t>
  </si>
  <si>
    <t>Annual Usage from APTracks (kWh)</t>
  </si>
  <si>
    <t>Savings as a % of the Annual Usage</t>
  </si>
  <si>
    <t>QC Checklist</t>
  </si>
  <si>
    <t>Advisor Review</t>
  </si>
  <si>
    <t>Engineering Review</t>
  </si>
  <si>
    <t>Name</t>
  </si>
  <si>
    <t>Is the building type accurate?</t>
  </si>
  <si>
    <t>Do the fixture quantities match the invoices/proposals?</t>
  </si>
  <si>
    <t>Do the baseline wattage values agree with the TRM?</t>
  </si>
  <si>
    <t>Do the LED wattage values match the spec sheets?</t>
  </si>
  <si>
    <t>Do the LEDs have DLC or ES certification?</t>
  </si>
  <si>
    <t>Does HVAC type makes sense for the facility?</t>
  </si>
  <si>
    <t>Is there a bonus? If yes, unhide Summary columns E &amp; F</t>
  </si>
  <si>
    <t>Are supporting snips provided (see right)?</t>
  </si>
  <si>
    <t>Verify that Bonus (if applicable) doesn't exceed caps</t>
  </si>
  <si>
    <t>Incentive Review</t>
  </si>
  <si>
    <t>Prescriptive</t>
  </si>
  <si>
    <t>Incentive</t>
  </si>
  <si>
    <t>Project Cost</t>
  </si>
  <si>
    <t>Ratio: Incentive / $25K Cap</t>
  </si>
  <si>
    <t>Ratio: Incentive / Project Cost</t>
  </si>
  <si>
    <t>Automated Checks</t>
  </si>
  <si>
    <t>Summary kWh = Export kWh</t>
  </si>
  <si>
    <t>Summary Incentives = Export Incentives</t>
  </si>
  <si>
    <t>Summary Costs = Export Costs</t>
  </si>
  <si>
    <t>Summary Other Costs = Export Install Costs</t>
  </si>
  <si>
    <t>Table_Contacts</t>
  </si>
  <si>
    <t>Entity</t>
  </si>
  <si>
    <t>Contact Name</t>
  </si>
  <si>
    <t>Street</t>
  </si>
  <si>
    <t>Zip</t>
  </si>
  <si>
    <t>Phone</t>
  </si>
  <si>
    <t>Email</t>
  </si>
  <si>
    <t>Classification</t>
  </si>
  <si>
    <t>PFI?</t>
  </si>
  <si>
    <t>DBE?</t>
  </si>
  <si>
    <t>Registered TA?</t>
  </si>
  <si>
    <t>Check Payable To</t>
  </si>
  <si>
    <t>NA</t>
  </si>
  <si>
    <t>Payee</t>
  </si>
  <si>
    <t>Tab</t>
  </si>
  <si>
    <t>Project Number</t>
  </si>
  <si>
    <t>Line Ref No.</t>
  </si>
  <si>
    <t>Equipment Cost</t>
  </si>
  <si>
    <t>Labor Cost</t>
  </si>
  <si>
    <t>Calculator Version</t>
  </si>
  <si>
    <t>Uncapped Incentive</t>
  </si>
  <si>
    <t>ea.</t>
  </si>
  <si>
    <t>Commercial and Industrial Non-Lighting Workbook</t>
  </si>
  <si>
    <r>
      <t xml:space="preserve">Energy Smart energy efficiency incentives are available to all commercial Entergy New Orleans customers.  This workbook serves as the primary application for non-lighting energy efficiency projects. The workbook provides an estimate of the energy saved as well as potential Energy Smart incentives, subject to review and approval by the program team. </t>
    </r>
    <r>
      <rPr>
        <b/>
        <sz val="10"/>
        <color theme="8"/>
        <rFont val="Calibri"/>
        <family val="2"/>
        <scheme val="minor"/>
      </rPr>
      <t xml:space="preserve">Pre-approval and a pre-installation site inspection are required for projects with custom measures and projects with prescriptive measures over $5,000.
</t>
    </r>
    <r>
      <rPr>
        <sz val="10"/>
        <color theme="1"/>
        <rFont val="Calibri"/>
        <family val="2"/>
        <scheme val="minor"/>
      </rPr>
      <t xml:space="preserve">
</t>
    </r>
  </si>
  <si>
    <t>Energy Smart Project Application Package</t>
  </si>
  <si>
    <t>Cells with a green background are data input cells where required information is needed.  Some data entry cells will have drop down selection that limit what data may be entered.</t>
  </si>
  <si>
    <t xml:space="preserve">Cells colored in gray should not be filled in and may be locked to prevent data entry. </t>
  </si>
  <si>
    <t>Workbook Data Entry</t>
  </si>
  <si>
    <t>Intro Tab</t>
  </si>
  <si>
    <t xml:space="preserve">Contains information about the workbook, requirements for eligible equipment and application package submittal instructions. </t>
  </si>
  <si>
    <t>Application Tab</t>
  </si>
  <si>
    <t>Efficient Windows Tab</t>
  </si>
  <si>
    <t>Prescriptive Window Replacement Measure Input</t>
  </si>
  <si>
    <t>Window Replacement Measure</t>
  </si>
  <si>
    <t>PROJECT APPLICATION INFORMATION</t>
  </si>
  <si>
    <r>
      <t xml:space="preserve">Provides project application.  This tab must be completed before submitting application package to the Energy Smart program.  </t>
    </r>
    <r>
      <rPr>
        <b/>
        <i/>
        <sz val="10"/>
        <color theme="8"/>
        <rFont val="Calibri"/>
        <family val="2"/>
        <scheme val="minor"/>
      </rPr>
      <t>DATA ENTRY REQUIRED.</t>
    </r>
  </si>
  <si>
    <r>
      <t xml:space="preserve">Contains the Customer Application Agreement and link to program terms and conditions. 
</t>
    </r>
    <r>
      <rPr>
        <b/>
        <i/>
        <sz val="10"/>
        <color theme="8"/>
        <rFont val="Calibri"/>
        <family val="2"/>
        <scheme val="minor"/>
      </rPr>
      <t>CUSTOMER'S ELECTRONIC SIGNATURE REQUIRED.</t>
    </r>
  </si>
  <si>
    <r>
      <t xml:space="preserve">Provides a space for entering information on prescriptive HVAC measures.  
</t>
    </r>
    <r>
      <rPr>
        <b/>
        <i/>
        <sz val="10"/>
        <color theme="8"/>
        <rFont val="Calibri"/>
        <family val="2"/>
        <scheme val="minor"/>
      </rPr>
      <t>DATA ENTRY REQUIRED IF APPLYING FOR PRESCRIPTIVE HVAC MEASURES.</t>
    </r>
  </si>
  <si>
    <r>
      <t xml:space="preserve">Provides spaces for entering information on prescriptive refrigeration measures. 
</t>
    </r>
    <r>
      <rPr>
        <b/>
        <i/>
        <sz val="10"/>
        <color theme="8"/>
        <rFont val="Calibri"/>
        <family val="2"/>
        <scheme val="minor"/>
      </rPr>
      <t>DATA ENTRY REQUIRED IF APPLYING FOR PRESCRIPTIVE REFRIGERATION MEASURES.</t>
    </r>
  </si>
  <si>
    <r>
      <t xml:space="preserve">Provides a space for entering information on prescriptive commercial kitchen measures.  
</t>
    </r>
    <r>
      <rPr>
        <b/>
        <i/>
        <sz val="10"/>
        <color theme="8"/>
        <rFont val="Calibri"/>
        <family val="2"/>
        <scheme val="minor"/>
      </rPr>
      <t>DATA ENTRY REQUIRED IF APPLYING FOR COMMERCIAL KITCHEN MEASURES.</t>
    </r>
  </si>
  <si>
    <r>
      <t xml:space="preserve">Provides a space for entering information on prescriptive window film measures.  
</t>
    </r>
    <r>
      <rPr>
        <b/>
        <i/>
        <sz val="10"/>
        <color theme="8"/>
        <rFont val="Calibri"/>
        <family val="2"/>
        <scheme val="minor"/>
      </rPr>
      <t>DATA ENTRY REQUIRED IF APPLYING FOR WINDOW FILM MEASURES.</t>
    </r>
  </si>
  <si>
    <r>
      <t xml:space="preserve">Provides a space for entering information on prescriptive window replacement measures.  
</t>
    </r>
    <r>
      <rPr>
        <b/>
        <i/>
        <sz val="10"/>
        <color theme="8"/>
        <rFont val="Calibri"/>
        <family val="2"/>
        <scheme val="minor"/>
      </rPr>
      <t>DATA ENTRY REQUIRED IF APPLYING FOR WINDOW REPLACEMENT MEASURES.</t>
    </r>
  </si>
  <si>
    <r>
      <t xml:space="preserve">Provides a space for entering information on miscellaneous prescriptive measures.  
</t>
    </r>
    <r>
      <rPr>
        <b/>
        <i/>
        <sz val="10"/>
        <color theme="8"/>
        <rFont val="Calibri"/>
        <family val="2"/>
        <scheme val="minor"/>
      </rPr>
      <t>DATA ENTRY REQUIRED IF APPLYING FOR MISCELLANEOUS MEASURES.</t>
    </r>
  </si>
  <si>
    <r>
      <t xml:space="preserve">Provides a space for entering information on custom measures.  
</t>
    </r>
    <r>
      <rPr>
        <b/>
        <i/>
        <sz val="10"/>
        <color theme="8"/>
        <rFont val="Calibri"/>
        <family val="2"/>
        <scheme val="minor"/>
      </rPr>
      <t>DATA ENTRY REQUIRED IF APPLYING FOR CUSTOM MEASURES.</t>
    </r>
  </si>
  <si>
    <t>Workbook Tabs</t>
  </si>
  <si>
    <t>Equipment Qualifications</t>
  </si>
  <si>
    <r>
      <t xml:space="preserve">Before ordering equipment, submit Application Package to </t>
    </r>
    <r>
      <rPr>
        <b/>
        <sz val="10"/>
        <color theme="8"/>
        <rFont val="Calibri"/>
        <family val="2"/>
        <scheme val="minor"/>
      </rPr>
      <t>commercialapps@energysmartnola.com</t>
    </r>
    <r>
      <rPr>
        <sz val="10"/>
        <color theme="1"/>
        <rFont val="Calibri"/>
        <family val="2"/>
        <scheme val="minor"/>
      </rPr>
      <t xml:space="preserve">
</t>
    </r>
    <r>
      <rPr>
        <b/>
        <sz val="10"/>
        <color theme="1"/>
        <rFont val="Calibri"/>
        <family val="2"/>
        <scheme val="minor"/>
      </rPr>
      <t xml:space="preserve">Application Package includes: </t>
    </r>
    <r>
      <rPr>
        <sz val="10"/>
        <color theme="1"/>
        <rFont val="Calibri"/>
        <family val="2"/>
        <scheme val="minor"/>
      </rPr>
      <t xml:space="preserve">
1. Completed Energy Smart Workbook (this workbook).
2. Entergy New Orleans electric bill for primary account at job site location. 
3. Cut sheets or manufacturer's specification sheets for all proposed equipment. 
4. Detailed project proposal/quote.
5. Photos of existing equipment.
6. W9 for incentive payee. 
For custom scope of work, include detailed energy savings calculations. </t>
    </r>
  </si>
  <si>
    <t xml:space="preserve">To be eligible for duct sealing incentives, the facility must have central air conditioning with less than 50% of ducts in the conditioned space. Incentives are paid based on improvement of duct leakage measured via pre- and post-improvement tests. Total leakage is the only accepted method of duct testing. If initial measurement is greater than 40% of total system airflow, the 40% of total airflow will be the initial leakage rate reported for incentives. A minimum of 25% improvement in CFM(@25 Pa) from the initial test value (either 40% or the measured leakage, whichever is less) is required for duct sealing to be an eligible incentive measure. Ducts sealed with long-lasting materials such as UL 181A or UL 181B-approved foil tape. Fabric-based duct tape is not allowed. </t>
  </si>
  <si>
    <t xml:space="preserve">Commercial kitchen equipment must be electrically heated and ENERGY STAR certified: https://www.energystar.gov/products/commercial_food_service_equipment </t>
  </si>
  <si>
    <r>
      <t xml:space="preserve">Energy Smart is proud to help New Orleans businesses increase energy efficiency and lower costs. 
Contact us at </t>
    </r>
    <r>
      <rPr>
        <b/>
        <sz val="10"/>
        <color theme="8"/>
        <rFont val="Calibri"/>
        <family val="2"/>
        <scheme val="minor"/>
      </rPr>
      <t>info@energysmartnola.com</t>
    </r>
    <r>
      <rPr>
        <b/>
        <sz val="10"/>
        <color theme="1"/>
        <rFont val="Calibri"/>
        <family val="2"/>
        <scheme val="minor"/>
      </rPr>
      <t xml:space="preserve"> for more opportunities to save.</t>
    </r>
  </si>
  <si>
    <t>Guestroom Energy Management Controls</t>
  </si>
  <si>
    <t>Index</t>
  </si>
  <si>
    <t>File Version</t>
  </si>
  <si>
    <t>Change</t>
  </si>
  <si>
    <t>Person</t>
  </si>
  <si>
    <t>Spencer Kurtz</t>
  </si>
  <si>
    <t>v3.1 - 2024</t>
  </si>
  <si>
    <t>Verifying everything is in line with IECC 2021 LA state energy code; Added window replacement prescriptive measure; Removed HVAC tune-up measures; Adjusted the information in the "Intro" tab</t>
  </si>
  <si>
    <t>v3.2 - 2024</t>
  </si>
  <si>
    <t>Removed external file links</t>
  </si>
  <si>
    <t>Version 5.0</t>
  </si>
  <si>
    <t>Tune-Up of Air-Cooled Chiller</t>
  </si>
  <si>
    <t>Tune-Up of Water-Cooled Chiller (Reciprocating, Rotary Screw, Scroll)</t>
  </si>
  <si>
    <t>Tune-Up of Water-Cooled Chiller (Centrifugal)</t>
  </si>
  <si>
    <t>Full Load kW/Ton</t>
  </si>
  <si>
    <t>Part Load (IPLV) kW/Ton</t>
  </si>
  <si>
    <t>Tonnage per Unit (if necessary)</t>
  </si>
  <si>
    <t>Unit Make &amp; Model (if necessary)</t>
  </si>
  <si>
    <t xml:space="preserve">For HVAC replacement equipment (A/C units, heat pumps, chillers) to be eligible for Energy Smart incentives, an AHRI reference number or documentation from the AHRI Manual to verify the required efficiency level for all systems is required. Minimum EER (full load kW/ton) and SEER/IEER (part load kW/ton) requirements are included on the Energy Smart Prescriptive Incentive list that can be found on the program website. </t>
  </si>
  <si>
    <r>
      <t xml:space="preserve">For Chiller Tune-Ups to be eligible for Energy Smart incentives:                                                                                                                                    </t>
    </r>
    <r>
      <rPr>
        <i/>
        <sz val="10"/>
        <color theme="1"/>
        <rFont val="Calibri"/>
        <family val="2"/>
        <scheme val="minor"/>
      </rPr>
      <t xml:space="preserve">Incentives are tiered based on the type of chiller equipment (air-cooled vs. water-cooled) </t>
    </r>
    <r>
      <rPr>
        <sz val="10"/>
        <color theme="1"/>
        <rFont val="Calibri"/>
        <family val="2"/>
        <scheme val="minor"/>
      </rPr>
      <t xml:space="preserve">                                                                                  Tune-up requirements:
▪ Clean condenser coil/tubes;
▪ Check cooling tower for scale or buildup (only for water-cooled chillers);
▪ Check contactors condition;
▪ Check evaporator condition;
▪ Check low-pressure controls;
▪ Check high-pressure controls;
▪ Check filter, replace as needed;
▪ Check belt, replace as needed;
▪ Check crankcase heater operation; and
▪ Check economizer operation.                                                                                                                                                     
                                                                                                                                                                                                                               </t>
    </r>
  </si>
  <si>
    <t>Prescriptive Efficient Windows</t>
  </si>
  <si>
    <t>v5.0 - 2025</t>
  </si>
  <si>
    <t xml:space="preserve">Added chiller tune-up measures </t>
  </si>
  <si>
    <t>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</si>
</sst>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quot;$&quot;#,##0.00"/>
    <numFmt numFmtId="165" formatCode="&quot;$&quot;#,##0"/>
    <numFmt numFmtId="166" formatCode="0.0"/>
    <numFmt numFmtId="167" formatCode="#,##0.0"/>
    <numFmt numFmtId="168" formatCode="#,##0.000"/>
    <numFmt numFmtId="169" formatCode="0.000"/>
    <numFmt numFmtId="170" formatCode="0.0%"/>
    <numFmt numFmtId="171" formatCode="&quot;$&quot;#,##0.000"/>
  </numFmts>
  <fonts count="58" x14ac:knownFonts="1">
    <font>
      <sz val="10"/>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3F3F76"/>
      <name val="Calibri"/>
      <family val="2"/>
      <scheme val="minor"/>
    </font>
    <font>
      <sz val="10"/>
      <color theme="1"/>
      <name val="Arial"/>
      <family val="2"/>
    </font>
    <font>
      <sz val="9"/>
      <color indexed="81"/>
      <name val="Tahoma"/>
      <family val="2"/>
    </font>
    <font>
      <sz val="11"/>
      <name val="Calibri"/>
      <family val="2"/>
      <scheme val="minor"/>
    </font>
    <font>
      <sz val="8"/>
      <name val="Calibri"/>
      <family val="2"/>
      <scheme val="minor"/>
    </font>
    <font>
      <b/>
      <sz val="10"/>
      <name val="Arial"/>
      <family val="2"/>
    </font>
    <font>
      <b/>
      <sz val="10"/>
      <color theme="0"/>
      <name val="Calibri"/>
      <family val="2"/>
      <scheme val="minor"/>
    </font>
    <font>
      <sz val="10"/>
      <color theme="1"/>
      <name val="Calibri"/>
      <family val="2"/>
      <scheme val="minor"/>
    </font>
    <font>
      <b/>
      <sz val="12"/>
      <color theme="0"/>
      <name val="Arial"/>
      <family val="2"/>
    </font>
    <font>
      <sz val="12"/>
      <color theme="0"/>
      <name val="Arial"/>
      <family val="2"/>
    </font>
    <font>
      <sz val="10"/>
      <color theme="0"/>
      <name val="Arial"/>
      <family val="2"/>
    </font>
    <font>
      <sz val="12"/>
      <color theme="1"/>
      <name val="Arial"/>
      <family val="2"/>
    </font>
    <font>
      <sz val="11"/>
      <color theme="0"/>
      <name val="Calibri"/>
      <family val="2"/>
      <scheme val="minor"/>
    </font>
    <font>
      <u/>
      <sz val="11"/>
      <color theme="1"/>
      <name val="Calibri"/>
      <family val="2"/>
      <scheme val="minor"/>
    </font>
    <font>
      <sz val="10"/>
      <color theme="0"/>
      <name val="Calibri"/>
      <family val="2"/>
      <scheme val="minor"/>
    </font>
    <font>
      <b/>
      <sz val="11"/>
      <color theme="1"/>
      <name val="Calibri"/>
      <family val="2"/>
      <scheme val="minor"/>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2"/>
      <color theme="0"/>
      <name val="Calibri"/>
      <family val="2"/>
      <scheme val="minor"/>
    </font>
    <font>
      <b/>
      <sz val="10"/>
      <color theme="1"/>
      <name val="Calibri"/>
      <family val="2"/>
    </font>
    <font>
      <b/>
      <sz val="13"/>
      <color theme="0"/>
      <name val="Calibri"/>
      <family val="2"/>
      <scheme val="minor"/>
    </font>
    <font>
      <sz val="10"/>
      <color rgb="FF000000"/>
      <name val="Calibri"/>
      <family val="2"/>
    </font>
    <font>
      <sz val="10"/>
      <color theme="1"/>
      <name val="Calibri"/>
      <family val="2"/>
    </font>
    <font>
      <u/>
      <sz val="10"/>
      <color theme="10"/>
      <name val="Calibri"/>
      <family val="2"/>
      <scheme val="minor"/>
    </font>
    <font>
      <u/>
      <sz val="10"/>
      <color theme="11"/>
      <name val="Calibri"/>
      <family val="2"/>
      <scheme val="minor"/>
    </font>
    <font>
      <b/>
      <i/>
      <sz val="10"/>
      <color theme="8"/>
      <name val="Calibri"/>
      <family val="2"/>
    </font>
    <font>
      <b/>
      <sz val="10"/>
      <color theme="1"/>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0"/>
      <color theme="8"/>
      <name val="Calibri"/>
      <family val="2"/>
      <scheme val="minor"/>
    </font>
    <font>
      <b/>
      <i/>
      <sz val="10"/>
      <color theme="8"/>
      <name val="Calibri"/>
      <family val="2"/>
      <scheme val="minor"/>
    </font>
    <font>
      <b/>
      <sz val="20"/>
      <color rgb="FF002D56"/>
      <name val="Arial"/>
      <family val="2"/>
    </font>
    <font>
      <strike/>
      <sz val="10"/>
      <color theme="1"/>
      <name val="Calibri"/>
      <family val="2"/>
      <scheme val="minor"/>
    </font>
    <font>
      <b/>
      <sz val="10"/>
      <color theme="8"/>
      <name val="Calibri"/>
      <family val="2"/>
    </font>
    <font>
      <b/>
      <sz val="14"/>
      <color theme="0"/>
      <name val="Calibri"/>
      <family val="2"/>
      <scheme val="minor"/>
    </font>
    <font>
      <b/>
      <sz val="18"/>
      <color theme="0"/>
      <name val="Calibri"/>
      <family val="2"/>
      <scheme val="minor"/>
    </font>
    <font>
      <sz val="10.5"/>
      <color theme="1"/>
      <name val="Calibri"/>
      <family val="2"/>
      <scheme val="minor"/>
    </font>
    <font>
      <sz val="11"/>
      <color theme="1"/>
      <name val="Calibri Light"/>
      <family val="2"/>
      <scheme val="major"/>
    </font>
    <font>
      <b/>
      <vertAlign val="subscript"/>
      <sz val="11"/>
      <color theme="1"/>
      <name val="Calibri"/>
      <family val="2"/>
      <scheme val="minor"/>
    </font>
    <font>
      <b/>
      <sz val="10.5"/>
      <color theme="1"/>
      <name val="Calibri"/>
      <family val="2"/>
      <scheme val="minor"/>
    </font>
    <font>
      <b/>
      <sz val="11"/>
      <color theme="1"/>
      <name val="Calibri Light"/>
      <family val="2"/>
      <scheme val="major"/>
    </font>
    <font>
      <b/>
      <sz val="9"/>
      <color indexed="81"/>
      <name val="Tahoma"/>
      <family val="2"/>
    </font>
    <font>
      <i/>
      <sz val="10"/>
      <color theme="1"/>
      <name val="Calibri"/>
      <family val="2"/>
      <scheme val="minor"/>
    </font>
  </fonts>
  <fills count="29">
    <fill>
      <patternFill patternType="none"/>
    </fill>
    <fill>
      <patternFill patternType="gray125"/>
    </fill>
    <fill>
      <patternFill patternType="solid">
        <fgColor theme="0" tint="-0.14999847407452621"/>
        <bgColor indexed="64"/>
      </patternFill>
    </fill>
    <fill>
      <patternFill patternType="solid">
        <fgColor rgb="FF003C71"/>
        <bgColor indexed="64"/>
      </patternFill>
    </fill>
    <fill>
      <patternFill patternType="solid">
        <fgColor theme="0" tint="-4.9989318521683403E-2"/>
        <bgColor indexed="64"/>
      </patternFill>
    </fill>
    <fill>
      <patternFill patternType="solid">
        <fgColor rgb="FFF2F2F2"/>
      </patternFill>
    </fill>
    <fill>
      <patternFill patternType="solid">
        <fgColor theme="5"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FC000"/>
        <bgColor indexed="64"/>
      </patternFill>
    </fill>
    <fill>
      <patternFill patternType="solid">
        <fgColor theme="7"/>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FFFCC"/>
      </patternFill>
    </fill>
    <fill>
      <patternFill patternType="solid">
        <fgColor rgb="FF002D56"/>
        <bgColor indexed="64"/>
      </patternFill>
    </fill>
    <fill>
      <patternFill patternType="solid">
        <fgColor rgb="FFC00000"/>
        <bgColor indexed="64"/>
      </patternFill>
    </fill>
    <fill>
      <patternFill patternType="solid">
        <fgColor theme="2"/>
        <bgColor indexed="64"/>
      </patternFill>
    </fill>
    <fill>
      <patternFill patternType="solid">
        <fgColor rgb="FFA5A5A5"/>
      </patternFill>
    </fill>
    <fill>
      <patternFill patternType="solid">
        <fgColor theme="4" tint="0.79998168889431442"/>
        <bgColor indexed="65"/>
      </patternFill>
    </fill>
    <fill>
      <patternFill patternType="solid">
        <fgColor theme="6"/>
        <bgColor indexed="64"/>
      </patternFill>
    </fill>
    <fill>
      <patternFill patternType="solid">
        <fgColor theme="8"/>
        <bgColor indexed="64"/>
      </patternFill>
    </fill>
    <fill>
      <patternFill patternType="solid">
        <fgColor theme="3"/>
        <bgColor indexed="64"/>
      </patternFill>
    </fill>
    <fill>
      <patternFill patternType="solid">
        <fgColor rgb="FF8DC63F"/>
        <bgColor indexed="64"/>
      </patternFill>
    </fill>
    <fill>
      <patternFill patternType="solid">
        <fgColor rgb="FFFF0000"/>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rgb="FFED165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style="thick">
        <color auto="1"/>
      </left>
      <right style="thick">
        <color auto="1"/>
      </right>
      <top style="thick">
        <color auto="1"/>
      </top>
      <bottom style="thick">
        <color auto="1"/>
      </bottom>
      <diagonal/>
    </border>
    <border>
      <left style="thin">
        <color rgb="FFC00000"/>
      </left>
      <right style="thin">
        <color rgb="FFC00000"/>
      </right>
      <top style="thin">
        <color rgb="FFC00000"/>
      </top>
      <bottom style="thin">
        <color rgb="FFC00000"/>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bottom style="thin">
        <color theme="3"/>
      </bottom>
      <diagonal/>
    </border>
    <border>
      <left style="thin">
        <color rgb="FFC00000"/>
      </left>
      <right style="thin">
        <color rgb="FFC00000"/>
      </right>
      <top style="thin">
        <color rgb="FFC00000"/>
      </top>
      <bottom/>
      <diagonal/>
    </border>
    <border>
      <left style="thin">
        <color auto="1"/>
      </left>
      <right style="thin">
        <color auto="1"/>
      </right>
      <top/>
      <bottom style="thin">
        <color rgb="FF000000"/>
      </bottom>
      <diagonal/>
    </border>
    <border>
      <left style="medium">
        <color rgb="FF7F7F7F"/>
      </left>
      <right style="medium">
        <color rgb="FF7F7F7F"/>
      </right>
      <top style="medium">
        <color rgb="FF7F7F7F"/>
      </top>
      <bottom style="medium">
        <color rgb="FF7F7F7F"/>
      </bottom>
      <diagonal/>
    </border>
    <border>
      <left/>
      <right style="medium">
        <color rgb="FF7F7F7F"/>
      </right>
      <top style="medium">
        <color rgb="FF7F7F7F"/>
      </top>
      <bottom style="medium">
        <color rgb="FF7F7F7F"/>
      </bottom>
      <diagonal/>
    </border>
    <border>
      <left style="medium">
        <color rgb="FF7F7F7F"/>
      </left>
      <right style="medium">
        <color rgb="FF7F7F7F"/>
      </right>
      <top/>
      <bottom style="medium">
        <color rgb="FF7F7F7F"/>
      </bottom>
      <diagonal/>
    </border>
    <border>
      <left/>
      <right style="medium">
        <color rgb="FF7F7F7F"/>
      </right>
      <top/>
      <bottom style="medium">
        <color rgb="FF7F7F7F"/>
      </bottom>
      <diagonal/>
    </border>
    <border>
      <left style="medium">
        <color indexed="64"/>
      </left>
      <right style="medium">
        <color rgb="FF7F7F7F"/>
      </right>
      <top style="medium">
        <color indexed="64"/>
      </top>
      <bottom/>
      <diagonal/>
    </border>
    <border>
      <left style="medium">
        <color rgb="FF7F7F7F"/>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7F7F7F"/>
      </right>
      <top/>
      <bottom style="medium">
        <color rgb="FF7F7F7F"/>
      </bottom>
      <diagonal/>
    </border>
    <border>
      <left style="medium">
        <color rgb="FF7F7F7F"/>
      </left>
      <right/>
      <top/>
      <bottom style="medium">
        <color rgb="FF7F7F7F"/>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rgb="FF7F7F7F"/>
      </right>
      <top style="medium">
        <color rgb="FF7F7F7F"/>
      </top>
      <bottom/>
      <diagonal/>
    </border>
    <border>
      <left/>
      <right/>
      <top/>
      <bottom style="medium">
        <color rgb="FF7F7F7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rgb="FF7F7F7F"/>
      </right>
      <top/>
      <bottom style="medium">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7F7F7F"/>
      </left>
      <right style="medium">
        <color rgb="FF7F7F7F"/>
      </right>
      <top style="medium">
        <color rgb="FF7F7F7F"/>
      </top>
      <bottom/>
      <diagonal/>
    </border>
    <border>
      <left style="medium">
        <color rgb="FF7F7F7F"/>
      </left>
      <right/>
      <top style="medium">
        <color rgb="FF7F7F7F"/>
      </top>
      <bottom/>
      <diagonal/>
    </border>
    <border>
      <left style="medium">
        <color rgb="FF7F7F7F"/>
      </left>
      <right style="medium">
        <color rgb="FF7F7F7F"/>
      </right>
      <top/>
      <bottom/>
      <diagonal/>
    </border>
    <border>
      <left style="medium">
        <color rgb="FF7F7F7F"/>
      </left>
      <right/>
      <top style="medium">
        <color rgb="FF7F7F7F"/>
      </top>
      <bottom style="medium">
        <color rgb="FF7F7F7F"/>
      </bottom>
      <diagonal/>
    </border>
    <border>
      <left/>
      <right/>
      <top style="medium">
        <color indexed="64"/>
      </top>
      <bottom style="medium">
        <color rgb="FF7F7F7F"/>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rgb="FF7F7F7F"/>
      </right>
      <top style="medium">
        <color indexed="64"/>
      </top>
      <bottom style="medium">
        <color rgb="FF7F7F7F"/>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0">
    <xf numFmtId="0" fontId="0" fillId="0" borderId="0"/>
    <xf numFmtId="0" fontId="36" fillId="0" borderId="0" applyNumberFormat="0" applyFill="0" applyBorder="0" applyAlignment="0" applyProtection="0"/>
    <xf numFmtId="0" fontId="32" fillId="18" borderId="1" applyNumberFormat="0">
      <alignment horizontal="left" vertical="center" wrapText="1"/>
    </xf>
    <xf numFmtId="0" fontId="34" fillId="24" borderId="1" applyNumberFormat="0">
      <alignment horizontal="left" vertical="center" wrapText="1"/>
      <protection locked="0"/>
    </xf>
    <xf numFmtId="9" fontId="6" fillId="0" borderId="0" applyFont="0" applyFill="0" applyBorder="0" applyAlignment="0" applyProtection="0"/>
    <xf numFmtId="0" fontId="37" fillId="0" borderId="0" applyNumberFormat="0" applyFill="0" applyBorder="0" applyAlignment="0" applyProtection="0"/>
    <xf numFmtId="0" fontId="24" fillId="0" borderId="0" applyNumberFormat="0" applyFill="0" applyBorder="0" applyAlignment="0" applyProtection="0"/>
    <xf numFmtId="0" fontId="25" fillId="0" borderId="16" applyNumberFormat="0" applyFill="0" applyAlignment="0" applyProtection="0"/>
    <xf numFmtId="0" fontId="26" fillId="0" borderId="17" applyNumberFormat="0" applyFill="0" applyAlignment="0" applyProtection="0"/>
    <xf numFmtId="0" fontId="27" fillId="0" borderId="18" applyNumberFormat="0" applyFill="0" applyAlignment="0" applyProtection="0"/>
    <xf numFmtId="0" fontId="27" fillId="0" borderId="0" applyNumberFormat="0" applyFill="0" applyBorder="0" applyAlignment="0" applyProtection="0"/>
    <xf numFmtId="0" fontId="28" fillId="11" borderId="0" applyNumberFormat="0" applyBorder="0" applyAlignment="0" applyProtection="0"/>
    <xf numFmtId="0" fontId="29" fillId="12" borderId="0" applyNumberFormat="0" applyBorder="0" applyAlignment="0" applyProtection="0"/>
    <xf numFmtId="0" fontId="30" fillId="13" borderId="0" applyNumberFormat="0" applyBorder="0" applyAlignment="0" applyProtection="0"/>
    <xf numFmtId="0" fontId="7" fillId="14" borderId="5" applyNumberFormat="0" applyAlignment="0" applyProtection="0"/>
    <xf numFmtId="0" fontId="6" fillId="15" borderId="19" applyNumberFormat="0" applyFont="0" applyAlignment="0" applyProtection="0"/>
    <xf numFmtId="0" fontId="22" fillId="0" borderId="20" applyNumberFormat="0" applyFill="0" applyAlignment="0" applyProtection="0"/>
    <xf numFmtId="0" fontId="31" fillId="16" borderId="1" applyNumberFormat="0" applyAlignment="0" applyProtection="0">
      <alignment horizontal="left" vertical="center"/>
    </xf>
    <xf numFmtId="0" fontId="35" fillId="18" borderId="1" applyNumberFormat="0">
      <alignment vertical="center" wrapText="1"/>
    </xf>
    <xf numFmtId="0" fontId="13" fillId="21" borderId="1">
      <alignment horizontal="centerContinuous" vertical="center" wrapText="1"/>
    </xf>
    <xf numFmtId="0" fontId="33" fillId="10" borderId="1">
      <alignment horizontal="centerContinuous" vertical="center" wrapText="1"/>
    </xf>
    <xf numFmtId="0" fontId="13" fillId="10" borderId="1">
      <alignment horizontal="centerContinuous" vertical="center" wrapText="1"/>
    </xf>
    <xf numFmtId="0" fontId="50" fillId="21" borderId="0">
      <alignment horizontal="centerContinuous" vertical="center" wrapText="1"/>
    </xf>
    <xf numFmtId="0" fontId="13" fillId="16" borderId="1">
      <alignment horizontal="center" vertical="center" wrapText="1"/>
    </xf>
    <xf numFmtId="0" fontId="35" fillId="0" borderId="1" applyNumberFormat="0">
      <alignment horizontal="left" vertical="center" wrapText="1"/>
    </xf>
    <xf numFmtId="0" fontId="21" fillId="17" borderId="0" applyNumberFormat="0" applyAlignment="0">
      <alignment horizontal="center" vertical="center"/>
    </xf>
    <xf numFmtId="0" fontId="13" fillId="17" borderId="22">
      <alignment horizontal="left" wrapText="1"/>
    </xf>
    <xf numFmtId="0" fontId="14" fillId="0" borderId="23" applyNumberFormat="0"/>
    <xf numFmtId="0" fontId="40" fillId="5" borderId="24" applyNumberFormat="0" applyAlignment="0" applyProtection="0"/>
    <xf numFmtId="0" fontId="41" fillId="19" borderId="25" applyNumberFormat="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5" fillId="20" borderId="0" applyNumberFormat="0" applyBorder="0" applyAlignment="0" applyProtection="0"/>
    <xf numFmtId="0" fontId="41" fillId="21" borderId="0">
      <alignment horizontal="centerContinuous"/>
    </xf>
    <xf numFmtId="0" fontId="31" fillId="10" borderId="1">
      <alignment horizontal="centerContinuous" vertical="center" wrapText="1"/>
    </xf>
    <xf numFmtId="0" fontId="13" fillId="22" borderId="1">
      <alignment horizontal="center" vertical="center" wrapText="1"/>
    </xf>
    <xf numFmtId="0" fontId="13" fillId="22" borderId="1">
      <alignment horizontal="center" vertical="center" wrapText="1"/>
    </xf>
    <xf numFmtId="44" fontId="14" fillId="0" borderId="0" applyFont="0" applyFill="0" applyBorder="0" applyAlignment="0" applyProtection="0"/>
    <xf numFmtId="9" fontId="4" fillId="0" borderId="0" applyFont="0" applyFill="0" applyBorder="0" applyAlignment="0" applyProtection="0"/>
    <xf numFmtId="0" fontId="3" fillId="0" borderId="0"/>
  </cellStyleXfs>
  <cellXfs count="359">
    <xf numFmtId="0" fontId="0" fillId="0" borderId="0" xfId="0"/>
    <xf numFmtId="0" fontId="8" fillId="0" borderId="0" xfId="0" applyFont="1" applyAlignment="1">
      <alignment horizontal="left" wrapText="1" indent="1"/>
    </xf>
    <xf numFmtId="0" fontId="0" fillId="2" borderId="1" xfId="0"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 xfId="0" applyBorder="1"/>
    <xf numFmtId="0" fontId="0" fillId="2" borderId="1" xfId="0" applyFill="1" applyBorder="1"/>
    <xf numFmtId="0" fontId="8" fillId="0" borderId="0" xfId="0" applyFont="1" applyAlignment="1">
      <alignment horizontal="left" wrapText="1"/>
    </xf>
    <xf numFmtId="0" fontId="16" fillId="0" borderId="0" xfId="0" applyFont="1" applyAlignment="1">
      <alignment horizontal="center" vertical="center" wrapText="1"/>
    </xf>
    <xf numFmtId="0" fontId="17" fillId="0" borderId="0" xfId="0" applyFont="1" applyAlignment="1">
      <alignment horizontal="left" vertical="center" wrapText="1"/>
    </xf>
    <xf numFmtId="0" fontId="0" fillId="0" borderId="0" xfId="0" applyAlignment="1">
      <alignment wrapText="1"/>
    </xf>
    <xf numFmtId="165" fontId="8" fillId="0" borderId="0" xfId="0" applyNumberFormat="1" applyFont="1" applyAlignment="1">
      <alignment horizontal="left" wrapText="1"/>
    </xf>
    <xf numFmtId="0" fontId="0" fillId="7" borderId="1" xfId="0" applyFill="1" applyBorder="1"/>
    <xf numFmtId="0" fontId="0" fillId="7" borderId="4" xfId="0" applyFill="1" applyBorder="1"/>
    <xf numFmtId="3" fontId="0" fillId="7" borderId="1" xfId="0" applyNumberFormat="1" applyFill="1" applyBorder="1"/>
    <xf numFmtId="0" fontId="18" fillId="0" borderId="0" xfId="0" applyFont="1" applyAlignment="1">
      <alignment horizontal="left" vertical="center" wrapText="1"/>
    </xf>
    <xf numFmtId="0" fontId="0" fillId="0" borderId="0" xfId="0" applyAlignment="1">
      <alignment vertical="center" wrapText="1"/>
    </xf>
    <xf numFmtId="0" fontId="0" fillId="0" borderId="1" xfId="0" applyBorder="1" applyAlignment="1">
      <alignment horizontal="center" vertical="center"/>
    </xf>
    <xf numFmtId="0" fontId="20" fillId="0" borderId="0" xfId="0" applyFont="1"/>
    <xf numFmtId="0" fontId="0" fillId="8" borderId="1" xfId="0" applyFill="1" applyBorder="1" applyAlignment="1">
      <alignment horizontal="center" vertical="center"/>
    </xf>
    <xf numFmtId="3" fontId="0" fillId="8" borderId="1" xfId="0" applyNumberFormat="1" applyFill="1" applyBorder="1" applyAlignment="1">
      <alignment horizontal="center" vertical="center"/>
    </xf>
    <xf numFmtId="0" fontId="0" fillId="0" borderId="1" xfId="0" applyBorder="1" applyAlignment="1">
      <alignment horizontal="center" vertical="center" wrapText="1"/>
    </xf>
    <xf numFmtId="0" fontId="0" fillId="2" borderId="1" xfId="0" applyFill="1" applyBorder="1" applyAlignment="1">
      <alignment vertical="center"/>
    </xf>
    <xf numFmtId="9" fontId="0" fillId="0" borderId="1" xfId="4" applyFont="1" applyBorder="1" applyAlignment="1">
      <alignment horizontal="center" vertical="center"/>
    </xf>
    <xf numFmtId="0" fontId="0" fillId="0" borderId="1" xfId="0" applyBorder="1" applyAlignment="1">
      <alignment horizontal="left" vertical="center"/>
    </xf>
    <xf numFmtId="0" fontId="0" fillId="0" borderId="0" xfId="0" applyAlignment="1">
      <alignment horizontal="center" vertical="center" wrapText="1"/>
    </xf>
    <xf numFmtId="9" fontId="10" fillId="2" borderId="1" xfId="4" applyFont="1" applyFill="1" applyBorder="1" applyAlignment="1">
      <alignment horizontal="center" vertical="center"/>
    </xf>
    <xf numFmtId="0" fontId="10" fillId="2" borderId="1" xfId="0" applyFont="1" applyFill="1" applyBorder="1" applyAlignment="1">
      <alignment horizontal="center" vertical="center"/>
    </xf>
    <xf numFmtId="164" fontId="0" fillId="0" borderId="1" xfId="4" applyNumberFormat="1" applyFont="1" applyBorder="1" applyAlignment="1">
      <alignment horizontal="center" vertical="center"/>
    </xf>
    <xf numFmtId="166" fontId="0" fillId="7" borderId="4" xfId="0" applyNumberFormat="1" applyFill="1" applyBorder="1"/>
    <xf numFmtId="0" fontId="0" fillId="6" borderId="2" xfId="0" applyFill="1" applyBorder="1"/>
    <xf numFmtId="3" fontId="0" fillId="6" borderId="2" xfId="0" applyNumberFormat="1" applyFill="1" applyBorder="1"/>
    <xf numFmtId="0" fontId="0" fillId="6" borderId="9" xfId="0" applyFill="1" applyBorder="1"/>
    <xf numFmtId="0" fontId="12" fillId="0" borderId="0" xfId="0" applyFont="1" applyAlignment="1">
      <alignment horizontal="left" vertical="center" wrapText="1" indent="1"/>
    </xf>
    <xf numFmtId="165" fontId="0" fillId="0" borderId="0" xfId="0" applyNumberFormat="1"/>
    <xf numFmtId="0" fontId="8" fillId="0" borderId="0" xfId="0" applyFont="1" applyAlignment="1">
      <alignment horizontal="left" vertical="center" wrapText="1" indent="1"/>
    </xf>
    <xf numFmtId="164" fontId="0" fillId="0" borderId="0" xfId="0" applyNumberFormat="1"/>
    <xf numFmtId="0" fontId="0" fillId="9" borderId="1" xfId="0" applyFill="1" applyBorder="1"/>
    <xf numFmtId="0" fontId="0" fillId="9" borderId="4" xfId="0" applyFill="1" applyBorder="1"/>
    <xf numFmtId="166" fontId="0" fillId="9" borderId="4" xfId="0" applyNumberFormat="1" applyFill="1" applyBorder="1"/>
    <xf numFmtId="2" fontId="0" fillId="9" borderId="3" xfId="0" applyNumberFormat="1" applyFill="1" applyBorder="1"/>
    <xf numFmtId="2" fontId="0" fillId="7" borderId="3" xfId="0" applyNumberFormat="1" applyFill="1" applyBorder="1"/>
    <xf numFmtId="2" fontId="0" fillId="0" borderId="0" xfId="0" applyNumberFormat="1"/>
    <xf numFmtId="2" fontId="0" fillId="9" borderId="1" xfId="0" applyNumberFormat="1" applyFill="1" applyBorder="1"/>
    <xf numFmtId="2" fontId="0" fillId="7" borderId="1" xfId="0" applyNumberFormat="1" applyFill="1" applyBorder="1"/>
    <xf numFmtId="2" fontId="0" fillId="6" borderId="2" xfId="0" applyNumberFormat="1" applyFill="1" applyBorder="1"/>
    <xf numFmtId="0" fontId="0" fillId="0" borderId="0" xfId="0" applyAlignment="1">
      <alignment horizontal="left"/>
    </xf>
    <xf numFmtId="0" fontId="32" fillId="18" borderId="1" xfId="2">
      <alignment horizontal="left" vertical="center" wrapText="1"/>
    </xf>
    <xf numFmtId="0" fontId="23" fillId="0" borderId="0" xfId="0" applyFont="1" applyAlignment="1">
      <alignment horizontal="left" wrapText="1"/>
    </xf>
    <xf numFmtId="0" fontId="34" fillId="24" borderId="1" xfId="3">
      <alignment horizontal="left" vertical="center" wrapText="1"/>
      <protection locked="0"/>
    </xf>
    <xf numFmtId="14" fontId="34" fillId="24" borderId="1" xfId="3" applyNumberFormat="1">
      <alignment horizontal="left" vertical="center" wrapText="1"/>
      <protection locked="0"/>
    </xf>
    <xf numFmtId="3" fontId="34" fillId="24" borderId="1" xfId="3" applyNumberFormat="1">
      <alignment horizontal="left" vertical="center" wrapText="1"/>
      <protection locked="0"/>
    </xf>
    <xf numFmtId="164" fontId="34" fillId="24" borderId="1" xfId="3" applyNumberFormat="1">
      <alignment horizontal="left" vertical="center" wrapText="1"/>
      <protection locked="0"/>
    </xf>
    <xf numFmtId="0" fontId="13" fillId="10" borderId="1" xfId="21">
      <alignment horizontal="centerContinuous" vertical="center" wrapText="1"/>
    </xf>
    <xf numFmtId="0" fontId="13" fillId="21" borderId="1" xfId="19">
      <alignment horizontal="centerContinuous" vertical="center" wrapText="1"/>
    </xf>
    <xf numFmtId="0" fontId="35" fillId="0" borderId="0" xfId="24" applyBorder="1">
      <alignment horizontal="left" vertical="center" wrapText="1"/>
    </xf>
    <xf numFmtId="0" fontId="31" fillId="16" borderId="1" xfId="17" applyAlignment="1"/>
    <xf numFmtId="0" fontId="13" fillId="17" borderId="22" xfId="26">
      <alignment horizontal="left" wrapText="1"/>
    </xf>
    <xf numFmtId="0" fontId="13" fillId="17" borderId="22" xfId="26" applyAlignment="1">
      <alignment horizontal="left"/>
    </xf>
    <xf numFmtId="0" fontId="14" fillId="0" borderId="23" xfId="27"/>
    <xf numFmtId="0" fontId="34" fillId="24" borderId="1" xfId="3" applyAlignment="1">
      <alignment horizontal="center" vertical="center" wrapText="1"/>
      <protection locked="0"/>
    </xf>
    <xf numFmtId="0" fontId="34" fillId="24" borderId="3" xfId="3" applyBorder="1">
      <alignment horizontal="left" vertical="center" wrapText="1"/>
      <protection locked="0"/>
    </xf>
    <xf numFmtId="0" fontId="13" fillId="16" borderId="15" xfId="23" applyBorder="1">
      <alignment horizontal="center" vertical="center" wrapText="1"/>
    </xf>
    <xf numFmtId="0" fontId="13" fillId="16" borderId="10" xfId="17" applyFont="1" applyBorder="1" applyAlignment="1" applyProtection="1">
      <alignment horizontal="center" vertical="center" wrapText="1"/>
    </xf>
    <xf numFmtId="0" fontId="13" fillId="16" borderId="10" xfId="23" applyBorder="1">
      <alignment horizontal="center" vertical="center" wrapText="1"/>
    </xf>
    <xf numFmtId="0" fontId="13" fillId="10" borderId="10" xfId="21" applyBorder="1">
      <alignment horizontal="centerContinuous" vertical="center" wrapText="1"/>
    </xf>
    <xf numFmtId="0" fontId="13" fillId="16" borderId="8" xfId="23" applyBorder="1">
      <alignment horizontal="center" vertical="center" wrapText="1"/>
    </xf>
    <xf numFmtId="0" fontId="50" fillId="21" borderId="0" xfId="22" applyAlignment="1">
      <alignment horizontal="left" vertical="center" wrapText="1"/>
    </xf>
    <xf numFmtId="0" fontId="0" fillId="0" borderId="14" xfId="0" applyBorder="1" applyAlignment="1">
      <alignment horizontal="left" wrapText="1"/>
    </xf>
    <xf numFmtId="0" fontId="35" fillId="18" borderId="1" xfId="18" applyAlignment="1">
      <alignment horizontal="center" vertical="center" wrapText="1"/>
    </xf>
    <xf numFmtId="0" fontId="47" fillId="0" borderId="0" xfId="0" applyFont="1"/>
    <xf numFmtId="0" fontId="35" fillId="18" borderId="4" xfId="18" applyBorder="1" applyAlignment="1">
      <alignment horizontal="center" vertical="center" wrapText="1"/>
    </xf>
    <xf numFmtId="164" fontId="35" fillId="18" borderId="1" xfId="18" applyNumberFormat="1" applyAlignment="1">
      <alignment horizontal="center" vertical="center" wrapText="1"/>
    </xf>
    <xf numFmtId="167" fontId="35" fillId="18" borderId="1" xfId="18" applyNumberFormat="1" applyAlignment="1">
      <alignment horizontal="center" vertical="center" wrapText="1"/>
    </xf>
    <xf numFmtId="0" fontId="39" fillId="0" borderId="0" xfId="0" applyFont="1"/>
    <xf numFmtId="165" fontId="14" fillId="0" borderId="23" xfId="27" applyNumberFormat="1"/>
    <xf numFmtId="0" fontId="39" fillId="18" borderId="1" xfId="0" applyFont="1" applyFill="1" applyBorder="1" applyAlignment="1">
      <alignment horizontal="center" vertical="center" wrapText="1"/>
    </xf>
    <xf numFmtId="0" fontId="13" fillId="21" borderId="1" xfId="0" applyFont="1" applyFill="1" applyBorder="1" applyAlignment="1">
      <alignment horizontal="center" vertical="center" wrapText="1"/>
    </xf>
    <xf numFmtId="0" fontId="13" fillId="23" borderId="1" xfId="0" applyFont="1" applyFill="1" applyBorder="1" applyAlignment="1">
      <alignment horizontal="center" vertical="center" wrapText="1"/>
    </xf>
    <xf numFmtId="168" fontId="35" fillId="18" borderId="1" xfId="18" applyNumberFormat="1" applyAlignment="1">
      <alignment horizontal="center" vertical="center" wrapText="1"/>
    </xf>
    <xf numFmtId="168" fontId="48" fillId="18" borderId="1" xfId="18" applyNumberFormat="1" applyFont="1" applyAlignment="1">
      <alignment horizontal="center" vertical="center" wrapText="1"/>
    </xf>
    <xf numFmtId="167" fontId="48" fillId="18" borderId="1" xfId="18" applyNumberFormat="1" applyFont="1" applyAlignment="1">
      <alignment horizontal="center" vertical="center" wrapText="1"/>
    </xf>
    <xf numFmtId="0" fontId="13" fillId="22" borderId="1" xfId="36">
      <alignment horizontal="center" vertical="center" wrapText="1"/>
    </xf>
    <xf numFmtId="164" fontId="32" fillId="18" borderId="4" xfId="2" applyNumberFormat="1" applyBorder="1" applyAlignment="1">
      <alignment horizontal="center" vertical="center" wrapText="1"/>
    </xf>
    <xf numFmtId="0" fontId="32" fillId="18" borderId="9" xfId="0" applyFont="1" applyFill="1" applyBorder="1" applyAlignment="1">
      <alignment horizontal="center" vertical="center" wrapText="1"/>
    </xf>
    <xf numFmtId="0" fontId="0" fillId="0" borderId="0" xfId="0" applyAlignment="1">
      <alignment horizontal="center" wrapText="1"/>
    </xf>
    <xf numFmtId="165" fontId="0" fillId="0" borderId="0" xfId="0" applyNumberFormat="1" applyAlignment="1">
      <alignment horizontal="center"/>
    </xf>
    <xf numFmtId="9" fontId="0" fillId="0" borderId="0" xfId="4" applyFont="1" applyAlignment="1">
      <alignment horizontal="center"/>
    </xf>
    <xf numFmtId="9" fontId="14" fillId="0" borderId="23" xfId="27" applyNumberFormat="1"/>
    <xf numFmtId="0" fontId="0" fillId="0" borderId="0" xfId="0" applyAlignment="1">
      <alignment horizontal="left" vertical="top" wrapText="1"/>
    </xf>
    <xf numFmtId="0" fontId="0" fillId="0" borderId="0" xfId="0" applyAlignment="1">
      <alignment horizontal="left" wrapText="1"/>
    </xf>
    <xf numFmtId="0" fontId="32" fillId="18" borderId="1" xfId="2" applyAlignment="1">
      <alignment vertical="center" wrapText="1"/>
    </xf>
    <xf numFmtId="49" fontId="34" fillId="24" borderId="1" xfId="3" applyNumberFormat="1">
      <alignment horizontal="left" vertical="center" wrapText="1"/>
      <protection locked="0"/>
    </xf>
    <xf numFmtId="0" fontId="36" fillId="0" borderId="0" xfId="1" applyBorder="1" applyAlignment="1">
      <alignment horizontal="left" vertical="top" wrapText="1"/>
    </xf>
    <xf numFmtId="0" fontId="46" fillId="0" borderId="29" xfId="0" applyFont="1" applyBorder="1" applyAlignment="1">
      <alignment horizontal="left" vertical="center"/>
    </xf>
    <xf numFmtId="0" fontId="0" fillId="0" borderId="29" xfId="0" applyBorder="1"/>
    <xf numFmtId="0" fontId="0" fillId="9" borderId="13" xfId="0" applyFill="1" applyBorder="1"/>
    <xf numFmtId="0" fontId="0" fillId="7" borderId="13" xfId="0" applyFill="1" applyBorder="1"/>
    <xf numFmtId="0" fontId="19" fillId="3" borderId="15" xfId="0" applyFont="1" applyFill="1" applyBorder="1" applyAlignment="1">
      <alignment wrapText="1"/>
    </xf>
    <xf numFmtId="0" fontId="19" fillId="3" borderId="10" xfId="0" applyFont="1" applyFill="1" applyBorder="1" applyAlignment="1">
      <alignment wrapText="1"/>
    </xf>
    <xf numFmtId="0" fontId="19" fillId="3" borderId="8" xfId="0" applyFont="1" applyFill="1" applyBorder="1" applyAlignment="1">
      <alignment wrapText="1"/>
    </xf>
    <xf numFmtId="2" fontId="19" fillId="3" borderId="10" xfId="0" applyNumberFormat="1" applyFont="1" applyFill="1" applyBorder="1" applyAlignment="1">
      <alignment wrapText="1"/>
    </xf>
    <xf numFmtId="0" fontId="19" fillId="3" borderId="14" xfId="0" applyFont="1" applyFill="1" applyBorder="1" applyAlignment="1">
      <alignment wrapText="1"/>
    </xf>
    <xf numFmtId="2" fontId="0" fillId="6" borderId="7" xfId="0" applyNumberFormat="1" applyFill="1" applyBorder="1"/>
    <xf numFmtId="0" fontId="0" fillId="6" borderId="11" xfId="0" applyFill="1" applyBorder="1"/>
    <xf numFmtId="9" fontId="0" fillId="0" borderId="0" xfId="0" applyNumberFormat="1"/>
    <xf numFmtId="0" fontId="14" fillId="0" borderId="30" xfId="27" applyBorder="1"/>
    <xf numFmtId="9" fontId="0" fillId="0" borderId="1" xfId="0" applyNumberFormat="1" applyBorder="1"/>
    <xf numFmtId="4" fontId="0" fillId="0" borderId="0" xfId="0" applyNumberFormat="1"/>
    <xf numFmtId="0" fontId="15" fillId="0" borderId="0" xfId="0" applyFont="1" applyAlignment="1">
      <alignment horizontal="center" vertical="center" wrapText="1"/>
    </xf>
    <xf numFmtId="0" fontId="0" fillId="25" borderId="0" xfId="0" applyFill="1"/>
    <xf numFmtId="0" fontId="0" fillId="25" borderId="0" xfId="0" applyFill="1" applyAlignment="1">
      <alignment vertical="center"/>
    </xf>
    <xf numFmtId="0" fontId="13" fillId="25" borderId="31" xfId="23" applyFill="1" applyBorder="1">
      <alignment horizontal="center" vertical="center" wrapText="1"/>
    </xf>
    <xf numFmtId="0" fontId="35" fillId="25" borderId="1" xfId="18" applyFill="1">
      <alignment vertical="center" wrapText="1"/>
    </xf>
    <xf numFmtId="0" fontId="0" fillId="26" borderId="9" xfId="0" applyFill="1" applyBorder="1"/>
    <xf numFmtId="0" fontId="0" fillId="26" borderId="2" xfId="0" applyFill="1" applyBorder="1"/>
    <xf numFmtId="3" fontId="0" fillId="26" borderId="2" xfId="0" applyNumberFormat="1" applyFill="1" applyBorder="1"/>
    <xf numFmtId="2" fontId="0" fillId="26" borderId="7" xfId="0" applyNumberFormat="1" applyFill="1" applyBorder="1"/>
    <xf numFmtId="2" fontId="0" fillId="26" borderId="2" xfId="0" applyNumberFormat="1" applyFill="1" applyBorder="1"/>
    <xf numFmtId="166" fontId="0" fillId="26" borderId="4" xfId="0" applyNumberFormat="1" applyFill="1" applyBorder="1"/>
    <xf numFmtId="0" fontId="0" fillId="26" borderId="11" xfId="0" applyFill="1" applyBorder="1"/>
    <xf numFmtId="0" fontId="0" fillId="26" borderId="1" xfId="0" applyFill="1" applyBorder="1"/>
    <xf numFmtId="0" fontId="0" fillId="27" borderId="9" xfId="0" applyFill="1" applyBorder="1"/>
    <xf numFmtId="0" fontId="0" fillId="27" borderId="2" xfId="0" applyFill="1" applyBorder="1"/>
    <xf numFmtId="3" fontId="0" fillId="27" borderId="2" xfId="0" applyNumberFormat="1" applyFill="1" applyBorder="1"/>
    <xf numFmtId="2" fontId="0" fillId="27" borderId="7" xfId="0" applyNumberFormat="1" applyFill="1" applyBorder="1"/>
    <xf numFmtId="2" fontId="0" fillId="27" borderId="2" xfId="0" applyNumberFormat="1" applyFill="1" applyBorder="1"/>
    <xf numFmtId="166" fontId="0" fillId="27" borderId="4" xfId="0" applyNumberFormat="1" applyFill="1" applyBorder="1"/>
    <xf numFmtId="0" fontId="0" fillId="27" borderId="11" xfId="0" applyFill="1" applyBorder="1"/>
    <xf numFmtId="0" fontId="0" fillId="8" borderId="9" xfId="0" applyFill="1" applyBorder="1"/>
    <xf numFmtId="0" fontId="0" fillId="8" borderId="2" xfId="0" applyFill="1" applyBorder="1"/>
    <xf numFmtId="3" fontId="0" fillId="8" borderId="2" xfId="0" applyNumberFormat="1" applyFill="1" applyBorder="1"/>
    <xf numFmtId="2" fontId="0" fillId="8" borderId="7" xfId="0" applyNumberFormat="1" applyFill="1" applyBorder="1"/>
    <xf numFmtId="2" fontId="0" fillId="8" borderId="2" xfId="0" applyNumberFormat="1" applyFill="1" applyBorder="1"/>
    <xf numFmtId="166" fontId="0" fillId="8" borderId="4" xfId="0" applyNumberFormat="1" applyFill="1" applyBorder="1"/>
    <xf numFmtId="0" fontId="0" fillId="8" borderId="11" xfId="0" applyFill="1" applyBorder="1"/>
    <xf numFmtId="169" fontId="0" fillId="9" borderId="1" xfId="0" applyNumberFormat="1" applyFill="1" applyBorder="1"/>
    <xf numFmtId="169" fontId="0" fillId="7" borderId="1" xfId="0" applyNumberFormat="1" applyFill="1" applyBorder="1"/>
    <xf numFmtId="169" fontId="0" fillId="6" borderId="2" xfId="0" applyNumberFormat="1" applyFill="1" applyBorder="1"/>
    <xf numFmtId="169" fontId="0" fillId="26" borderId="2" xfId="0" applyNumberFormat="1" applyFill="1" applyBorder="1"/>
    <xf numFmtId="169" fontId="0" fillId="27" borderId="2" xfId="0" applyNumberFormat="1" applyFill="1" applyBorder="1"/>
    <xf numFmtId="169" fontId="0" fillId="8" borderId="2" xfId="0" applyNumberFormat="1" applyFill="1" applyBorder="1"/>
    <xf numFmtId="0" fontId="46" fillId="0" borderId="0" xfId="0" applyFont="1" applyAlignment="1">
      <alignment horizontal="left" vertical="center"/>
    </xf>
    <xf numFmtId="164" fontId="48" fillId="18" borderId="4" xfId="18" applyNumberFormat="1" applyFont="1" applyBorder="1" applyAlignment="1">
      <alignment horizontal="center" vertical="center" wrapText="1"/>
    </xf>
    <xf numFmtId="164" fontId="48" fillId="18" borderId="1" xfId="18" applyNumberFormat="1" applyFont="1" applyAlignment="1">
      <alignment horizontal="center" vertical="center" wrapText="1"/>
    </xf>
    <xf numFmtId="167" fontId="0" fillId="0" borderId="0" xfId="0" applyNumberFormat="1" applyAlignment="1">
      <alignment horizontal="center"/>
    </xf>
    <xf numFmtId="168" fontId="0" fillId="0" borderId="0" xfId="0" applyNumberFormat="1" applyAlignment="1">
      <alignment horizontal="center"/>
    </xf>
    <xf numFmtId="164" fontId="0" fillId="0" borderId="0" xfId="0" applyNumberFormat="1" applyAlignment="1">
      <alignment horizontal="center"/>
    </xf>
    <xf numFmtId="9" fontId="0" fillId="0" borderId="0" xfId="0" applyNumberFormat="1" applyAlignment="1">
      <alignment horizontal="center"/>
    </xf>
    <xf numFmtId="0" fontId="50" fillId="0" borderId="0" xfId="22" applyFill="1" applyAlignment="1">
      <alignment vertical="center" wrapText="1"/>
    </xf>
    <xf numFmtId="0" fontId="50" fillId="0" borderId="0" xfId="22" applyFill="1">
      <alignment horizontal="centerContinuous" vertical="center" wrapText="1"/>
    </xf>
    <xf numFmtId="169" fontId="48" fillId="18" borderId="4" xfId="18" applyNumberFormat="1" applyFont="1" applyBorder="1" applyAlignment="1">
      <alignment horizontal="center" vertical="center" wrapText="1"/>
    </xf>
    <xf numFmtId="167" fontId="48" fillId="18" borderId="4" xfId="18" applyNumberFormat="1" applyFont="1" applyBorder="1" applyAlignment="1">
      <alignment horizontal="center" vertical="center" wrapText="1"/>
    </xf>
    <xf numFmtId="167" fontId="34" fillId="24" borderId="1" xfId="3" applyNumberFormat="1" applyAlignment="1">
      <alignment horizontal="center" vertical="center" wrapText="1"/>
      <protection locked="0"/>
    </xf>
    <xf numFmtId="169" fontId="34" fillId="24" borderId="1" xfId="3" applyNumberFormat="1" applyAlignment="1">
      <alignment horizontal="center" vertical="center" wrapText="1"/>
      <protection locked="0"/>
    </xf>
    <xf numFmtId="164" fontId="34" fillId="24" borderId="1" xfId="3" applyNumberFormat="1" applyAlignment="1">
      <alignment horizontal="center" vertical="center" wrapText="1"/>
      <protection locked="0"/>
    </xf>
    <xf numFmtId="0" fontId="0" fillId="0" borderId="0" xfId="0" applyAlignment="1">
      <alignment horizontal="right"/>
    </xf>
    <xf numFmtId="0" fontId="51" fillId="0" borderId="0" xfId="0" applyFont="1" applyAlignment="1">
      <alignment vertical="center"/>
    </xf>
    <xf numFmtId="0" fontId="52" fillId="0" borderId="0" xfId="0" applyFont="1"/>
    <xf numFmtId="0" fontId="22" fillId="0" borderId="32" xfId="0" applyFont="1" applyBorder="1" applyAlignment="1">
      <alignment vertical="center" wrapText="1"/>
    </xf>
    <xf numFmtId="0" fontId="22" fillId="0" borderId="33" xfId="0" applyFont="1" applyBorder="1" applyAlignment="1">
      <alignment vertical="center" wrapText="1"/>
    </xf>
    <xf numFmtId="0" fontId="0" fillId="0" borderId="34" xfId="0" applyBorder="1" applyAlignment="1">
      <alignment vertical="center" wrapText="1"/>
    </xf>
    <xf numFmtId="3" fontId="0" fillId="0" borderId="35" xfId="0" applyNumberFormat="1" applyBorder="1" applyAlignment="1">
      <alignment vertical="center" wrapText="1"/>
    </xf>
    <xf numFmtId="0" fontId="0" fillId="0" borderId="35" xfId="0" applyBorder="1" applyAlignment="1">
      <alignment vertical="center" wrapText="1"/>
    </xf>
    <xf numFmtId="2" fontId="0" fillId="0" borderId="35" xfId="0" applyNumberFormat="1" applyBorder="1" applyAlignment="1">
      <alignment vertical="center" wrapText="1"/>
    </xf>
    <xf numFmtId="0" fontId="19" fillId="28" borderId="10" xfId="0" applyFont="1" applyFill="1" applyBorder="1" applyAlignment="1">
      <alignment horizontal="centerContinuous"/>
    </xf>
    <xf numFmtId="0" fontId="19" fillId="28" borderId="1" xfId="0" applyFont="1" applyFill="1" applyBorder="1" applyAlignment="1">
      <alignment horizontal="centerContinuous"/>
    </xf>
    <xf numFmtId="0" fontId="0" fillId="28" borderId="1" xfId="0" applyFill="1" applyBorder="1" applyAlignment="1">
      <alignment horizontal="centerContinuous"/>
    </xf>
    <xf numFmtId="0" fontId="19" fillId="28" borderId="1" xfId="0" applyFont="1" applyFill="1" applyBorder="1"/>
    <xf numFmtId="0" fontId="19" fillId="28" borderId="12" xfId="0" applyFont="1" applyFill="1" applyBorder="1"/>
    <xf numFmtId="0" fontId="0" fillId="0" borderId="1" xfId="0" applyBorder="1" applyAlignment="1">
      <alignment vertical="center"/>
    </xf>
    <xf numFmtId="166" fontId="0" fillId="25" borderId="1" xfId="0" applyNumberFormat="1" applyFill="1" applyBorder="1" applyAlignment="1">
      <alignment vertical="center"/>
    </xf>
    <xf numFmtId="0" fontId="0" fillId="25" borderId="1" xfId="0" applyFill="1" applyBorder="1" applyAlignment="1">
      <alignment vertical="center"/>
    </xf>
    <xf numFmtId="0" fontId="52" fillId="0" borderId="1" xfId="0" applyFont="1" applyBorder="1"/>
    <xf numFmtId="0" fontId="52" fillId="25" borderId="1" xfId="0" applyFont="1" applyFill="1" applyBorder="1"/>
    <xf numFmtId="166" fontId="52" fillId="25" borderId="1" xfId="0" applyNumberFormat="1" applyFont="1" applyFill="1" applyBorder="1"/>
    <xf numFmtId="166" fontId="0" fillId="0" borderId="1" xfId="0" applyNumberFormat="1" applyBorder="1"/>
    <xf numFmtId="166" fontId="0" fillId="25" borderId="1" xfId="0" applyNumberFormat="1" applyFill="1" applyBorder="1"/>
    <xf numFmtId="0" fontId="54" fillId="0" borderId="32" xfId="0" applyFont="1" applyBorder="1" applyAlignment="1">
      <alignment vertical="center" wrapText="1"/>
    </xf>
    <xf numFmtId="0" fontId="54" fillId="0" borderId="33" xfId="0" applyFont="1" applyBorder="1" applyAlignment="1">
      <alignment horizontal="center" vertical="center" wrapText="1"/>
    </xf>
    <xf numFmtId="0" fontId="51" fillId="0" borderId="34" xfId="0" applyFont="1" applyBorder="1" applyAlignment="1">
      <alignment vertical="center" wrapText="1"/>
    </xf>
    <xf numFmtId="0" fontId="51" fillId="0" borderId="35" xfId="0" applyFont="1" applyBorder="1" applyAlignment="1">
      <alignment horizontal="center" vertical="center" wrapText="1"/>
    </xf>
    <xf numFmtId="0" fontId="0" fillId="0" borderId="46" xfId="0" applyBorder="1" applyAlignment="1">
      <alignment vertical="center" wrapText="1"/>
    </xf>
    <xf numFmtId="0" fontId="0" fillId="0" borderId="47" xfId="0" applyBorder="1" applyAlignment="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55" fillId="0" borderId="50" xfId="0" applyFont="1" applyBorder="1"/>
    <xf numFmtId="0" fontId="0" fillId="0" borderId="41" xfId="0" applyBorder="1" applyAlignment="1">
      <alignment vertical="center" wrapText="1"/>
    </xf>
    <xf numFmtId="0" fontId="52" fillId="0" borderId="51" xfId="0" applyFont="1" applyBorder="1"/>
    <xf numFmtId="0" fontId="55" fillId="0" borderId="1" xfId="0" applyFont="1" applyBorder="1"/>
    <xf numFmtId="0" fontId="55" fillId="0" borderId="52" xfId="0" applyFont="1" applyBorder="1"/>
    <xf numFmtId="0" fontId="0" fillId="0" borderId="51" xfId="0" applyBorder="1" applyAlignment="1">
      <alignment horizontal="center" vertical="center"/>
    </xf>
    <xf numFmtId="0" fontId="0" fillId="0" borderId="53" xfId="0" applyBorder="1" applyAlignment="1">
      <alignment vertical="center" wrapText="1"/>
    </xf>
    <xf numFmtId="0" fontId="0" fillId="0" borderId="54" xfId="0" applyBorder="1" applyAlignment="1">
      <alignment vertical="center"/>
    </xf>
    <xf numFmtId="0" fontId="52" fillId="0" borderId="55" xfId="0" applyFont="1" applyBorder="1"/>
    <xf numFmtId="0" fontId="52" fillId="0" borderId="56" xfId="0" applyFont="1" applyBorder="1"/>
    <xf numFmtId="0" fontId="52" fillId="0" borderId="57" xfId="0" applyFont="1" applyBorder="1"/>
    <xf numFmtId="0" fontId="0" fillId="0" borderId="58" xfId="0" applyBorder="1" applyAlignment="1">
      <alignment vertical="center"/>
    </xf>
    <xf numFmtId="166" fontId="55" fillId="0" borderId="49" xfId="0" applyNumberFormat="1" applyFont="1" applyBorder="1"/>
    <xf numFmtId="169" fontId="55" fillId="0" borderId="50" xfId="0" applyNumberFormat="1" applyFont="1" applyBorder="1"/>
    <xf numFmtId="0" fontId="0" fillId="0" borderId="60" xfId="0" applyBorder="1" applyAlignment="1">
      <alignment vertical="center"/>
    </xf>
    <xf numFmtId="169" fontId="52" fillId="0" borderId="52" xfId="0" applyNumberFormat="1" applyFont="1" applyBorder="1"/>
    <xf numFmtId="0" fontId="0" fillId="0" borderId="34" xfId="0" applyBorder="1" applyAlignment="1">
      <alignment vertical="center"/>
    </xf>
    <xf numFmtId="166" fontId="55" fillId="0" borderId="1" xfId="0" applyNumberFormat="1" applyFont="1" applyBorder="1"/>
    <xf numFmtId="169" fontId="55" fillId="0" borderId="52" xfId="0" applyNumberFormat="1" applyFont="1" applyBorder="1"/>
    <xf numFmtId="0" fontId="0" fillId="0" borderId="61" xfId="0" applyBorder="1" applyAlignment="1">
      <alignment vertical="center"/>
    </xf>
    <xf numFmtId="169" fontId="52" fillId="0" borderId="57" xfId="0" applyNumberFormat="1" applyFont="1" applyBorder="1"/>
    <xf numFmtId="0" fontId="0" fillId="0" borderId="55" xfId="0" applyBorder="1" applyAlignment="1">
      <alignment horizontal="center" vertical="center"/>
    </xf>
    <xf numFmtId="0" fontId="0" fillId="0" borderId="56" xfId="0" applyBorder="1" applyAlignment="1">
      <alignment horizontal="center" vertical="center"/>
    </xf>
    <xf numFmtId="166" fontId="0" fillId="0" borderId="0" xfId="0" applyNumberFormat="1"/>
    <xf numFmtId="169" fontId="0" fillId="0" borderId="0" xfId="0" applyNumberFormat="1"/>
    <xf numFmtId="0" fontId="22" fillId="0" borderId="0" xfId="0" applyFont="1" applyAlignment="1">
      <alignment vertical="center" wrapText="1"/>
    </xf>
    <xf numFmtId="2" fontId="0" fillId="0" borderId="0" xfId="0" applyNumberFormat="1" applyAlignment="1">
      <alignment vertical="center" wrapText="1"/>
    </xf>
    <xf numFmtId="0" fontId="22" fillId="0" borderId="44" xfId="0" applyFont="1" applyBorder="1" applyAlignment="1">
      <alignment horizontal="center" vertical="center" wrapText="1"/>
    </xf>
    <xf numFmtId="0" fontId="55" fillId="0" borderId="0" xfId="0" applyFont="1"/>
    <xf numFmtId="164" fontId="35" fillId="0" borderId="1" xfId="24" applyNumberFormat="1" applyAlignment="1" applyProtection="1">
      <alignment horizontal="center" vertical="center" wrapText="1"/>
      <protection hidden="1"/>
    </xf>
    <xf numFmtId="167" fontId="35" fillId="0" borderId="1" xfId="24" applyNumberFormat="1" applyAlignment="1" applyProtection="1">
      <alignment horizontal="center" vertical="center" wrapText="1"/>
      <protection hidden="1"/>
    </xf>
    <xf numFmtId="168" fontId="35" fillId="0" borderId="3" xfId="24" applyNumberFormat="1" applyBorder="1" applyAlignment="1" applyProtection="1">
      <alignment horizontal="center" vertical="center" wrapText="1"/>
      <protection hidden="1"/>
    </xf>
    <xf numFmtId="167" fontId="32" fillId="0" borderId="1" xfId="0" applyNumberFormat="1" applyFont="1" applyBorder="1" applyAlignment="1" applyProtection="1">
      <alignment horizontal="center" vertical="center" wrapText="1"/>
      <protection hidden="1"/>
    </xf>
    <xf numFmtId="168" fontId="32" fillId="0" borderId="3" xfId="0" applyNumberFormat="1" applyFont="1" applyBorder="1" applyAlignment="1" applyProtection="1">
      <alignment horizontal="center" vertical="center" wrapText="1"/>
      <protection hidden="1"/>
    </xf>
    <xf numFmtId="164" fontId="35" fillId="0" borderId="1" xfId="37" applyNumberFormat="1" applyFont="1" applyBorder="1" applyAlignment="1" applyProtection="1">
      <alignment horizontal="center" vertical="center" wrapText="1"/>
      <protection hidden="1"/>
    </xf>
    <xf numFmtId="167" fontId="35" fillId="0" borderId="3" xfId="24" applyNumberFormat="1" applyBorder="1" applyAlignment="1" applyProtection="1">
      <alignment horizontal="center" vertical="center" wrapText="1"/>
      <protection hidden="1"/>
    </xf>
    <xf numFmtId="164" fontId="32" fillId="18" borderId="4" xfId="2" applyNumberFormat="1" applyBorder="1" applyAlignment="1" applyProtection="1">
      <alignment horizontal="center" vertical="center" wrapText="1"/>
      <protection hidden="1"/>
    </xf>
    <xf numFmtId="164" fontId="32" fillId="0" borderId="1" xfId="0" applyNumberFormat="1" applyFont="1" applyBorder="1" applyAlignment="1" applyProtection="1">
      <alignment horizontal="center" vertical="center" wrapText="1"/>
      <protection hidden="1"/>
    </xf>
    <xf numFmtId="167" fontId="32" fillId="0" borderId="3" xfId="0" applyNumberFormat="1" applyFont="1" applyBorder="1" applyAlignment="1" applyProtection="1">
      <alignment horizontal="center" vertical="center" wrapText="1"/>
      <protection hidden="1"/>
    </xf>
    <xf numFmtId="170" fontId="0" fillId="4" borderId="1" xfId="4" applyNumberFormat="1" applyFont="1" applyFill="1" applyBorder="1" applyAlignment="1">
      <alignment horizontal="center" vertical="center"/>
    </xf>
    <xf numFmtId="169" fontId="14" fillId="0" borderId="23" xfId="27" applyNumberFormat="1"/>
    <xf numFmtId="171" fontId="0" fillId="0" borderId="0" xfId="0" applyNumberFormat="1"/>
    <xf numFmtId="0" fontId="3" fillId="2" borderId="1" xfId="39" applyFill="1" applyBorder="1"/>
    <xf numFmtId="0" fontId="3" fillId="0" borderId="0" xfId="39"/>
    <xf numFmtId="0" fontId="3" fillId="0" borderId="1" xfId="39" applyBorder="1"/>
    <xf numFmtId="166" fontId="3" fillId="0" borderId="1" xfId="39" applyNumberFormat="1" applyBorder="1"/>
    <xf numFmtId="14" fontId="3" fillId="0" borderId="1" xfId="39" applyNumberFormat="1" applyBorder="1"/>
    <xf numFmtId="0" fontId="3" fillId="0" borderId="1" xfId="39" applyBorder="1" applyAlignment="1">
      <alignment wrapText="1"/>
    </xf>
    <xf numFmtId="0" fontId="34" fillId="24" borderId="1" xfId="3" applyAlignment="1">
      <alignment horizontal="center" vertical="center" wrapText="1"/>
      <protection locked="0"/>
    </xf>
    <xf numFmtId="166" fontId="2" fillId="0" borderId="1" xfId="39" applyNumberFormat="1" applyFont="1" applyBorder="1"/>
    <xf numFmtId="0" fontId="2" fillId="0" borderId="1" xfId="39" applyFont="1" applyBorder="1" applyAlignment="1">
      <alignment wrapText="1"/>
    </xf>
    <xf numFmtId="14" fontId="2" fillId="0" borderId="1" xfId="39" applyNumberFormat="1" applyFont="1" applyBorder="1"/>
    <xf numFmtId="0" fontId="2" fillId="0" borderId="1" xfId="39" applyFont="1" applyBorder="1"/>
    <xf numFmtId="0" fontId="34" fillId="24" borderId="1" xfId="3" applyNumberFormat="1" applyAlignment="1">
      <alignment horizontal="center" vertical="center" wrapText="1"/>
      <protection locked="0"/>
    </xf>
    <xf numFmtId="4" fontId="34" fillId="24" borderId="1" xfId="3" applyNumberFormat="1">
      <alignment horizontal="left" vertical="center" wrapText="1"/>
      <protection locked="0"/>
    </xf>
    <xf numFmtId="0" fontId="0" fillId="0" borderId="47" xfId="0" applyBorder="1" applyAlignment="1">
      <alignment horizontal="center" vertical="center"/>
    </xf>
    <xf numFmtId="0" fontId="0" fillId="0" borderId="54" xfId="0" applyBorder="1" applyAlignment="1">
      <alignment horizontal="center" vertical="center"/>
    </xf>
    <xf numFmtId="0" fontId="55" fillId="0" borderId="63" xfId="0" applyFont="1" applyBorder="1"/>
    <xf numFmtId="0" fontId="55" fillId="0" borderId="3" xfId="0" applyFont="1" applyBorder="1"/>
    <xf numFmtId="0" fontId="52" fillId="0" borderId="64" xfId="0" applyFont="1" applyBorder="1"/>
    <xf numFmtId="0" fontId="22" fillId="0" borderId="65" xfId="0" applyFont="1" applyBorder="1" applyAlignment="1">
      <alignment horizontal="center" vertical="center" wrapText="1"/>
    </xf>
    <xf numFmtId="0" fontId="22" fillId="0" borderId="66" xfId="0" applyFont="1" applyBorder="1" applyAlignment="1">
      <alignment horizontal="center" vertical="center" wrapText="1"/>
    </xf>
    <xf numFmtId="0" fontId="0" fillId="0" borderId="66" xfId="0" applyBorder="1"/>
    <xf numFmtId="0" fontId="22" fillId="0" borderId="67" xfId="0" applyFont="1" applyBorder="1" applyAlignment="1">
      <alignment horizontal="center" vertical="center" wrapText="1"/>
    </xf>
    <xf numFmtId="0" fontId="0" fillId="0" borderId="68" xfId="0" applyBorder="1" applyAlignment="1">
      <alignment horizontal="center" vertical="center"/>
    </xf>
    <xf numFmtId="0" fontId="0" fillId="0" borderId="62" xfId="0" applyBorder="1" applyAlignment="1">
      <alignment horizontal="center" vertical="center"/>
    </xf>
    <xf numFmtId="0" fontId="0" fillId="0" borderId="49" xfId="0" applyBorder="1"/>
    <xf numFmtId="0" fontId="0" fillId="0" borderId="41" xfId="0" applyBorder="1" applyAlignment="1">
      <alignment horizontal="center" vertical="center"/>
    </xf>
    <xf numFmtId="0" fontId="0" fillId="0" borderId="53" xfId="0" applyBorder="1" applyAlignment="1">
      <alignment horizontal="center" vertical="center"/>
    </xf>
    <xf numFmtId="0" fontId="0" fillId="0" borderId="56" xfId="0" applyBorder="1"/>
    <xf numFmtId="0" fontId="0" fillId="0" borderId="57" xfId="0" applyBorder="1"/>
    <xf numFmtId="169" fontId="55" fillId="0" borderId="63" xfId="0" applyNumberFormat="1" applyFont="1" applyBorder="1"/>
    <xf numFmtId="169" fontId="52" fillId="0" borderId="3" xfId="0" applyNumberFormat="1" applyFont="1" applyBorder="1"/>
    <xf numFmtId="169" fontId="55" fillId="0" borderId="3" xfId="0" applyNumberFormat="1" applyFont="1" applyBorder="1"/>
    <xf numFmtId="169" fontId="52" fillId="0" borderId="64" xfId="0" applyNumberFormat="1" applyFont="1" applyBorder="1"/>
    <xf numFmtId="0" fontId="22" fillId="0" borderId="69" xfId="0" applyFont="1" applyBorder="1" applyAlignment="1">
      <alignment horizontal="center" vertical="center" wrapText="1"/>
    </xf>
    <xf numFmtId="0" fontId="22" fillId="0" borderId="70" xfId="0" applyFont="1" applyBorder="1" applyAlignment="1">
      <alignment horizontal="center" vertical="center" wrapText="1"/>
    </xf>
    <xf numFmtId="0" fontId="22" fillId="0" borderId="71" xfId="0" applyFont="1" applyBorder="1" applyAlignment="1">
      <alignment horizontal="center" vertical="center" wrapText="1"/>
    </xf>
    <xf numFmtId="166" fontId="52" fillId="0" borderId="1" xfId="0" applyNumberFormat="1" applyFont="1" applyBorder="1"/>
    <xf numFmtId="166" fontId="52" fillId="0" borderId="56" xfId="0" applyNumberFormat="1" applyFont="1" applyBorder="1"/>
    <xf numFmtId="166" fontId="39" fillId="0" borderId="49" xfId="0" applyNumberFormat="1" applyFont="1" applyBorder="1"/>
    <xf numFmtId="169" fontId="39" fillId="0" borderId="50" xfId="0" applyNumberFormat="1" applyFont="1" applyBorder="1"/>
    <xf numFmtId="166" fontId="39" fillId="0" borderId="1" xfId="0" applyNumberFormat="1" applyFont="1" applyBorder="1"/>
    <xf numFmtId="169" fontId="39" fillId="0" borderId="52" xfId="0" applyNumberFormat="1" applyFont="1" applyBorder="1"/>
    <xf numFmtId="0" fontId="52" fillId="0" borderId="3" xfId="0" applyFont="1" applyBorder="1"/>
    <xf numFmtId="167" fontId="34" fillId="24" borderId="1" xfId="3" applyNumberFormat="1">
      <alignment horizontal="left" vertical="center" wrapText="1"/>
      <protection locked="0"/>
    </xf>
    <xf numFmtId="166" fontId="34" fillId="24" borderId="1" xfId="3" applyNumberFormat="1" applyAlignment="1">
      <alignment horizontal="center" vertical="center" wrapText="1"/>
      <protection locked="0"/>
    </xf>
    <xf numFmtId="0" fontId="0" fillId="0" borderId="0" xfId="0" applyNumberFormat="1"/>
    <xf numFmtId="168" fontId="35" fillId="0" borderId="3" xfId="24" applyNumberFormat="1" applyFill="1" applyBorder="1" applyAlignment="1" applyProtection="1">
      <alignment horizontal="center" vertical="center" wrapText="1"/>
      <protection hidden="1"/>
    </xf>
    <xf numFmtId="167" fontId="35" fillId="0" borderId="3" xfId="24" applyNumberFormat="1" applyFill="1" applyBorder="1" applyAlignment="1" applyProtection="1">
      <alignment horizontal="center" vertical="center" wrapText="1"/>
      <protection hidden="1"/>
    </xf>
    <xf numFmtId="166" fontId="1" fillId="0" borderId="1" xfId="39" applyNumberFormat="1" applyFont="1" applyBorder="1"/>
    <xf numFmtId="0" fontId="1" fillId="0" borderId="1" xfId="39" applyFont="1" applyBorder="1" applyAlignment="1">
      <alignment wrapText="1"/>
    </xf>
    <xf numFmtId="0" fontId="1" fillId="0" borderId="1" xfId="39" applyFont="1" applyBorder="1"/>
    <xf numFmtId="0" fontId="34" fillId="24" borderId="1" xfId="3" applyAlignment="1" applyProtection="1">
      <alignment horizontal="center" vertical="center" wrapText="1"/>
      <protection locked="0"/>
    </xf>
    <xf numFmtId="0" fontId="34" fillId="24" borderId="3" xfId="3" applyBorder="1" applyProtection="1">
      <alignment horizontal="left" vertical="center" wrapText="1"/>
      <protection locked="0"/>
    </xf>
    <xf numFmtId="0" fontId="35" fillId="18" borderId="4" xfId="18" applyBorder="1" applyAlignment="1" applyProtection="1">
      <alignment horizontal="center" vertical="center" wrapText="1"/>
      <protection hidden="1"/>
    </xf>
    <xf numFmtId="0" fontId="35" fillId="18" borderId="1" xfId="18" applyAlignment="1" applyProtection="1">
      <alignment horizontal="center" vertical="center" wrapText="1"/>
      <protection hidden="1"/>
    </xf>
    <xf numFmtId="164" fontId="35" fillId="18" borderId="1" xfId="18" applyNumberFormat="1" applyAlignment="1" applyProtection="1">
      <alignment horizontal="center" vertical="center" wrapText="1"/>
      <protection hidden="1"/>
    </xf>
    <xf numFmtId="167" fontId="35" fillId="18" borderId="1" xfId="18" applyNumberFormat="1" applyAlignment="1" applyProtection="1">
      <alignment horizontal="center" vertical="center" wrapText="1"/>
      <protection hidden="1"/>
    </xf>
    <xf numFmtId="168" fontId="35" fillId="18" borderId="1" xfId="18" applyNumberFormat="1" applyAlignment="1" applyProtection="1">
      <alignment horizontal="center" vertical="center" wrapText="1"/>
      <protection hidden="1"/>
    </xf>
    <xf numFmtId="164" fontId="48" fillId="18" borderId="4" xfId="18" applyNumberFormat="1" applyFont="1" applyBorder="1" applyAlignment="1" applyProtection="1">
      <alignment horizontal="center" vertical="center" wrapText="1"/>
      <protection hidden="1"/>
    </xf>
    <xf numFmtId="167" fontId="48" fillId="18" borderId="1" xfId="18" applyNumberFormat="1" applyFont="1" applyAlignment="1" applyProtection="1">
      <alignment horizontal="center" vertical="center" wrapText="1"/>
      <protection hidden="1"/>
    </xf>
    <xf numFmtId="168" fontId="48" fillId="18" borderId="1" xfId="18" applyNumberFormat="1" applyFont="1" applyAlignment="1" applyProtection="1">
      <alignment horizontal="center" vertical="center" wrapText="1"/>
      <protection hidden="1"/>
    </xf>
    <xf numFmtId="164" fontId="48" fillId="18" borderId="1" xfId="18" applyNumberFormat="1" applyFont="1" applyAlignment="1" applyProtection="1">
      <alignment horizontal="center" vertical="center" wrapText="1"/>
      <protection hidden="1"/>
    </xf>
    <xf numFmtId="0" fontId="0" fillId="0" borderId="3" xfId="0" applyBorder="1" applyAlignment="1">
      <alignment horizontal="left" vertical="top" wrapText="1"/>
    </xf>
    <xf numFmtId="0" fontId="0" fillId="0" borderId="13" xfId="0" applyBorder="1" applyAlignment="1">
      <alignment horizontal="left" vertical="top" wrapText="1"/>
    </xf>
    <xf numFmtId="0" fontId="0" fillId="0" borderId="4" xfId="0" applyBorder="1" applyAlignment="1">
      <alignment horizontal="left" vertical="top" wrapText="1"/>
    </xf>
    <xf numFmtId="0" fontId="50" fillId="21" borderId="0" xfId="22" applyAlignment="1">
      <alignment horizontal="left" vertical="center" wrapText="1"/>
    </xf>
    <xf numFmtId="0" fontId="0" fillId="0" borderId="14" xfId="0" applyBorder="1" applyAlignment="1">
      <alignment horizontal="left" vertical="top" wrapText="1"/>
    </xf>
    <xf numFmtId="0" fontId="31" fillId="16" borderId="1" xfId="17" applyAlignment="1">
      <alignment horizontal="center" vertical="center" wrapText="1"/>
    </xf>
    <xf numFmtId="0" fontId="0" fillId="0" borderId="7"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8" xfId="0"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center" wrapText="1"/>
    </xf>
    <xf numFmtId="0" fontId="0" fillId="0" borderId="3" xfId="0" applyBorder="1" applyAlignment="1">
      <alignment horizontal="left" vertical="center"/>
    </xf>
    <xf numFmtId="0" fontId="0" fillId="0" borderId="13" xfId="0" applyBorder="1" applyAlignment="1">
      <alignment horizontal="left" vertical="center"/>
    </xf>
    <xf numFmtId="0" fontId="0" fillId="0" borderId="4" xfId="0" applyBorder="1" applyAlignment="1">
      <alignment horizontal="left" vertical="center"/>
    </xf>
    <xf numFmtId="0" fontId="31" fillId="16" borderId="7" xfId="17" applyBorder="1" applyAlignment="1">
      <alignment horizontal="center"/>
    </xf>
    <xf numFmtId="0" fontId="31" fillId="16" borderId="11" xfId="17" applyBorder="1" applyAlignment="1">
      <alignment horizontal="center"/>
    </xf>
    <xf numFmtId="0" fontId="31" fillId="16" borderId="9" xfId="17" applyBorder="1" applyAlignment="1">
      <alignment horizontal="center"/>
    </xf>
    <xf numFmtId="0" fontId="0" fillId="0" borderId="3" xfId="0" applyBorder="1" applyAlignment="1">
      <alignment horizontal="left" vertical="center" wrapText="1"/>
    </xf>
    <xf numFmtId="0" fontId="0" fillId="0" borderId="13" xfId="0" applyBorder="1" applyAlignment="1">
      <alignment horizontal="left" vertical="center" wrapText="1"/>
    </xf>
    <xf numFmtId="0" fontId="0" fillId="0" borderId="4" xfId="0" applyBorder="1" applyAlignment="1">
      <alignment horizontal="left" vertical="center" wrapText="1"/>
    </xf>
    <xf numFmtId="0" fontId="31" fillId="16" borderId="3" xfId="17" applyBorder="1" applyAlignment="1">
      <alignment horizontal="center" vertical="center" wrapText="1"/>
    </xf>
    <xf numFmtId="0" fontId="31" fillId="16" borderId="4" xfId="17" applyBorder="1" applyAlignment="1">
      <alignment horizontal="center" vertical="center" wrapText="1"/>
    </xf>
    <xf numFmtId="0" fontId="32" fillId="18" borderId="1" xfId="2" applyAlignment="1">
      <alignment horizontal="left" vertical="center" wrapText="1"/>
    </xf>
    <xf numFmtId="0" fontId="34" fillId="24" borderId="1" xfId="3" applyAlignment="1">
      <alignment horizontal="center" vertical="center" wrapText="1"/>
      <protection locked="0"/>
    </xf>
    <xf numFmtId="0" fontId="13" fillId="10" borderId="1" xfId="21" applyAlignment="1">
      <alignment horizontal="center" vertical="center" wrapText="1"/>
    </xf>
    <xf numFmtId="0" fontId="13" fillId="10" borderId="3" xfId="21" applyBorder="1" applyAlignment="1">
      <alignment horizontal="center" vertical="center" wrapText="1"/>
    </xf>
    <xf numFmtId="0" fontId="13" fillId="10" borderId="13" xfId="21" applyBorder="1" applyAlignment="1">
      <alignment horizontal="center" vertical="center" wrapText="1"/>
    </xf>
    <xf numFmtId="0" fontId="13" fillId="10" borderId="4" xfId="21" applyBorder="1" applyAlignment="1">
      <alignment horizontal="center" vertical="center" wrapText="1"/>
    </xf>
    <xf numFmtId="0" fontId="13" fillId="21" borderId="1" xfId="19" applyAlignment="1">
      <alignment horizontal="center" vertical="center" wrapText="1"/>
    </xf>
    <xf numFmtId="0" fontId="49" fillId="16" borderId="1" xfId="17" applyFont="1" applyAlignment="1">
      <alignment horizontal="center" vertical="center" wrapText="1"/>
    </xf>
    <xf numFmtId="0" fontId="39" fillId="0" borderId="0" xfId="0" applyFont="1" applyAlignment="1">
      <alignment horizontal="left" wrapText="1"/>
    </xf>
    <xf numFmtId="0" fontId="31" fillId="16" borderId="14" xfId="17" applyBorder="1" applyAlignment="1">
      <alignment horizontal="center"/>
    </xf>
    <xf numFmtId="0" fontId="31" fillId="16" borderId="3" xfId="17" applyBorder="1" applyAlignment="1">
      <alignment horizontal="center"/>
    </xf>
    <xf numFmtId="0" fontId="31" fillId="16" borderId="13" xfId="17" applyBorder="1" applyAlignment="1">
      <alignment horizontal="center"/>
    </xf>
    <xf numFmtId="0" fontId="31" fillId="16" borderId="6" xfId="17" applyBorder="1" applyAlignment="1">
      <alignment horizontal="center"/>
    </xf>
    <xf numFmtId="0" fontId="31" fillId="16" borderId="0" xfId="17" applyBorder="1" applyAlignment="1">
      <alignment horizontal="center"/>
    </xf>
    <xf numFmtId="0" fontId="35" fillId="0" borderId="1" xfId="24" applyAlignment="1" applyProtection="1">
      <alignment horizontal="left" vertical="center" wrapText="1"/>
      <protection hidden="1"/>
    </xf>
    <xf numFmtId="0" fontId="35" fillId="0" borderId="0" xfId="24" applyBorder="1" applyAlignment="1">
      <alignment horizontal="left" vertical="center" wrapText="1"/>
    </xf>
    <xf numFmtId="0" fontId="31" fillId="16" borderId="1" xfId="17" applyAlignment="1">
      <alignment horizontal="center"/>
    </xf>
    <xf numFmtId="0" fontId="38" fillId="0" borderId="0" xfId="24" applyFont="1" applyBorder="1" applyAlignment="1">
      <alignment horizontal="left" vertical="center" wrapText="1"/>
    </xf>
    <xf numFmtId="0" fontId="32" fillId="18" borderId="1" xfId="2" applyAlignment="1">
      <alignment vertical="center" wrapText="1"/>
    </xf>
    <xf numFmtId="49" fontId="34" fillId="24" borderId="1" xfId="3" applyNumberFormat="1" applyAlignment="1">
      <alignment horizontal="left" vertical="center" wrapText="1"/>
      <protection locked="0"/>
    </xf>
    <xf numFmtId="0" fontId="13" fillId="16" borderId="1" xfId="23" applyAlignment="1">
      <alignment horizontal="center" vertical="center" wrapText="1"/>
    </xf>
    <xf numFmtId="14" fontId="34" fillId="24" borderId="1" xfId="3" applyNumberFormat="1" applyAlignment="1">
      <alignment horizontal="left" vertical="center" wrapText="1"/>
      <protection locked="0"/>
    </xf>
    <xf numFmtId="0" fontId="13" fillId="17" borderId="26" xfId="26" applyBorder="1" applyAlignment="1">
      <alignment wrapText="1"/>
    </xf>
    <xf numFmtId="0" fontId="13" fillId="17" borderId="27" xfId="26" applyBorder="1" applyAlignment="1">
      <alignment wrapText="1"/>
    </xf>
    <xf numFmtId="0" fontId="13" fillId="17" borderId="28" xfId="26" applyBorder="1" applyAlignment="1">
      <alignment wrapText="1"/>
    </xf>
    <xf numFmtId="0" fontId="0" fillId="0" borderId="36" xfId="0" applyBorder="1" applyAlignment="1">
      <alignment vertical="center"/>
    </xf>
    <xf numFmtId="0" fontId="0" fillId="0" borderId="41" xfId="0" applyBorder="1" applyAlignment="1">
      <alignment vertical="center"/>
    </xf>
    <xf numFmtId="0" fontId="0" fillId="0" borderId="37" xfId="0" applyBorder="1" applyAlignment="1">
      <alignment vertical="center"/>
    </xf>
    <xf numFmtId="0" fontId="0" fillId="0" borderId="42" xfId="0" applyBorder="1" applyAlignment="1">
      <alignment vertical="center"/>
    </xf>
    <xf numFmtId="0" fontId="22" fillId="0" borderId="38" xfId="0" applyFont="1" applyBorder="1" applyAlignment="1">
      <alignment horizontal="center" vertical="center"/>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xf numFmtId="0" fontId="22" fillId="0" borderId="45" xfId="0" applyFont="1" applyBorder="1" applyAlignment="1">
      <alignment horizontal="center" vertical="center" wrapText="1"/>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58" xfId="0" applyFont="1" applyBorder="1" applyAlignment="1">
      <alignment vertical="center"/>
    </xf>
    <xf numFmtId="0" fontId="22" fillId="0" borderId="34" xfId="0" applyFont="1" applyBorder="1" applyAlignment="1">
      <alignment vertical="center"/>
    </xf>
    <xf numFmtId="0" fontId="22" fillId="0" borderId="59" xfId="0" applyFont="1" applyBorder="1" applyAlignment="1">
      <alignment vertical="center"/>
    </xf>
    <xf numFmtId="0" fontId="22" fillId="0" borderId="42" xfId="0" applyFont="1" applyBorder="1" applyAlignment="1">
      <alignment vertical="center"/>
    </xf>
    <xf numFmtId="0" fontId="13" fillId="17" borderId="22" xfId="26" applyAlignment="1">
      <alignment horizontal="left" wrapText="1"/>
    </xf>
  </cellXfs>
  <cellStyles count="40">
    <cellStyle name="20% - Accent1" xfId="32" builtinId="30" hidden="1"/>
    <cellStyle name="Bad" xfId="12" builtinId="27" hidden="1"/>
    <cellStyle name="Check Cell" xfId="29" builtinId="23" hidden="1"/>
    <cellStyle name="Currency" xfId="37" builtinId="4"/>
    <cellStyle name="Explanatory Text" xfId="31" builtinId="53" hidden="1"/>
    <cellStyle name="Followed Hyperlink" xfId="5" builtinId="9" customBuiltin="1"/>
    <cellStyle name="Good" xfId="11" builtinId="26" hidden="1"/>
    <cellStyle name="Heading 1" xfId="20" builtinId="16" hidden="1"/>
    <cellStyle name="Heading 1" xfId="7" builtinId="16" hidden="1"/>
    <cellStyle name="Heading 1" xfId="17" xr:uid="{827A2D4A-7385-4E53-97FD-71BCCCD5F2E7}"/>
    <cellStyle name="Heading 2" xfId="8" builtinId="17" hidden="1"/>
    <cellStyle name="Heading 2" xfId="33" builtinId="17" customBuiltin="1"/>
    <cellStyle name="Heading 3" xfId="9" builtinId="18" hidden="1"/>
    <cellStyle name="Heading 3" xfId="34" xr:uid="{E719F22B-8762-4EB0-8669-209ED71251E1}"/>
    <cellStyle name="Heading 4" xfId="35" builtinId="19" hidden="1"/>
    <cellStyle name="Heading 4" xfId="10" builtinId="19" hidden="1"/>
    <cellStyle name="Hide Cell" xfId="25" xr:uid="{2243FA24-2F08-4FD5-AA9A-ED2C4FD21563}"/>
    <cellStyle name="Hyperlink" xfId="1" builtinId="8" customBuiltin="1"/>
    <cellStyle name="Input" xfId="14" builtinId="20" hidden="1"/>
    <cellStyle name="Input General" xfId="3" xr:uid="{FD8ACB3A-2E60-4E56-BDE0-F16C605B706F}"/>
    <cellStyle name="Locked Cell" xfId="18" xr:uid="{C5AC115B-4C70-4598-B33B-FF8931F43D69}"/>
    <cellStyle name="Locked Cell Bold" xfId="2" xr:uid="{00000000-0005-0000-0000-000003000000}"/>
    <cellStyle name="Locked Cell White" xfId="24" xr:uid="{8F7DEB48-FAC3-4610-9226-B7D4124C58C1}"/>
    <cellStyle name="Name Range Title" xfId="26" xr:uid="{46E703C9-C83A-4FAE-BD96-AD2C2F1C6BF7}"/>
    <cellStyle name="Neutral" xfId="13" builtinId="28" hidden="1"/>
    <cellStyle name="Normal" xfId="0" builtinId="0" customBuiltin="1"/>
    <cellStyle name="Normal 2" xfId="39" xr:uid="{0A4607B1-6656-468D-940F-D836394B2CC3}"/>
    <cellStyle name="Note" xfId="15" builtinId="10" hidden="1"/>
    <cellStyle name="Output" xfId="28" builtinId="21" hidden="1"/>
    <cellStyle name="Percent" xfId="4" builtinId="5"/>
    <cellStyle name="Percent 2" xfId="38" xr:uid="{44F3F0DE-722B-4F05-8BB5-87AC0137E196}"/>
    <cellStyle name="Range Data" xfId="27" xr:uid="{7896B364-4370-470C-B83C-A03F3C77F542}"/>
    <cellStyle name="Sheet Heading" xfId="22" xr:uid="{9BC41EA3-605D-47B9-99C5-959AB6AED4CA}"/>
    <cellStyle name="Table Top 1" xfId="23" xr:uid="{8C0905FB-CD4E-49DB-B46F-8EC853259812}"/>
    <cellStyle name="Table Top 2" xfId="19" xr:uid="{DDE9671C-2664-4B42-B64A-D6F716A86511}"/>
    <cellStyle name="Table Top 3" xfId="21" xr:uid="{241A7E45-4EC5-408D-8C63-73DB54E40084}"/>
    <cellStyle name="Table Top 4" xfId="36" xr:uid="{FDC1E094-0D14-4F86-90B9-56EB940D9840}"/>
    <cellStyle name="Title" xfId="6" builtinId="15" hidden="1"/>
    <cellStyle name="Total" xfId="16" builtinId="25" hidden="1"/>
    <cellStyle name="Warning Text" xfId="30" builtinId="11" hidden="1"/>
  </cellStyles>
  <dxfs count="267">
    <dxf>
      <fill>
        <patternFill patternType="solid">
          <fgColor indexed="64"/>
          <bgColor theme="5" tint="0.79998168889431442"/>
        </patternFill>
      </fill>
      <border diagonalUp="0" diagonalDown="0">
        <left/>
        <right/>
        <top style="thin">
          <color indexed="64"/>
        </top>
        <bottom style="thin">
          <color indexed="64"/>
        </bottom>
        <vertical/>
        <horizontal/>
      </border>
    </dxf>
    <dxf>
      <numFmt numFmtId="166" formatCode="0.0"/>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numFmt numFmtId="2" formatCode="0.00"/>
      <fill>
        <patternFill patternType="solid">
          <fgColor indexed="64"/>
          <bgColor theme="7" tint="0.79998168889431442"/>
        </patternFill>
      </fill>
      <border diagonalUp="0" diagonalDown="0">
        <left style="thin">
          <color auto="1"/>
        </left>
        <right style="thin">
          <color auto="1"/>
        </right>
        <top style="thin">
          <color auto="1"/>
        </top>
        <bottom/>
        <vertical/>
        <horizontal/>
      </border>
    </dxf>
    <dxf>
      <numFmt numFmtId="169" formatCode="0.000"/>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style="thin">
          <color indexed="64"/>
        </left>
        <right style="thin">
          <color indexed="64"/>
        </right>
        <top style="thin">
          <color indexed="64"/>
        </top>
        <bottom style="thin">
          <color indexed="64"/>
        </bottom>
        <vertical/>
        <horizontal/>
      </border>
    </dxf>
    <dxf>
      <fill>
        <patternFill patternType="solid">
          <fgColor indexed="64"/>
          <bgColor theme="5" tint="0.79998168889431442"/>
        </patternFill>
      </fill>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ill>
        <patternFill patternType="solid">
          <fgColor indexed="64"/>
          <bgColor theme="5" tint="0.79998168889431442"/>
        </patternFill>
      </fill>
    </dxf>
    <dxf>
      <border outline="0">
        <bottom style="thin">
          <color indexed="64"/>
        </bottom>
      </border>
    </dxf>
    <dxf>
      <font>
        <b val="0"/>
        <i val="0"/>
        <strike val="0"/>
        <condense val="0"/>
        <extend val="0"/>
        <outline val="0"/>
        <shadow val="0"/>
        <u val="none"/>
        <vertAlign val="baseline"/>
        <sz val="11"/>
        <color theme="0"/>
        <name val="Calibri"/>
        <family val="2"/>
        <scheme val="minor"/>
      </font>
      <fill>
        <patternFill patternType="solid">
          <fgColor indexed="64"/>
          <bgColor rgb="FF003C71"/>
        </patternFill>
      </fill>
      <alignment horizontal="general" vertical="bottom" textRotation="0" wrapText="1" indent="0" justifyLastLine="0" shrinkToFit="0" readingOrder="0"/>
      <border diagonalUp="0" diagonalDown="0" outline="0">
        <left style="thin">
          <color auto="1"/>
        </left>
        <right style="thin">
          <color auto="1"/>
        </right>
        <top/>
        <bottom/>
      </border>
    </dxf>
    <dxf>
      <fill>
        <patternFill patternType="mediumGray"/>
      </fill>
    </dxf>
    <dxf>
      <fill>
        <patternFill patternType="mediumGray"/>
      </fill>
    </dxf>
    <dxf>
      <numFmt numFmtId="0" formatCode="General"/>
    </dxf>
    <dxf>
      <numFmt numFmtId="0" formatCode="General"/>
    </dxf>
    <dxf>
      <numFmt numFmtId="0" formatCode="General"/>
    </dxf>
    <dxf>
      <numFmt numFmtId="0" formatCode="General"/>
    </dxf>
    <dxf>
      <font>
        <b/>
      </font>
    </dxf>
    <dxf>
      <numFmt numFmtId="165" formatCode="&quot;$&quot;#,##0"/>
    </dxf>
    <dxf>
      <numFmt numFmtId="165" formatCode="&quot;$&quot;#,##0"/>
    </dxf>
    <dxf>
      <numFmt numFmtId="165" formatCode="&quot;$&quot;#,##0"/>
    </dxf>
    <dxf>
      <numFmt numFmtId="13" formatCode="0%"/>
    </dxf>
    <dxf>
      <numFmt numFmtId="165" formatCode="&quot;$&quot;#,##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3" formatCode="0%"/>
      <alignment horizontal="center" vertical="bottom" textRotation="0" wrapText="0" indent="0" justifyLastLine="0" shrinkToFit="0" readingOrder="0"/>
    </dxf>
    <dxf>
      <numFmt numFmtId="165" formatCode="&quot;$&quot;#,##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8" formatCode="#,##0.0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7" formatCode="#,##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164" formatCode="&quot;$&quot;#,##0.00"/>
      <alignment horizontal="center" vertical="bottom" textRotation="0" wrapText="0" indent="0" justifyLastLine="0" shrinkToFit="0" readingOrder="0"/>
    </dxf>
    <dxf>
      <numFmt numFmtId="0" formatCode="General"/>
    </dxf>
    <dxf>
      <alignment horizontal="center"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0" formatCode="General"/>
    </dxf>
    <dxf>
      <numFmt numFmtId="0" formatCode="General"/>
    </dxf>
    <dxf>
      <alignment horizontal="general" vertical="bottom" textRotation="0" wrapText="1" indent="0" justifyLastLine="0" shrinkToFit="0" readingOrder="0"/>
    </dxf>
    <dxf>
      <numFmt numFmtId="171" formatCode="&quot;$&quot;#,##0.000"/>
    </dxf>
    <dxf>
      <alignment horizontal="general" vertical="bottom" textRotation="0" wrapText="0" indent="0" justifyLastLine="0" shrinkToFit="0" readingOrder="0"/>
    </dxf>
    <dxf>
      <numFmt numFmtId="164" formatCode="&quot;$&quot;#,##0.00"/>
    </dxf>
    <dxf>
      <numFmt numFmtId="164" formatCode="&quot;$&quot;#,##0.00"/>
    </dxf>
    <dxf>
      <numFmt numFmtId="0" formatCode="General"/>
    </dxf>
    <dxf>
      <fill>
        <patternFill patternType="none">
          <fgColor indexed="64"/>
          <bgColor indexed="65"/>
        </patternFill>
      </fill>
    </dxf>
    <dxf>
      <fill>
        <patternFill>
          <bgColor theme="2"/>
        </patternFill>
      </fill>
    </dxf>
    <dxf>
      <font>
        <b/>
        <i val="0"/>
        <strike val="0"/>
        <condense val="0"/>
        <extend val="0"/>
        <outline val="0"/>
        <shadow val="0"/>
        <u val="none"/>
        <vertAlign val="baseline"/>
        <sz val="10"/>
        <color theme="1"/>
        <name val="Calibri"/>
        <family val="2"/>
        <scheme val="none"/>
      </font>
      <numFmt numFmtId="167" formatCode="#,##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numFmt numFmtId="167" formatCode="#,##0.0"/>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numFmt numFmtId="164" formatCode="&quot;$&quot;#,##0.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164" formatCode="&quot;$&quot;#,##0.0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border>
    </dxf>
    <dxf>
      <numFmt numFmtId="164" formatCode="&quot;$&quot;#,##0.0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center" vertical="center" textRotation="0" wrapText="1" indent="0" justifyLastLine="0" shrinkToFit="0" readingOrder="0"/>
    </dxf>
    <dxf>
      <font>
        <b/>
        <i val="0"/>
        <strike val="0"/>
        <condense val="0"/>
        <extend val="0"/>
        <outline val="0"/>
        <shadow val="0"/>
        <u val="none"/>
        <vertAlign val="baseline"/>
        <sz val="10"/>
        <color theme="1"/>
        <name val="Calibri"/>
        <family val="2"/>
        <scheme val="none"/>
      </font>
      <numFmt numFmtId="168" formatCode="#,##0.00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1"/>
    </dxf>
    <dxf>
      <numFmt numFmtId="168" formatCode="#,##0.000"/>
      <alignment horizontal="center" vertical="center" textRotation="0" wrapText="1" indent="0" justifyLastLine="0" shrinkToFit="0" readingOrder="0"/>
      <border diagonalUp="0" diagonalDown="0">
        <left style="thin">
          <color indexed="64"/>
        </left>
        <right/>
        <top style="thin">
          <color indexed="64"/>
        </top>
        <bottom style="thin">
          <color indexed="64"/>
        </bottom>
      </border>
      <protection locked="1" hidden="1"/>
    </dxf>
    <dxf>
      <font>
        <b/>
        <i val="0"/>
        <strike val="0"/>
        <condense val="0"/>
        <extend val="0"/>
        <outline val="0"/>
        <shadow val="0"/>
        <u val="none"/>
        <vertAlign val="baseline"/>
        <sz val="10"/>
        <color theme="1"/>
        <name val="Calibri"/>
        <family val="2"/>
        <scheme val="none"/>
      </font>
      <numFmt numFmtId="167" formatCode="#,##0.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1"/>
    </dxf>
    <dxf>
      <numFmt numFmtId="167" formatCode="#,##0.0"/>
      <alignment horizontal="center" vertical="center" textRotation="0" wrapText="1" indent="0" justifyLastLine="0" shrinkToFit="0" readingOrder="0"/>
      <border>
        <left style="thin">
          <color indexed="64"/>
        </left>
        <right style="thin">
          <color indexed="64"/>
        </right>
      </border>
      <protection locked="1" hidden="1"/>
    </dxf>
    <dxf>
      <font>
        <b/>
        <i val="0"/>
        <strike val="0"/>
        <condense val="0"/>
        <extend val="0"/>
        <outline val="0"/>
        <shadow val="0"/>
        <u val="none"/>
        <vertAlign val="baseline"/>
        <sz val="10"/>
        <color theme="1"/>
        <name val="Calibri"/>
        <family val="2"/>
        <scheme val="none"/>
      </font>
      <fill>
        <patternFill patternType="solid">
          <fgColor indexed="64"/>
          <bgColor theme="2"/>
        </patternFill>
      </fill>
      <alignment horizontal="center" vertical="center" textRotation="0" wrapText="1" indent="0" justifyLastLine="0" shrinkToFit="0" readingOrder="0"/>
      <border diagonalUp="0" diagonalDown="0" outline="0">
        <left/>
        <right style="thin">
          <color indexed="64"/>
        </right>
        <top style="thin">
          <color indexed="64"/>
        </top>
        <bottom/>
      </border>
    </dxf>
    <dxf>
      <numFmt numFmtId="164" formatCode="&quot;$&quot;#,##0.0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numFmt numFmtId="167" formatCode="#,##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border>
        <left style="thin">
          <color indexed="64"/>
        </left>
      </border>
    </dxf>
    <dxf>
      <numFmt numFmtId="168" formatCode="#,##0.000"/>
      <alignment horizontal="center" vertical="center" textRotation="0" wrapText="1" indent="0" justifyLastLine="0" shrinkToFit="0" readingOrder="0"/>
      <border>
        <left style="thin">
          <color indexed="64"/>
        </left>
      </border>
    </dxf>
    <dxf>
      <numFmt numFmtId="167" formatCode="#,##0.0"/>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9" formatCode="0.000"/>
      <alignment horizontal="center" vertical="center" textRotation="0" wrapText="1" indent="0" justifyLastLine="0" shrinkToFit="0" readingOrder="0"/>
      <border outline="0">
        <left style="thin">
          <color indexed="64"/>
        </left>
        <right style="thin">
          <color indexed="64"/>
        </right>
      </border>
    </dxf>
    <dxf>
      <numFmt numFmtId="167" formatCode="#,##0.0"/>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border outline="0">
        <left style="thin">
          <color indexed="64"/>
        </left>
        <right style="thin">
          <color indexed="64"/>
        </right>
      </border>
    </dxf>
    <dxf>
      <numFmt numFmtId="169" formatCode="0.000"/>
      <alignment horizontal="center" vertical="center" textRotation="0" wrapText="1" indent="0" justifyLastLine="0" shrinkToFit="0" readingOrder="0"/>
      <border outline="0">
        <left style="thin">
          <color indexed="64"/>
        </left>
      </border>
    </dxf>
    <dxf>
      <numFmt numFmtId="167" formatCode="#,##0.0"/>
      <alignment horizontal="center" vertical="center" textRotation="0" wrapText="1" indent="0" justifyLastLine="0" shrinkToFit="0" readingOrder="0"/>
      <border outline="0">
        <left style="thin">
          <color indexed="64"/>
        </left>
        <right style="thin">
          <color indexed="64"/>
        </right>
      </border>
    </dxf>
    <dxf>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border outline="0">
        <left style="thin">
          <color indexed="64"/>
        </left>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numFmt numFmtId="0" formatCode="Genera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auto="1"/>
        </left>
        <right style="thin">
          <color auto="1"/>
        </right>
        <top/>
        <bottom/>
      </border>
    </dxf>
    <dxf>
      <fill>
        <patternFill>
          <bgColor theme="2"/>
        </patternFill>
      </fill>
    </dxf>
    <dxf>
      <numFmt numFmtId="167" formatCode="#,##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border>
        <left style="thin">
          <color indexed="64"/>
        </left>
      </border>
    </dxf>
    <dxf>
      <numFmt numFmtId="168" formatCode="#,##0.000"/>
      <alignment horizontal="center" vertical="center" textRotation="0" wrapText="1" indent="0" justifyLastLine="0" shrinkToFit="0" readingOrder="0"/>
      <border>
        <left style="thin">
          <color indexed="64"/>
        </left>
      </border>
    </dxf>
    <dxf>
      <numFmt numFmtId="167" formatCode="#,##0.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6" formatCode="0.0"/>
      <alignment horizontal="center" vertical="center" textRotation="0" wrapText="1" indent="0" justifyLastLine="0" shrinkToFit="0" readingOrder="0"/>
      <border outline="0">
        <left style="thin">
          <color indexed="64"/>
        </left>
        <right style="thin">
          <color indexed="64"/>
        </right>
      </border>
    </dxf>
    <dxf>
      <numFmt numFmtId="0" formatCode="General"/>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border outline="0">
        <left style="thin">
          <color indexed="64"/>
        </left>
      </border>
    </dxf>
    <dxf>
      <alignment horizontal="center" vertical="center" textRotation="0" wrapText="1" indent="0" justifyLastLine="0" shrinkToFit="0" readingOrder="0"/>
    </dxf>
    <dxf>
      <alignment horizontal="center" vertical="center" textRotation="0" wrapText="1" indent="0" justifyLastLine="0" shrinkToFit="0" readingOrder="0"/>
      <border outline="0">
        <left style="thin">
          <color indexed="64"/>
        </left>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auto="1"/>
        </left>
        <right style="thin">
          <color auto="1"/>
        </right>
        <top/>
        <bottom/>
      </border>
    </dxf>
    <dxf>
      <fill>
        <patternFill>
          <bgColor theme="2"/>
        </patternFill>
      </fill>
    </dxf>
    <dxf>
      <numFmt numFmtId="0" formatCode="General"/>
      <fill>
        <patternFill>
          <fgColor indexed="64"/>
          <bgColor rgb="FFFF0000"/>
        </patternFill>
      </fill>
    </dxf>
    <dxf>
      <numFmt numFmtId="167" formatCode="#,##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border>
        <left style="thin">
          <color indexed="64"/>
        </left>
      </border>
    </dxf>
    <dxf>
      <numFmt numFmtId="168" formatCode="#,##0.000"/>
      <alignment horizontal="center" vertical="center" textRotation="0" wrapText="1" indent="0" justifyLastLine="0" shrinkToFit="0" readingOrder="0"/>
      <border>
        <left style="thin">
          <color indexed="64"/>
        </left>
      </border>
    </dxf>
    <dxf>
      <numFmt numFmtId="167" formatCode="#,##0.0"/>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7" formatCode="#,##0.0"/>
      <alignment horizontal="center" vertical="center" textRotation="0" wrapText="1" indent="0" justifyLastLine="0" shrinkToFit="0" readingOrder="0"/>
      <border outline="0">
        <left style="thin">
          <color indexed="64"/>
        </left>
        <right style="thin">
          <color indexed="64"/>
        </right>
      </border>
    </dxf>
    <dxf>
      <border outline="0">
        <right style="thin">
          <color indexed="64"/>
        </right>
      </border>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border outline="0">
        <left style="thin">
          <color indexed="64"/>
        </left>
        <right style="thin">
          <color indexed="64"/>
        </right>
      </border>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left style="thin">
          <color indexed="64"/>
        </left>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auto="1"/>
        </left>
        <right style="thin">
          <color auto="1"/>
        </right>
        <top/>
        <bottom/>
      </border>
    </dxf>
    <dxf>
      <fill>
        <patternFill>
          <bgColor theme="2"/>
        </patternFill>
      </fill>
    </dxf>
    <dxf>
      <numFmt numFmtId="0" formatCode="General"/>
      <fill>
        <patternFill>
          <fgColor indexed="64"/>
          <bgColor rgb="FFFF0000"/>
        </patternFill>
      </fill>
    </dxf>
    <dxf>
      <numFmt numFmtId="167" formatCode="#,##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border>
        <left style="thin">
          <color indexed="64"/>
        </left>
      </border>
    </dxf>
    <dxf>
      <numFmt numFmtId="168" formatCode="#,##0.000"/>
      <alignment horizontal="center" vertical="center" textRotation="0" wrapText="1" indent="0" justifyLastLine="0" shrinkToFit="0" readingOrder="0"/>
      <border>
        <left style="thin">
          <color indexed="64"/>
        </left>
      </border>
    </dxf>
    <dxf>
      <numFmt numFmtId="167" formatCode="#,##0.0"/>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6" formatCode="0.0"/>
      <alignment horizontal="center" vertical="center" textRotation="0" wrapText="1" indent="0" justifyLastLine="0" shrinkToFit="0" readingOrder="0"/>
      <border outline="0">
        <left style="thin">
          <color indexed="64"/>
        </left>
        <right style="thin">
          <color indexed="64"/>
        </right>
      </border>
    </dxf>
    <dxf>
      <border outline="0">
        <right style="thin">
          <color indexed="64"/>
        </right>
      </border>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border outline="0">
        <left style="thin">
          <color indexed="64"/>
        </left>
        <right style="thin">
          <color indexed="64"/>
        </right>
      </border>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border>
        <left style="thin">
          <color indexed="64"/>
        </left>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auto="1"/>
        </left>
        <right style="thin">
          <color auto="1"/>
        </right>
        <top/>
        <bottom/>
      </border>
    </dxf>
    <dxf>
      <fill>
        <patternFill>
          <bgColor theme="2"/>
        </patternFill>
      </fill>
    </dxf>
    <dxf>
      <numFmt numFmtId="167" formatCode="#,##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dxf>
    <dxf>
      <numFmt numFmtId="164" formatCode="&quot;$&quot;#,##0.00"/>
      <alignment horizontal="center" vertical="center" textRotation="0" wrapText="1" indent="0" justifyLastLine="0" shrinkToFit="0" readingOrder="0"/>
      <border>
        <left style="thin">
          <color indexed="64"/>
        </left>
      </border>
    </dxf>
    <dxf>
      <numFmt numFmtId="168" formatCode="#,##0.000"/>
      <alignment horizontal="center" vertical="center" textRotation="0" wrapText="1" indent="0" justifyLastLine="0" shrinkToFit="0" readingOrder="0"/>
      <border>
        <left style="thin">
          <color indexed="64"/>
        </left>
      </border>
    </dxf>
    <dxf>
      <numFmt numFmtId="167" formatCode="#,##0.0"/>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border>
    </dxf>
    <dxf>
      <numFmt numFmtId="164" formatCode="&quot;$&quot;#,##0.00"/>
      <alignment horizontal="center" vertical="center" textRotation="0" wrapText="1" indent="0" justifyLastLine="0" shrinkToFit="0" readingOrder="0"/>
      <border outline="0">
        <left style="thin">
          <color indexed="64"/>
        </left>
        <right style="thin">
          <color indexed="64"/>
        </right>
      </border>
    </dxf>
    <dxf>
      <numFmt numFmtId="166" formatCode="0.0"/>
      <alignment horizontal="center" vertical="center" textRotation="0" wrapText="1" indent="0" justifyLastLine="0" shrinkToFit="0" readingOrder="0"/>
      <border outline="0">
        <left style="thin">
          <color indexed="64"/>
        </left>
        <right style="thin">
          <color indexed="64"/>
        </right>
      </border>
    </dxf>
    <dxf>
      <numFmt numFmtId="0" formatCode="General"/>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border outline="0">
        <left style="thin">
          <color indexed="64"/>
        </left>
        <right style="thin">
          <color indexed="64"/>
        </right>
      </border>
    </dxf>
    <dxf>
      <alignment horizontal="center" vertical="center" textRotation="0" wrapText="1" indent="0" justifyLastLine="0" shrinkToFit="0" readingOrder="0"/>
    </dxf>
    <dxf>
      <alignment horizontal="center" vertical="center" textRotation="0" wrapText="1" indent="0" justifyLastLine="0" shrinkToFit="0" readingOrder="0"/>
      <border outline="0">
        <left style="thin">
          <color indexed="64"/>
        </left>
      </border>
    </dxf>
    <dxf>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border diagonalUp="0" diagonalDown="0" outline="0">
        <left style="thin">
          <color auto="1"/>
        </left>
        <right style="thin">
          <color auto="1"/>
        </right>
        <top/>
        <bottom/>
      </border>
    </dxf>
    <dxf>
      <fill>
        <patternFill>
          <bgColor theme="2"/>
        </patternFill>
      </fill>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8" formatCode="#,##0.0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7" formatCode="#,##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0" tint="-0.1499679555650502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border>
    </dxf>
    <dxf>
      <numFmt numFmtId="164" formatCode="&quot;$&quot;#,##0.00"/>
      <alignment horizontal="center" vertical="center" textRotation="0" wrapText="1" indent="0" justifyLastLine="0" shrinkToFit="0" readingOrder="0"/>
      <border outline="0">
        <left style="thin">
          <color indexed="64"/>
        </left>
      </border>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4" formatCode="&quot;$&quot;#,##0.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Arial"/>
        <family val="2"/>
        <scheme val="none"/>
      </font>
      <numFmt numFmtId="166" formatCode="0.0"/>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numFmt numFmtId="0" formatCode="General"/>
      <alignment horizontal="center" vertical="center" textRotation="0" wrapText="1" indent="0" justifyLastLine="0" shrinkToFit="0" readingOrder="0"/>
      <border outline="0">
        <right style="thin">
          <color indexed="64"/>
        </right>
      </border>
    </dxf>
    <dxf>
      <alignment horizontal="center" vertical="center" textRotation="0" wrapText="1" indent="0" justifyLastLine="0" shrinkToFit="0" readingOrder="0"/>
      <border outline="0">
        <left style="thin">
          <color indexed="64"/>
        </left>
        <right style="thin">
          <color indexed="64"/>
        </right>
      </border>
    </dxf>
    <dxf>
      <alignment horizontal="center" vertical="center" textRotation="0" wrapText="1" indent="0" justifyLastLine="0" shrinkToFit="0" readingOrder="0"/>
    </dxf>
    <dxf>
      <numFmt numFmtId="0" formatCode="General"/>
      <alignment horizontal="center" vertical="center" textRotation="0" wrapText="1" indent="0" justifyLastLine="0" shrinkToFit="0" readingOrder="0"/>
    </dxf>
    <dxf>
      <alignment horizontal="center" vertical="center" textRotation="0" wrapText="1" indent="0" justifyLastLine="0" shrinkToFit="0" readingOrder="0"/>
      <border outline="0">
        <right style="thin">
          <color indexed="64"/>
        </right>
      </border>
    </dxf>
    <dxf>
      <border outline="0">
        <left style="thin">
          <color auto="1"/>
        </left>
        <top style="thin">
          <color indexed="64"/>
        </top>
        <bottom style="medium">
          <color indexed="64"/>
        </bottom>
      </border>
    </dxf>
    <dxf>
      <font>
        <b val="0"/>
        <i val="0"/>
        <strike val="0"/>
        <condense val="0"/>
        <extend val="0"/>
        <outline val="0"/>
        <shadow val="0"/>
        <u val="none"/>
        <vertAlign val="baseline"/>
        <sz val="12"/>
        <color theme="1"/>
        <name val="Arial"/>
        <family val="2"/>
        <scheme val="none"/>
      </font>
      <fill>
        <patternFill patternType="solid">
          <fgColor indexed="64"/>
          <bgColor theme="0" tint="-0.14996795556505021"/>
        </patternFill>
      </fill>
      <alignment horizontal="center" vertical="center" textRotation="0" wrapText="1" indent="0" justifyLastLine="0" shrinkToFit="0" readingOrder="0"/>
    </dxf>
    <dxf>
      <border outline="0">
        <bottom style="thin">
          <color auto="1"/>
        </bottom>
      </border>
    </dxf>
    <dxf>
      <alignment horizontal="center" vertical="center" textRotation="0" wrapText="1" indent="0" justifyLastLine="0" shrinkToFit="0" readingOrder="0"/>
      <border diagonalUp="0" diagonalDown="0" outline="0">
        <left style="thin">
          <color auto="1"/>
        </left>
        <right style="thin">
          <color auto="1"/>
        </right>
        <top/>
        <bottom/>
      </border>
    </dxf>
    <dxf>
      <fill>
        <patternFill>
          <bgColor theme="2"/>
        </patternFill>
      </fill>
    </dxf>
    <dxf>
      <numFmt numFmtId="167" formatCode="#,##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protection locked="1" hidden="1"/>
    </dxf>
    <dxf>
      <numFmt numFmtId="168" formatCode="#,##0.000"/>
      <alignment horizontal="center" vertical="center" textRotation="0" wrapText="1" indent="0" justifyLastLine="0" shrinkToFit="0" readingOrder="0"/>
      <border>
        <left style="thin">
          <color indexed="64"/>
        </left>
      </border>
      <protection locked="1" hidden="1"/>
    </dxf>
    <dxf>
      <numFmt numFmtId="167" formatCode="#,##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protection locked="1" hidden="1"/>
    </dxf>
    <dxf>
      <numFmt numFmtId="164" formatCode="&quot;$&quot;#,##0.00"/>
      <alignment horizontal="center" vertical="center" textRotation="0" wrapText="1" indent="0" justifyLastLine="0" shrinkToFit="0" readingOrder="0"/>
      <border>
        <left style="thin">
          <color indexed="64"/>
        </left>
      </border>
    </dxf>
    <dxf>
      <numFmt numFmtId="164" formatCode="&quot;$&quot;#,##0.00"/>
      <alignment horizontal="center" vertical="center" textRotation="0" wrapText="1" indent="0" justifyLastLine="0" shrinkToFit="0" readingOrder="0"/>
      <border>
        <left style="thin">
          <color indexed="64"/>
        </left>
        <right style="thin">
          <color indexed="64"/>
        </right>
      </border>
    </dxf>
    <dxf>
      <numFmt numFmtId="4" formatCode="#,##0.00"/>
      <border>
        <left style="thin">
          <color indexed="64"/>
        </left>
        <right style="thin">
          <color indexed="64"/>
        </right>
      </border>
    </dxf>
    <dxf>
      <numFmt numFmtId="4" formatCode="#,##0.00"/>
      <border>
        <left style="thin">
          <color indexed="64"/>
        </left>
        <right style="thin">
          <color indexed="64"/>
        </right>
      </border>
    </dxf>
    <dxf>
      <numFmt numFmtId="167" formatCode="#,##0.0"/>
      <border>
        <left style="thin">
          <color indexed="64"/>
        </left>
        <right style="thin">
          <color indexed="64"/>
        </right>
      </border>
    </dxf>
    <dxf>
      <numFmt numFmtId="167" formatCode="#,##0.0"/>
      <border>
        <left style="thin">
          <color indexed="64"/>
        </left>
        <right style="thin">
          <color indexed="64"/>
        </right>
      </border>
    </dxf>
    <dxf>
      <numFmt numFmtId="167" formatCode="#,##0.0"/>
      <border>
        <left style="thin">
          <color indexed="64"/>
        </left>
        <right style="thin">
          <color indexed="64"/>
        </right>
      </border>
    </dxf>
    <dxf>
      <numFmt numFmtId="0" formatCode="General"/>
      <alignment horizontal="center" vertical="center" textRotation="0" wrapText="1" indent="0" justifyLastLine="0" shrinkToFit="0" readingOrder="0"/>
      <border>
        <left style="thin">
          <color indexed="64"/>
        </left>
        <right style="thin">
          <color indexed="64"/>
        </right>
      </border>
    </dxf>
    <dxf>
      <numFmt numFmtId="167" formatCode="#,##0.0"/>
      <alignment horizontal="center" vertical="center" textRotation="0" wrapText="1" indent="0" justifyLastLine="0" shrinkToFit="0" readingOrder="0"/>
      <border>
        <left style="thin">
          <color indexed="64"/>
        </left>
      </border>
    </dxf>
    <dxf>
      <font>
        <strike/>
        <color rgb="FF000000"/>
      </font>
      <numFmt numFmtId="167" formatCode="#,##0.0"/>
      <alignment horizontal="center" vertical="center" textRotation="0" wrapText="1" indent="0" justifyLastLine="0" shrinkToFit="0" readingOrder="0"/>
      <border>
        <left style="thin">
          <color indexed="64"/>
        </left>
        <right style="thin">
          <color indexed="64"/>
        </right>
      </border>
    </dxf>
    <dxf>
      <numFmt numFmtId="0" formatCode="General"/>
      <alignment horizontal="center" vertical="center" textRotation="0" wrapText="1" indent="0" justifyLastLine="0" shrinkToFit="0" readingOrder="0"/>
      <border>
        <left style="thin">
          <color indexed="64"/>
        </left>
        <right style="thin">
          <color indexed="64"/>
        </right>
      </border>
      <protection locked="1" hidden="1"/>
    </dxf>
    <dxf>
      <alignment horizontal="center" vertical="center" textRotation="0" wrapText="1" indent="0" justifyLastLine="0" shrinkToFit="0" readingOrder="0"/>
      <border>
        <left style="thin">
          <color indexed="64"/>
        </left>
      </border>
      <protection locked="0" hidden="0"/>
    </dxf>
    <dxf>
      <alignment horizontal="center" vertical="center" textRotation="0" wrapText="1" indent="0" justifyLastLine="0" shrinkToFit="0" readingOrder="0"/>
      <protection locked="0" hidden="0"/>
    </dxf>
    <dxf>
      <alignment horizontal="center" vertical="center" textRotation="0" wrapText="1" indent="0" justifyLastLine="0" shrinkToFit="0" readingOrder="0"/>
      <border>
        <left style="thin">
          <color indexed="64"/>
        </left>
      </border>
      <protection locked="1" hidden="1"/>
    </dxf>
    <dxf>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1"/>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border diagonalUp="0" diagonalDown="0" outline="0">
        <left style="thin">
          <color auto="1"/>
        </left>
        <right style="thin">
          <color auto="1"/>
        </right>
        <top/>
        <bottom/>
      </border>
    </dxf>
    <dxf>
      <fill>
        <patternFill>
          <bgColor rgb="FFC0C0C0"/>
        </patternFill>
      </fill>
    </dxf>
    <dxf>
      <fill>
        <patternFill>
          <bgColor rgb="FFC0C0C0"/>
        </patternFill>
      </fill>
    </dxf>
    <dxf>
      <fill>
        <patternFill>
          <bgColor rgb="FFC0C0C0"/>
        </patternFill>
      </fill>
    </dxf>
    <dxf>
      <fill>
        <patternFill>
          <bgColor rgb="FFC0C0C0"/>
        </patternFill>
      </fill>
    </dxf>
    <dxf>
      <fill>
        <patternFill>
          <bgColor theme="2"/>
        </patternFill>
      </fill>
    </dxf>
    <dxf>
      <fill>
        <patternFill patternType="solid">
          <fgColor auto="1"/>
          <bgColor rgb="FFF7F7F7"/>
        </patternFill>
      </fill>
    </dxf>
    <dxf>
      <fill>
        <patternFill patternType="solid">
          <fgColor auto="1"/>
          <bgColor theme="0" tint="-0.14996795556505021"/>
        </patternFill>
      </fill>
    </dxf>
    <dxf>
      <border>
        <left style="thin">
          <color auto="1"/>
        </left>
        <right style="thin">
          <color auto="1"/>
        </right>
        <top style="thin">
          <color auto="1"/>
        </top>
        <bottom style="thin">
          <color auto="1"/>
        </bottom>
        <vertical style="thin">
          <color auto="1"/>
        </vertical>
        <horizontal style="thin">
          <color auto="1"/>
        </horizontal>
      </border>
    </dxf>
    <dxf>
      <fill>
        <patternFill patternType="solid">
          <fgColor theme="5" tint="0.79998168889431442"/>
          <bgColor theme="5" tint="0.79998168889431442"/>
        </patternFill>
      </fill>
    </dxf>
    <dxf>
      <fill>
        <patternFill patternType="solid">
          <fgColor theme="5" tint="0.79998168889431442"/>
          <bgColor theme="5" tint="0.79998168889431442"/>
        </patternFill>
      </fill>
    </dxf>
    <dxf>
      <font>
        <b/>
        <color theme="1"/>
      </font>
    </dxf>
    <dxf>
      <font>
        <b/>
        <color theme="1"/>
      </font>
    </dxf>
    <dxf>
      <font>
        <b/>
        <color theme="1"/>
      </font>
      <border>
        <top style="double">
          <color theme="5"/>
        </top>
      </border>
    </dxf>
    <dxf>
      <font>
        <b/>
        <i val="0"/>
        <strike val="0"/>
        <color theme="0"/>
      </font>
      <fill>
        <patternFill>
          <bgColor theme="5"/>
        </patternFill>
      </fill>
      <border>
        <bottom style="medium">
          <color theme="5"/>
        </bottom>
      </border>
    </dxf>
    <dxf>
      <font>
        <color theme="1"/>
      </font>
      <border>
        <left style="thin">
          <color theme="5"/>
        </left>
        <right style="thin">
          <color theme="5"/>
        </right>
        <top style="thin">
          <color theme="5"/>
        </top>
        <bottom style="thin">
          <color theme="5"/>
        </bottom>
        <vertical style="thin">
          <color theme="5"/>
        </vertical>
        <horizontal style="thin">
          <color theme="5"/>
        </horizontal>
      </border>
    </dxf>
    <dxf>
      <fill>
        <patternFill patternType="solid">
          <fgColor theme="0"/>
          <bgColor rgb="FFFFEAA7"/>
        </patternFill>
      </fill>
    </dxf>
    <dxf>
      <fill>
        <patternFill patternType="solid">
          <fgColor theme="7"/>
          <bgColor rgb="FFFFD54F"/>
        </patternFill>
      </fill>
    </dxf>
    <dxf>
      <border>
        <vertical style="thin">
          <color auto="1"/>
        </vertical>
        <horizontal style="thin">
          <color auto="1"/>
        </horizontal>
      </border>
    </dxf>
    <dxf>
      <fill>
        <patternFill patternType="gray125">
          <fgColor theme="7"/>
        </patternFill>
      </fill>
    </dxf>
    <dxf>
      <fill>
        <patternFill patternType="mediumGray">
          <fgColor theme="7"/>
        </patternFill>
      </fill>
    </dxf>
    <dxf>
      <border>
        <vertical style="thin">
          <color auto="1"/>
        </vertical>
        <horizontal style="thin">
          <color auto="1"/>
        </horizontal>
      </border>
    </dxf>
  </dxfs>
  <tableStyles count="5" defaultTableStyle="Lookup Table" defaultPivotStyle="PivotStyleLight16">
    <tableStyle name="Input Cells" pivot="0" count="3" xr9:uid="{00000000-0011-0000-FFFF-FFFF00000000}">
      <tableStyleElement type="wholeTable" dxfId="266"/>
      <tableStyleElement type="firstRowStripe" dxfId="265"/>
      <tableStyleElement type="secondRowStripe" dxfId="264"/>
    </tableStyle>
    <tableStyle name="Input Cells 2" pivot="0" count="3" xr9:uid="{C2C6F8B6-F1BF-4C38-8C6C-F5810E96A7ED}">
      <tableStyleElement type="wholeTable" dxfId="263"/>
      <tableStyleElement type="firstRowStripe" dxfId="262"/>
      <tableStyleElement type="secondRowStripe" dxfId="261"/>
    </tableStyle>
    <tableStyle name="Invisible" pivot="0" table="0" count="0" xr9:uid="{608B31E0-24D9-463C-B6F1-B39AD8790504}"/>
    <tableStyle name="Lookup Table" pivot="0" count="7" xr9:uid="{7A430CEC-830A-4AC1-B89A-72EA92F001D4}">
      <tableStyleElement type="wholeTable" dxfId="260"/>
      <tableStyleElement type="headerRow" dxfId="259"/>
      <tableStyleElement type="totalRow" dxfId="258"/>
      <tableStyleElement type="firstColumn" dxfId="257"/>
      <tableStyleElement type="lastColumn" dxfId="256"/>
      <tableStyleElement type="firstRowStripe" dxfId="255"/>
      <tableStyleElement type="firstColumnStripe" dxfId="254"/>
    </tableStyle>
    <tableStyle name="No Input" pivot="0" count="3" xr9:uid="{6B172CA5-6E53-4EC8-A05C-2C0F8F85993F}">
      <tableStyleElement type="wholeTable" dxfId="253"/>
      <tableStyleElement type="firstRowStripe" dxfId="252"/>
      <tableStyleElement type="secondRowStripe" dxfId="251"/>
    </tableStyle>
  </tableStyles>
  <colors>
    <mruColors>
      <color rgb="FFC0C0C0"/>
      <color rgb="FF8DC63F"/>
      <color rgb="FFB41E83"/>
      <color rgb="FF006E51"/>
      <color rgb="FFC9E4A6"/>
      <color rgb="FFFFF2CC"/>
      <color rgb="FFFFFFCC"/>
      <color rgb="FF000000"/>
      <color rgb="FFDDDDDD"/>
      <color rgb="FF002D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microsoft.com/office/2017/10/relationships/person" Target="persons/person.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704850</xdr:colOff>
      <xdr:row>0</xdr:row>
      <xdr:rowOff>371475</xdr:rowOff>
    </xdr:from>
    <xdr:to>
      <xdr:col>5</xdr:col>
      <xdr:colOff>89139</xdr:colOff>
      <xdr:row>4</xdr:row>
      <xdr:rowOff>143428</xdr:rowOff>
    </xdr:to>
    <xdr:pic>
      <xdr:nvPicPr>
        <xdr:cNvPr id="2" name="Picture 1">
          <a:extLst>
            <a:ext uri="{FF2B5EF4-FFF2-40B4-BE49-F238E27FC236}">
              <a16:creationId xmlns:a16="http://schemas.microsoft.com/office/drawing/2014/main" id="{9B3AB8CB-24A4-4BE5-8D0F-36603069E6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62450" y="371475"/>
          <a:ext cx="2927589" cy="886378"/>
        </a:xfrm>
        <a:prstGeom prst="rect">
          <a:avLst/>
        </a:prstGeom>
      </xdr:spPr>
    </xdr:pic>
    <xdr:clientData/>
  </xdr:twoCellAnchor>
  <xdr:twoCellAnchor editAs="oneCell">
    <xdr:from>
      <xdr:col>4</xdr:col>
      <xdr:colOff>733425</xdr:colOff>
      <xdr:row>35</xdr:row>
      <xdr:rowOff>491012</xdr:rowOff>
    </xdr:from>
    <xdr:to>
      <xdr:col>4</xdr:col>
      <xdr:colOff>2397851</xdr:colOff>
      <xdr:row>38</xdr:row>
      <xdr:rowOff>96257</xdr:rowOff>
    </xdr:to>
    <xdr:pic>
      <xdr:nvPicPr>
        <xdr:cNvPr id="3" name="Picture 2">
          <a:extLst>
            <a:ext uri="{FF2B5EF4-FFF2-40B4-BE49-F238E27FC236}">
              <a16:creationId xmlns:a16="http://schemas.microsoft.com/office/drawing/2014/main" id="{78B5CA5B-5805-4483-BA63-D3F6C09FFA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334000" y="12092462"/>
          <a:ext cx="1664426" cy="42439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xdr:col>
      <xdr:colOff>914400</xdr:colOff>
      <xdr:row>25</xdr:row>
      <xdr:rowOff>129062</xdr:rowOff>
    </xdr:from>
    <xdr:to>
      <xdr:col>6</xdr:col>
      <xdr:colOff>1521551</xdr:colOff>
      <xdr:row>28</xdr:row>
      <xdr:rowOff>67682</xdr:rowOff>
    </xdr:to>
    <xdr:pic>
      <xdr:nvPicPr>
        <xdr:cNvPr id="2" name="Picture 1">
          <a:extLst>
            <a:ext uri="{FF2B5EF4-FFF2-40B4-BE49-F238E27FC236}">
              <a16:creationId xmlns:a16="http://schemas.microsoft.com/office/drawing/2014/main" id="{9A5F5B8A-EC28-41FA-B166-F145A146DDE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21</xdr:col>
      <xdr:colOff>666750</xdr:colOff>
      <xdr:row>0</xdr:row>
      <xdr:rowOff>0</xdr:rowOff>
    </xdr:from>
    <xdr:to>
      <xdr:col>23</xdr:col>
      <xdr:colOff>620491</xdr:colOff>
      <xdr:row>1</xdr:row>
      <xdr:rowOff>9525</xdr:rowOff>
    </xdr:to>
    <xdr:pic>
      <xdr:nvPicPr>
        <xdr:cNvPr id="3" name="Picture 2">
          <a:extLst>
            <a:ext uri="{FF2B5EF4-FFF2-40B4-BE49-F238E27FC236}">
              <a16:creationId xmlns:a16="http://schemas.microsoft.com/office/drawing/2014/main" id="{000AA68B-95A9-4EEB-BCEF-0F359566CD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183975" y="0"/>
          <a:ext cx="1572991" cy="4762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714375</xdr:colOff>
      <xdr:row>0</xdr:row>
      <xdr:rowOff>114300</xdr:rowOff>
    </xdr:from>
    <xdr:to>
      <xdr:col>7</xdr:col>
      <xdr:colOff>70089</xdr:colOff>
      <xdr:row>5</xdr:row>
      <xdr:rowOff>86278</xdr:rowOff>
    </xdr:to>
    <xdr:pic>
      <xdr:nvPicPr>
        <xdr:cNvPr id="2" name="Picture 1">
          <a:extLst>
            <a:ext uri="{FF2B5EF4-FFF2-40B4-BE49-F238E27FC236}">
              <a16:creationId xmlns:a16="http://schemas.microsoft.com/office/drawing/2014/main" id="{FA98B2D4-FFD4-4CF9-ABBB-4DA99BBD8E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62550" y="114300"/>
          <a:ext cx="2927589" cy="886378"/>
        </a:xfrm>
        <a:prstGeom prst="rect">
          <a:avLst/>
        </a:prstGeom>
      </xdr:spPr>
    </xdr:pic>
    <xdr:clientData/>
  </xdr:twoCellAnchor>
  <xdr:twoCellAnchor editAs="oneCell">
    <xdr:from>
      <xdr:col>5</xdr:col>
      <xdr:colOff>714375</xdr:colOff>
      <xdr:row>39</xdr:row>
      <xdr:rowOff>85725</xdr:rowOff>
    </xdr:from>
    <xdr:to>
      <xdr:col>6</xdr:col>
      <xdr:colOff>1188176</xdr:colOff>
      <xdr:row>42</xdr:row>
      <xdr:rowOff>24345</xdr:rowOff>
    </xdr:to>
    <xdr:pic>
      <xdr:nvPicPr>
        <xdr:cNvPr id="3" name="Picture 2">
          <a:extLst>
            <a:ext uri="{FF2B5EF4-FFF2-40B4-BE49-F238E27FC236}">
              <a16:creationId xmlns:a16="http://schemas.microsoft.com/office/drawing/2014/main" id="{BDA23FD2-2374-4322-BC63-E7E4C0D24E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714375</xdr:colOff>
      <xdr:row>0</xdr:row>
      <xdr:rowOff>85725</xdr:rowOff>
    </xdr:from>
    <xdr:to>
      <xdr:col>7</xdr:col>
      <xdr:colOff>70089</xdr:colOff>
      <xdr:row>5</xdr:row>
      <xdr:rowOff>57703</xdr:rowOff>
    </xdr:to>
    <xdr:pic>
      <xdr:nvPicPr>
        <xdr:cNvPr id="2" name="Picture 1">
          <a:extLst>
            <a:ext uri="{FF2B5EF4-FFF2-40B4-BE49-F238E27FC236}">
              <a16:creationId xmlns:a16="http://schemas.microsoft.com/office/drawing/2014/main" id="{0D1A2153-FBDB-4DDA-9BD7-739133D337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67225" y="85725"/>
          <a:ext cx="2927589" cy="886378"/>
        </a:xfrm>
        <a:prstGeom prst="rect">
          <a:avLst/>
        </a:prstGeom>
      </xdr:spPr>
    </xdr:pic>
    <xdr:clientData/>
  </xdr:twoCellAnchor>
  <xdr:twoCellAnchor editAs="oneCell">
    <xdr:from>
      <xdr:col>5</xdr:col>
      <xdr:colOff>714375</xdr:colOff>
      <xdr:row>45</xdr:row>
      <xdr:rowOff>0</xdr:rowOff>
    </xdr:from>
    <xdr:to>
      <xdr:col>6</xdr:col>
      <xdr:colOff>1188176</xdr:colOff>
      <xdr:row>47</xdr:row>
      <xdr:rowOff>100545</xdr:rowOff>
    </xdr:to>
    <xdr:pic>
      <xdr:nvPicPr>
        <xdr:cNvPr id="3" name="Picture 2">
          <a:extLst>
            <a:ext uri="{FF2B5EF4-FFF2-40B4-BE49-F238E27FC236}">
              <a16:creationId xmlns:a16="http://schemas.microsoft.com/office/drawing/2014/main" id="{328BCC47-5909-4D58-A147-4926CF0F317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353175" y="7181850"/>
          <a:ext cx="1664426" cy="4243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914400</xdr:colOff>
      <xdr:row>38</xdr:row>
      <xdr:rowOff>129062</xdr:rowOff>
    </xdr:from>
    <xdr:to>
      <xdr:col>5</xdr:col>
      <xdr:colOff>454751</xdr:colOff>
      <xdr:row>41</xdr:row>
      <xdr:rowOff>67682</xdr:rowOff>
    </xdr:to>
    <xdr:pic>
      <xdr:nvPicPr>
        <xdr:cNvPr id="2" name="Picture 1">
          <a:extLst>
            <a:ext uri="{FF2B5EF4-FFF2-40B4-BE49-F238E27FC236}">
              <a16:creationId xmlns:a16="http://schemas.microsoft.com/office/drawing/2014/main" id="{DBF672E3-B3FE-4F4F-87B7-8A083DBF64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5</xdr:col>
      <xdr:colOff>1047750</xdr:colOff>
      <xdr:row>0</xdr:row>
      <xdr:rowOff>0</xdr:rowOff>
    </xdr:from>
    <xdr:to>
      <xdr:col>6</xdr:col>
      <xdr:colOff>10891</xdr:colOff>
      <xdr:row>1</xdr:row>
      <xdr:rowOff>0</xdr:rowOff>
    </xdr:to>
    <xdr:pic>
      <xdr:nvPicPr>
        <xdr:cNvPr id="3" name="Picture 2">
          <a:extLst>
            <a:ext uri="{FF2B5EF4-FFF2-40B4-BE49-F238E27FC236}">
              <a16:creationId xmlns:a16="http://schemas.microsoft.com/office/drawing/2014/main" id="{E6075330-BE49-46B1-A29F-0089EFA46FA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72450" y="0"/>
          <a:ext cx="1572991" cy="476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466725</xdr:colOff>
      <xdr:row>0</xdr:row>
      <xdr:rowOff>114300</xdr:rowOff>
    </xdr:from>
    <xdr:to>
      <xdr:col>5</xdr:col>
      <xdr:colOff>70089</xdr:colOff>
      <xdr:row>5</xdr:row>
      <xdr:rowOff>86278</xdr:rowOff>
    </xdr:to>
    <xdr:pic>
      <xdr:nvPicPr>
        <xdr:cNvPr id="2" name="Picture 1">
          <a:extLst>
            <a:ext uri="{FF2B5EF4-FFF2-40B4-BE49-F238E27FC236}">
              <a16:creationId xmlns:a16="http://schemas.microsoft.com/office/drawing/2014/main" id="{E708C688-6E51-44D5-B2EB-3A3849D32F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95800" y="114300"/>
          <a:ext cx="2927589" cy="886378"/>
        </a:xfrm>
        <a:prstGeom prst="rect">
          <a:avLst/>
        </a:prstGeom>
      </xdr:spPr>
    </xdr:pic>
    <xdr:clientData/>
  </xdr:twoCellAnchor>
  <xdr:twoCellAnchor editAs="oneCell">
    <xdr:from>
      <xdr:col>4</xdr:col>
      <xdr:colOff>228600</xdr:colOff>
      <xdr:row>19</xdr:row>
      <xdr:rowOff>114300</xdr:rowOff>
    </xdr:from>
    <xdr:to>
      <xdr:col>4</xdr:col>
      <xdr:colOff>1893026</xdr:colOff>
      <xdr:row>22</xdr:row>
      <xdr:rowOff>52920</xdr:rowOff>
    </xdr:to>
    <xdr:pic>
      <xdr:nvPicPr>
        <xdr:cNvPr id="3" name="Picture 2">
          <a:extLst>
            <a:ext uri="{FF2B5EF4-FFF2-40B4-BE49-F238E27FC236}">
              <a16:creationId xmlns:a16="http://schemas.microsoft.com/office/drawing/2014/main" id="{FFA987C0-7170-4430-BDC3-DB666B3C095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619750" y="3467100"/>
          <a:ext cx="1664426" cy="4243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914400</xdr:colOff>
      <xdr:row>55</xdr:row>
      <xdr:rowOff>129062</xdr:rowOff>
    </xdr:from>
    <xdr:to>
      <xdr:col>7</xdr:col>
      <xdr:colOff>473801</xdr:colOff>
      <xdr:row>58</xdr:row>
      <xdr:rowOff>67682</xdr:rowOff>
    </xdr:to>
    <xdr:pic>
      <xdr:nvPicPr>
        <xdr:cNvPr id="2" name="Picture 1">
          <a:extLst>
            <a:ext uri="{FF2B5EF4-FFF2-40B4-BE49-F238E27FC236}">
              <a16:creationId xmlns:a16="http://schemas.microsoft.com/office/drawing/2014/main" id="{223C6C8A-B192-460A-A2D1-9EAA234B29A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21</xdr:col>
      <xdr:colOff>809625</xdr:colOff>
      <xdr:row>0</xdr:row>
      <xdr:rowOff>0</xdr:rowOff>
    </xdr:from>
    <xdr:to>
      <xdr:col>24</xdr:col>
      <xdr:colOff>29941</xdr:colOff>
      <xdr:row>1</xdr:row>
      <xdr:rowOff>0</xdr:rowOff>
    </xdr:to>
    <xdr:pic>
      <xdr:nvPicPr>
        <xdr:cNvPr id="3" name="Picture 2">
          <a:extLst>
            <a:ext uri="{FF2B5EF4-FFF2-40B4-BE49-F238E27FC236}">
              <a16:creationId xmlns:a16="http://schemas.microsoft.com/office/drawing/2014/main" id="{C769A26C-175F-4CCF-A5DD-727621E4340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49150" y="0"/>
          <a:ext cx="1572991" cy="4762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914400</xdr:colOff>
      <xdr:row>56</xdr:row>
      <xdr:rowOff>129062</xdr:rowOff>
    </xdr:from>
    <xdr:to>
      <xdr:col>6</xdr:col>
      <xdr:colOff>607151</xdr:colOff>
      <xdr:row>59</xdr:row>
      <xdr:rowOff>1007</xdr:rowOff>
    </xdr:to>
    <xdr:pic>
      <xdr:nvPicPr>
        <xdr:cNvPr id="2" name="Picture 1">
          <a:extLst>
            <a:ext uri="{FF2B5EF4-FFF2-40B4-BE49-F238E27FC236}">
              <a16:creationId xmlns:a16="http://schemas.microsoft.com/office/drawing/2014/main" id="{C35AD7B1-A754-4214-A47B-540B4416320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15</xdr:col>
      <xdr:colOff>19050</xdr:colOff>
      <xdr:row>0</xdr:row>
      <xdr:rowOff>0</xdr:rowOff>
    </xdr:from>
    <xdr:to>
      <xdr:col>17</xdr:col>
      <xdr:colOff>58516</xdr:colOff>
      <xdr:row>1</xdr:row>
      <xdr:rowOff>0</xdr:rowOff>
    </xdr:to>
    <xdr:pic>
      <xdr:nvPicPr>
        <xdr:cNvPr id="3" name="Picture 2">
          <a:extLst>
            <a:ext uri="{FF2B5EF4-FFF2-40B4-BE49-F238E27FC236}">
              <a16:creationId xmlns:a16="http://schemas.microsoft.com/office/drawing/2014/main" id="{64808100-F357-42D0-AD59-AB52DCB68B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68275" y="0"/>
          <a:ext cx="1572991" cy="4762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914400</xdr:colOff>
      <xdr:row>35</xdr:row>
      <xdr:rowOff>129062</xdr:rowOff>
    </xdr:from>
    <xdr:to>
      <xdr:col>6</xdr:col>
      <xdr:colOff>588101</xdr:colOff>
      <xdr:row>38</xdr:row>
      <xdr:rowOff>67682</xdr:rowOff>
    </xdr:to>
    <xdr:pic>
      <xdr:nvPicPr>
        <xdr:cNvPr id="2" name="Picture 1">
          <a:extLst>
            <a:ext uri="{FF2B5EF4-FFF2-40B4-BE49-F238E27FC236}">
              <a16:creationId xmlns:a16="http://schemas.microsoft.com/office/drawing/2014/main" id="{AD8F9690-FA8F-4E1D-8B23-0CE080DF66F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14</xdr:col>
      <xdr:colOff>666750</xdr:colOff>
      <xdr:row>0</xdr:row>
      <xdr:rowOff>0</xdr:rowOff>
    </xdr:from>
    <xdr:to>
      <xdr:col>17</xdr:col>
      <xdr:colOff>20416</xdr:colOff>
      <xdr:row>1</xdr:row>
      <xdr:rowOff>0</xdr:rowOff>
    </xdr:to>
    <xdr:pic>
      <xdr:nvPicPr>
        <xdr:cNvPr id="3" name="Picture 2">
          <a:extLst>
            <a:ext uri="{FF2B5EF4-FFF2-40B4-BE49-F238E27FC236}">
              <a16:creationId xmlns:a16="http://schemas.microsoft.com/office/drawing/2014/main" id="{5C8A0697-3361-4B34-A9DF-C9E74225B47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73025" y="0"/>
          <a:ext cx="1572991" cy="4762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914400</xdr:colOff>
      <xdr:row>35</xdr:row>
      <xdr:rowOff>129062</xdr:rowOff>
    </xdr:from>
    <xdr:to>
      <xdr:col>6</xdr:col>
      <xdr:colOff>588101</xdr:colOff>
      <xdr:row>38</xdr:row>
      <xdr:rowOff>67682</xdr:rowOff>
    </xdr:to>
    <xdr:pic>
      <xdr:nvPicPr>
        <xdr:cNvPr id="2" name="Picture 1">
          <a:extLst>
            <a:ext uri="{FF2B5EF4-FFF2-40B4-BE49-F238E27FC236}">
              <a16:creationId xmlns:a16="http://schemas.microsoft.com/office/drawing/2014/main" id="{1946031A-4122-42B9-B717-E0A5DC332B1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15</xdr:col>
      <xdr:colOff>628650</xdr:colOff>
      <xdr:row>0</xdr:row>
      <xdr:rowOff>0</xdr:rowOff>
    </xdr:from>
    <xdr:to>
      <xdr:col>17</xdr:col>
      <xdr:colOff>620491</xdr:colOff>
      <xdr:row>1</xdr:row>
      <xdr:rowOff>0</xdr:rowOff>
    </xdr:to>
    <xdr:pic>
      <xdr:nvPicPr>
        <xdr:cNvPr id="3" name="Picture 2">
          <a:extLst>
            <a:ext uri="{FF2B5EF4-FFF2-40B4-BE49-F238E27FC236}">
              <a16:creationId xmlns:a16="http://schemas.microsoft.com/office/drawing/2014/main" id="{4306246F-CB66-43A4-B3BD-1A3653C6F14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63675" y="0"/>
          <a:ext cx="1572991" cy="4762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914400</xdr:colOff>
      <xdr:row>35</xdr:row>
      <xdr:rowOff>129062</xdr:rowOff>
    </xdr:from>
    <xdr:to>
      <xdr:col>6</xdr:col>
      <xdr:colOff>588101</xdr:colOff>
      <xdr:row>38</xdr:row>
      <xdr:rowOff>67682</xdr:rowOff>
    </xdr:to>
    <xdr:pic>
      <xdr:nvPicPr>
        <xdr:cNvPr id="2" name="Picture 1">
          <a:extLst>
            <a:ext uri="{FF2B5EF4-FFF2-40B4-BE49-F238E27FC236}">
              <a16:creationId xmlns:a16="http://schemas.microsoft.com/office/drawing/2014/main" id="{6781F140-D3FD-4376-A3E1-199350AEFD6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86350" y="6758462"/>
          <a:ext cx="1664426" cy="424395"/>
        </a:xfrm>
        <a:prstGeom prst="rect">
          <a:avLst/>
        </a:prstGeom>
      </xdr:spPr>
    </xdr:pic>
    <xdr:clientData/>
  </xdr:twoCellAnchor>
  <xdr:twoCellAnchor editAs="oneCell">
    <xdr:from>
      <xdr:col>15</xdr:col>
      <xdr:colOff>628650</xdr:colOff>
      <xdr:row>0</xdr:row>
      <xdr:rowOff>0</xdr:rowOff>
    </xdr:from>
    <xdr:to>
      <xdr:col>17</xdr:col>
      <xdr:colOff>620491</xdr:colOff>
      <xdr:row>1</xdr:row>
      <xdr:rowOff>0</xdr:rowOff>
    </xdr:to>
    <xdr:pic>
      <xdr:nvPicPr>
        <xdr:cNvPr id="3" name="Picture 2">
          <a:extLst>
            <a:ext uri="{FF2B5EF4-FFF2-40B4-BE49-F238E27FC236}">
              <a16:creationId xmlns:a16="http://schemas.microsoft.com/office/drawing/2014/main" id="{18826F9D-35DF-45B5-859E-8A2C05FA7E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163675" y="0"/>
          <a:ext cx="1572991" cy="4762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xdr:col>
      <xdr:colOff>914400</xdr:colOff>
      <xdr:row>35</xdr:row>
      <xdr:rowOff>129062</xdr:rowOff>
    </xdr:from>
    <xdr:to>
      <xdr:col>6</xdr:col>
      <xdr:colOff>588101</xdr:colOff>
      <xdr:row>38</xdr:row>
      <xdr:rowOff>67682</xdr:rowOff>
    </xdr:to>
    <xdr:pic>
      <xdr:nvPicPr>
        <xdr:cNvPr id="2" name="Picture 1">
          <a:extLst>
            <a:ext uri="{FF2B5EF4-FFF2-40B4-BE49-F238E27FC236}">
              <a16:creationId xmlns:a16="http://schemas.microsoft.com/office/drawing/2014/main" id="{BA2729B5-D607-49E0-A022-A486EF9E3C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14975" y="18759962"/>
          <a:ext cx="1664426" cy="424395"/>
        </a:xfrm>
        <a:prstGeom prst="rect">
          <a:avLst/>
        </a:prstGeom>
      </xdr:spPr>
    </xdr:pic>
    <xdr:clientData/>
  </xdr:twoCellAnchor>
  <xdr:twoCellAnchor editAs="oneCell">
    <xdr:from>
      <xdr:col>14</xdr:col>
      <xdr:colOff>647700</xdr:colOff>
      <xdr:row>0</xdr:row>
      <xdr:rowOff>0</xdr:rowOff>
    </xdr:from>
    <xdr:to>
      <xdr:col>17</xdr:col>
      <xdr:colOff>1366</xdr:colOff>
      <xdr:row>1</xdr:row>
      <xdr:rowOff>0</xdr:rowOff>
    </xdr:to>
    <xdr:pic>
      <xdr:nvPicPr>
        <xdr:cNvPr id="3" name="Picture 2">
          <a:extLst>
            <a:ext uri="{FF2B5EF4-FFF2-40B4-BE49-F238E27FC236}">
              <a16:creationId xmlns:a16="http://schemas.microsoft.com/office/drawing/2014/main" id="{DB9CA431-5EE0-44CD-85EC-B0A1FBF3F51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63500" y="0"/>
          <a:ext cx="1572991" cy="4762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personal/spencer_kurtz_aptim_com/Documents/Desktop/ELL%20Program%20Files/Program%20Template%20Docs%20&amp;%20Calculators/2024%20Template%20Calculators/ELL_Non-Lighting%20Workbook_Unprotected_2024%20v4.3.xlsx?13C3DDEE" TargetMode="External"/><Relationship Id="rId1" Type="http://schemas.openxmlformats.org/officeDocument/2006/relationships/externalLinkPath" Target="file:///\\13C3DDEE\ELL_Non-Lighting%20Workbook_Unprotected_2024%20v4.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spencer_kurtz_aptim_com/Documents/Desktop/ENO%20Program%20Files/Program%20Calculator%20Templates/2025/Energy_Smart_Non-Lighting_Workbook_v3.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aptimcorp.sharepoint.com/personal/andrew_sheaffer_aptim_com/_vti_history/121856/Documents/Documents/Files/Calc%20rework/ENO%20Combined%20Calculato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llable application &amp; instruct"/>
      <sheetName val="Equipment qualifications"/>
      <sheetName val="Summary"/>
      <sheetName val="HVAC"/>
      <sheetName val="Refrigeration"/>
      <sheetName val="Food service"/>
      <sheetName val="Misc."/>
      <sheetName val="Custom"/>
      <sheetName val="Completion notice"/>
      <sheetName val="QC"/>
      <sheetName val="Printable application"/>
      <sheetName val="Lookups"/>
      <sheetName val="Savings Lookups"/>
      <sheetName val="APTracks Export Data"/>
      <sheetName val="Change Log"/>
    </sheetNames>
    <sheetDataSet>
      <sheetData sheetId="0">
        <row r="17">
          <cell r="J17" t="str">
            <v>Non-Lighting 2024 - v4.3</v>
          </cell>
        </row>
        <row r="20">
          <cell r="F20">
            <v>9.4600000000000004E-2</v>
          </cell>
        </row>
        <row r="21">
          <cell r="F21" t="str">
            <v>Lodging</v>
          </cell>
        </row>
        <row r="23">
          <cell r="F23" t="str">
            <v>Large Commercial &amp; Industrial Solutions</v>
          </cell>
        </row>
      </sheetData>
      <sheetData sheetId="1"/>
      <sheetData sheetId="2">
        <row r="12">
          <cell r="C12">
            <v>133000</v>
          </cell>
        </row>
      </sheetData>
      <sheetData sheetId="3"/>
      <sheetData sheetId="4"/>
      <sheetData sheetId="5"/>
      <sheetData sheetId="6"/>
      <sheetData sheetId="7"/>
      <sheetData sheetId="8"/>
      <sheetData sheetId="9">
        <row r="1">
          <cell r="B1" t="str">
            <v>30153-2021-S6K4</v>
          </cell>
        </row>
        <row r="2">
          <cell r="B2">
            <v>202440</v>
          </cell>
        </row>
        <row r="19">
          <cell r="B19">
            <v>148752.5</v>
          </cell>
          <cell r="C19">
            <v>36000</v>
          </cell>
          <cell r="D19">
            <v>184752.5</v>
          </cell>
          <cell r="G19"/>
        </row>
        <row r="21">
          <cell r="G21">
            <v>100000</v>
          </cell>
        </row>
      </sheetData>
      <sheetData sheetId="10"/>
      <sheetData sheetId="11">
        <row r="2">
          <cell r="AC2" t="str">
            <v>Measure Number</v>
          </cell>
          <cell r="AD2" t="str">
            <v>Measure Name</v>
          </cell>
        </row>
        <row r="3">
          <cell r="B3" t="str">
            <v>Small Commercial Solutions</v>
          </cell>
          <cell r="J3" t="str">
            <v>Equipment Type</v>
          </cell>
          <cell r="K3" t="str">
            <v>Min EER</v>
          </cell>
          <cell r="L3" t="str">
            <v>Min SEER/IEER</v>
          </cell>
          <cell r="M3" t="str">
            <v>Min Htg Eff. (HSPF)</v>
          </cell>
          <cell r="N3" t="str">
            <v>Min EER</v>
          </cell>
          <cell r="O3" t="str">
            <v>Min SEER/IEER</v>
          </cell>
          <cell r="P3" t="str">
            <v>Min Htg Eff. (HSPF)</v>
          </cell>
          <cell r="Q3" t="str">
            <v>Min</v>
          </cell>
          <cell r="R3" t="str">
            <v>Max</v>
          </cell>
          <cell r="T3" t="str">
            <v>Cooler (medium-temp.)</v>
          </cell>
          <cell r="V3" t="str">
            <v>Electric/Electric</v>
          </cell>
          <cell r="Y3" t="str">
            <v>Prison</v>
          </cell>
          <cell r="AA3" t="str">
            <v>Retrofit</v>
          </cell>
          <cell r="AC3"/>
          <cell r="AD3"/>
        </row>
        <row r="4">
          <cell r="B4" t="str">
            <v>Large Commercial &amp; Industrial Solutions</v>
          </cell>
          <cell r="J4" t="str">
            <v>A/C Unit (&lt; 5.42 Tons) - Min. efficiency of 12.3 EER/14.5 SEER2</v>
          </cell>
          <cell r="K4">
            <v>11.8</v>
          </cell>
          <cell r="L4">
            <v>13.4</v>
          </cell>
          <cell r="M4"/>
          <cell r="N4">
            <v>12.3</v>
          </cell>
          <cell r="O4">
            <v>14.5</v>
          </cell>
          <cell r="P4"/>
          <cell r="Q4">
            <v>0</v>
          </cell>
          <cell r="R4">
            <v>5.4199900000000003</v>
          </cell>
          <cell r="T4" t="str">
            <v>Freezer (low temp.)</v>
          </cell>
          <cell r="V4" t="str">
            <v>Gas/Electric</v>
          </cell>
          <cell r="Y4" t="str">
            <v>Hospital, Nursing Home</v>
          </cell>
          <cell r="AA4" t="str">
            <v>New Construction</v>
          </cell>
          <cell r="AC4">
            <v>202725</v>
          </cell>
          <cell r="AD4" t="str">
            <v>202725-HVAC-Demand Control Ventilation Replacing No Existing Equipment or Failed Equipment</v>
          </cell>
        </row>
        <row r="5">
          <cell r="J5" t="str">
            <v>A/C Unit (5.42 - 11.24 Tons) - Min. efficiency 12.2 EER/14.8 SEER</v>
          </cell>
          <cell r="K5">
            <v>11.1</v>
          </cell>
          <cell r="L5">
            <v>14.7</v>
          </cell>
          <cell r="M5"/>
          <cell r="N5">
            <v>12.2</v>
          </cell>
          <cell r="O5">
            <v>14.8</v>
          </cell>
          <cell r="P5"/>
          <cell r="Q5">
            <v>5.42</v>
          </cell>
          <cell r="R5">
            <v>11.24</v>
          </cell>
          <cell r="Y5" t="str">
            <v>Dormitory</v>
          </cell>
          <cell r="AC5">
            <v>202730</v>
          </cell>
          <cell r="AD5" t="str">
            <v>202730-HVAC-Demand Control Ventilation Replacing Existing Equipment</v>
          </cell>
        </row>
        <row r="6">
          <cell r="B6" t="str">
            <v>Measure Name</v>
          </cell>
          <cell r="C6" t="str">
            <v>Incentive - SC</v>
          </cell>
          <cell r="D6" t="str">
            <v>Incentive - LC</v>
          </cell>
          <cell r="E6" t="str">
            <v>Metric</v>
          </cell>
          <cell r="F6" t="str">
            <v>Measure Number</v>
          </cell>
          <cell r="G6" t="str">
            <v>Type</v>
          </cell>
          <cell r="J6" t="str">
            <v>A/C Unit (11.25 - 19.9 Tons) - Min. efficiency 12.2 EER/14.8 SEER</v>
          </cell>
          <cell r="K6">
            <v>10.9</v>
          </cell>
          <cell r="L6">
            <v>14.1</v>
          </cell>
          <cell r="M6"/>
          <cell r="N6">
            <v>12.2</v>
          </cell>
          <cell r="O6">
            <v>14.8</v>
          </cell>
          <cell r="P6"/>
          <cell r="Q6">
            <v>11.25</v>
          </cell>
          <cell r="R6">
            <v>19.998999999999999</v>
          </cell>
          <cell r="Y6" t="str">
            <v>Multifamily</v>
          </cell>
          <cell r="AC6">
            <v>202825</v>
          </cell>
          <cell r="AD6" t="str">
            <v>202825-HVAC-HVAC Controls / EMS Replacing No Existing Equipment or Failed Equipment</v>
          </cell>
        </row>
        <row r="7">
          <cell r="B7" t="str">
            <v>A/C Unit (&lt; 5.42 Tons) - Min. efficiency of 12.3 EER/14.5 SEER2</v>
          </cell>
          <cell r="C7">
            <v>18</v>
          </cell>
          <cell r="D7">
            <v>17</v>
          </cell>
          <cell r="E7" t="str">
            <v>Ton</v>
          </cell>
          <cell r="F7">
            <v>228030</v>
          </cell>
          <cell r="G7" t="str">
            <v>HVAC</v>
          </cell>
          <cell r="J7" t="str">
            <v>A/C Unit (&gt;= 20 Tons) - Min. efficiency 10.8 EER/13.5 SEER</v>
          </cell>
          <cell r="K7">
            <v>9.9</v>
          </cell>
          <cell r="L7">
            <v>13.1</v>
          </cell>
          <cell r="M7"/>
          <cell r="N7">
            <v>10.8</v>
          </cell>
          <cell r="O7">
            <v>13.5</v>
          </cell>
          <cell r="P7"/>
          <cell r="Q7">
            <v>20</v>
          </cell>
          <cell r="R7">
            <v>999999</v>
          </cell>
          <cell r="V7" t="str">
            <v>Half-Size</v>
          </cell>
          <cell r="Y7" t="str">
            <v>Lodging</v>
          </cell>
          <cell r="AA7" t="str">
            <v>VFD's/Motors</v>
          </cell>
          <cell r="AC7">
            <v>202830</v>
          </cell>
          <cell r="AD7" t="str">
            <v>202830-HVAC-HVAC Controls / EMS Replacing Existing Equipment</v>
          </cell>
        </row>
        <row r="8">
          <cell r="B8" t="str">
            <v>A/C Unit (5.42 - 11.24 Tons) - Min. efficiency 12.2 EER/14.8 SEER</v>
          </cell>
          <cell r="C8">
            <v>45</v>
          </cell>
          <cell r="D8">
            <v>42</v>
          </cell>
          <cell r="E8" t="str">
            <v>Ton</v>
          </cell>
          <cell r="F8">
            <v>228130</v>
          </cell>
          <cell r="G8" t="str">
            <v>HVAC</v>
          </cell>
          <cell r="J8" t="str">
            <v>Heat Pump (&lt; 5.42 Tons) - Min. efficiency 12.3 EER/14.5 SEER2/8.0 HSPF2</v>
          </cell>
          <cell r="K8">
            <v>11.8</v>
          </cell>
          <cell r="L8">
            <v>13.4</v>
          </cell>
          <cell r="M8">
            <v>7.1</v>
          </cell>
          <cell r="N8">
            <v>12.3</v>
          </cell>
          <cell r="O8">
            <v>14.5</v>
          </cell>
          <cell r="P8">
            <v>8</v>
          </cell>
          <cell r="Q8">
            <v>0</v>
          </cell>
          <cell r="R8">
            <v>5.4199900000000003</v>
          </cell>
          <cell r="V8" t="str">
            <v>Full-Size</v>
          </cell>
          <cell r="Y8" t="str">
            <v>Commercial</v>
          </cell>
          <cell r="AA8" t="str">
            <v>Fans/Pumps</v>
          </cell>
          <cell r="AC8">
            <v>202925</v>
          </cell>
          <cell r="AD8" t="str">
            <v>202925-HVAC-Advanced RTU Compressor Controller Replacing No Existing Equipment or Failed Equipment</v>
          </cell>
        </row>
        <row r="9">
          <cell r="B9" t="str">
            <v>A/C Unit (11.25 - 19.9 Tons) - Min. efficiency 12.2 EER/14.8 SEER</v>
          </cell>
          <cell r="C9">
            <v>70</v>
          </cell>
          <cell r="D9">
            <v>66</v>
          </cell>
          <cell r="E9" t="str">
            <v>Ton</v>
          </cell>
          <cell r="F9">
            <v>228230</v>
          </cell>
          <cell r="G9" t="str">
            <v>HVAC</v>
          </cell>
          <cell r="J9" t="str">
            <v>Heat Pump (5.42 - 11.24 Tons) - Min. efficiency 11.3 EER/14.5 SEER/12.0 HSPF</v>
          </cell>
          <cell r="K9">
            <v>10.9</v>
          </cell>
          <cell r="L9">
            <v>14</v>
          </cell>
          <cell r="M9">
            <v>11.6008</v>
          </cell>
          <cell r="N9">
            <v>11.3</v>
          </cell>
          <cell r="O9">
            <v>14.5</v>
          </cell>
          <cell r="P9">
            <v>12</v>
          </cell>
          <cell r="Q9">
            <v>5.42</v>
          </cell>
          <cell r="R9">
            <v>11.24</v>
          </cell>
          <cell r="Y9" t="str">
            <v>School</v>
          </cell>
          <cell r="AA9" t="str">
            <v>HVAC - DX, Packaged/Rooftop Units</v>
          </cell>
          <cell r="AC9">
            <v>202930</v>
          </cell>
          <cell r="AD9" t="str">
            <v>202930-HVAC-Advanced RTU Compressor Controller Replacing Existing Equipment</v>
          </cell>
        </row>
        <row r="10">
          <cell r="B10" t="str">
            <v>A/C Unit (&gt;= 20 Tons) - Min. efficiency 10.8 EER/13.5 SEER</v>
          </cell>
          <cell r="C10">
            <v>46</v>
          </cell>
          <cell r="D10">
            <v>43</v>
          </cell>
          <cell r="E10" t="str">
            <v>Ton</v>
          </cell>
          <cell r="F10">
            <v>228330</v>
          </cell>
          <cell r="G10" t="str">
            <v>HVAC</v>
          </cell>
          <cell r="J10" t="str">
            <v>Heat Pump (11.25 - 19.9 Tons) - Min. efficiency 10.9 EER/14.0 SEER/12.0 HSPF</v>
          </cell>
          <cell r="K10">
            <v>10.5</v>
          </cell>
          <cell r="L10">
            <v>13.4</v>
          </cell>
          <cell r="M10">
            <v>11.259599999999999</v>
          </cell>
          <cell r="N10">
            <v>10.9</v>
          </cell>
          <cell r="O10">
            <v>14</v>
          </cell>
          <cell r="P10">
            <v>12</v>
          </cell>
          <cell r="Q10">
            <v>11.25</v>
          </cell>
          <cell r="R10">
            <v>19.9999</v>
          </cell>
          <cell r="Y10" t="str">
            <v>Other</v>
          </cell>
          <cell r="AA10" t="str">
            <v>HVAC - Chillers</v>
          </cell>
          <cell r="AC10">
            <v>203025</v>
          </cell>
          <cell r="AD10" t="str">
            <v>203025-HVAC-Air Cooled Chiller Replacing No Existing Equipment or Failed Equipment</v>
          </cell>
        </row>
        <row r="11">
          <cell r="B11" t="str">
            <v>Heat Pump (&lt; 5.42 Tons) - Min. efficiency 12.3 EER/14.5 SEER2/8.0 HSPF2</v>
          </cell>
          <cell r="C11">
            <v>45</v>
          </cell>
          <cell r="D11">
            <v>42</v>
          </cell>
          <cell r="E11" t="str">
            <v>Ton</v>
          </cell>
          <cell r="F11">
            <v>228430</v>
          </cell>
          <cell r="G11" t="str">
            <v>HVAC</v>
          </cell>
          <cell r="J11" t="str">
            <v>Heat Pump (&gt;= 20 Tons) - Min. efficiency 10.3 EER/13.0 SEER/12.0 HSPF</v>
          </cell>
          <cell r="K11">
            <v>9.4</v>
          </cell>
          <cell r="L11">
            <v>12.4</v>
          </cell>
          <cell r="M11">
            <v>10.9184</v>
          </cell>
          <cell r="N11">
            <v>10.3</v>
          </cell>
          <cell r="O11">
            <v>13</v>
          </cell>
          <cell r="P11">
            <v>12</v>
          </cell>
          <cell r="Q11">
            <v>20</v>
          </cell>
          <cell r="R11">
            <v>999999</v>
          </cell>
          <cell r="AA11" t="str">
            <v>Compressed Air</v>
          </cell>
          <cell r="AC11">
            <v>203030</v>
          </cell>
          <cell r="AD11" t="str">
            <v>203030-HVAC-Air Cooled Chiller Replacing Existing Equipment</v>
          </cell>
        </row>
        <row r="12">
          <cell r="B12" t="str">
            <v>Heat Pump (5.42 - 11.24 Tons) - Min. efficiency 11.3 EER/14.5 SEER/12.0 HSPF</v>
          </cell>
          <cell r="C12">
            <v>32</v>
          </cell>
          <cell r="D12">
            <v>30</v>
          </cell>
          <cell r="E12" t="str">
            <v>Ton</v>
          </cell>
          <cell r="F12">
            <v>228530</v>
          </cell>
          <cell r="G12" t="str">
            <v>HVAC</v>
          </cell>
          <cell r="AA12" t="str">
            <v>Process Cooling</v>
          </cell>
          <cell r="AC12">
            <v>203125</v>
          </cell>
          <cell r="AD12" t="str">
            <v>203125-HVAC-Water Cooled Chiller Replacing No Existing Equipment or Failed Equipment</v>
          </cell>
        </row>
        <row r="13">
          <cell r="B13" t="str">
            <v>Heat Pump (11.25 - 19.9 Tons) - Min. efficiency 10.9 EER/14.0 SEER/12.0 HSPF</v>
          </cell>
          <cell r="C13">
            <v>39</v>
          </cell>
          <cell r="D13">
            <v>37</v>
          </cell>
          <cell r="E13" t="str">
            <v>Ton</v>
          </cell>
          <cell r="F13">
            <v>228630</v>
          </cell>
          <cell r="G13" t="str">
            <v>HVAC</v>
          </cell>
          <cell r="J13" t="str">
            <v>Building Type</v>
          </cell>
          <cell r="K13" t="str">
            <v>EFLHc</v>
          </cell>
          <cell r="L13" t="str">
            <v>EFLHh</v>
          </cell>
          <cell r="M13" t="str">
            <v>CF</v>
          </cell>
          <cell r="Y13" t="str">
            <v>Fast Food</v>
          </cell>
          <cell r="AA13" t="str">
            <v xml:space="preserve">Process Heating </v>
          </cell>
          <cell r="AC13">
            <v>203130</v>
          </cell>
          <cell r="AD13" t="str">
            <v>203130-HVAC-Water Cooled Chiller Replacing Existing Equipment</v>
          </cell>
        </row>
        <row r="14">
          <cell r="B14" t="str">
            <v>Heat Pump (&gt;= 20 Tons) - Min. efficiency 10.3 EER/13.0 SEER/12.0 HSPF</v>
          </cell>
          <cell r="C14">
            <v>69</v>
          </cell>
          <cell r="D14">
            <v>64</v>
          </cell>
          <cell r="E14" t="str">
            <v>Ton</v>
          </cell>
          <cell r="F14">
            <v>228730</v>
          </cell>
          <cell r="G14" t="str">
            <v>HVAC</v>
          </cell>
          <cell r="J14" t="str">
            <v>Assembly</v>
          </cell>
          <cell r="K14">
            <v>2624.4331596223719</v>
          </cell>
          <cell r="L14">
            <v>514.54553052325582</v>
          </cell>
          <cell r="M14">
            <v>0.82</v>
          </cell>
          <cell r="Y14" t="str">
            <v>Casual Dining</v>
          </cell>
          <cell r="AA14" t="str">
            <v xml:space="preserve">Process Heat Recovery </v>
          </cell>
          <cell r="AC14">
            <v>203225</v>
          </cell>
          <cell r="AD14" t="str">
            <v>203225-HVAC-Cooling Only HVAC Equipment Replacing No Existing Equipment or Failed Equipment</v>
          </cell>
        </row>
        <row r="15">
          <cell r="B15" t="str">
            <v xml:space="preserve">Guest Room Energy Management Controls </v>
          </cell>
          <cell r="C15">
            <v>90</v>
          </cell>
          <cell r="D15">
            <v>80</v>
          </cell>
          <cell r="E15" t="str">
            <v>Room</v>
          </cell>
          <cell r="F15">
            <v>228825</v>
          </cell>
          <cell r="G15" t="str">
            <v>HVAC</v>
          </cell>
          <cell r="J15" t="str">
            <v>Fast Food</v>
          </cell>
          <cell r="K15">
            <v>1790.5345410769364</v>
          </cell>
          <cell r="L15">
            <v>193.80179162328227</v>
          </cell>
          <cell r="M15">
            <v>0.78</v>
          </cell>
          <cell r="Y15" t="str">
            <v>Institutional</v>
          </cell>
          <cell r="AA15" t="str">
            <v>Building Automation System</v>
          </cell>
          <cell r="AC15">
            <v>203230</v>
          </cell>
          <cell r="AD15" t="str">
            <v>203230-HVAC-Cooling Only HVAC Equipment Replacing Existing Equipment</v>
          </cell>
        </row>
        <row r="16">
          <cell r="B16"/>
          <cell r="C16"/>
          <cell r="D16"/>
          <cell r="E16"/>
          <cell r="F16"/>
          <cell r="G16"/>
          <cell r="J16" t="str">
            <v>Grocery</v>
          </cell>
          <cell r="K16">
            <v>1654.6710198226535</v>
          </cell>
          <cell r="L16">
            <v>503.33976072849578</v>
          </cell>
          <cell r="M16">
            <v>0.9</v>
          </cell>
          <cell r="Y16" t="str">
            <v>Dormitory</v>
          </cell>
          <cell r="AA16" t="str">
            <v>Other (describe)</v>
          </cell>
          <cell r="AC16">
            <v>203325</v>
          </cell>
          <cell r="AD16" t="str">
            <v>203325-HVAC-Packaged / Rooftop Unit Replacing No Existing Equipment or Failed Equipment</v>
          </cell>
        </row>
        <row r="17">
          <cell r="B17"/>
          <cell r="C17"/>
          <cell r="D17"/>
          <cell r="E17"/>
          <cell r="F17"/>
          <cell r="G17"/>
          <cell r="J17" t="str">
            <v>Health Clinic</v>
          </cell>
          <cell r="K17">
            <v>1590.6637476836327</v>
          </cell>
          <cell r="L17">
            <v>541.95837030364612</v>
          </cell>
          <cell r="M17">
            <v>0.85</v>
          </cell>
          <cell r="Y17" t="str">
            <v>K-12 School</v>
          </cell>
          <cell r="AC17">
            <v>203330</v>
          </cell>
          <cell r="AD17" t="str">
            <v>203330-HVAC-Packaged / Rooftop Unit Replacing Existing Equipment</v>
          </cell>
        </row>
        <row r="18">
          <cell r="B18" t="str">
            <v>Duct Sealing</v>
          </cell>
          <cell r="C18">
            <v>0.7</v>
          </cell>
          <cell r="D18">
            <v>0.65</v>
          </cell>
          <cell r="E18" t="str">
            <v>CFM Reduced</v>
          </cell>
          <cell r="F18">
            <v>829025</v>
          </cell>
          <cell r="G18" t="str">
            <v>HVAC</v>
          </cell>
          <cell r="J18" t="str">
            <v>Office</v>
          </cell>
          <cell r="K18">
            <v>2133.2805663789318</v>
          </cell>
          <cell r="L18">
            <v>445.94919311647766</v>
          </cell>
          <cell r="M18">
            <v>0.84</v>
          </cell>
          <cell r="Y18" t="str">
            <v>Other</v>
          </cell>
          <cell r="AC18">
            <v>203425</v>
          </cell>
          <cell r="AD18" t="str">
            <v>203425-HVAC-Chiller Control Optimization Replacing No Existing Equipment or Failed Equipment</v>
          </cell>
        </row>
        <row r="19">
          <cell r="B19" t="str">
            <v>Air Cooled Chiller &lt;150 Tons (min. eff. of 1.18 kW/ton full load and 0.76 kW/ton IPLV)</v>
          </cell>
          <cell r="C19">
            <v>67</v>
          </cell>
          <cell r="D19">
            <v>63</v>
          </cell>
          <cell r="E19" t="str">
            <v>Ton</v>
          </cell>
          <cell r="F19">
            <v>229130</v>
          </cell>
          <cell r="G19" t="str">
            <v>HVAC</v>
          </cell>
          <cell r="J19" t="str">
            <v>Lodging</v>
          </cell>
          <cell r="K19">
            <v>1506.1554912739043</v>
          </cell>
          <cell r="L19">
            <v>329.42162368567841</v>
          </cell>
          <cell r="M19">
            <v>0.77</v>
          </cell>
          <cell r="AC19">
            <v>203430</v>
          </cell>
          <cell r="AD19" t="str">
            <v>203430-HVAC-Chiller Control Optimization Replacing Existing Equipment</v>
          </cell>
        </row>
        <row r="20">
          <cell r="B20" t="str">
            <v>Air Cooled Chiller &gt;=150 Tons (min. eff. of 1.18 kW/ton full load and 0.75 kW/ton IPLV)</v>
          </cell>
          <cell r="C20">
            <v>65</v>
          </cell>
          <cell r="D20">
            <v>61</v>
          </cell>
          <cell r="E20" t="str">
            <v>Ton</v>
          </cell>
          <cell r="F20">
            <v>229230</v>
          </cell>
          <cell r="G20" t="str">
            <v>HVAC</v>
          </cell>
          <cell r="J20" t="str">
            <v>Full Menu Restaurant</v>
          </cell>
          <cell r="K20">
            <v>2308.8152919500835</v>
          </cell>
          <cell r="L20">
            <v>122.74113753967957</v>
          </cell>
          <cell r="M20">
            <v>0.85</v>
          </cell>
          <cell r="AC20">
            <v>203525</v>
          </cell>
          <cell r="AD20" t="str">
            <v>203525-HVAC-VFD for Chiller Replacing No Existing Equipment or Failed Equipment</v>
          </cell>
        </row>
        <row r="21">
          <cell r="B21" t="str">
            <v>Water Cooled Screw/Scroll Chiller &lt;75 Tons (min. eff. of 0.74 kW/ton full load and 0.50 kW/ton IPLV)</v>
          </cell>
          <cell r="C21">
            <v>43</v>
          </cell>
          <cell r="D21">
            <v>41</v>
          </cell>
          <cell r="E21" t="str">
            <v>Ton</v>
          </cell>
          <cell r="F21">
            <v>229330</v>
          </cell>
          <cell r="G21" t="str">
            <v>HVAC</v>
          </cell>
          <cell r="J21" t="str">
            <v>Religious Worship</v>
          </cell>
          <cell r="K21">
            <v>2340.7809886765726</v>
          </cell>
          <cell r="L21">
            <v>481.0791545542636</v>
          </cell>
          <cell r="M21">
            <v>0.82</v>
          </cell>
          <cell r="T21" t="str">
            <v>0 - 15 cu. ft.</v>
          </cell>
          <cell r="Y21" t="str">
            <v>Hospital</v>
          </cell>
          <cell r="AC21">
            <v>203625</v>
          </cell>
          <cell r="AD21" t="str">
            <v>203625-HVAC-VFD for Fan Replacing No Existing Equipment or Failed Equipment</v>
          </cell>
        </row>
        <row r="22">
          <cell r="B22" t="str">
            <v>Water Cooled Screw/Scroll Chiller &gt;= 75 and &lt;150 Tons (min. eff. of 0.71 kW/ton full load and 0.49 kW/ton IPLV)</v>
          </cell>
          <cell r="C22">
            <v>42</v>
          </cell>
          <cell r="D22">
            <v>39</v>
          </cell>
          <cell r="E22" t="str">
            <v>Ton</v>
          </cell>
          <cell r="F22">
            <v>229430</v>
          </cell>
          <cell r="G22" t="str">
            <v>HVAC</v>
          </cell>
          <cell r="J22" t="str">
            <v>Retail</v>
          </cell>
          <cell r="K22">
            <v>1640.8270712051362</v>
          </cell>
          <cell r="L22">
            <v>658.00073682484617</v>
          </cell>
          <cell r="M22">
            <v>0.88</v>
          </cell>
          <cell r="T22" t="str">
            <v>15 - 30 cu. ft</v>
          </cell>
          <cell r="Y22" t="str">
            <v>Lodging</v>
          </cell>
          <cell r="AC22">
            <v>203725</v>
          </cell>
          <cell r="AD22" t="str">
            <v>203725-HVAC-PTAC Unit Replacing No Existing Equipment or Failed Equipment</v>
          </cell>
        </row>
        <row r="23">
          <cell r="B23" t="str">
            <v>Water Cooled Screw/Scroll Chiller &gt;=150 Tons and &lt;300 Tons (min. eff. of 0.65 kW/ton full load and 0.44 kW/ton IPLV)</v>
          </cell>
          <cell r="C23">
            <v>47</v>
          </cell>
          <cell r="D23">
            <v>44</v>
          </cell>
          <cell r="E23" t="str">
            <v>Ton</v>
          </cell>
          <cell r="F23">
            <v>229530</v>
          </cell>
          <cell r="G23" t="str">
            <v>HVAC</v>
          </cell>
          <cell r="J23" t="str">
            <v>School</v>
          </cell>
          <cell r="K23">
            <v>1545.2570168203831</v>
          </cell>
          <cell r="L23">
            <v>480.02004704589683</v>
          </cell>
          <cell r="M23">
            <v>0.71</v>
          </cell>
          <cell r="T23" t="str">
            <v>30 - 50 cu. ft.</v>
          </cell>
          <cell r="Y23" t="str">
            <v>Commercial</v>
          </cell>
          <cell r="AC23">
            <v>203730</v>
          </cell>
          <cell r="AD23" t="str">
            <v>203730-HVAC-PTAC Unit Replacing Existing Equipment</v>
          </cell>
        </row>
        <row r="24">
          <cell r="B24" t="str">
            <v>Water Cooled Screw/Scroll Chiller &gt;=300 Tons (min. eff. of 0.57 kW/ton full load and 0.41 kW/ton IPLV)</v>
          </cell>
          <cell r="C24">
            <v>43</v>
          </cell>
          <cell r="D24">
            <v>41</v>
          </cell>
          <cell r="E24" t="str">
            <v>Ton</v>
          </cell>
          <cell r="F24">
            <v>229630</v>
          </cell>
          <cell r="G24" t="str">
            <v>HVAC</v>
          </cell>
          <cell r="J24" t="str">
            <v>University</v>
          </cell>
          <cell r="K24">
            <v>1647.2297631629247</v>
          </cell>
          <cell r="L24">
            <v>591.637182064895</v>
          </cell>
          <cell r="M24">
            <v>0.84</v>
          </cell>
          <cell r="T24" t="str">
            <v>≥ 50 cu. ft.</v>
          </cell>
          <cell r="Y24" t="str">
            <v>Fitness Center</v>
          </cell>
          <cell r="AC24">
            <v>203825</v>
          </cell>
          <cell r="AD24" t="str">
            <v>203825-HVAC-CRAC Unit Replacing No Existing Equipment or Failed Equipment</v>
          </cell>
        </row>
        <row r="25">
          <cell r="B25" t="str">
            <v>Water Cooled Centrifugal &lt;300 Tons (min. eff. of 0.60 kW/ton full load and 0.40 kW/ton IPLV)</v>
          </cell>
          <cell r="C25">
            <v>66</v>
          </cell>
          <cell r="D25">
            <v>61</v>
          </cell>
          <cell r="E25" t="str">
            <v>Ton</v>
          </cell>
          <cell r="F25">
            <v>229730</v>
          </cell>
          <cell r="G25" t="str">
            <v>HVAC</v>
          </cell>
          <cell r="J25" t="str">
            <v>All Other</v>
          </cell>
          <cell r="K25">
            <v>1909.6607686710386</v>
          </cell>
          <cell r="L25">
            <v>442.37031009390796</v>
          </cell>
          <cell r="M25">
            <v>0.82363636363636372</v>
          </cell>
          <cell r="Y25" t="str">
            <v>School</v>
          </cell>
          <cell r="AC25">
            <v>203830</v>
          </cell>
          <cell r="AD25" t="str">
            <v>203830-HVAC-CRAC Unit Replacing Existing Equipment</v>
          </cell>
        </row>
        <row r="26">
          <cell r="B26" t="str">
            <v>Water Cooled Centrifugal &gt;=300 and &lt;600 Tons (min. eff. of 0.55 kW/ton full load and 0.39 kW/ton IPLV)</v>
          </cell>
          <cell r="C26">
            <v>56</v>
          </cell>
          <cell r="D26">
            <v>53</v>
          </cell>
          <cell r="E26" t="str">
            <v>Ton</v>
          </cell>
          <cell r="F26">
            <v>229830</v>
          </cell>
          <cell r="G26" t="str">
            <v>HVAC</v>
          </cell>
          <cell r="Y26" t="str">
            <v>Other</v>
          </cell>
          <cell r="AC26">
            <v>203925</v>
          </cell>
          <cell r="AD26" t="str">
            <v>203925-HVAC-Ground Source Heat Pump Replacing No Existing Equipment or Failed Equipment</v>
          </cell>
        </row>
        <row r="27">
          <cell r="B27" t="str">
            <v>Water Cooled Centrifugal &gt;=600 Tons (min. eff. of 0.55 kW/ton full load and 0.38 kW/ton IPLV)</v>
          </cell>
          <cell r="C27">
            <v>53</v>
          </cell>
          <cell r="D27">
            <v>50</v>
          </cell>
          <cell r="E27" t="str">
            <v>Ton</v>
          </cell>
          <cell r="F27">
            <v>229930</v>
          </cell>
          <cell r="G27" t="str">
            <v>HVAC</v>
          </cell>
          <cell r="J27"/>
          <cell r="K27"/>
          <cell r="L27"/>
          <cell r="M27"/>
          <cell r="N27"/>
          <cell r="O27"/>
          <cell r="P27"/>
          <cell r="AC27">
            <v>203930</v>
          </cell>
          <cell r="AD27" t="str">
            <v>203930-HVAC-Ground Source Heat Pump Replacing Existing Equipment</v>
          </cell>
        </row>
        <row r="28">
          <cell r="B28" t="str">
            <v>ECM Motors (HVAC)</v>
          </cell>
          <cell r="C28">
            <v>57</v>
          </cell>
          <cell r="D28">
            <v>53</v>
          </cell>
          <cell r="E28" t="str">
            <v>Fan</v>
          </cell>
          <cell r="F28">
            <v>220125</v>
          </cell>
          <cell r="G28" t="str">
            <v>HVAC</v>
          </cell>
          <cell r="AC28">
            <v>204025</v>
          </cell>
          <cell r="AD28" t="str">
            <v>204025-HVAC-Water Loop Heat Pump Replacing No Existing Equipment or Failed Equipment</v>
          </cell>
        </row>
        <row r="29">
          <cell r="B29" t="str">
            <v>ECM Motors (Refrigeration)</v>
          </cell>
          <cell r="C29">
            <v>133</v>
          </cell>
          <cell r="D29">
            <v>125</v>
          </cell>
          <cell r="E29" t="str">
            <v>Fan</v>
          </cell>
          <cell r="F29">
            <v>420125</v>
          </cell>
          <cell r="G29" t="str">
            <v>Food Service/Retail/Refrigeration</v>
          </cell>
          <cell r="J29"/>
          <cell r="K29"/>
          <cell r="L29"/>
          <cell r="M29"/>
          <cell r="N29"/>
          <cell r="O29"/>
          <cell r="P29"/>
          <cell r="AC29">
            <v>204030</v>
          </cell>
          <cell r="AD29" t="str">
            <v>204030-HVAC-Water Loop Heat Pump Replacing Existing Equipment</v>
          </cell>
        </row>
        <row r="30">
          <cell r="B30" t="str">
            <v>Evaporator Fan Controllers (Refrigeration)</v>
          </cell>
          <cell r="C30">
            <v>65</v>
          </cell>
          <cell r="D30">
            <v>60</v>
          </cell>
          <cell r="E30" t="str">
            <v>Fan</v>
          </cell>
          <cell r="F30">
            <v>420225</v>
          </cell>
          <cell r="G30" t="str">
            <v>Food Service/Retail/Refrigeration</v>
          </cell>
          <cell r="J30"/>
          <cell r="K30"/>
          <cell r="L30"/>
          <cell r="M30"/>
          <cell r="N30"/>
          <cell r="O30"/>
          <cell r="P30"/>
          <cell r="AC30">
            <v>204125</v>
          </cell>
          <cell r="AD30" t="str">
            <v>204125-HVAC-ECM Motor for HVAC Replacing No Existing Equipment or Failed Equipment</v>
          </cell>
        </row>
        <row r="31">
          <cell r="B31" t="str">
            <v>Anti-Sweat Heater Controls (Refrigeration)</v>
          </cell>
          <cell r="C31">
            <v>40</v>
          </cell>
          <cell r="D31">
            <v>35</v>
          </cell>
          <cell r="E31" t="str">
            <v>Linear Ft.</v>
          </cell>
          <cell r="F31">
            <v>420325</v>
          </cell>
          <cell r="G31" t="str">
            <v>Food Service/Retail/Refrigeration</v>
          </cell>
          <cell r="T31" t="str">
            <v>Supermarket – Cooler</v>
          </cell>
          <cell r="AC31">
            <v>204130</v>
          </cell>
          <cell r="AD31" t="str">
            <v>204130-HVAC-ECM Motor for HVAC Replacing Existing Equipment</v>
          </cell>
        </row>
        <row r="32">
          <cell r="B32" t="str">
            <v>Night Cover (Refrigeration)</v>
          </cell>
          <cell r="C32">
            <v>20</v>
          </cell>
          <cell r="D32">
            <v>20</v>
          </cell>
          <cell r="E32" t="str">
            <v>Linear Ft.</v>
          </cell>
          <cell r="F32">
            <v>420425</v>
          </cell>
          <cell r="G32" t="str">
            <v>Food Service/Retail/Refrigeration</v>
          </cell>
          <cell r="T32" t="str">
            <v>Supermarket – Freezer</v>
          </cell>
          <cell r="AC32">
            <v>217130</v>
          </cell>
          <cell r="AD32" t="str">
            <v>217130-Ventilation-Efficient Circulation Fans Replacing Existing Equipment</v>
          </cell>
        </row>
        <row r="33">
          <cell r="B33" t="str">
            <v>Solid Door Reach-Ins (Refrigeration)</v>
          </cell>
          <cell r="C33">
            <v>65</v>
          </cell>
          <cell r="D33">
            <v>60</v>
          </cell>
          <cell r="E33" t="str">
            <v>Unit</v>
          </cell>
          <cell r="F33">
            <v>420525</v>
          </cell>
          <cell r="G33" t="str">
            <v>Food Service/Retail/Refrigeration</v>
          </cell>
          <cell r="J33" t="str">
            <v>Prescriptive Measure</v>
          </cell>
          <cell r="K33" t="str">
            <v>FL kW/ton</v>
          </cell>
          <cell r="L33" t="str">
            <v>IPLV kW/ton</v>
          </cell>
          <cell r="M33" t="str">
            <v>FL kW/ton</v>
          </cell>
          <cell r="N33" t="str">
            <v>IPLV kW/ton</v>
          </cell>
          <cell r="O33" t="str">
            <v>Min</v>
          </cell>
          <cell r="P33" t="str">
            <v>Max</v>
          </cell>
          <cell r="T33" t="str">
            <v>Convenience Store - Cooler</v>
          </cell>
          <cell r="AC33">
            <v>217230</v>
          </cell>
          <cell r="AD33" t="str">
            <v>217230-Ventilation-Efficient Ventilation/Exhaust Fans Replacing Existing Equipment</v>
          </cell>
        </row>
        <row r="34">
          <cell r="B34" t="str">
            <v>Strip Curtains (Refrigeration)</v>
          </cell>
          <cell r="C34">
            <v>12</v>
          </cell>
          <cell r="D34">
            <v>10</v>
          </cell>
          <cell r="E34" t="str">
            <v>Sq.Ft.</v>
          </cell>
          <cell r="F34">
            <v>420625</v>
          </cell>
          <cell r="G34" t="str">
            <v>Food Service/Retail/Refrigeration</v>
          </cell>
          <cell r="J34" t="str">
            <v>SELECT CHILLER MEASURE FROM DROPDOWN</v>
          </cell>
          <cell r="K34"/>
          <cell r="L34"/>
          <cell r="M34"/>
          <cell r="N34"/>
          <cell r="O34"/>
          <cell r="P34"/>
          <cell r="T34" t="str">
            <v>Convenience Store - Freezer</v>
          </cell>
          <cell r="AC34">
            <v>217330</v>
          </cell>
          <cell r="AD34" t="str">
            <v>217330-Ventilation-High-Volume-Low-Speed (HVLS) Fans Replacing Existing Equipment</v>
          </cell>
        </row>
        <row r="35">
          <cell r="B35" t="str">
            <v>Commercial dishwasher - ENERGY STAR® - Under counter</v>
          </cell>
          <cell r="C35">
            <v>418</v>
          </cell>
          <cell r="D35">
            <v>392</v>
          </cell>
          <cell r="E35" t="str">
            <v>Unit</v>
          </cell>
          <cell r="F35">
            <v>321030</v>
          </cell>
          <cell r="G35" t="str">
            <v>Commercial Kitchen</v>
          </cell>
          <cell r="J35" t="str">
            <v>Air Cooled Chiller &lt;150 Tons (min. eff. of 1.18 kW/ton full load and 0.76 kW/ton IPLV)</v>
          </cell>
          <cell r="K35">
            <v>1.1879999999999999</v>
          </cell>
          <cell r="L35">
            <v>0.876</v>
          </cell>
          <cell r="M35">
            <v>1.18</v>
          </cell>
          <cell r="N35">
            <v>0.76</v>
          </cell>
          <cell r="O35">
            <v>0</v>
          </cell>
          <cell r="P35">
            <v>149.999</v>
          </cell>
          <cell r="T35" t="str">
            <v>Restaurant – Cooler</v>
          </cell>
          <cell r="AC35">
            <v>304925</v>
          </cell>
          <cell r="AD35" t="str">
            <v>304925-Cooking-Commercial Cooker Replacing No Existing Equipment or Failed Equipment</v>
          </cell>
        </row>
        <row r="36">
          <cell r="B36" t="str">
            <v>Commercial dishwasher - ENERGY STAR® - Stationary Single Tank Door</v>
          </cell>
          <cell r="C36">
            <v>1991</v>
          </cell>
          <cell r="D36">
            <v>1866</v>
          </cell>
          <cell r="E36" t="str">
            <v>Unit</v>
          </cell>
          <cell r="F36">
            <v>321130</v>
          </cell>
          <cell r="G36" t="str">
            <v>Commercial Kitchen</v>
          </cell>
          <cell r="J36" t="str">
            <v>Air Cooled Chiller &gt;=150 Tons (min. eff. of 1.18 kW/ton full load and 0.75 kW/ton IPLV)</v>
          </cell>
          <cell r="K36">
            <v>1.1879999999999999</v>
          </cell>
          <cell r="L36">
            <v>0.85699999999999998</v>
          </cell>
          <cell r="M36">
            <v>1.18</v>
          </cell>
          <cell r="N36">
            <v>0.75</v>
          </cell>
          <cell r="O36">
            <v>150</v>
          </cell>
          <cell r="P36">
            <v>999999</v>
          </cell>
          <cell r="T36" t="str">
            <v>Restaurant - Freezer</v>
          </cell>
          <cell r="AC36">
            <v>304930</v>
          </cell>
          <cell r="AD36" t="str">
            <v>304930-Cooking-Commercial Cooker Replacing Existing Equipment</v>
          </cell>
        </row>
        <row r="37">
          <cell r="B37" t="str">
            <v>Commercial dishwasher - ENERGY STAR® - Pots, pans and utensils</v>
          </cell>
          <cell r="C37">
            <v>367</v>
          </cell>
          <cell r="D37">
            <v>344</v>
          </cell>
          <cell r="E37" t="str">
            <v>Unit</v>
          </cell>
          <cell r="F37">
            <v>321230</v>
          </cell>
          <cell r="G37" t="str">
            <v>Commercial Kitchen</v>
          </cell>
          <cell r="J37" t="str">
            <v>Water Cooled Screw/Scroll Chiller &lt;75 Tons (min. eff. of 0.74 kW/ton full load and 0.50 kW/ton IPLV)</v>
          </cell>
          <cell r="K37">
            <v>0.75</v>
          </cell>
          <cell r="L37">
            <v>0.6</v>
          </cell>
          <cell r="M37">
            <v>0.74</v>
          </cell>
          <cell r="N37">
            <v>0.5</v>
          </cell>
          <cell r="O37">
            <v>0</v>
          </cell>
          <cell r="P37">
            <v>74.998999999999995</v>
          </cell>
          <cell r="T37" t="str">
            <v>Refrigerated Warehouse</v>
          </cell>
          <cell r="AC37">
            <v>305025</v>
          </cell>
          <cell r="AD37" t="str">
            <v>305025-Cooking-Commercial Fryer Replacing No Existing Equipment or Failed Equipment</v>
          </cell>
        </row>
        <row r="38">
          <cell r="B38" t="str">
            <v>Commercial dishwasher - ENERGY STAR®- Single tank conveyor</v>
          </cell>
          <cell r="C38">
            <v>1679</v>
          </cell>
          <cell r="D38">
            <v>1574</v>
          </cell>
          <cell r="E38" t="str">
            <v>Unit</v>
          </cell>
          <cell r="F38">
            <v>321330</v>
          </cell>
          <cell r="G38" t="str">
            <v>Commercial Kitchen</v>
          </cell>
          <cell r="J38" t="str">
            <v>Water Cooled Screw/Scroll Chiller &gt;= 75 and &lt;150 Tons (min. eff. of 0.71 kW/ton full load and 0.49 kW/ton IPLV)</v>
          </cell>
          <cell r="K38">
            <v>0.72</v>
          </cell>
          <cell r="L38">
            <v>0.56000000000000005</v>
          </cell>
          <cell r="M38">
            <v>0.71</v>
          </cell>
          <cell r="N38">
            <v>0.49</v>
          </cell>
          <cell r="O38">
            <v>75</v>
          </cell>
          <cell r="P38">
            <v>149.999</v>
          </cell>
          <cell r="AC38">
            <v>305030</v>
          </cell>
          <cell r="AD38" t="str">
            <v>305030-Cooking-Commercial Fryer Replacing Existing Equipment</v>
          </cell>
        </row>
        <row r="39">
          <cell r="B39" t="str">
            <v>Commercial dishwasher - ENERGY STAR® - Multiple tank conveyor</v>
          </cell>
          <cell r="C39">
            <v>3097</v>
          </cell>
          <cell r="D39">
            <v>2903</v>
          </cell>
          <cell r="E39" t="str">
            <v>Unit</v>
          </cell>
          <cell r="F39">
            <v>321430</v>
          </cell>
          <cell r="G39" t="str">
            <v>Commercial Kitchen</v>
          </cell>
          <cell r="J39" t="str">
            <v>Water Cooled Screw/Scroll Chiller &gt;=150 Tons and &lt;300 Tons (min. eff. of 0.65 kW/ton full load and 0.44 kW/ton IPLV)</v>
          </cell>
          <cell r="K39">
            <v>0.66</v>
          </cell>
          <cell r="L39">
            <v>0.54</v>
          </cell>
          <cell r="M39">
            <v>0.65</v>
          </cell>
          <cell r="N39">
            <v>0.44</v>
          </cell>
          <cell r="O39">
            <v>150</v>
          </cell>
          <cell r="P39">
            <v>299.99900000000002</v>
          </cell>
          <cell r="AC39">
            <v>305125</v>
          </cell>
          <cell r="AD39" t="str">
            <v>305125-Cooking-Commercial Range Hood Replacing No Existing Equipment or Failed Equipment</v>
          </cell>
        </row>
        <row r="40">
          <cell r="B40" t="str">
            <v>Commercial ice maker - ENERGY STAR®</v>
          </cell>
          <cell r="C40">
            <v>91</v>
          </cell>
          <cell r="D40">
            <v>85</v>
          </cell>
          <cell r="E40" t="str">
            <v>Unit</v>
          </cell>
          <cell r="F40">
            <v>321530</v>
          </cell>
          <cell r="G40" t="str">
            <v>Commercial Kitchen</v>
          </cell>
          <cell r="J40" t="str">
            <v>Water Cooled Screw/Scroll Chiller &gt;=300 Tons (min. eff. of 0.57 kW/ton full load and 0.41 kW/ton IPLV)</v>
          </cell>
          <cell r="K40">
            <v>0.58499999999999996</v>
          </cell>
          <cell r="L40">
            <v>0.51</v>
          </cell>
          <cell r="M40">
            <v>0.56999999999999995</v>
          </cell>
          <cell r="N40">
            <v>0.41</v>
          </cell>
          <cell r="O40">
            <v>300</v>
          </cell>
          <cell r="P40">
            <v>999999</v>
          </cell>
          <cell r="T40" t="str">
            <v>Yes</v>
          </cell>
          <cell r="AC40">
            <v>305130</v>
          </cell>
          <cell r="AD40" t="str">
            <v>305130-Cooking-Commercial Range Hood Replacing Existing Equipment</v>
          </cell>
        </row>
        <row r="41">
          <cell r="B41" t="str">
            <v>Convection commercial oven - ENERGY STAR®</v>
          </cell>
          <cell r="C41">
            <v>309</v>
          </cell>
          <cell r="D41">
            <v>290</v>
          </cell>
          <cell r="E41" t="str">
            <v>Unit</v>
          </cell>
          <cell r="F41">
            <v>321630</v>
          </cell>
          <cell r="G41" t="str">
            <v>Commercial Kitchen</v>
          </cell>
          <cell r="J41" t="str">
            <v>Water Cooled Centrifugal &lt;300 Tons (min. eff. of 0.60 kW/ton full load and 0.40 kW/ton IPLV)</v>
          </cell>
          <cell r="K41">
            <v>0.61</v>
          </cell>
          <cell r="L41">
            <v>0.55000000000000004</v>
          </cell>
          <cell r="M41">
            <v>0.6</v>
          </cell>
          <cell r="N41">
            <v>0.4</v>
          </cell>
          <cell r="O41">
            <v>0</v>
          </cell>
          <cell r="P41">
            <v>299.99900000000002</v>
          </cell>
          <cell r="T41" t="str">
            <v>No</v>
          </cell>
          <cell r="AC41">
            <v>305225</v>
          </cell>
          <cell r="AD41" t="str">
            <v>305225-Cooking-Commercial Steamer Replacing No Existing Equipment or Failed Equipment</v>
          </cell>
        </row>
        <row r="42">
          <cell r="B42" t="str">
            <v>Combination commercial oven &lt;15 Pan - ENERGY STAR®</v>
          </cell>
          <cell r="C42">
            <v>1840</v>
          </cell>
          <cell r="D42">
            <v>1725</v>
          </cell>
          <cell r="E42" t="str">
            <v>Unit</v>
          </cell>
          <cell r="F42">
            <v>321730</v>
          </cell>
          <cell r="G42" t="str">
            <v>Commercial Kitchen</v>
          </cell>
          <cell r="J42" t="str">
            <v>Water Cooled Centrifugal &gt;=300 and &lt;600 Tons (min. eff. of 0.55 kW/ton full load and 0.39 kW/ton IPLV)</v>
          </cell>
          <cell r="K42">
            <v>0.56000000000000005</v>
          </cell>
          <cell r="L42">
            <v>0.51</v>
          </cell>
          <cell r="M42">
            <v>0.55000000000000004</v>
          </cell>
          <cell r="N42">
            <v>0.39</v>
          </cell>
          <cell r="O42">
            <v>300</v>
          </cell>
          <cell r="P42">
            <v>599.99900000000002</v>
          </cell>
          <cell r="T42" t="str">
            <v>Unknown</v>
          </cell>
          <cell r="AC42">
            <v>305230</v>
          </cell>
          <cell r="AD42" t="str">
            <v>305230-Cooking-Commercial Steamer Replacing Existing Equipment</v>
          </cell>
        </row>
        <row r="43">
          <cell r="B43" t="str">
            <v>Combination commercial oven &gt;=15 Pan - ENERGY STAR®</v>
          </cell>
          <cell r="C43">
            <v>2967</v>
          </cell>
          <cell r="D43">
            <v>2781</v>
          </cell>
          <cell r="E43" t="str">
            <v>Unit</v>
          </cell>
          <cell r="F43">
            <v>321830</v>
          </cell>
          <cell r="G43" t="str">
            <v>Commercial Kitchen</v>
          </cell>
          <cell r="J43" t="str">
            <v>Water Cooled Centrifugal &gt;=600 Tons (min. eff. of 0.55 kW/ton full load and 0.38 kW/ton IPLV)</v>
          </cell>
          <cell r="K43">
            <v>0.56000000000000005</v>
          </cell>
          <cell r="L43">
            <v>0.5</v>
          </cell>
          <cell r="M43">
            <v>0.55000000000000004</v>
          </cell>
          <cell r="N43">
            <v>0.38</v>
          </cell>
          <cell r="O43">
            <v>600</v>
          </cell>
          <cell r="P43">
            <v>999999</v>
          </cell>
          <cell r="AC43">
            <v>305325</v>
          </cell>
          <cell r="AD43" t="str">
            <v>305325-Cooking-Hot Food Holding Cabinent Replacing No Existing Equipment or Failed Equipment</v>
          </cell>
        </row>
        <row r="44">
          <cell r="B44" t="str">
            <v>Commercial steam cooker - ENERGY STAR®</v>
          </cell>
          <cell r="C44">
            <v>3400</v>
          </cell>
          <cell r="D44">
            <v>3188</v>
          </cell>
          <cell r="E44" t="str">
            <v>Unit</v>
          </cell>
          <cell r="F44">
            <v>321930</v>
          </cell>
          <cell r="G44" t="str">
            <v>Commercial Kitchen</v>
          </cell>
          <cell r="AC44">
            <v>305330</v>
          </cell>
          <cell r="AD44" t="str">
            <v>305330-Cooking-Hot Food Holding Cabinent Replacing Existing Equipment</v>
          </cell>
        </row>
        <row r="45">
          <cell r="B45" t="str">
            <v xml:space="preserve">Low-Flow Sink Aerators - 1.5 GPM or Less - Only Electric Hot Water </v>
          </cell>
          <cell r="C45">
            <v>13</v>
          </cell>
          <cell r="D45">
            <v>12</v>
          </cell>
          <cell r="E45" t="str">
            <v>Aerator</v>
          </cell>
          <cell r="F45">
            <v>525025</v>
          </cell>
          <cell r="G45" t="str">
            <v>Water Fixture</v>
          </cell>
          <cell r="AC45"/>
          <cell r="AD45"/>
        </row>
        <row r="46">
          <cell r="B46" t="str">
            <v xml:space="preserve">Pre-Rinse Spray Valves - 1.28 GPM or Less - Only Electric Hot Water </v>
          </cell>
          <cell r="C46">
            <v>52</v>
          </cell>
          <cell r="D46">
            <v>49</v>
          </cell>
          <cell r="E46" t="str">
            <v>Spray Valve</v>
          </cell>
          <cell r="F46">
            <v>525325</v>
          </cell>
          <cell r="G46" t="str">
            <v>Water Fixture</v>
          </cell>
          <cell r="AC46">
            <v>407025</v>
          </cell>
          <cell r="AD46" t="str">
            <v>407025-Refrigeration-ECM Motor for Refrigeration Replacing No Existing Equipment or Failed Equipment</v>
          </cell>
        </row>
        <row r="47">
          <cell r="B47" t="str">
            <v xml:space="preserve">Low-Flow Showerhead - 1.75 GPM or Less - Only Electric Hot Water </v>
          </cell>
          <cell r="C47">
            <v>5</v>
          </cell>
          <cell r="D47">
            <v>4</v>
          </cell>
          <cell r="E47" t="str">
            <v>Showerhead</v>
          </cell>
          <cell r="F47">
            <v>525225</v>
          </cell>
          <cell r="G47" t="str">
            <v>Water Fixture</v>
          </cell>
          <cell r="AC47">
            <v>407025</v>
          </cell>
          <cell r="AD47" t="str">
            <v>407025-Refrigeration-ECM Motor for Refrigeration Replacing No Existing Equipment or Failed Equipment</v>
          </cell>
        </row>
        <row r="48">
          <cell r="B48"/>
          <cell r="C48"/>
          <cell r="D48"/>
          <cell r="E48"/>
          <cell r="F48"/>
          <cell r="G48"/>
          <cell r="J48" t="str">
            <v>SELECT AC MEASURE FROM DROPDOWN</v>
          </cell>
          <cell r="AC48">
            <v>407125</v>
          </cell>
          <cell r="AD48" t="str">
            <v>407125-Refrigeration-Commercial Freezer Replacing No Existing Equipment or Failed Equipment</v>
          </cell>
        </row>
        <row r="49">
          <cell r="B49"/>
          <cell r="C49"/>
          <cell r="D49"/>
          <cell r="E49"/>
          <cell r="F49"/>
          <cell r="G49"/>
          <cell r="J49" t="str">
            <v>A/C Unit (&lt; 5.42 Tons) - Min. efficiency of 12.3 EER/14.5 SEER2</v>
          </cell>
          <cell r="AC49">
            <v>407130</v>
          </cell>
          <cell r="AD49" t="str">
            <v>407130-Refrigeration-Commercial Freezer Replacing Existing Equipment</v>
          </cell>
        </row>
        <row r="50">
          <cell r="B50" t="str">
            <v>Advanced Power Strip</v>
          </cell>
          <cell r="C50">
            <v>16</v>
          </cell>
          <cell r="D50">
            <v>15</v>
          </cell>
          <cell r="E50" t="str">
            <v>Strip</v>
          </cell>
          <cell r="F50">
            <v>525625</v>
          </cell>
          <cell r="G50" t="str">
            <v>Miscellaneous</v>
          </cell>
          <cell r="J50" t="str">
            <v>A/C Unit (5.42 - 11.24 Tons) - Min. efficiency 12.2 EER/14.8 SEER</v>
          </cell>
          <cell r="AC50">
            <v>407225</v>
          </cell>
          <cell r="AD50" t="str">
            <v>407225-Refrigeration-Commercial Refrigerator Replacing No Existing Equipment or Failed Equipment</v>
          </cell>
        </row>
        <row r="51">
          <cell r="B51" t="str">
            <v>PC Power Management</v>
          </cell>
          <cell r="C51">
            <v>32</v>
          </cell>
          <cell r="D51">
            <v>30</v>
          </cell>
          <cell r="E51" t="str">
            <v>PC</v>
          </cell>
          <cell r="F51">
            <v>935730</v>
          </cell>
          <cell r="G51" t="str">
            <v>Miscellaneous</v>
          </cell>
          <cell r="J51" t="str">
            <v>A/C Unit (11.25 - 19.9 Tons) - Min. efficiency 12.2 EER/14.8 SEER</v>
          </cell>
          <cell r="AC51">
            <v>407230</v>
          </cell>
          <cell r="AD51" t="str">
            <v>407230-Refrigeration-Commercial Refrigerator Replacing Existing Equipment</v>
          </cell>
        </row>
        <row r="52">
          <cell r="J52" t="str">
            <v>A/C Unit (&gt;= 20 Tons) - Min. efficiency 10.8 EER/13.5 SEER</v>
          </cell>
          <cell r="AC52">
            <v>407425</v>
          </cell>
          <cell r="AD52" t="str">
            <v>407425-Refrigeration-Freezer Insulation Replacing No Existing Equipment or Failed Equipment</v>
          </cell>
        </row>
        <row r="53">
          <cell r="AC53">
            <v>407430</v>
          </cell>
          <cell r="AD53" t="str">
            <v>407430-Refrigeration-Freezer Insulation Replacing Existing Equipment</v>
          </cell>
        </row>
        <row r="54">
          <cell r="B54" t="str">
            <v>Pre-Retrofit</v>
          </cell>
          <cell r="AC54">
            <v>407525</v>
          </cell>
          <cell r="AD54" t="str">
            <v>407525-Refrigeration-Refrigeration Insulation Replacing No Existing Equipment or Failed Equipment</v>
          </cell>
        </row>
        <row r="55">
          <cell r="B55" t="str">
            <v>Post-Retrofit</v>
          </cell>
          <cell r="J55" t="str">
            <v>SELECT HP MEASURE FROM DROPDOWN</v>
          </cell>
          <cell r="AC55">
            <v>407530</v>
          </cell>
          <cell r="AD55" t="str">
            <v>407530-Refrigeration-Refrigeration Insulation Replacing Existing Equipment</v>
          </cell>
        </row>
        <row r="56">
          <cell r="J56" t="str">
            <v>Heat Pump (&lt; 5.42 Tons) - Min. efficiency 12.3 EER/14.5 SEER2/8.0 HSPF2</v>
          </cell>
          <cell r="AC56">
            <v>407625</v>
          </cell>
          <cell r="AD56" t="str">
            <v>407625-Refrigeration-Controls Replacing No Existing Equipment or Failed Equipment</v>
          </cell>
        </row>
        <row r="57">
          <cell r="J57" t="str">
            <v>Heat Pump (5.42 - 11.24 Tons) - Min. efficiency 11.3 EER/14.5 SEER/12.0 HSPF</v>
          </cell>
          <cell r="AC57">
            <v>407630</v>
          </cell>
          <cell r="AD57" t="str">
            <v>407630-Refrigeration-Controls Replacing Existing Equipment</v>
          </cell>
        </row>
        <row r="58">
          <cell r="B58" t="str">
            <v>A/C with Gas Heat</v>
          </cell>
          <cell r="J58" t="str">
            <v>Heat Pump (11.25 - 19.9 Tons) - Min. efficiency 10.9 EER/14.0 SEER/12.0 HSPF</v>
          </cell>
          <cell r="AC58">
            <v>424830</v>
          </cell>
          <cell r="AD58" t="str">
            <v>424830-Refrigeration-Door Gaskets - Coolers (Refrigeration)</v>
          </cell>
        </row>
        <row r="59">
          <cell r="B59" t="str">
            <v>A/C with Electric Resistance Heat</v>
          </cell>
          <cell r="J59" t="str">
            <v>Heat Pump (&gt;= 20 Tons) - Min. efficiency 10.3 EER/13.0 SEER/12.0 HSPF</v>
          </cell>
          <cell r="AC59">
            <v>424830</v>
          </cell>
          <cell r="AD59" t="str">
            <v>424830-Refrigeration-Door Gaskets - Coolers (Refrigeration)</v>
          </cell>
        </row>
        <row r="60">
          <cell r="B60" t="str">
            <v>A/C with Heat Pump</v>
          </cell>
          <cell r="AC60">
            <v>424930</v>
          </cell>
          <cell r="AD60" t="str">
            <v>424930-Refrigeration-Door Gaskets - Freezers (Refrigeration)</v>
          </cell>
        </row>
        <row r="61">
          <cell r="B61" t="str">
            <v>A/C with No/Unknown Heat</v>
          </cell>
          <cell r="AC61">
            <v>424930</v>
          </cell>
          <cell r="AD61" t="str">
            <v>424930-Refrigeration-Door Gaskets - Freezers (Refrigeration)</v>
          </cell>
        </row>
        <row r="62">
          <cell r="B62" t="str">
            <v>Refrigerated Space - Med. Temp (33-41°F)</v>
          </cell>
          <cell r="AC62">
            <v>425030</v>
          </cell>
          <cell r="AD62" t="str">
            <v>425030-Refrigeration-Auto Door-Closers - Coolers (Refrigeration)</v>
          </cell>
        </row>
        <row r="63">
          <cell r="B63" t="str">
            <v>Refrigerated Space - Low Temp (-10-10°F)</v>
          </cell>
          <cell r="AC63">
            <v>425030</v>
          </cell>
          <cell r="AD63" t="str">
            <v>425030-Refrigeration-Auto Door-Closers - Coolers (Refrigeration)</v>
          </cell>
        </row>
        <row r="64">
          <cell r="B64" t="str">
            <v>Unconditioned</v>
          </cell>
          <cell r="AC64">
            <v>425130</v>
          </cell>
          <cell r="AD64" t="str">
            <v>425130-Refrigeration-Auto Door-Closers - Freezers (Refrigeration)</v>
          </cell>
        </row>
        <row r="65">
          <cell r="AC65">
            <v>425130</v>
          </cell>
          <cell r="AD65" t="str">
            <v>425130-Refrigeration-Auto Door-Closers - Freezers (Refrigeration)</v>
          </cell>
        </row>
        <row r="66">
          <cell r="AC66"/>
          <cell r="AD66"/>
        </row>
        <row r="67">
          <cell r="AC67"/>
          <cell r="AD67"/>
        </row>
        <row r="68">
          <cell r="AC68">
            <v>505425</v>
          </cell>
          <cell r="AD68" t="str">
            <v>505425-Water Heating-Heat Pump Pool Heater Replacing No Existing Equipment or Failed Equipment</v>
          </cell>
        </row>
        <row r="69">
          <cell r="AC69">
            <v>505430</v>
          </cell>
          <cell r="AD69" t="str">
            <v>505430-Water Heating-Heat Pump Pool Heater Replacing Existing Equipment</v>
          </cell>
        </row>
        <row r="70">
          <cell r="AC70">
            <v>505525</v>
          </cell>
          <cell r="AD70" t="str">
            <v>505525-Water Heating-Heat Pump Water Heater Replacing No Existing Equipment or Failed Equipment</v>
          </cell>
        </row>
        <row r="71">
          <cell r="AC71">
            <v>505530</v>
          </cell>
          <cell r="AD71" t="str">
            <v>505530-Water Heating-Heat Pump Water Heater Replacing Existing Equipment</v>
          </cell>
        </row>
        <row r="72">
          <cell r="AC72">
            <v>606225</v>
          </cell>
          <cell r="AD72" t="str">
            <v>606225-Motors-Efficient Motor Replacing No Existing Equipment or Failed Equipment</v>
          </cell>
        </row>
        <row r="73">
          <cell r="AC73">
            <v>606230</v>
          </cell>
          <cell r="AD73" t="str">
            <v>606230-Motors-Efficient Motor Replacing Existing Equipment</v>
          </cell>
        </row>
        <row r="74">
          <cell r="AC74">
            <v>606325</v>
          </cell>
          <cell r="AD74" t="str">
            <v>606325-Motors-Efficient Pumps Replacing No Existing Equipment or Failed Equipment</v>
          </cell>
        </row>
        <row r="75">
          <cell r="AC75">
            <v>606330</v>
          </cell>
          <cell r="AD75" t="str">
            <v>606330-Motors-Efficient Pumps Replacing Existing Equipment</v>
          </cell>
        </row>
        <row r="76">
          <cell r="AC76">
            <v>606415</v>
          </cell>
          <cell r="AD76" t="str">
            <v>606415-Motors-Grain Bin Aeration Controls</v>
          </cell>
        </row>
        <row r="77">
          <cell r="AC77">
            <v>606525</v>
          </cell>
          <cell r="AD77" t="str">
            <v>606525-Motors-VFD for Pump Replacing No Existing Equipment or Failed Equipment</v>
          </cell>
        </row>
        <row r="78">
          <cell r="AC78">
            <v>606730</v>
          </cell>
          <cell r="AD78" t="str">
            <v>606730-Motors-Low Pressure Irrigation</v>
          </cell>
        </row>
        <row r="79">
          <cell r="AC79">
            <v>606825</v>
          </cell>
          <cell r="AD79" t="str">
            <v>606825-Motors-VFD for Process Motor Replacing No Existing Equipment or Failed Equipment</v>
          </cell>
        </row>
        <row r="80">
          <cell r="AC80">
            <v>606830</v>
          </cell>
          <cell r="AD80" t="str">
            <v>606830-Motors-Potato/Onion Shed Variable Frequency Drive Ventilation Fan</v>
          </cell>
        </row>
        <row r="81">
          <cell r="AC81">
            <v>606930</v>
          </cell>
          <cell r="AD81" t="str">
            <v>606930-Motors-Temperature Based On/Off Livestock Ventilation Controller</v>
          </cell>
        </row>
        <row r="82">
          <cell r="AC82"/>
          <cell r="AD82"/>
        </row>
        <row r="83">
          <cell r="AC83">
            <v>705625</v>
          </cell>
          <cell r="AD83" t="str">
            <v>705625-Compressed Air-Efficient Air Compressor Replacing No Existing Equipment or Failed Equipment</v>
          </cell>
        </row>
        <row r="84">
          <cell r="AC84">
            <v>705630</v>
          </cell>
          <cell r="AD84" t="str">
            <v>705630-Compressed Air-Efficient Air Compressor Replacing Existing Equipment</v>
          </cell>
        </row>
        <row r="85">
          <cell r="AC85">
            <v>705725</v>
          </cell>
          <cell r="AD85" t="str">
            <v>705725-Compressed Air-Compressed Air Optimization Replacing No Existing Equipment or Failed Equipment</v>
          </cell>
        </row>
        <row r="86">
          <cell r="AC86">
            <v>705730</v>
          </cell>
          <cell r="AD86" t="str">
            <v>705730-Compressed Air-Compressed Air Optimization Replacing Existing Equipment</v>
          </cell>
        </row>
        <row r="87">
          <cell r="AC87">
            <v>705825</v>
          </cell>
          <cell r="AD87" t="str">
            <v>705825-Compressed Air-VFD for Air Compressor Replacing No Existing Equipment or Failed Equipment</v>
          </cell>
        </row>
        <row r="88">
          <cell r="AC88">
            <v>705825</v>
          </cell>
          <cell r="AD88" t="str">
            <v>705825-Compressed Air-VFD for Air Compressor Replacing No Existing Equipment or Failed Equipment</v>
          </cell>
        </row>
        <row r="89">
          <cell r="AC89">
            <v>705830</v>
          </cell>
          <cell r="AD89" t="str">
            <v>705830-Compressed Air-VFD for Air Compressor Replacing Existing Equipment</v>
          </cell>
        </row>
        <row r="90">
          <cell r="AC90">
            <v>706125</v>
          </cell>
          <cell r="AD90" t="str">
            <v>706125-Compressed Air-Compressed Air Engineered Nozzle Replacing No Existing Equipment or Failed Equipment</v>
          </cell>
        </row>
        <row r="91">
          <cell r="AC91">
            <v>706130</v>
          </cell>
          <cell r="AD91" t="str">
            <v>706130-Compressed Air-Compressed Air Engineered Nozzle Replacing Existing Equipment</v>
          </cell>
        </row>
        <row r="92">
          <cell r="AC92">
            <v>804225</v>
          </cell>
          <cell r="AD92" t="str">
            <v>804225-Building Shell-Efficient Wall Insulation Replacing No Existing Equipment or Failed Equipment</v>
          </cell>
        </row>
        <row r="93">
          <cell r="AC93">
            <v>804230</v>
          </cell>
          <cell r="AD93" t="str">
            <v>804230-Building Shell-Efficient Wall Insulation Replacing Existing Insulation</v>
          </cell>
        </row>
        <row r="94">
          <cell r="AC94">
            <v>804325</v>
          </cell>
          <cell r="AD94" t="str">
            <v>804325-Building Shell-Efficient Window Film Replacing No Existing Window Film or Failed Window Film</v>
          </cell>
        </row>
        <row r="95">
          <cell r="AC95">
            <v>804425</v>
          </cell>
          <cell r="AD95" t="str">
            <v>804425-Building Shell-Efficient Window Replacing No Existing Window or Failed Window</v>
          </cell>
        </row>
        <row r="96">
          <cell r="AC96">
            <v>804430</v>
          </cell>
          <cell r="AD96" t="str">
            <v>804430-Building Shell-Efficient Window Replacing Existing Window</v>
          </cell>
        </row>
        <row r="97">
          <cell r="AC97">
            <v>906630</v>
          </cell>
          <cell r="AD97" t="str">
            <v>906630-Miscellaneous-ENERGY STAR Dehumidifier for Indoor Agriculture</v>
          </cell>
        </row>
        <row r="98">
          <cell r="AC98">
            <v>907430</v>
          </cell>
          <cell r="AD98" t="str">
            <v>907430-Miscellaneous-Efficient Custom Agriculture Equipment Replacing Existing Equipment</v>
          </cell>
        </row>
        <row r="99">
          <cell r="AC99">
            <v>915925</v>
          </cell>
          <cell r="AD99" t="str">
            <v>915925-Process-Optimizing Process Cooling Replacing No Existing Equipment or Failed Equipment</v>
          </cell>
        </row>
        <row r="100">
          <cell r="AC100">
            <v>915930</v>
          </cell>
          <cell r="AD100" t="str">
            <v>915930-Process-Optimizing Process Cooling Replacing Existing Equipment</v>
          </cell>
        </row>
        <row r="101">
          <cell r="AC101">
            <v>916025</v>
          </cell>
          <cell r="AD101" t="str">
            <v>916025-Process-Optimizing Process Heating Replacing No Existing Equipment or Failed Equipment</v>
          </cell>
        </row>
        <row r="102">
          <cell r="AC102">
            <v>916030</v>
          </cell>
          <cell r="AD102" t="str">
            <v>916030-Process-Optimizing Process Heating Replacing Existing Equipment</v>
          </cell>
        </row>
        <row r="103">
          <cell r="AC103"/>
          <cell r="AD103"/>
        </row>
        <row r="104">
          <cell r="AC104"/>
          <cell r="AD104"/>
        </row>
        <row r="105">
          <cell r="AC105"/>
          <cell r="AD105"/>
        </row>
        <row r="106">
          <cell r="AC106" t="str">
            <v>804530</v>
          </cell>
          <cell r="AD106" t="str">
            <v>Cool Roof</v>
          </cell>
        </row>
        <row r="107">
          <cell r="AC107" t="str">
            <v>804630</v>
          </cell>
          <cell r="AD107" t="str">
            <v>Roof or Ceiling Insulation</v>
          </cell>
        </row>
        <row r="108">
          <cell r="AC108" t="str">
            <v>804730</v>
          </cell>
          <cell r="AD108" t="str">
            <v>Building Envelope Custom Measure - Other</v>
          </cell>
        </row>
        <row r="109">
          <cell r="AC109" t="str">
            <v>204230</v>
          </cell>
          <cell r="AD109" t="str">
            <v>Air Handler Coil Cleaning</v>
          </cell>
        </row>
        <row r="110">
          <cell r="AC110" t="str">
            <v>204330</v>
          </cell>
          <cell r="AD110" t="str">
            <v>Chiller Plant Optimization</v>
          </cell>
        </row>
        <row r="111">
          <cell r="AC111" t="str">
            <v>204430</v>
          </cell>
          <cell r="AD111" t="str">
            <v>HVAC Custom Measure - Other</v>
          </cell>
        </row>
      </sheetData>
      <sheetData sheetId="12">
        <row r="2">
          <cell r="H2" t="str">
            <v>ECM Fan (Refr.) Savings</v>
          </cell>
          <cell r="I2" t="str">
            <v>kWh</v>
          </cell>
          <cell r="J2" t="str">
            <v>kW</v>
          </cell>
          <cell r="N2" t="str">
            <v>Concat Name</v>
          </cell>
          <cell r="O2" t="str">
            <v>Measure Name</v>
          </cell>
          <cell r="P2" t="str">
            <v>Water Temp</v>
          </cell>
          <cell r="Q2" t="str">
            <v>Heater/Booster Fuel</v>
          </cell>
          <cell r="R2" t="str">
            <v>kWh</v>
          </cell>
          <cell r="S2" t="str">
            <v>kW</v>
          </cell>
          <cell r="U2" t="str">
            <v>Aerator Savings (Building Type)</v>
          </cell>
          <cell r="V2" t="str">
            <v>kWh</v>
          </cell>
          <cell r="W2" t="str">
            <v>kW</v>
          </cell>
        </row>
        <row r="3">
          <cell r="H3" t="str">
            <v>Freezer (low temp.)</v>
          </cell>
          <cell r="I3">
            <v>903.25033846153838</v>
          </cell>
          <cell r="J3">
            <v>0.10311076923076924</v>
          </cell>
          <cell r="N3" t="str">
            <v>Commercial dishwasher - ENERGY STAR® - Under counterHigh TempElectric/Electric</v>
          </cell>
          <cell r="O3" t="str">
            <v>Commercial dishwasher - ENERGY STAR® - Under counter</v>
          </cell>
          <cell r="P3" t="str">
            <v>High Temp</v>
          </cell>
          <cell r="Q3" t="str">
            <v>Electric/Electric</v>
          </cell>
          <cell r="R3">
            <v>3198</v>
          </cell>
          <cell r="S3">
            <v>0.4</v>
          </cell>
          <cell r="U3" t="str">
            <v>Prison</v>
          </cell>
          <cell r="V3">
            <v>1920.6022249626349</v>
          </cell>
          <cell r="W3">
            <v>0.21047695616028878</v>
          </cell>
        </row>
        <row r="4">
          <cell r="H4" t="str">
            <v>Cooler (medium-temp.)</v>
          </cell>
          <cell r="I4">
            <v>760.36799999999994</v>
          </cell>
          <cell r="J4">
            <v>8.6800000000000002E-2</v>
          </cell>
          <cell r="N4" t="str">
            <v>Commercial dishwasher - ENERGY STAR® - Under counterHigh TempGas/Electric</v>
          </cell>
          <cell r="O4" t="str">
            <v>Commercial dishwasher - ENERGY STAR® - Under counter</v>
          </cell>
          <cell r="P4" t="str">
            <v>High Temp</v>
          </cell>
          <cell r="Q4" t="str">
            <v>Gas/Electric</v>
          </cell>
          <cell r="R4">
            <v>2099</v>
          </cell>
          <cell r="S4">
            <v>0.3</v>
          </cell>
          <cell r="U4" t="str">
            <v>Hospital, Nursing Home</v>
          </cell>
          <cell r="V4">
            <v>192.06022249626355</v>
          </cell>
          <cell r="W4">
            <v>1.5785771712021657E-2</v>
          </cell>
        </row>
        <row r="5">
          <cell r="N5" t="str">
            <v>Commercial dishwasher - ENERGY STAR® - Under counterHigh TempGas/Gas</v>
          </cell>
          <cell r="O5" t="str">
            <v>Commercial dishwasher - ENERGY STAR® - Under counter</v>
          </cell>
          <cell r="P5" t="str">
            <v>High Temp</v>
          </cell>
          <cell r="Q5" t="str">
            <v>Gas/Gas</v>
          </cell>
          <cell r="R5">
            <v>1471</v>
          </cell>
          <cell r="S5">
            <v>0.2</v>
          </cell>
          <cell r="U5" t="str">
            <v>Dormitory</v>
          </cell>
          <cell r="V5">
            <v>1441.7671496979781</v>
          </cell>
          <cell r="W5">
            <v>0.21047695616028878</v>
          </cell>
        </row>
        <row r="6">
          <cell r="H6" t="str">
            <v>Evap. Fan Controller Savings</v>
          </cell>
          <cell r="I6" t="str">
            <v>kWh</v>
          </cell>
          <cell r="J6" t="str">
            <v>kW</v>
          </cell>
          <cell r="N6" t="str">
            <v>Commercial dishwasher - ENERGY STAR® - Under counterLow TempElectric/No Booster</v>
          </cell>
          <cell r="O6" t="str">
            <v>Commercial dishwasher - ENERGY STAR® - Under counter</v>
          </cell>
          <cell r="P6" t="str">
            <v>Low Temp</v>
          </cell>
          <cell r="Q6" t="str">
            <v>Electric/No Booster</v>
          </cell>
          <cell r="R6">
            <v>2580</v>
          </cell>
          <cell r="S6">
            <v>0.3</v>
          </cell>
          <cell r="U6" t="str">
            <v>Multifamily</v>
          </cell>
          <cell r="V6">
            <v>192.06022249626355</v>
          </cell>
          <cell r="W6">
            <v>1.5785771712021657E-2</v>
          </cell>
          <cell r="AE6" t="str">
            <v>APS Savings (Program)</v>
          </cell>
          <cell r="AF6" t="str">
            <v>Application</v>
          </cell>
          <cell r="AG6" t="str">
            <v>kWh</v>
          </cell>
          <cell r="AH6" t="str">
            <v>kW</v>
          </cell>
        </row>
        <row r="7">
          <cell r="H7" t="str">
            <v>Freezer (low temp.)</v>
          </cell>
          <cell r="I7">
            <v>543.47039999999993</v>
          </cell>
          <cell r="J7">
            <v>6.2039999999999991E-2</v>
          </cell>
          <cell r="N7" t="str">
            <v>Commercial dishwasher - ENERGY STAR® - Under counterLow TempGas/No Booster</v>
          </cell>
          <cell r="O7" t="str">
            <v>Commercial dishwasher - ENERGY STAR® - Under counter</v>
          </cell>
          <cell r="P7" t="str">
            <v>Low Temp</v>
          </cell>
          <cell r="Q7" t="str">
            <v>Gas/No Booster</v>
          </cell>
          <cell r="R7">
            <v>0</v>
          </cell>
          <cell r="S7">
            <v>0</v>
          </cell>
          <cell r="U7" t="str">
            <v>Lodging</v>
          </cell>
          <cell r="V7">
            <v>192.06022249626355</v>
          </cell>
          <cell r="W7">
            <v>1.0523847808014438E-2</v>
          </cell>
          <cell r="AE7" t="str">
            <v>Large Commercial &amp; Industrial Solutions</v>
          </cell>
          <cell r="AF7" t="str">
            <v>Office</v>
          </cell>
          <cell r="AG7">
            <v>71.400000000000006</v>
          </cell>
          <cell r="AH7">
            <v>0</v>
          </cell>
        </row>
        <row r="8">
          <cell r="H8" t="str">
            <v>Cooler (medium-temp.)</v>
          </cell>
          <cell r="I8">
            <v>501.072</v>
          </cell>
          <cell r="J8">
            <v>5.7200000000000001E-2</v>
          </cell>
          <cell r="N8" t="str">
            <v>Commercial dishwasher - ENERGY STAR® - Stationary Single Tank DoorHigh TempElectric/Electric</v>
          </cell>
          <cell r="O8" t="str">
            <v>Commercial dishwasher - ENERGY STAR® - Stationary Single Tank Door</v>
          </cell>
          <cell r="P8" t="str">
            <v>High Temp</v>
          </cell>
          <cell r="Q8" t="str">
            <v>Electric/Electric</v>
          </cell>
          <cell r="R8">
            <v>12040</v>
          </cell>
          <cell r="S8">
            <v>1.5</v>
          </cell>
          <cell r="U8" t="str">
            <v>Commercial</v>
          </cell>
          <cell r="V8">
            <v>1315.4809760018047</v>
          </cell>
          <cell r="W8">
            <v>0.42095391232057755</v>
          </cell>
          <cell r="AE8" t="str">
            <v>Small Commercial Solutions</v>
          </cell>
          <cell r="AF8" t="str">
            <v>Small Business</v>
          </cell>
          <cell r="AG8">
            <v>61.2</v>
          </cell>
          <cell r="AH8">
            <v>0</v>
          </cell>
        </row>
        <row r="9">
          <cell r="H9" t="str">
            <v>Cooler (high-temp.)</v>
          </cell>
          <cell r="I9">
            <v>462.52799999999996</v>
          </cell>
          <cell r="J9">
            <v>5.2799999999999993E-2</v>
          </cell>
          <cell r="N9" t="str">
            <v>Commercial dishwasher - ENERGY STAR® - Stationary Single Tank DoorHigh TempGas/Electric</v>
          </cell>
          <cell r="O9" t="str">
            <v>Commercial dishwasher - ENERGY STAR® - Stationary Single Tank Door</v>
          </cell>
          <cell r="P9" t="str">
            <v>High Temp</v>
          </cell>
          <cell r="Q9" t="str">
            <v>Gas/Electric</v>
          </cell>
          <cell r="R9">
            <v>4905</v>
          </cell>
          <cell r="S9">
            <v>0.6</v>
          </cell>
          <cell r="U9" t="str">
            <v>School</v>
          </cell>
          <cell r="V9">
            <v>1052.3847808014436</v>
          </cell>
          <cell r="W9">
            <v>0.26309619520036093</v>
          </cell>
        </row>
        <row r="10">
          <cell r="N10" t="str">
            <v>Commercial dishwasher - ENERGY STAR® - Stationary Single Tank DoorHigh TempGas/Gas</v>
          </cell>
          <cell r="O10" t="str">
            <v>Commercial dishwasher - ENERGY STAR® - Stationary Single Tank Door</v>
          </cell>
          <cell r="P10" t="str">
            <v>High Temp</v>
          </cell>
          <cell r="Q10" t="str">
            <v>Gas/Gas</v>
          </cell>
          <cell r="R10">
            <v>827</v>
          </cell>
          <cell r="S10">
            <v>0.1</v>
          </cell>
          <cell r="U10" t="str">
            <v>Other</v>
          </cell>
          <cell r="V10">
            <v>1008.4853013737264</v>
          </cell>
          <cell r="W10">
            <v>0.13391059404687758</v>
          </cell>
          <cell r="AE10" t="str">
            <v>PC Power Management (Controlled Device)</v>
          </cell>
          <cell r="AF10" t="str">
            <v>kWh</v>
          </cell>
          <cell r="AG10" t="str">
            <v>kW</v>
          </cell>
        </row>
        <row r="11">
          <cell r="H11" t="str">
            <v>ASHC Savings</v>
          </cell>
          <cell r="I11" t="str">
            <v>kWh/lf</v>
          </cell>
          <cell r="J11" t="str">
            <v>kW/lf</v>
          </cell>
          <cell r="N11" t="str">
            <v>Commercial dishwasher - ENERGY STAR® - Stationary Single Tank DoorLow TempElectric/No Booster</v>
          </cell>
          <cell r="O11" t="str">
            <v>Commercial dishwasher - ENERGY STAR® - Stationary Single Tank Door</v>
          </cell>
          <cell r="P11" t="str">
            <v>Low Temp</v>
          </cell>
          <cell r="Q11" t="str">
            <v>Electric/No Booster</v>
          </cell>
          <cell r="R11">
            <v>16411</v>
          </cell>
          <cell r="S11">
            <v>2.1</v>
          </cell>
          <cell r="AE11" t="str">
            <v>LCD Monitor</v>
          </cell>
          <cell r="AF11">
            <v>158.72</v>
          </cell>
          <cell r="AG11">
            <v>8.0000000000000002E-3</v>
          </cell>
        </row>
        <row r="12">
          <cell r="H12" t="str">
            <v>Freezer (low temp.)</v>
          </cell>
          <cell r="I12">
            <v>259</v>
          </cell>
          <cell r="J12">
            <v>6.0000000000000001E-3</v>
          </cell>
          <cell r="N12" t="str">
            <v>Commercial dishwasher - ENERGY STAR® - Stationary Single Tank DoorLow TempGas/No Booster</v>
          </cell>
          <cell r="O12" t="str">
            <v>Commercial dishwasher - ENERGY STAR® - Stationary Single Tank Door</v>
          </cell>
          <cell r="P12" t="str">
            <v>Low Temp</v>
          </cell>
          <cell r="Q12" t="str">
            <v>Gas/No Booster</v>
          </cell>
          <cell r="R12">
            <v>0</v>
          </cell>
          <cell r="S12">
            <v>0</v>
          </cell>
          <cell r="AE12" t="str">
            <v>Desktop Computer</v>
          </cell>
          <cell r="AF12">
            <v>337.92</v>
          </cell>
          <cell r="AG12">
            <v>1.7000000000000001E-2</v>
          </cell>
        </row>
        <row r="13">
          <cell r="H13" t="str">
            <v>Cooler (medium-temp.)</v>
          </cell>
          <cell r="I13">
            <v>248</v>
          </cell>
          <cell r="J13">
            <v>4.5999999999999999E-3</v>
          </cell>
          <cell r="N13" t="str">
            <v>Commercial dishwasher - ENERGY STAR® - Pots, pans and utensilsHigh TempElectric/Electric</v>
          </cell>
          <cell r="O13" t="str">
            <v>Commercial dishwasher - ENERGY STAR® - Pots, pans and utensils</v>
          </cell>
          <cell r="P13" t="str">
            <v>High Temp</v>
          </cell>
          <cell r="Q13" t="str">
            <v>Electric/Electric</v>
          </cell>
          <cell r="R13">
            <v>3364</v>
          </cell>
          <cell r="S13">
            <v>0.4</v>
          </cell>
          <cell r="AE13" t="str">
            <v>Notebook (including display)</v>
          </cell>
          <cell r="AF13">
            <v>97.28</v>
          </cell>
          <cell r="AG13">
            <v>5.0000000000000001E-3</v>
          </cell>
        </row>
        <row r="14">
          <cell r="H14" t="str">
            <v>Unknown</v>
          </cell>
          <cell r="I14">
            <v>253.5</v>
          </cell>
          <cell r="J14">
            <v>5.3E-3</v>
          </cell>
          <cell r="N14" t="str">
            <v>Commercial dishwasher - ENERGY STAR® - Pots, pans and utensilsHigh TempGas/Electric</v>
          </cell>
          <cell r="O14" t="str">
            <v>Commercial dishwasher - ENERGY STAR® - Pots, pans and utensils</v>
          </cell>
          <cell r="P14" t="str">
            <v>High Temp</v>
          </cell>
          <cell r="Q14" t="str">
            <v>Gas/Electric</v>
          </cell>
          <cell r="R14">
            <v>1223</v>
          </cell>
          <cell r="S14">
            <v>0.2</v>
          </cell>
        </row>
        <row r="15">
          <cell r="N15" t="str">
            <v>Commercial dishwasher - ENERGY STAR® - Pots, pans and utensilsHigh TempGas/Gas</v>
          </cell>
          <cell r="O15" t="str">
            <v>Commercial dishwasher - ENERGY STAR® - Pots, pans and utensils</v>
          </cell>
          <cell r="P15" t="str">
            <v>High Temp</v>
          </cell>
          <cell r="Q15" t="str">
            <v>Gas/Gas</v>
          </cell>
          <cell r="R15">
            <v>0</v>
          </cell>
          <cell r="S15">
            <v>0</v>
          </cell>
        </row>
        <row r="16">
          <cell r="H16" t="str">
            <v>Night Cover Savings</v>
          </cell>
          <cell r="I16" t="str">
            <v>kWh/lf</v>
          </cell>
          <cell r="J16" t="str">
            <v>kW/lf</v>
          </cell>
          <cell r="N16" t="str">
            <v>Commercial dishwasher - ENERGY STAR®- Single tank conveyorHigh TempElectric/Electric</v>
          </cell>
          <cell r="O16" t="str">
            <v>Commercial dishwasher - ENERGY STAR®- Single tank conveyor</v>
          </cell>
          <cell r="P16" t="str">
            <v>High Temp</v>
          </cell>
          <cell r="Q16" t="str">
            <v>Electric/Electric</v>
          </cell>
          <cell r="R16">
            <v>9319</v>
          </cell>
          <cell r="S16">
            <v>1.2</v>
          </cell>
        </row>
        <row r="17">
          <cell r="H17" t="str">
            <v>Vertical Open, Remote Condensing , Medium-temp</v>
          </cell>
          <cell r="I17">
            <v>112</v>
          </cell>
          <cell r="J17">
            <v>0</v>
          </cell>
          <cell r="N17" t="str">
            <v>Commercial dishwasher - ENERGY STAR®- Single tank conveyorHigh TempGas/Electric</v>
          </cell>
          <cell r="O17" t="str">
            <v>Commercial dishwasher - ENERGY STAR®- Single tank conveyor</v>
          </cell>
          <cell r="P17" t="str">
            <v>High Temp</v>
          </cell>
          <cell r="Q17" t="str">
            <v>Gas/Electric</v>
          </cell>
          <cell r="R17">
            <v>4987</v>
          </cell>
          <cell r="S17">
            <v>0.6</v>
          </cell>
        </row>
        <row r="18">
          <cell r="H18" t="str">
            <v>Vertical Open, Remote Condensing , Low-temp</v>
          </cell>
          <cell r="I18">
            <v>209</v>
          </cell>
          <cell r="J18">
            <v>0</v>
          </cell>
          <cell r="N18" t="str">
            <v>Commercial dishwasher - ENERGY STAR®- Single tank conveyorHigh TempGas/Gas</v>
          </cell>
          <cell r="O18" t="str">
            <v>Commercial dishwasher - ENERGY STAR®- Single tank conveyor</v>
          </cell>
          <cell r="P18" t="str">
            <v>High Temp</v>
          </cell>
          <cell r="Q18" t="str">
            <v>Gas/Gas</v>
          </cell>
          <cell r="R18">
            <v>2511</v>
          </cell>
          <cell r="S18">
            <v>0.3</v>
          </cell>
        </row>
        <row r="19">
          <cell r="H19" t="str">
            <v>Vertical Open, Self-Contained, Medium-temp</v>
          </cell>
          <cell r="I19">
            <v>182</v>
          </cell>
          <cell r="J19">
            <v>0</v>
          </cell>
          <cell r="N19" t="str">
            <v>Commercial dishwasher - ENERGY STAR®- Single tank conveyorLow TempElectric/No Booster</v>
          </cell>
          <cell r="O19" t="str">
            <v>Commercial dishwasher - ENERGY STAR®- Single tank conveyor</v>
          </cell>
          <cell r="P19" t="str">
            <v>Low Temp</v>
          </cell>
          <cell r="Q19" t="str">
            <v>Electric/No Booster</v>
          </cell>
          <cell r="R19">
            <v>13835</v>
          </cell>
          <cell r="S19">
            <v>1.8</v>
          </cell>
        </row>
        <row r="20">
          <cell r="H20" t="str">
            <v>Semivertical Open, Remote Condensing, Medium-temp</v>
          </cell>
          <cell r="I20">
            <v>83</v>
          </cell>
          <cell r="J20">
            <v>0</v>
          </cell>
          <cell r="N20" t="str">
            <v>Commercial dishwasher - ENERGY STAR®- Single tank conveyorLow TempGas/No Booster</v>
          </cell>
          <cell r="O20" t="str">
            <v>Commercial dishwasher - ENERGY STAR®- Single tank conveyor</v>
          </cell>
          <cell r="P20" t="str">
            <v>Low Temp</v>
          </cell>
          <cell r="Q20" t="str">
            <v>Gas/No Booster</v>
          </cell>
          <cell r="R20">
            <v>0</v>
          </cell>
          <cell r="S20">
            <v>0</v>
          </cell>
        </row>
        <row r="21">
          <cell r="H21" t="str">
            <v>Semivertical Open, Self-Contained, Medium-temp</v>
          </cell>
          <cell r="I21">
            <v>162</v>
          </cell>
          <cell r="J21">
            <v>0</v>
          </cell>
          <cell r="N21" t="str">
            <v>Commercial dishwasher - ENERGY STAR® - Multiple tank conveyorHigh TempElectric/Electric</v>
          </cell>
          <cell r="O21" t="str">
            <v>Commercial dishwasher - ENERGY STAR® - Multiple tank conveyor</v>
          </cell>
          <cell r="P21" t="str">
            <v>High Temp</v>
          </cell>
          <cell r="Q21" t="str">
            <v>Electric/Electric</v>
          </cell>
          <cell r="R21">
            <v>27815</v>
          </cell>
          <cell r="S21">
            <v>3.6</v>
          </cell>
        </row>
        <row r="22">
          <cell r="H22" t="str">
            <v>Horizontal Open, Remote Condensing, Medium-temp</v>
          </cell>
          <cell r="I22">
            <v>42</v>
          </cell>
          <cell r="J22">
            <v>0</v>
          </cell>
          <cell r="N22" t="str">
            <v>Commercial dishwasher - ENERGY STAR® - Multiple tank conveyorHigh TempGas/Electric</v>
          </cell>
          <cell r="O22" t="str">
            <v>Commercial dishwasher - ENERGY STAR® - Multiple tank conveyor</v>
          </cell>
          <cell r="P22" t="str">
            <v>High Temp</v>
          </cell>
          <cell r="Q22" t="str">
            <v>Gas/Electric</v>
          </cell>
          <cell r="R22">
            <v>11378</v>
          </cell>
          <cell r="S22">
            <v>1.5</v>
          </cell>
        </row>
        <row r="23">
          <cell r="B23" t="str">
            <v>ACTU / HPTU Pump Savings</v>
          </cell>
          <cell r="C23" t="str">
            <v>kWh_clg</v>
          </cell>
          <cell r="D23" t="str">
            <v>kWh_htg</v>
          </cell>
          <cell r="E23" t="str">
            <v>kWh_total</v>
          </cell>
          <cell r="F23" t="str">
            <v>kW</v>
          </cell>
          <cell r="H23" t="str">
            <v>Horizontal Open, Remote Condensing, Low-temp</v>
          </cell>
          <cell r="I23">
            <v>94</v>
          </cell>
          <cell r="J23">
            <v>0</v>
          </cell>
          <cell r="N23" t="str">
            <v>Commercial dishwasher - ENERGY STAR® - Multiple tank conveyorHigh TempGas/Gas</v>
          </cell>
          <cell r="O23" t="str">
            <v>Commercial dishwasher - ENERGY STAR® - Multiple tank conveyor</v>
          </cell>
          <cell r="P23" t="str">
            <v>High Temp</v>
          </cell>
          <cell r="Q23" t="str">
            <v>Gas/Gas</v>
          </cell>
          <cell r="R23">
            <v>1986</v>
          </cell>
          <cell r="S23">
            <v>0.3</v>
          </cell>
        </row>
        <row r="24">
          <cell r="B24" t="str">
            <v>HVAC Tune Up - Commercial (A/C)</v>
          </cell>
          <cell r="C24" t="e">
            <v>#N/A</v>
          </cell>
          <cell r="D24"/>
          <cell r="E24" t="e">
            <v>#N/A</v>
          </cell>
          <cell r="F24" t="e">
            <v>#N/A</v>
          </cell>
          <cell r="H24" t="str">
            <v>Horizontal Open, Self-Contained, Medium-temp</v>
          </cell>
          <cell r="I24">
            <v>132</v>
          </cell>
          <cell r="J24">
            <v>0</v>
          </cell>
          <cell r="N24" t="str">
            <v>Commercial dishwasher - ENERGY STAR® - Multiple tank conveyorLow TempElectric/No Booster</v>
          </cell>
          <cell r="O24" t="str">
            <v>Commercial dishwasher - ENERGY STAR® - Multiple tank conveyor</v>
          </cell>
          <cell r="P24" t="str">
            <v>Low Temp</v>
          </cell>
          <cell r="Q24" t="str">
            <v>Electric/No Booster</v>
          </cell>
          <cell r="R24">
            <v>19112</v>
          </cell>
          <cell r="S24">
            <v>2.4</v>
          </cell>
        </row>
        <row r="25">
          <cell r="B25" t="str">
            <v>HVAC Tune Up - Commercial (Heat Pump)</v>
          </cell>
          <cell r="C25" t="e">
            <v>#N/A</v>
          </cell>
          <cell r="D25" t="e">
            <v>#N/A</v>
          </cell>
          <cell r="E25" t="e">
            <v>#N/A</v>
          </cell>
          <cell r="F25" t="e">
            <v>#N/A</v>
          </cell>
          <cell r="H25" t="str">
            <v>Horizontal Open, Self-Contained, Low-temp</v>
          </cell>
          <cell r="I25">
            <v>288</v>
          </cell>
          <cell r="J25">
            <v>0</v>
          </cell>
          <cell r="N25" t="str">
            <v>Commercial dishwasher - ENERGY STAR® - Multiple tank conveyorLow TempGas/No Booster</v>
          </cell>
          <cell r="O25" t="str">
            <v>Commercial dishwasher - ENERGY STAR® - Multiple tank conveyor</v>
          </cell>
          <cell r="P25" t="str">
            <v>Low Temp</v>
          </cell>
          <cell r="Q25" t="str">
            <v>Gas/No Booster</v>
          </cell>
          <cell r="R25">
            <v>0</v>
          </cell>
          <cell r="S25">
            <v>0</v>
          </cell>
        </row>
        <row r="27">
          <cell r="H27" t="str">
            <v>Night Cover Savings (Concat Name)</v>
          </cell>
          <cell r="I27" t="str">
            <v>Type</v>
          </cell>
          <cell r="J27" t="str">
            <v>Size</v>
          </cell>
          <cell r="K27" t="str">
            <v>kWh</v>
          </cell>
          <cell r="L27" t="str">
            <v>kW</v>
          </cell>
        </row>
        <row r="28">
          <cell r="H28" t="str">
            <v>Refrigerator0 - 15 cu. ft.</v>
          </cell>
          <cell r="I28" t="str">
            <v>Refrigerator</v>
          </cell>
          <cell r="J28" t="str">
            <v>0 - 15 cu. ft.</v>
          </cell>
          <cell r="K28">
            <v>290</v>
          </cell>
          <cell r="L28">
            <v>0.03</v>
          </cell>
          <cell r="N28" t="str">
            <v>Convection Oven Savings (Size)</v>
          </cell>
          <cell r="O28" t="str">
            <v>kWh</v>
          </cell>
          <cell r="P28" t="str">
            <v>kW</v>
          </cell>
        </row>
        <row r="29">
          <cell r="H29" t="str">
            <v>Refrigerator15 - 30 cu. ft</v>
          </cell>
          <cell r="I29" t="str">
            <v>Refrigerator</v>
          </cell>
          <cell r="J29" t="str">
            <v>15 - 30 cu. ft</v>
          </cell>
          <cell r="K29">
            <v>631</v>
          </cell>
          <cell r="L29">
            <v>7.0000000000000007E-2</v>
          </cell>
          <cell r="N29" t="str">
            <v>Half-Size</v>
          </cell>
          <cell r="O29">
            <v>2485</v>
          </cell>
          <cell r="P29">
            <v>0.47699999999999998</v>
          </cell>
        </row>
        <row r="30">
          <cell r="B30" t="str">
            <v>Prescriptive Measure</v>
          </cell>
          <cell r="C30" t="str">
            <v>kWh/unit</v>
          </cell>
          <cell r="D30" t="str">
            <v>kW/unit</v>
          </cell>
          <cell r="H30" t="str">
            <v>Refrigerator30 - 50 cu. ft.</v>
          </cell>
          <cell r="I30" t="str">
            <v>Refrigerator</v>
          </cell>
          <cell r="J30" t="str">
            <v>30 - 50 cu. ft.</v>
          </cell>
          <cell r="K30">
            <v>951</v>
          </cell>
          <cell r="L30">
            <v>0.11</v>
          </cell>
          <cell r="N30" t="str">
            <v>Full-Size</v>
          </cell>
          <cell r="O30">
            <v>2787</v>
          </cell>
          <cell r="P30">
            <v>0.53400000000000003</v>
          </cell>
        </row>
        <row r="31">
          <cell r="B31" t="str">
            <v>SELECT CHILLER MEASURE FROM DROPDOWN</v>
          </cell>
          <cell r="C31">
            <v>0</v>
          </cell>
          <cell r="D31">
            <v>0</v>
          </cell>
          <cell r="H31" t="str">
            <v>Refrigerator≥ 50 cu. ft.</v>
          </cell>
          <cell r="I31" t="str">
            <v>Refrigerator</v>
          </cell>
          <cell r="J31" t="str">
            <v>≥ 50 cu. ft.</v>
          </cell>
          <cell r="K31">
            <v>1250</v>
          </cell>
          <cell r="L31">
            <v>0.14000000000000001</v>
          </cell>
        </row>
        <row r="32">
          <cell r="B32" t="str">
            <v>Air Cooled Chiller &lt;150 Tons (min. eff. of 1.18 kW/ton full load and 0.76 kW/ton IPLV)</v>
          </cell>
          <cell r="C32">
            <v>18977.559190051194</v>
          </cell>
          <cell r="D32">
            <v>0.61600000000000055</v>
          </cell>
          <cell r="H32" t="str">
            <v>Freezer0 - 15 cu. ft.</v>
          </cell>
          <cell r="I32" t="str">
            <v>Freezer</v>
          </cell>
          <cell r="J32" t="str">
            <v>0 - 15 cu. ft.</v>
          </cell>
          <cell r="K32">
            <v>869</v>
          </cell>
          <cell r="L32">
            <v>0.1</v>
          </cell>
        </row>
        <row r="33">
          <cell r="B33" t="str">
            <v>Water Cooled Screw/Scroll Chiller &gt;=300 Tons (min. eff. of 0.57 kW/ton full load and 0.41 kW/ton IPLV)</v>
          </cell>
          <cell r="C33">
            <v>66270.841616051781</v>
          </cell>
          <cell r="D33">
            <v>4.6200000000000045</v>
          </cell>
          <cell r="H33" t="str">
            <v>Freezer15 - 30 cu. ft</v>
          </cell>
          <cell r="I33" t="str">
            <v>Freezer</v>
          </cell>
          <cell r="J33" t="str">
            <v>15 - 30 cu. ft</v>
          </cell>
          <cell r="K33">
            <v>869</v>
          </cell>
          <cell r="L33">
            <v>0.1</v>
          </cell>
          <cell r="N33" t="str">
            <v>Combination Oven Savings (Size)</v>
          </cell>
          <cell r="O33" t="str">
            <v>kWh</v>
          </cell>
          <cell r="P33" t="str">
            <v>kW</v>
          </cell>
        </row>
        <row r="34">
          <cell r="B34" t="str">
            <v>Water Cooled Screw/Scroll Chiller &gt;=150 Tons and &lt;300 Tons (min. eff. of 0.65 kW/ton full load and 0.44 kW/ton IPLV)</v>
          </cell>
          <cell r="C34">
            <v>41419.276010032379</v>
          </cell>
          <cell r="D34">
            <v>1.9250000000000018</v>
          </cell>
          <cell r="H34" t="str">
            <v>Freezer30 - 50 cu. ft.</v>
          </cell>
          <cell r="I34" t="str">
            <v>Freezer</v>
          </cell>
          <cell r="J34" t="str">
            <v>30 - 50 cu. ft.</v>
          </cell>
          <cell r="K34">
            <v>2593</v>
          </cell>
          <cell r="L34">
            <v>0.3</v>
          </cell>
          <cell r="N34" t="str">
            <v>Combination commercial oven &lt;15 Pan - ENERGY STAR®</v>
          </cell>
          <cell r="O34">
            <v>14397.5</v>
          </cell>
          <cell r="P34">
            <v>2.7850000000000001</v>
          </cell>
        </row>
        <row r="35">
          <cell r="B35" t="str">
            <v>Water Cooled Screw/Scroll Chiller &gt;= 75 and &lt;150 Tons (min. eff. of 0.71 kW/ton full load and 0.49 kW/ton IPLV)</v>
          </cell>
          <cell r="C35">
            <v>12049.243930191245</v>
          </cell>
          <cell r="D35">
            <v>0.77000000000000068</v>
          </cell>
          <cell r="H35" t="str">
            <v>Freezer≥ 50 cu. ft.</v>
          </cell>
          <cell r="I35" t="str">
            <v>Freezer</v>
          </cell>
          <cell r="J35" t="str">
            <v>≥ 50 cu. ft.</v>
          </cell>
          <cell r="K35">
            <v>4375</v>
          </cell>
          <cell r="L35">
            <v>0.5</v>
          </cell>
          <cell r="N35" t="str">
            <v>Combination commercial oven &gt;=15 Pan - ENERGY STAR®</v>
          </cell>
          <cell r="O35">
            <v>19220</v>
          </cell>
          <cell r="P35">
            <v>3.69</v>
          </cell>
        </row>
        <row r="36">
          <cell r="B36" t="str">
            <v>Water Cooled Screw/Scroll Chiller &lt;75 Tons (min. eff. of 0.74 kW/ton full load and 0.50 kW/ton IPLV)</v>
          </cell>
          <cell r="C36">
            <v>8283.8552020064726</v>
          </cell>
          <cell r="D36">
            <v>0.38500000000000034</v>
          </cell>
        </row>
        <row r="37">
          <cell r="B37" t="str">
            <v>Water Cooled Centrifugal &gt;=600 Tons (min. eff. of 0.55 kW/ton full load and 0.38 kW/ton IPLV)</v>
          </cell>
          <cell r="C37">
            <v>225923.32369108568</v>
          </cell>
          <cell r="D37">
            <v>7.7000000000000073</v>
          </cell>
          <cell r="H37" t="str">
            <v>Strip Curtain Savings (Concat Name)</v>
          </cell>
          <cell r="I37" t="str">
            <v>Case Description</v>
          </cell>
          <cell r="J37" t="str">
            <v>Pre-Existing Curtains</v>
          </cell>
          <cell r="K37" t="str">
            <v>kWh/sf</v>
          </cell>
          <cell r="L37" t="str">
            <v>kW/sf</v>
          </cell>
          <cell r="N37" t="str">
            <v>Steam Cooker (Size)</v>
          </cell>
          <cell r="O37" t="str">
            <v>kWh</v>
          </cell>
          <cell r="P37" t="str">
            <v>kW</v>
          </cell>
        </row>
        <row r="38">
          <cell r="B38" t="str">
            <v>Water Cooled Centrifugal &lt;300 Tons (min. eff. of 0.60 kW/ton full load and 0.40 kW/ton IPLV)</v>
          </cell>
          <cell r="C38">
            <v>75307.774563695231</v>
          </cell>
          <cell r="D38">
            <v>1.5400000000000014</v>
          </cell>
          <cell r="H38" t="str">
            <v>Supermarket – CoolerYes</v>
          </cell>
          <cell r="I38" t="str">
            <v>Supermarket – Cooler</v>
          </cell>
          <cell r="J38" t="str">
            <v>Yes</v>
          </cell>
          <cell r="K38">
            <v>37</v>
          </cell>
          <cell r="L38">
            <v>4.2199999999999998E-3</v>
          </cell>
          <cell r="N38" t="str">
            <v>3-Pan</v>
          </cell>
          <cell r="O38">
            <v>28214</v>
          </cell>
          <cell r="P38">
            <v>5.4</v>
          </cell>
        </row>
        <row r="39">
          <cell r="B39" t="str">
            <v>Water Cooled Centrifugal &gt;=300 and &lt;600 Tons (min. eff. of 0.55 kW/ton full load and 0.39 kW/ton IPLV)</v>
          </cell>
          <cell r="C39">
            <v>158146.32658375995</v>
          </cell>
          <cell r="D39">
            <v>3.8500000000000036</v>
          </cell>
          <cell r="H39" t="str">
            <v>Supermarket – CoolerNo</v>
          </cell>
          <cell r="I39" t="str">
            <v>Supermarket – Cooler</v>
          </cell>
          <cell r="J39" t="str">
            <v>No</v>
          </cell>
          <cell r="K39">
            <v>108</v>
          </cell>
          <cell r="L39">
            <v>1.23E-2</v>
          </cell>
          <cell r="N39" t="str">
            <v>4-Pan</v>
          </cell>
          <cell r="O39">
            <v>38081</v>
          </cell>
          <cell r="P39">
            <v>7.3</v>
          </cell>
        </row>
        <row r="40">
          <cell r="H40" t="str">
            <v>Supermarket – CoolerUnknown</v>
          </cell>
          <cell r="I40" t="str">
            <v>Supermarket – Cooler</v>
          </cell>
          <cell r="J40" t="str">
            <v>Unknown</v>
          </cell>
          <cell r="K40">
            <v>62</v>
          </cell>
          <cell r="L40">
            <v>7.0800000000000004E-3</v>
          </cell>
          <cell r="N40" t="str">
            <v>5-Pan</v>
          </cell>
          <cell r="O40">
            <v>47948</v>
          </cell>
          <cell r="P40">
            <v>9.1999999999999993</v>
          </cell>
        </row>
        <row r="41">
          <cell r="H41" t="str">
            <v>Supermarket – FreezerYes</v>
          </cell>
          <cell r="I41" t="str">
            <v>Supermarket – Freezer</v>
          </cell>
          <cell r="J41" t="str">
            <v>Yes</v>
          </cell>
          <cell r="K41">
            <v>61</v>
          </cell>
          <cell r="L41">
            <v>6.96E-3</v>
          </cell>
          <cell r="N41" t="str">
            <v>6-Pan</v>
          </cell>
          <cell r="O41">
            <v>57815</v>
          </cell>
          <cell r="P41">
            <v>11.1</v>
          </cell>
        </row>
        <row r="42">
          <cell r="B42" t="str">
            <v>ECM Motors (HVAC)</v>
          </cell>
          <cell r="C42">
            <v>355.79297454545502</v>
          </cell>
          <cell r="D42">
            <v>6.70158E-2</v>
          </cell>
          <cell r="H42" t="str">
            <v>Supermarket – FreezerNo</v>
          </cell>
          <cell r="I42" t="str">
            <v>Supermarket – Freezer</v>
          </cell>
          <cell r="J42" t="str">
            <v>No</v>
          </cell>
          <cell r="K42">
            <v>179</v>
          </cell>
          <cell r="L42">
            <v>3.9800000000000002E-2</v>
          </cell>
        </row>
        <row r="43">
          <cell r="H43" t="str">
            <v>Supermarket – FreezerUnknown</v>
          </cell>
          <cell r="I43" t="str">
            <v>Supermarket – Freezer</v>
          </cell>
          <cell r="J43" t="str">
            <v>Unknown</v>
          </cell>
          <cell r="K43">
            <v>119</v>
          </cell>
          <cell r="L43">
            <v>1.358E-2</v>
          </cell>
          <cell r="U43" t="str">
            <v>PRSV Savings (Building Type)</v>
          </cell>
          <cell r="V43" t="str">
            <v>kWh</v>
          </cell>
          <cell r="W43" t="str">
            <v>kW</v>
          </cell>
        </row>
        <row r="44">
          <cell r="B44" t="str">
            <v>GREM Savings</v>
          </cell>
          <cell r="C44" t="str">
            <v>kWh</v>
          </cell>
          <cell r="D44" t="str">
            <v>kW</v>
          </cell>
          <cell r="H44" t="str">
            <v>Convenience Store - CoolerYes</v>
          </cell>
          <cell r="I44" t="str">
            <v>Convenience Store - Cooler</v>
          </cell>
          <cell r="J44" t="str">
            <v>Yes</v>
          </cell>
          <cell r="K44">
            <v>5</v>
          </cell>
          <cell r="L44">
            <v>5.6999999999999998E-4</v>
          </cell>
          <cell r="N44" t="str">
            <v>Concat Name</v>
          </cell>
          <cell r="O44" t="str">
            <v>kWh</v>
          </cell>
          <cell r="P44" t="str">
            <v>kW</v>
          </cell>
          <cell r="U44" t="str">
            <v>Fast Food</v>
          </cell>
          <cell r="V44">
            <v>4327.3637224977647</v>
          </cell>
          <cell r="W44">
            <v>0.59278955102709108</v>
          </cell>
        </row>
        <row r="45">
          <cell r="B45" t="str">
            <v xml:space="preserve">Guest Room Energy Management Controls </v>
          </cell>
          <cell r="C45">
            <v>590.20000000000005</v>
          </cell>
          <cell r="D45">
            <v>0.248</v>
          </cell>
          <cell r="H45" t="str">
            <v>Convenience Store - CoolerNo</v>
          </cell>
          <cell r="I45" t="str">
            <v>Convenience Store - Cooler</v>
          </cell>
          <cell r="J45" t="str">
            <v>No</v>
          </cell>
          <cell r="K45">
            <v>20</v>
          </cell>
          <cell r="L45">
            <v>2.2799999999999999E-3</v>
          </cell>
          <cell r="N45" t="str">
            <v>Ice Making Heads, Batch Type</v>
          </cell>
          <cell r="O45">
            <v>223</v>
          </cell>
          <cell r="P45">
            <v>0.03</v>
          </cell>
          <cell r="U45" t="str">
            <v>Casual Dining</v>
          </cell>
          <cell r="V45">
            <v>10097.18201916145</v>
          </cell>
          <cell r="W45">
            <v>1.10654049525057</v>
          </cell>
        </row>
        <row r="46">
          <cell r="H46" t="str">
            <v>Convenience Store - CoolerUnknown</v>
          </cell>
          <cell r="I46" t="str">
            <v>Convenience Store - Cooler</v>
          </cell>
          <cell r="J46" t="str">
            <v>Unknown</v>
          </cell>
          <cell r="K46">
            <v>11</v>
          </cell>
          <cell r="L46">
            <v>1.2600000000000001E-3</v>
          </cell>
          <cell r="N46" t="str">
            <v>Ice Making Heads, Continuous Type</v>
          </cell>
          <cell r="O46">
            <v>792</v>
          </cell>
          <cell r="P46">
            <v>0.09</v>
          </cell>
          <cell r="U46" t="str">
            <v>Institutional</v>
          </cell>
          <cell r="V46">
            <v>15159.604784932806</v>
          </cell>
          <cell r="W46">
            <v>1.6598107428758551</v>
          </cell>
        </row>
        <row r="47">
          <cell r="B47" t="str">
            <v>Duct Sealing Savings</v>
          </cell>
          <cell r="C47" t="str">
            <v>kWh/CFM</v>
          </cell>
          <cell r="D47" t="str">
            <v>kW/CFM</v>
          </cell>
          <cell r="H47" t="str">
            <v>Convenience Store - FreezerYes</v>
          </cell>
          <cell r="I47" t="str">
            <v>Convenience Store - Freezer</v>
          </cell>
          <cell r="J47" t="str">
            <v>Yes</v>
          </cell>
          <cell r="K47">
            <v>8</v>
          </cell>
          <cell r="L47">
            <v>9.1E-4</v>
          </cell>
          <cell r="N47" t="str">
            <v>Remote Condensing Units, Batch Type</v>
          </cell>
          <cell r="O47">
            <v>921</v>
          </cell>
          <cell r="P47">
            <v>0.11</v>
          </cell>
          <cell r="U47" t="str">
            <v>Dormitory</v>
          </cell>
          <cell r="V47">
            <v>20194.364038322899</v>
          </cell>
          <cell r="W47">
            <v>2.2130809905011399</v>
          </cell>
        </row>
        <row r="48">
          <cell r="B48" t="str">
            <v>Duct Sealing</v>
          </cell>
          <cell r="C48">
            <v>4.4000000000000004</v>
          </cell>
          <cell r="D48">
            <v>3.0000000000000001E-3</v>
          </cell>
          <cell r="H48" t="str">
            <v>Convenience Store - FreezerNo</v>
          </cell>
          <cell r="I48" t="str">
            <v>Convenience Store - Freezer</v>
          </cell>
          <cell r="J48" t="str">
            <v>No</v>
          </cell>
          <cell r="K48">
            <v>27</v>
          </cell>
          <cell r="L48">
            <v>3.0799999999999998E-3</v>
          </cell>
          <cell r="N48" t="str">
            <v>Remote Condensing Units, Continuous Type</v>
          </cell>
          <cell r="O48">
            <v>1037</v>
          </cell>
          <cell r="P48">
            <v>0.12</v>
          </cell>
          <cell r="U48" t="str">
            <v>K-12 School</v>
          </cell>
          <cell r="V48">
            <v>10097.18201916145</v>
          </cell>
          <cell r="W48">
            <v>1.3831756190632123</v>
          </cell>
        </row>
        <row r="49">
          <cell r="H49" t="str">
            <v>Convenience Store - FreezerUnknown</v>
          </cell>
          <cell r="I49" t="str">
            <v>Convenience Store - Freezer</v>
          </cell>
          <cell r="J49" t="str">
            <v>Unknown</v>
          </cell>
          <cell r="K49">
            <v>17</v>
          </cell>
          <cell r="L49">
            <v>1.9400000000000001E-3</v>
          </cell>
          <cell r="N49" t="str">
            <v>Self-Contained Units, Batch Type</v>
          </cell>
          <cell r="O49">
            <v>303</v>
          </cell>
          <cell r="P49">
            <v>0.03</v>
          </cell>
          <cell r="U49" t="str">
            <v>Other</v>
          </cell>
          <cell r="V49">
            <v>12334.764977771711</v>
          </cell>
          <cell r="W49">
            <v>1.4938296685882693</v>
          </cell>
        </row>
        <row r="50">
          <cell r="H50" t="str">
            <v>Restaurant - CoolerYes</v>
          </cell>
          <cell r="I50" t="str">
            <v>Restaurant - Cooler</v>
          </cell>
          <cell r="J50" t="str">
            <v>Yes</v>
          </cell>
          <cell r="K50">
            <v>8</v>
          </cell>
          <cell r="L50">
            <v>9.1E-4</v>
          </cell>
          <cell r="N50" t="str">
            <v>Self-Contained Units, Continuous Type</v>
          </cell>
          <cell r="O50">
            <v>118</v>
          </cell>
          <cell r="P50">
            <v>0.01</v>
          </cell>
        </row>
        <row r="51">
          <cell r="H51" t="str">
            <v>Restaurant – CoolerNo</v>
          </cell>
          <cell r="I51" t="str">
            <v>Restaurant – Cooler</v>
          </cell>
          <cell r="J51" t="str">
            <v>No</v>
          </cell>
          <cell r="K51">
            <v>30</v>
          </cell>
          <cell r="L51">
            <v>3.4199999999999999E-3</v>
          </cell>
        </row>
        <row r="52">
          <cell r="H52" t="str">
            <v>Restaurant – CoolerUnknown</v>
          </cell>
          <cell r="I52" t="str">
            <v>Restaurant – Cooler</v>
          </cell>
          <cell r="J52" t="str">
            <v>Unknown</v>
          </cell>
          <cell r="K52">
            <v>18</v>
          </cell>
          <cell r="L52">
            <v>2.0500000000000002E-3</v>
          </cell>
        </row>
        <row r="53">
          <cell r="H53" t="str">
            <v>Restaurant - FreezerYes</v>
          </cell>
          <cell r="I53" t="str">
            <v>Restaurant - Freezer</v>
          </cell>
          <cell r="J53" t="str">
            <v>Yes</v>
          </cell>
          <cell r="K53">
            <v>34</v>
          </cell>
          <cell r="L53">
            <v>3.8800000000000002E-3</v>
          </cell>
        </row>
        <row r="54">
          <cell r="H54" t="str">
            <v>Restaurant - FreezerNo</v>
          </cell>
          <cell r="I54" t="str">
            <v>Restaurant - Freezer</v>
          </cell>
          <cell r="J54" t="str">
            <v>No</v>
          </cell>
          <cell r="K54">
            <v>119</v>
          </cell>
          <cell r="L54">
            <v>1.358E-2</v>
          </cell>
        </row>
        <row r="55">
          <cell r="H55" t="str">
            <v>Restaurant - FreezerUnknown</v>
          </cell>
          <cell r="I55" t="str">
            <v>Restaurant - Freezer</v>
          </cell>
          <cell r="J55" t="str">
            <v>Unknown</v>
          </cell>
          <cell r="K55">
            <v>81</v>
          </cell>
          <cell r="L55">
            <v>9.2499999999999995E-3</v>
          </cell>
        </row>
        <row r="56">
          <cell r="H56" t="str">
            <v>Refrigerated WarehouseYes</v>
          </cell>
          <cell r="I56" t="str">
            <v>Refrigerated Warehouse</v>
          </cell>
          <cell r="J56" t="str">
            <v>Yes</v>
          </cell>
          <cell r="K56">
            <v>254</v>
          </cell>
          <cell r="L56">
            <v>2.9000000000000001E-2</v>
          </cell>
        </row>
        <row r="57">
          <cell r="H57" t="str">
            <v>Refrigerated WarehouseNo</v>
          </cell>
          <cell r="I57" t="str">
            <v>Refrigerated Warehouse</v>
          </cell>
          <cell r="J57" t="str">
            <v>No</v>
          </cell>
          <cell r="K57">
            <v>729</v>
          </cell>
          <cell r="L57">
            <v>8.3220000000000002E-2</v>
          </cell>
        </row>
        <row r="58">
          <cell r="H58" t="str">
            <v>Refrigerated WarehouseUnknown</v>
          </cell>
          <cell r="I58" t="str">
            <v>Refrigerated Warehouse</v>
          </cell>
          <cell r="J58" t="str">
            <v>Unknown</v>
          </cell>
          <cell r="K58">
            <v>287</v>
          </cell>
          <cell r="L58">
            <v>3.2759999999999997E-2</v>
          </cell>
        </row>
        <row r="78">
          <cell r="U78" t="str">
            <v>Showerhead Savings (Building Type)</v>
          </cell>
          <cell r="V78" t="str">
            <v>kWh</v>
          </cell>
          <cell r="W78" t="str">
            <v>kW</v>
          </cell>
        </row>
        <row r="79">
          <cell r="U79" t="str">
            <v>Hospital</v>
          </cell>
          <cell r="V79">
            <v>495.33452376927249</v>
          </cell>
          <cell r="W79">
            <v>4.071242661117308E-2</v>
          </cell>
        </row>
        <row r="80">
          <cell r="U80" t="str">
            <v>Lodging</v>
          </cell>
          <cell r="V80">
            <v>695.69455585572007</v>
          </cell>
          <cell r="W80">
            <v>3.8120249635929866E-2</v>
          </cell>
        </row>
        <row r="81">
          <cell r="U81" t="str">
            <v>Commercial</v>
          </cell>
          <cell r="V81">
            <v>369.76642146851964</v>
          </cell>
          <cell r="W81">
            <v>0.11832525486992629</v>
          </cell>
        </row>
        <row r="82">
          <cell r="U82" t="str">
            <v>Fitness Center</v>
          </cell>
          <cell r="V82">
            <v>11097.719555010446</v>
          </cell>
          <cell r="W82">
            <v>2.4323768887694128</v>
          </cell>
        </row>
        <row r="83">
          <cell r="U83" t="str">
            <v>School</v>
          </cell>
          <cell r="V83">
            <v>402.54983615541937</v>
          </cell>
          <cell r="W83">
            <v>0.10063745903885485</v>
          </cell>
        </row>
        <row r="84">
          <cell r="U84" t="str">
            <v>Other</v>
          </cell>
          <cell r="V84">
            <v>369.76642146851964</v>
          </cell>
          <cell r="W84">
            <v>0.11832525486992629</v>
          </cell>
        </row>
      </sheetData>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Application"/>
      <sheetName val="Signature"/>
      <sheetName val="HVAC"/>
      <sheetName val="Refrigeration"/>
      <sheetName val="Com Kitchen"/>
      <sheetName val="Window Film"/>
      <sheetName val="Efficient Windows"/>
      <sheetName val="Misc"/>
      <sheetName val="Custom"/>
      <sheetName val="Summary"/>
      <sheetName val="Change Log"/>
      <sheetName val="Completion"/>
      <sheetName val="References"/>
      <sheetName val="HVAC Calcs"/>
      <sheetName val="Caps"/>
      <sheetName val="QC"/>
      <sheetName val="Proj Data"/>
      <sheetName val="APTracks Export Data"/>
      <sheetName val="Energy_Smart_Non-Lighting_Workb"/>
    </sheetNames>
    <sheetDataSet>
      <sheetData sheetId="0"/>
      <sheetData sheetId="1"/>
      <sheetData sheetId="2"/>
      <sheetData sheetId="3"/>
      <sheetData sheetId="4"/>
      <sheetData sheetId="5"/>
      <sheetData sheetId="6"/>
      <sheetData sheetId="7"/>
      <sheetData sheetId="8"/>
      <sheetData sheetId="9"/>
      <sheetData sheetId="10">
        <row r="11">
          <cell r="C11">
            <v>0</v>
          </cell>
        </row>
      </sheetData>
      <sheetData sheetId="11"/>
      <sheetData sheetId="12"/>
      <sheetData sheetId="13">
        <row r="3">
          <cell r="B3">
            <v>200000</v>
          </cell>
        </row>
      </sheetData>
      <sheetData sheetId="14"/>
      <sheetData sheetId="15"/>
      <sheetData sheetId="16"/>
      <sheetData sheetId="17"/>
      <sheetData sheetId="18"/>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SV"/>
      <sheetName val="Summary"/>
      <sheetName val="Review"/>
      <sheetName val="EnSmPC"/>
      <sheetName val="Tables"/>
      <sheetName val="Library"/>
      <sheetName val="Analysis"/>
      <sheetName val="WE"/>
      <sheetName val="OE"/>
      <sheetName val="EQ"/>
      <sheetName val="TAC"/>
      <sheetName val="PA"/>
      <sheetName val="AS"/>
      <sheetName val="DummyCopy"/>
      <sheetName val="PML"/>
      <sheetName val="PL"/>
      <sheetName val="PLC"/>
      <sheetName val="PH"/>
      <sheetName val="PR"/>
      <sheetName val="PCK"/>
      <sheetName val="PM"/>
      <sheetName val="CLI"/>
      <sheetName val="FT"/>
      <sheetName val="CH"/>
      <sheetName val="CLPost"/>
      <sheetName val="CLPre"/>
      <sheetName val="CN"/>
      <sheetName val="CK"/>
      <sheetName val="SR"/>
      <sheetName val="PC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namedSheetViews/namedSheetView1.xml><?xml version="1.0" encoding="utf-8"?>
<namedSheetViews xmlns="http://schemas.microsoft.com/office/spreadsheetml/2019/namedsheetviews" xmlns:x="http://schemas.openxmlformats.org/spreadsheetml/2006/main" xmlns:mc="http://schemas.openxmlformats.org/markup-compatibility/2006" xmlns:x14="http://schemas.microsoft.com/office/spreadsheetml/2009/9/main" mc:Ignorable="x14">
  <namedSheetView name="Distribution View" id="{AB6DCCBF-3DF4-4B0A-BF49-28D813B48435}"/>
</namedSheetViews>
</file>

<file path=xl/persons/person.xml><?xml version="1.0" encoding="utf-8"?>
<personList xmlns="http://schemas.microsoft.com/office/spreadsheetml/2018/threadedcomments" xmlns:x="http://schemas.openxmlformats.org/spreadsheetml/2006/main">
  <person displayName="Kurtz, Spencer" id="{A3E89FC8-9D46-4C6C-B92E-ADD4BB5C8EEA}" userId="S::spencer.kurtz@aptim.com::fe2f2be9-1164-485f-94b6-80f4257875eb"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6DCFFF-2D47-473A-9BC9-BAB0551BF868}" name="Table_PrescriptLights_Input" displayName="Table_PrescriptLights_Input" ref="B4:X54" totalsRowShown="0" headerRowDxfId="245" headerRowBorderDxfId="244" tableBorderDxfId="243" totalsRowBorderDxfId="242" headerRowCellStyle="Table Top 1" dataCellStyle="Locked Cell">
  <tableColumns count="23">
    <tableColumn id="1" xr3:uid="{8F9C875C-9563-4ABB-B625-09C157533782}" name="Line Ref. No." dataDxfId="241" dataCellStyle="Locked Cell"/>
    <tableColumn id="2" xr3:uid="{46C6C011-1316-4CC5-A76D-C108F8C6CA48}" name="Measure Number" dataDxfId="240" dataCellStyle="Locked Cell">
      <calculatedColumnFormula>IFERROR(INDEX(Table_Prescript_Meas[Measure Number], MATCH(E5, Table_Prescript_Meas[Measure Description], 0)), "")</calculatedColumnFormula>
    </tableColumn>
    <tableColumn id="3" xr3:uid="{B3CC9771-7C6F-449B-85D9-1ECC10D7772F}" name="Location / Measure Notes" dataDxfId="239" dataCellStyle="Locked Cell"/>
    <tableColumn id="4" xr3:uid="{81D64D76-AD10-4279-8BB9-C983A5F9AFD2}" name="HVAC Measure" dataDxfId="238" dataCellStyle="Input General"/>
    <tableColumn id="5" xr3:uid="{4C67F5B5-106B-4EE5-80F4-0928E678A73D}" name="Unit of Measure" dataDxfId="237" dataCellStyle="Locked Cell">
      <calculatedColumnFormula>IFERROR(INDEX(Table_Prescript_Meas[Units], MATCH(Table_PrescriptLights_Input[[#This Row],[Measure Number]], Table_Prescript_Meas[Measure Number], 0)), "")</calculatedColumnFormula>
    </tableColumn>
    <tableColumn id="9" xr3:uid="{1C657E22-9C15-4CE8-82E7-5398C82E25D2}" name="Number of Units" dataDxfId="236" dataCellStyle="Input General"/>
    <tableColumn id="13" xr3:uid="{A50D4BBF-47C5-4C6B-921E-1B44F382955F}" name="Tonnage per Unit (if necessary)" dataDxfId="235" dataCellStyle="Input General"/>
    <tableColumn id="10" xr3:uid="{667F12FC-3216-4BAE-B0BF-DB5DE2D4FCF1}" name="Unit Make &amp; Model (if necessary)" dataDxfId="234" dataCellStyle="Input General"/>
    <tableColumn id="8" xr3:uid="{1F1CA8C4-3BDE-4AC5-BAA5-4B9E0FEE46DB}" name="EER" dataDxfId="233" dataCellStyle="Input General"/>
    <tableColumn id="7" xr3:uid="{7FB1A9D2-0768-42EE-8DA6-A7C20C689834}" name="IEER/SEER" dataDxfId="232" dataCellStyle="Input General"/>
    <tableColumn id="6" xr3:uid="{AF5137A2-3546-4378-82AE-0C85FBDAF122}" name="HSPF" dataDxfId="231" dataCellStyle="Input General"/>
    <tableColumn id="12" xr3:uid="{694A1EFD-60FB-44F6-AE0B-552686F39F61}" name="Full Load kW/Ton" dataDxfId="230" dataCellStyle="Input General"/>
    <tableColumn id="11" xr3:uid="{B2EA907F-40D8-456D-8742-E74E823E39E7}" name="Part Load (IPLV) kW/Ton" dataDxfId="229" dataCellStyle="Input General"/>
    <tableColumn id="14" xr3:uid="{E3C62EC6-E0E5-44D8-8322-4915701CD4C7}" name="Total Equipment Cost" dataDxfId="228" dataCellStyle="Input General"/>
    <tableColumn id="15" xr3:uid="{73391BD7-BA9B-4655-8D59-8036683B6997}" name="Total Labor Cost" dataDxfId="227" dataCellStyle="Input General"/>
    <tableColumn id="16" xr3:uid="{75D6130F-A3AD-4B6C-8D4A-A9BF89230E2D}" name="Per-Unit Incentive" dataDxfId="226" dataCellStyle="Locked Cell">
      <calculatedColumnFormula>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calculatedColumnFormula>
    </tableColumn>
    <tableColumn id="17" xr3:uid="{10CA3C0B-F6F6-4CD9-BAFE-66EF99651F2B}" name="Estimated Incentive" dataDxfId="225" dataCellStyle="Locked Cell">
      <calculatedColumnFormula>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calculatedColumnFormula>
    </tableColumn>
    <tableColumn id="18" xr3:uid="{242BB73F-FF6A-4795-8760-4BF5E54052DF}" name="Energy Savings (kWh)" dataDxfId="224"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calculatedColumnFormula>
    </tableColumn>
    <tableColumn id="20" xr3:uid="{1D47EF14-5FDD-46D6-BD70-A783441979ED}" name="Demand Reduction (kW)" dataDxfId="223" dataCellStyle="Locked Cell">
      <calculatedColumnFormula>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calculatedColumnFormula>
    </tableColumn>
    <tableColumn id="19" xr3:uid="{9353DCEE-B0B9-4D5E-99AD-C689A8C09023}" name="Cost Savings" dataDxfId="222" dataCellStyle="Locked Cell">
      <calculatedColumnFormula>IFERROR(Table_PrescriptLights_Input[[#This Row],[Energy Savings (kWh)]]*Input_AvgkWhRate, "")</calculatedColumnFormula>
    </tableColumn>
    <tableColumn id="25" xr3:uid="{F3721235-2AC1-4A24-BEAB-C067BFB49151}" name="Gross Measure Cost" dataDxfId="221" dataCellStyle="Locked Cell">
      <calculatedColumnFormula>IF(Table_PrescriptLights_Input[[#This Row],[HVAC Measure]]="", "",Table_PrescriptLights_Input[[#This Row],[Total Equipment Cost]]+Table_PrescriptLights_Input[[#This Row],[Total Labor Cost]])</calculatedColumnFormula>
    </tableColumn>
    <tableColumn id="21" xr3:uid="{61B34AB5-3923-452A-A360-BEE9FD62F90C}" name="Net Measure Cost" dataDxfId="220" dataCellStyle="Locked Cell">
      <calculatedColumnFormula>IFERROR(Table_PrescriptLights_Input[[#This Row],[Gross Measure Cost]]-Table_PrescriptLights_Input[[#This Row],[Estimated Incentive]], "")</calculatedColumnFormula>
    </tableColumn>
    <tableColumn id="22" xr3:uid="{72C4AABA-BB74-40F5-B832-4F50AEC6866D}" name="Simple Payback (Years)" dataDxfId="219" dataCellStyle="Locked Cell">
      <calculatedColumnFormula>IFERROR($W5/$U5,"")</calculatedColumnFormula>
    </tableColumn>
  </tableColumns>
  <tableStyleInfo name="Lookup Tabl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E796AFA-733C-434F-BDDC-2899ECA53AB7}" name="Table_Prescript_Meas" displayName="Table_Prescript_Meas" ref="D3:M98" totalsRowShown="0">
  <autoFilter ref="D3:M98" xr:uid="{1E796AFA-733C-434F-BDDC-2899ECA53AB7}"/>
  <sortState xmlns:xlrd2="http://schemas.microsoft.com/office/spreadsheetml/2017/richdata2" ref="D4:K67">
    <sortCondition ref="D3:D67"/>
  </sortState>
  <tableColumns count="10">
    <tableColumn id="13" xr3:uid="{012E9E51-5028-4922-9691-1FBAD313D544}" name="Sort Order"/>
    <tableColumn id="7" xr3:uid="{AB63D968-5021-493B-BE1F-3A64316ACC31}" name="Type" dataDxfId="58"/>
    <tableColumn id="5" xr3:uid="{F18435E4-A28A-404F-9592-218A633520A0}" name="Measure Number" dataDxfId="57"/>
    <tableColumn id="1" xr3:uid="{A3E2A2E2-AD9F-4EDF-8AD1-B97F6A2E727B}" name="Measure Description"/>
    <tableColumn id="2" xr3:uid="{62C320E2-6C47-4072-836B-0FA25E2EA64A}" name="Incentive - SC" dataDxfId="56"/>
    <tableColumn id="3" xr3:uid="{9829818C-AAD4-47CD-862A-5F923ABB1CAC}" name="Incentive - LC" dataDxfId="55"/>
    <tableColumn id="4" xr3:uid="{B3C7B82F-2C2A-4B14-952B-B59A9EAADE36}" name="Units"/>
    <tableColumn id="10" xr3:uid="{C8C6E27F-E414-402B-93BF-418D93F7AE06}" name="Deemed kWh Savings"/>
    <tableColumn id="8" xr3:uid="{3641EB83-A3B7-48F3-85CD-C934D13930A5}" name="Deemed kW Savings"/>
    <tableColumn id="6" xr3:uid="{38E6EACF-9D92-4464-93CB-A4109D911BE6}" name="Hybrid Lookup"/>
  </tableColumns>
  <tableStyleInfo name="Lookup Table"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3F43150-BB1D-49F2-B060-6A5BF0371595}" name="Table_Programs_Rates" displayName="Table_Programs_Rates" ref="W3:X5" totalsRowShown="0">
  <autoFilter ref="W3:X5" xr:uid="{13F43150-BB1D-49F2-B060-6A5BF0371595}"/>
  <tableColumns count="2">
    <tableColumn id="1" xr3:uid="{3BF8EA89-AC12-46F5-99CC-41C83E731F21}" name="List_Programs" dataDxfId="54"/>
    <tableColumn id="2" xr3:uid="{488C031A-DF45-4211-A4B9-CE139C7ED760}" name="Custom Incentive Rate" dataDxfId="53"/>
  </tableColumns>
  <tableStyleInfo name="Lookup Table"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CBA98990-6055-4435-BE62-36059C88FFDB}" name="Table_WinFilm_Savings" displayName="Table_WinFilm_Savings" ref="P3:U12" totalsRowShown="0" headerRowDxfId="52">
  <autoFilter ref="P3:U12" xr:uid="{CBA98990-6055-4435-BE62-36059C88FFDB}"/>
  <tableColumns count="6">
    <tableColumn id="1" xr3:uid="{5A968875-7C13-4230-B364-067046DEB1B9}" name="Measure No" dataDxfId="51">
      <calculatedColumnFormula>$F$40</calculatedColumnFormula>
    </tableColumn>
    <tableColumn id="2" xr3:uid="{8AEEAEE9-5AF0-4971-B641-8AC45F45BBBD}" name="HVAC System"/>
    <tableColumn id="3" xr3:uid="{E0D1F54F-4C1B-42BD-8056-8B2DC5B55E8D}" name="Cardinal Direction"/>
    <tableColumn id="4" xr3:uid="{D905EADD-608F-4E86-B5DC-CFF4B1957A70}" name="Lookup Detail" dataDxfId="50">
      <calculatedColumnFormula>_xlfn.CONCAT($AQ$4,Table_WinFilm_Savings[[#This Row],[Cardinal Direction]])</calculatedColumnFormula>
    </tableColumn>
    <tableColumn id="5" xr3:uid="{49C38D12-6A98-4B63-8AD3-2CF38ADAFCA1}" name="Deemed kWh Savings">
      <calculatedColumnFormula>K40</calculatedColumnFormula>
    </tableColumn>
    <tableColumn id="6" xr3:uid="{5F575E9B-8880-47C3-8351-7F40B4A82FDF}" name="Deemed kW Savings">
      <calculatedColumnFormula>L40</calculatedColumnFormula>
    </tableColumn>
  </tableColumns>
  <tableStyleInfo name="Lookup Table"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8DC6C38-602F-46F6-8B25-C7BF32CC5375}" name="Table_EffWindow_Savings" displayName="Table_EffWindow_Savings" ref="P15:U23" totalsRowShown="0" headerRowDxfId="49">
  <autoFilter ref="P15:U23" xr:uid="{28DC6C38-602F-46F6-8B25-C7BF32CC5375}"/>
  <tableColumns count="6">
    <tableColumn id="1" xr3:uid="{5E3AE982-9399-470B-AA62-E400260F541F}" name="Measure No" dataDxfId="48"/>
    <tableColumn id="2" xr3:uid="{21D644E8-B128-448B-9DD5-14FA088B6DF0}" name="HVAC System"/>
    <tableColumn id="3" xr3:uid="{32C8D3B7-EF56-4A27-BE46-05F2A5F5889F}" name="Cardinal Direction"/>
    <tableColumn id="4" xr3:uid="{E5338DFC-4F5B-42EC-A523-38B2C9F8F435}" name="Lookup Detail" dataDxfId="47"/>
    <tableColumn id="5" xr3:uid="{3743021F-C34C-4B95-89ED-A4974FF9D7CA}" name="Deemed kWh Savings"/>
    <tableColumn id="6" xr3:uid="{F67A21E0-ED32-4E83-8930-67F54AFE7E3C}" name="Deemed kW Savings"/>
  </tableColumns>
  <tableStyleInfo name="Lookup Table"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A563531E-FBF8-4AB3-A38F-7060C6F74F42}" name="Table_Measure_Caps" displayName="Table_Measure_Caps" ref="A2:J10" totalsRowCount="1" headerRowDxfId="46">
  <autoFilter ref="A2:J9" xr:uid="{A563531E-FBF8-4AB3-A38F-7060C6F74F42}"/>
  <tableColumns count="10">
    <tableColumn id="1" xr3:uid="{2FC0691E-AA41-4B72-B587-A8266560EB57}" name="Worksheet" totalsRowLabel="Total"/>
    <tableColumn id="10" xr3:uid="{A9369F91-9D6F-4877-91DA-479A193A41D3}" name="Measure Type" dataDxfId="45">
      <calculatedColumnFormula>'Review the Summary'!B31</calculatedColumnFormula>
    </tableColumn>
    <tableColumn id="2" xr3:uid="{D83E28AC-8A76-4C16-B98B-2F373B5D0392}" name="Estimated Raw Incentive Total" totalsRowFunction="sum" dataDxfId="44" totalsRowDxfId="43"/>
    <tableColumn id="3" xr3:uid="{A6A92779-0E26-4488-9339-91277CD00D3C}" name="Energy Savings Total (kWh)" totalsRowFunction="sum" dataDxfId="42" totalsRowDxfId="41"/>
    <tableColumn id="4" xr3:uid="{A75B0FC7-F4C9-4E23-905D-A7F086D7E388}" name="Demand Reduction Total (kW)" totalsRowFunction="sum" dataDxfId="40" totalsRowDxfId="39"/>
    <tableColumn id="5" xr3:uid="{F9FA9204-4436-47C3-AA70-EC693EF4524F}" name="Cost Savings Total" totalsRowFunction="sum" dataDxfId="38" totalsRowDxfId="37"/>
    <tableColumn id="6" xr3:uid="{A131607F-447F-4B40-BE76-6650AAE820EE}" name="Gross Measure Cost Total" totalsRowFunction="sum" dataDxfId="36" totalsRowDxfId="35"/>
    <tableColumn id="7" xr3:uid="{0C6C6173-2706-4EAD-B4A7-49D90713FBE0}" name="Net Measure Cost Total" totalsRowFunction="sum" dataDxfId="34" totalsRowDxfId="33"/>
    <tableColumn id="8" xr3:uid="{3572CC4A-960F-4F3C-B657-B59E0880F64C}" name="Raw ItoC Ratio" totalsRowFunction="custom" dataDxfId="32" totalsRowDxfId="31" dataCellStyle="Percent">
      <calculatedColumnFormula>Table_Measure_Caps[[#This Row],[Estimated Raw Incentive Total]]/Table_Measure_Caps[[#This Row],[Gross Measure Cost Total]]</calculatedColumnFormula>
      <totalsRowFormula>Table_Measure_Caps[[#Totals],[Estimated Raw Incentive Total]]/Table_Measure_Caps[[#Totals],[Gross Measure Cost Total]]</totalsRowFormula>
    </tableColumn>
    <tableColumn id="9" xr3:uid="{B184E87D-28C0-4282-AD79-16BC9E7ED8DB}" name="Capped Incentive" totalsRowFunction="sum" dataDxfId="30" totalsRowDxfId="29">
      <calculatedColumnFormula>Table_Measure_Caps[[#This Row],[Estimated Raw Incentive Total]]*MIN(Table_Measure_Caps[[#Totals],[Estimated Raw Incentive Total]], Table_Measure_Caps[[#Totals],[Gross Measure Cost Total]], Value_Project_CAP)/Table_Measure_Caps[[#Totals],[Estimated Raw Incentive Total]]</calculatedColumnFormula>
    </tableColumn>
  </tableColumns>
  <tableStyleInfo name="Lookup Table"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38FEFB1C-75A0-4708-8542-C9EFD91E1D56}" name="Table_Bonus_Caps" displayName="Table_Bonus_Caps" ref="L2:O3" totalsRowShown="0">
  <autoFilter ref="L2:O3" xr:uid="{38FEFB1C-75A0-4708-8542-C9EFD91E1D56}"/>
  <tableColumns count="4">
    <tableColumn id="1" xr3:uid="{6D6B2771-B606-4F00-9DD9-22B5477D9AF6}" name="Bonus Rate" dataDxfId="28"/>
    <tableColumn id="2" xr3:uid="{C33A9D64-1008-475E-A872-2D8F666A9B33}" name="Raw Incentive Total" dataDxfId="27"/>
    <tableColumn id="3" xr3:uid="{B530129D-6CA1-490C-A4CC-5B847BFF5C7F}" name="Uncapped Bonus" dataDxfId="26"/>
    <tableColumn id="4" xr3:uid="{84BE2AB8-EAE8-4601-B451-E59BE06594F1}" name="Final Bonus" dataDxfId="25"/>
  </tableColumns>
  <tableStyleInfo name="Lookup Table"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9B59AF07-6C3E-4916-BF28-FE5F8675061D}" name="Table_Contacts" displayName="Table_Contacts" ref="A3:R8" totalsRowShown="0">
  <autoFilter ref="A3:R8" xr:uid="{9B59AF07-6C3E-4916-BF28-FE5F8675061D}"/>
  <tableColumns count="18">
    <tableColumn id="1" xr3:uid="{0AD828B3-B818-42BE-B582-D1A564AF04EC}" name="Entity" dataDxfId="24"/>
    <tableColumn id="2" xr3:uid="{B3E0AB1E-3696-46A2-AAF0-DF096D5BA61B}" name="Business Name"/>
    <tableColumn id="3" xr3:uid="{CCCDE659-D2D4-4D6C-A6A6-EEF747F692CB}" name="Contact Name"/>
    <tableColumn id="4" xr3:uid="{3790D546-CB25-4CB4-9C72-19426A1C8017}" name="Street"/>
    <tableColumn id="5" xr3:uid="{BF512088-76E8-4B2D-9273-DE6DEF8D4456}" name="City"/>
    <tableColumn id="6" xr3:uid="{D09BB5C1-08E9-4D11-9D9B-899BEF01F28A}" name="State"/>
    <tableColumn id="7" xr3:uid="{0155B42F-8311-447A-B9BD-D98CDD372347}" name="Zip"/>
    <tableColumn id="8" xr3:uid="{6609A3FB-EFC0-4142-ABA7-782EDD5C64D2}" name="Phone"/>
    <tableColumn id="9" xr3:uid="{74C926AD-BD78-425D-8A7F-9C69757885C3}" name="Email"/>
    <tableColumn id="10" xr3:uid="{480D5B77-BF79-49FA-BE6C-91D3D2D42717}" name="Classification"/>
    <tableColumn id="11" xr3:uid="{5A96515C-D517-4DC7-A490-898B012E235E}" name="PFI?"/>
    <tableColumn id="12" xr3:uid="{0576638A-AF03-45DF-9E48-8E01827CF164}" name="DBE?"/>
    <tableColumn id="13" xr3:uid="{D23DB36B-EDA9-4803-828A-455192F4F856}" name="Registered TA?"/>
    <tableColumn id="14" xr3:uid="{1B2A8FAA-F170-4AE1-8084-6BA2FE463294}" name="Project Role"/>
    <tableColumn id="15" xr3:uid="{AF3F8029-43C9-4724-B855-B507891B3611}" name="Attention To" dataDxfId="23">
      <calculatedColumnFormula>'Fill in the Application'!F29</calculatedColumnFormula>
    </tableColumn>
    <tableColumn id="16" xr3:uid="{7CA4F0D1-7754-471C-8DEB-CAEB6649B745}" name="Check Payable To" dataDxfId="22">
      <calculatedColumnFormula>'Fill in the Application'!F30</calculatedColumnFormula>
    </tableColumn>
    <tableColumn id="17" xr3:uid="{772C63A5-044F-47D7-89C5-9E60AFFC552A}" name="Federal Tax ID Number" dataDxfId="21">
      <calculatedColumnFormula>'Fill in the Application'!F31</calculatedColumnFormula>
    </tableColumn>
    <tableColumn id="18" xr3:uid="{F71E6A60-E971-4C2E-96C9-6C8A1944A1FF}" name="Tax Entity" dataDxfId="20">
      <calculatedColumnFormula>'Fill in the Application'!F32</calculatedColumnFormula>
    </tableColumn>
  </tableColumns>
  <tableStyleInfo name="Lookup Table"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8ECA0D8E-39DB-439E-8DE5-5370072D2993}" name="Table18" displayName="Table18" ref="A1:M212" totalsRowShown="0" headerRowDxfId="17" dataDxfId="15" headerRowBorderDxfId="16" tableBorderDxfId="14" totalsRowBorderDxfId="13">
  <autoFilter ref="A1:M212" xr:uid="{AC1521BA-AD84-493D-AF13-55C57F1C1791}"/>
  <tableColumns count="13">
    <tableColumn id="1" xr3:uid="{3DB06459-5EF0-4845-87C6-71093DF4D059}" name="Tab" dataDxfId="12"/>
    <tableColumn id="2" xr3:uid="{9EDF22A4-E4B2-48B6-AD3D-0BE485A40D26}" name="Project Number" dataDxfId="11">
      <calculatedColumnFormula>Input_ProjectNumber</calculatedColumnFormula>
    </tableColumn>
    <tableColumn id="3" xr3:uid="{F859D182-8016-4172-A4B6-3B0EEE37FAE5}" name="Line Ref No." dataDxfId="10"/>
    <tableColumn id="4" xr3:uid="{C54F4813-8C41-4CD8-A0D4-73CBF600E09F}" name="Measure Number" dataDxfId="9"/>
    <tableColumn id="5" xr3:uid="{19E1D120-0A8A-4B1A-94ED-FA426FDD8475}" name="Unit of Measure" dataDxfId="8"/>
    <tableColumn id="6" xr3:uid="{1F77E8C1-7320-44EA-8A57-57259BF07F35}" name="Units" dataDxfId="7"/>
    <tableColumn id="7" xr3:uid="{1F937121-6018-4D01-A8F7-949B9D82B1AC}" name="kWh Savings" dataDxfId="6"/>
    <tableColumn id="8" xr3:uid="{36567BEC-6C41-4BEF-841E-E148D3329C61}" name="kW Savings" dataDxfId="5"/>
    <tableColumn id="9" xr3:uid="{A460E20F-8F1A-440D-B049-49AE2A807C1B}" name="Incentive" dataDxfId="4">
      <calculatedColumnFormula>IFERROR(N2*MIN(Table_Measure_Caps[[#Totals],[Estimated Raw Incentive Total]], Table_Measure_Caps[[#Totals],[Gross Measure Cost Total]], Value_Project_CAP)/Table_Measure_Caps[[#Totals],[Estimated Raw Incentive Total]], "")</calculatedColumnFormula>
    </tableColumn>
    <tableColumn id="10" xr3:uid="{381FB756-DD36-4756-9963-B143861FC6D2}" name="Equipment Cost" dataDxfId="3"/>
    <tableColumn id="11" xr3:uid="{2AEAB220-3903-4800-985E-9696295079E6}" name="Labor Cost" dataDxfId="2"/>
    <tableColumn id="15" xr3:uid="{31A47813-DF33-4ED0-B687-26FDA4A4DFE2}" name="Calculator Version" dataDxfId="1"/>
    <tableColumn id="16" xr3:uid="{00B36A9C-1D39-4559-88E5-6B6F68BA784A}" name="Measure Description" dataDxfId="0"/>
  </tableColumns>
  <tableStyleInfo name="Lookup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4C4C60-A37E-4AE9-ADD1-4B2CF5A54258}" name="Table_Custom_Input" displayName="Table_Custom_Input" ref="B5:Q55" totalsRowShown="0" headerRowDxfId="217" dataDxfId="215" headerRowBorderDxfId="216" tableBorderDxfId="214" headerRowCellStyle="Locked Cell Bold" dataCellStyle="Locked Cell Bold">
  <autoFilter ref="B5:Q55" xr:uid="{F14C4C60-A37E-4AE9-ADD1-4B2CF5A5425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E0EFB119-A642-449F-A3A9-CB1887140A3B}" name="Line Ref. No." dataDxfId="213" dataCellStyle="Locked Cell"/>
    <tableColumn id="31" xr3:uid="{9ADE8167-8016-4FEB-ACEE-8519A40B1040}" name="Measure Number" dataDxfId="212" dataCellStyle="Locked Cell">
      <calculatedColumnFormula>IFERROR(INDEX(Table_Prescript_Meas[Measure Number], MATCH(Table_Custom_Input[[#This Row],[Refrigeration Measure]], Table_Prescript_Meas[Measure Description], 0)), "")</calculatedColumnFormula>
    </tableColumn>
    <tableColumn id="2" xr3:uid="{C02CFE29-FCF2-4262-892E-895CB8DDC2B4}" name="Location / Measure Notes" dataDxfId="211" dataCellStyle="Locked Cell"/>
    <tableColumn id="3" xr3:uid="{E1B28E8C-D5F2-4C23-8DD5-FA90D0E0F659}" name="Refrigeration Measure" dataDxfId="210" dataCellStyle="Input General"/>
    <tableColumn id="4" xr3:uid="{4EC6AC3D-A4EB-454F-BC53-CC9E14FE8DD4}" name="Unit of Measure" dataDxfId="209" dataCellStyle="Locked Cell">
      <calculatedColumnFormula>IFERROR(INDEX(Table_Prescript_Meas[Units], MATCH(Table_Custom_Input[[#This Row],[Measure Number]], Table_Prescript_Meas[Measure Number], 0)), "")</calculatedColumnFormula>
    </tableColumn>
    <tableColumn id="13" xr3:uid="{00C82BC5-CD3C-4285-96D1-CF46E597D300}" name="Number of Units" dataDxfId="208"/>
    <tableColumn id="18" xr3:uid="{4601385C-DB97-449C-A7D4-A5EE004A1DB1}" name="Total Equipment Cost" dataDxfId="207">
      <calculatedColumnFormula>150*G6</calculatedColumnFormula>
    </tableColumn>
    <tableColumn id="19" xr3:uid="{0E97AF02-0588-4EA9-85F6-510763FCC56B}" name="Total Labor Cost" dataDxfId="206"/>
    <tableColumn id="5" xr3:uid="{EA606538-22C8-420B-A8F6-77F9AA271796}" name="Per-Unit Incentive" dataDxfId="205" dataCellStyle="Input General">
      <calculatedColumnFormula>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calculatedColumnFormula>
    </tableColumn>
    <tableColumn id="23" xr3:uid="{D3C788C1-6B66-45C5-9FFC-1B70A55A454D}" name="Estimated Incentive" dataDxfId="204" dataCellStyle="Locked Cell">
      <calculatedColumnFormula>IFERROR(Table_Custom_Input[[#This Row],[Number of Units]]*Table_Custom_Input[[#This Row],[Per-Unit Incentive]],"")</calculatedColumnFormula>
    </tableColumn>
    <tableColumn id="20" xr3:uid="{5DB70777-8B9B-4F83-99E9-C00D72DF09FF}" name="Energy Savings (kWh)" dataDxfId="203" dataCellStyle="Locked Cell">
      <calculatedColumnFormula>IFERROR(Table_Custom_Input[[#This Row],[Number of Units]]*INDEX(Table_Prescript_Meas[Deemed kWh Savings], MATCH(Table_Custom_Input[[#This Row],[Measure Number]], Table_Prescript_Meas[Measure Number], 0)),"" )</calculatedColumnFormula>
    </tableColumn>
    <tableColumn id="21" xr3:uid="{65A12173-B4B9-4A58-960A-717AC4D32DE4}" name="Demand Reduction (kW)" dataDxfId="202" dataCellStyle="Locked Cell">
      <calculatedColumnFormula>IFERROR(Table_Custom_Input[[#This Row],[Number of Units]]*INDEX(Table_Prescript_Meas[Deemed kW Savings], MATCH(Table_Custom_Input[[#This Row],[Measure Number]], Table_Prescript_Meas[Measure Number], 0)),"" )</calculatedColumnFormula>
    </tableColumn>
    <tableColumn id="22" xr3:uid="{56F2A788-173F-48D4-960A-3C62B4EF2021}" name="Cost Savings" dataDxfId="201" dataCellStyle="Locked Cell">
      <calculatedColumnFormula>IFERROR(Table_Custom_Input[[#This Row],[Energy Savings (kWh)]]*Input_AvgkWhRate, "")</calculatedColumnFormula>
    </tableColumn>
    <tableColumn id="24" xr3:uid="{EA2316D4-69EB-4F6A-910D-BDE56162E1EB}" name="Gross Measure Cost" dataDxfId="200" dataCellStyle="Locked Cell">
      <calculatedColumnFormula>IF(Table_Custom_Input[[#This Row],[Measure Number]]&lt;&gt;"",Table_Custom_Input[[#This Row],[Total Equipment Cost]]+Table_Custom_Input[[#This Row],[Total Labor Cost]],"")</calculatedColumnFormula>
    </tableColumn>
    <tableColumn id="25" xr3:uid="{2AE63801-7AD5-46CB-9215-6AD5381CA143}" name="Net Measure Cost" dataDxfId="199" dataCellStyle="Locked Cell">
      <calculatedColumnFormula>IF(Table_Custom_Input[[#This Row],[Measure Number]]="","",Table_Custom_Input[[#This Row],[Gross Measure Cost]]-Table_Custom_Input[[#This Row],[Estimated Incentive]])</calculatedColumnFormula>
    </tableColumn>
    <tableColumn id="26" xr3:uid="{B856D97F-A222-4CE8-AECF-A9EF0B27ABD1}" name="Simple Payback (Years)" dataDxfId="198" dataCellStyle="Locked Cell">
      <calculatedColumnFormula>IFERROR('Input Refrigeration Measures'!$P6/'Input Refrigeration Measures'!$N6, "")</calculatedColumnFormula>
    </tableColumn>
  </tableColumns>
  <tableStyleInfo name="Lookup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77D6384-D399-4BE2-8204-2C5C116C0E19}" name="Table_Controls_Input" displayName="Table_Controls_Input" ref="B4:Q34" totalsRowShown="0" headerRowDxfId="196" headerRowBorderDxfId="195" tableBorderDxfId="194" totalsRowBorderDxfId="193"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87CB3CB4-7433-495B-ACCF-EA4D6E787F6A}" name="Line Ref. No." dataDxfId="192" dataCellStyle="Locked Cell"/>
    <tableColumn id="2" xr3:uid="{037C8D0B-3718-4880-9E96-D23695FA24C0}" name="Measure Number" dataDxfId="191" dataCellStyle="Locked Cell">
      <calculatedColumnFormula>IFERROR(INDEX(Table_Prescript_Meas[Measure Number], MATCH(E5, Table_Prescript_Meas[Measure Description], 0)), "")</calculatedColumnFormula>
    </tableColumn>
    <tableColumn id="5" xr3:uid="{611C12EE-FBD5-490D-8389-4A99F541E3CE}" name="Location / Measure Notes" dataDxfId="190" dataCellStyle="Locked Cell"/>
    <tableColumn id="4" xr3:uid="{3A6C7D48-9C8E-4469-BE19-1D20709C4EEA}" name="Commercial Kitchen Measure" dataDxfId="189" dataCellStyle="Input General"/>
    <tableColumn id="3" xr3:uid="{E786399E-A3A2-452D-9AAA-EF5B9807A73B}" name="Unit of Measure" dataDxfId="188" dataCellStyle="Input General">
      <calculatedColumnFormula>IFERROR(INDEX(Table_Prescript_Meas[Units], MATCH(Table_Controls_Input[[#This Row],[Measure Number]], Table_Prescript_Meas[Measure Number], 0)), "")</calculatedColumnFormula>
    </tableColumn>
    <tableColumn id="8" xr3:uid="{E34A0752-2B5F-462A-928A-7F75B5633DB7}" name="Number of Units" dataDxfId="187" dataCellStyle="Input General"/>
    <tableColumn id="14" xr3:uid="{AACC69F4-6890-4204-937D-36EC75225013}" name="Total Equipment Cost" dataDxfId="186" dataCellStyle="Input General"/>
    <tableColumn id="15" xr3:uid="{8CDB3A5A-01EC-4874-AB74-53CAD120C72C}" name="Total Labor Cost" dataDxfId="185" dataCellStyle="Input General"/>
    <tableColumn id="16" xr3:uid="{8407FCB0-AD56-49D0-BE27-293D6F6A17F3}" name="Per-Unit Incentive" dataDxfId="184" dataCellStyle="Locked Cell">
      <calculatedColumnFormula>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calculatedColumnFormula>
    </tableColumn>
    <tableColumn id="17" xr3:uid="{D6A3A901-6F97-4E0D-BB2A-54636D44E9B0}" name="Estimated Incentive" dataDxfId="183" dataCellStyle="Locked Cell">
      <calculatedColumnFormula>IFERROR(Table_Controls_Input[[#This Row],[Number of Units]]*Table_Controls_Input[[#This Row],[Per-Unit Incentive]], "")</calculatedColumnFormula>
    </tableColumn>
    <tableColumn id="18" xr3:uid="{A9E6A88B-96AF-4060-99B9-A30B9C7408F0}" name="Energy Savings (kWh)" dataDxfId="182" dataCellStyle="Locked Cell">
      <calculatedColumnFormula>IFERROR(Table_Controls_Input[[#This Row],[Number of Units]]*INDEX(Table_Prescript_Meas[Deemed kWh Savings], MATCH(Table_Controls_Input[[#This Row],[Measure Number]], Table_Prescript_Meas[Measure Number], 0)),"" )</calculatedColumnFormula>
    </tableColumn>
    <tableColumn id="20" xr3:uid="{FF0B6487-3E9B-4EBC-B8A0-DCBEDC804E4D}" name="Demand Reduction (kW)" dataDxfId="181" dataCellStyle="Locked Cell">
      <calculatedColumnFormula>IFERROR(Table_Controls_Input[[#This Row],[Number of Units]]*INDEX(Table_Prescript_Meas[Deemed kW Savings], MATCH(Table_Controls_Input[[#This Row],[Measure Number]], Table_Prescript_Meas[Measure Number], 0)),"" )</calculatedColumnFormula>
    </tableColumn>
    <tableColumn id="19" xr3:uid="{4147DE18-432B-4537-ACD2-082A5821D611}" name="Cost Savings" dataDxfId="180" dataCellStyle="Locked Cell">
      <calculatedColumnFormula>IFERROR(L5*Input_AvgkWhRate, "")</calculatedColumnFormula>
    </tableColumn>
    <tableColumn id="24" xr3:uid="{583951C0-4606-42D0-810B-D55385B9D03B}" name="Gross Measure Cost" dataDxfId="179" dataCellStyle="Locked Cell">
      <calculatedColumnFormula>IF(Table_Controls_Input[[#This Row],[Measure Number]]="", "", Table_Controls_Input[[#This Row],[Total Equipment Cost]]+Table_Controls_Input[[#This Row],[Total Labor Cost]])</calculatedColumnFormula>
    </tableColumn>
    <tableColumn id="21" xr3:uid="{AD331DEC-E23E-428A-93B1-BA789D8899E1}" name="Net Measure Cost" dataDxfId="178" dataCellStyle="Locked Cell">
      <calculatedColumnFormula>IFERROR(Table_Controls_Input[[#This Row],[Gross Measure Cost]]-Table_Controls_Input[[#This Row],[Estimated Incentive]], "")</calculatedColumnFormula>
    </tableColumn>
    <tableColumn id="22" xr3:uid="{04B74A6C-BEA7-4EFF-83FB-9212991C52CF}" name="Simple Payback (Years)" dataDxfId="177" dataCellStyle="Locked Cell">
      <calculatedColumnFormula>IFERROR($P5/$N5,"")</calculatedColumnFormula>
    </tableColumn>
  </tableColumns>
  <tableStyleInfo name="Lookup Tabl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86B3FDC9-D8DE-43A3-95BA-B36C7A58D8DB}" name="Table_Controls_Input23" displayName="Table_Controls_Input23" ref="B4:S34" totalsRowShown="0" headerRowDxfId="175" headerRowBorderDxfId="174" tableBorderDxfId="173" totalsRowBorderDxfId="172" headerRowCellStyle="Table Top 1" dataCellStyle="Locked Cell">
  <autoFilter ref="B4:S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4C5AF579-48D8-4565-B38A-BFDEB8EABBB7}" name="Line Ref. No." dataDxfId="171" dataCellStyle="Locked Cell"/>
    <tableColumn id="2" xr3:uid="{72349F2E-8146-4649-B889-D373F2105673}" name="Measure Number" dataDxfId="170" dataCellStyle="Locked Cell">
      <calculatedColumnFormula>IFERROR(INDEX(Table_WinFilm_Savings[Measure No], MATCH(Table_Controls_Input23[[#This Row],[Measure Lookup Detail]], Table_WinFilm_Savings[Lookup Detail], 0)), "")</calculatedColumnFormula>
    </tableColumn>
    <tableColumn id="5" xr3:uid="{0BF427F7-D71A-4D86-B1DF-436C5FB2D6E6}" name="Location / Measure Notes" dataDxfId="169" dataCellStyle="Locked Cell"/>
    <tableColumn id="4" xr3:uid="{8D6A0E6C-D3E5-4C6D-8D2D-9421BA0793E8}" name="Window Film Measure" dataDxfId="168" dataCellStyle="Input General"/>
    <tableColumn id="3" xr3:uid="{ED247080-4A30-4B9F-9F63-26EB62C103B9}" name="Unit of Measure" dataDxfId="167" dataCellStyle="Input General">
      <calculatedColumnFormula>IFERROR(INDEX(Table_Prescript_Meas[Units], MATCH(Table_Controls_Input23[[#This Row],[Measure Number]], Table_Prescript_Meas[Measure Number], 0)), "")</calculatedColumnFormula>
    </tableColumn>
    <tableColumn id="6" xr3:uid="{DAFFB0BF-462E-4054-9429-2FD880813029}" name="Window Direction" dataDxfId="166" dataCellStyle="Input General"/>
    <tableColumn id="8" xr3:uid="{C7908A39-4BE6-419B-8B5A-50A9833802B9}" name="Number of Units (Sq.Ft.)" dataDxfId="165" dataCellStyle="Input General"/>
    <tableColumn id="14" xr3:uid="{A32B48F9-7B59-41E7-8DBB-6EE0630680CB}" name="Total Equipment Cost" dataDxfId="164" dataCellStyle="Input General"/>
    <tableColumn id="15" xr3:uid="{D645AFF8-BF80-4C3C-8477-62F64F2CFCB1}" name="Total Labor Cost" dataDxfId="163" dataCellStyle="Input General"/>
    <tableColumn id="16" xr3:uid="{53539575-221F-431E-BB41-0017C61BF9E6}" name="Per-Unit Incentive" dataDxfId="162" dataCellStyle="Locked Cell">
      <calculatedColumnFormula>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calculatedColumnFormula>
    </tableColumn>
    <tableColumn id="17" xr3:uid="{527E33A0-C245-4BCA-A9A7-98C9BE43E670}" name="Estimated Incentive" dataDxfId="161" dataCellStyle="Locked Cell">
      <calculatedColumnFormula>IFERROR(Table_Controls_Input23[[#This Row],[Number of Units (Sq.Ft.)]]*Table_Controls_Input23[[#This Row],[Per-Unit Incentive]], "")</calculatedColumnFormula>
    </tableColumn>
    <tableColumn id="18" xr3:uid="{576E8C0E-DDA9-4A36-A58C-19CFBA1D17F0}" name="Energy Savings (kWh)" dataDxfId="160" dataCellStyle="Locked Cell">
      <calculatedColumnFormula>IFERROR(Table_Controls_Input23[[#This Row],[Number of Units (Sq.Ft.)]]*INDEX(Table_WinFilm_Savings[Deemed kWh Savings], MATCH(Table_Controls_Input23[[#This Row],[Measure Lookup Detail]], Table_WinFilm_Savings[Lookup Detail], 0)),"" )</calculatedColumnFormula>
    </tableColumn>
    <tableColumn id="20" xr3:uid="{BAD3BC5F-7209-4647-9CD2-5A2FA98A5296}" name="Demand Reduction (kW)" dataDxfId="159" dataCellStyle="Locked Cell">
      <calculatedColumnFormula>IFERROR(Table_Controls_Input23[[#This Row],[Number of Units (Sq.Ft.)]]*INDEX(Table_WinFilm_Savings[Deemed kW Savings], MATCH(Table_Controls_Input23[[#This Row],[Measure Lookup Detail]], Table_WinFilm_Savings[Lookup Detail], 0)),"" )</calculatedColumnFormula>
    </tableColumn>
    <tableColumn id="19" xr3:uid="{84FF3B8E-3D55-4DD9-A995-8D9E817EF7D3}" name="Cost Savings" dataDxfId="158" dataCellStyle="Locked Cell">
      <calculatedColumnFormula>IFERROR(M5*Input_AvgkWhRate, "")</calculatedColumnFormula>
    </tableColumn>
    <tableColumn id="24" xr3:uid="{0E03C9C4-4720-4332-B13E-17638AD0A076}" name="Gross Measure Cost" dataDxfId="157" dataCellStyle="Locked Cell">
      <calculatedColumnFormula>IF(Table_Controls_Input23[[#This Row],[Measure Number]]="", "", Table_Controls_Input23[[#This Row],[Total Equipment Cost]]+Table_Controls_Input23[[#This Row],[Total Labor Cost]])</calculatedColumnFormula>
    </tableColumn>
    <tableColumn id="21" xr3:uid="{27EFA2F8-D5DE-43E1-9A71-CECA74BAB650}" name="Net Measure Cost" dataDxfId="156" dataCellStyle="Locked Cell">
      <calculatedColumnFormula>IFERROR(Table_Controls_Input23[[#This Row],[Gross Measure Cost]]-Table_Controls_Input23[[#This Row],[Estimated Incentive]], "")</calculatedColumnFormula>
    </tableColumn>
    <tableColumn id="22" xr3:uid="{75569092-7E6D-4A35-975F-2B0227F37119}" name="Simple Payback (Years)" dataDxfId="155" dataCellStyle="Locked Cell">
      <calculatedColumnFormula>IFERROR($Q5/$O5,"")</calculatedColumnFormula>
    </tableColumn>
    <tableColumn id="7" xr3:uid="{E78B77FC-650B-467B-9BA5-32A5A960C8C0}" name="Measure Lookup Detail" dataDxfId="154" dataCellStyle="Locked Cell">
      <calculatedColumnFormula>_xlfn.CONCAT(Table_Controls_Input23[[#This Row],[Window Film Measure]], Table_Controls_Input23[[#This Row],[Window Direction]])</calculatedColumnFormula>
    </tableColumn>
  </tableColumns>
  <tableStyleInfo name="Lookup Tabl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7F6CC99-070E-4C5C-BF86-21D590D1BDBD}" name="Table_Controls_Input235" displayName="Table_Controls_Input235" ref="B4:S34" totalsRowShown="0" headerRowDxfId="152" headerRowBorderDxfId="151" tableBorderDxfId="150" totalsRowBorderDxfId="149" headerRowCellStyle="Table Top 1" dataCellStyle="Locked Cell">
  <autoFilter ref="B4:S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autoFilter>
  <tableColumns count="18">
    <tableColumn id="1" xr3:uid="{9B46DE65-39D4-4F8B-8E42-38B31F0A96B7}" name="Line Ref. No." dataDxfId="148" dataCellStyle="Locked Cell"/>
    <tableColumn id="2" xr3:uid="{D9D79E7B-D7E4-4850-A8EF-809776D3EB46}" name="Measure Number" dataDxfId="147" dataCellStyle="Locked Cell">
      <calculatedColumnFormula>IFERROR(INDEX(Table_EffWindow_Savings[Measure No], MATCH(Table_Controls_Input235[[#This Row],[Measure Lookup Detail]], Table_EffWindow_Savings[Lookup Detail], 0)), "")</calculatedColumnFormula>
    </tableColumn>
    <tableColumn id="5" xr3:uid="{E736602C-9470-4669-8BD7-35B30ED32791}" name="Location / Measure Notes" dataDxfId="146" dataCellStyle="Locked Cell"/>
    <tableColumn id="4" xr3:uid="{C67B4406-7339-453C-A15F-6B450CC4D0FF}" name="Window Replacement Measure" dataDxfId="145" dataCellStyle="Input General"/>
    <tableColumn id="3" xr3:uid="{9B4810B0-BAEE-4CB6-AFD8-EFFA3F0FAB27}" name="Unit of Measure" dataDxfId="144" dataCellStyle="Input General">
      <calculatedColumnFormula>IFERROR(INDEX(Table_Prescript_Meas[Units], MATCH(Table_Controls_Input235[[#This Row],[Measure Number]], Table_Prescript_Meas[Measure Number], 0)), "")</calculatedColumnFormula>
    </tableColumn>
    <tableColumn id="6" xr3:uid="{60EA572C-51E5-465B-953D-4059FA5D9A24}" name="Window Direction" dataDxfId="143" dataCellStyle="Input General"/>
    <tableColumn id="8" xr3:uid="{C9108AF7-E5B1-4EB7-9435-830E2435C691}" name="Number of Units (Sq.Ft.)" dataDxfId="142" dataCellStyle="Input General"/>
    <tableColumn id="14" xr3:uid="{198E70BD-6E1F-4488-A569-D055CCDD62DE}" name="Total Equipment Cost" dataDxfId="141" dataCellStyle="Input General"/>
    <tableColumn id="15" xr3:uid="{0D5A344B-85E5-4B4B-8B64-7D7D0E03AC04}" name="Total Labor Cost" dataDxfId="140" dataCellStyle="Input General"/>
    <tableColumn id="16" xr3:uid="{EF64216C-3BC4-49D9-9FFF-B705B131EA2B}" name="Per-Unit Incentive" dataDxfId="139" dataCellStyle="Locked Cell">
      <calculatedColumnFormula>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calculatedColumnFormula>
    </tableColumn>
    <tableColumn id="17" xr3:uid="{3F5395F4-43FA-47EC-A6D3-4F338A8D23BF}" name="Estimated Incentive" dataDxfId="138" dataCellStyle="Locked Cell">
      <calculatedColumnFormula>IFERROR(Table_Controls_Input235[[#This Row],[Number of Units (Sq.Ft.)]]*Table_Controls_Input235[[#This Row],[Per-Unit Incentive]], "")</calculatedColumnFormula>
    </tableColumn>
    <tableColumn id="18" xr3:uid="{20BC8807-077B-4820-824B-9CC3D4FAED04}" name="Energy Savings (kWh)" dataDxfId="137" dataCellStyle="Locked Cell">
      <calculatedColumnFormula>IFERROR(Table_Controls_Input235[[#This Row],[Number of Units (Sq.Ft.)]]*INDEX(Table_EffWindow_Savings[Deemed kWh Savings], MATCH(Table_Controls_Input235[[#This Row],[Measure Lookup Detail]], Table_EffWindow_Savings[Lookup Detail], 0)),"" )</calculatedColumnFormula>
    </tableColumn>
    <tableColumn id="20" xr3:uid="{6A968C17-0B9D-45C5-824F-8F8FCBF10153}" name="Demand Reduction (kW)" dataDxfId="136" dataCellStyle="Locked Cell">
      <calculatedColumnFormula>IFERROR(Table_Controls_Input235[[#This Row],[Number of Units (Sq.Ft.)]]*INDEX(Table_EffWindow_Savings[Deemed kW Savings], MATCH(Table_Controls_Input235[[#This Row],[Measure Lookup Detail]], Table_EffWindow_Savings[Lookup Detail], 0)),"" )</calculatedColumnFormula>
    </tableColumn>
    <tableColumn id="19" xr3:uid="{9BFFA572-CEB2-47C2-BD93-D9623F72C539}" name="Cost Savings" dataDxfId="135" dataCellStyle="Locked Cell">
      <calculatedColumnFormula>IFERROR(M5*Input_AvgkWhRate, "")</calculatedColumnFormula>
    </tableColumn>
    <tableColumn id="24" xr3:uid="{7AD84ADE-B547-4451-B180-27A026AB2EB9}" name="Gross Measure Cost" dataDxfId="134" dataCellStyle="Locked Cell">
      <calculatedColumnFormula>IF(Table_Controls_Input235[[#This Row],[Measure Number]]="", "", Table_Controls_Input235[[#This Row],[Total Equipment Cost]]+Table_Controls_Input235[[#This Row],[Total Labor Cost]])</calculatedColumnFormula>
    </tableColumn>
    <tableColumn id="21" xr3:uid="{6F54B561-7F16-4C93-BB69-EE6929596BD9}" name="Net Measure Cost" dataDxfId="133" dataCellStyle="Locked Cell">
      <calculatedColumnFormula>IFERROR(Table_Controls_Input235[[#This Row],[Gross Measure Cost]]-Table_Controls_Input235[[#This Row],[Estimated Incentive]], "")</calculatedColumnFormula>
    </tableColumn>
    <tableColumn id="22" xr3:uid="{A7A76FDD-D7D0-43A3-BC41-ED7509C461CF}" name="Simple Payback (Years)" dataDxfId="132" dataCellStyle="Locked Cell">
      <calculatedColumnFormula>IFERROR($Q5/$O5,"")</calculatedColumnFormula>
    </tableColumn>
    <tableColumn id="7" xr3:uid="{2EFEB696-4B13-429A-888A-6D904467A0C6}" name="Measure Lookup Detail" dataDxfId="131" dataCellStyle="Locked Cell">
      <calculatedColumnFormula>_xlfn.CONCAT(Table_Controls_Input235[[#This Row],[Window Replacement Measure]],Table_Controls_Input235[[#This Row],[Window Direction]])</calculatedColumnFormula>
    </tableColumn>
  </tableColumns>
  <tableStyleInfo name="Lookup Tabl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775DE01E-8AFC-4321-9309-3DF89B818C17}" name="Table_Controls_Input22" displayName="Table_Controls_Input22" ref="B4:Q34" totalsRowShown="0" headerRowDxfId="129" headerRowBorderDxfId="128" tableBorderDxfId="127" totalsRowBorderDxfId="126" headerRowCellStyle="Table Top 1" dataCellStyle="Locked Cell">
  <autoFilter ref="B4:Q3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tableColumns count="16">
    <tableColumn id="1" xr3:uid="{FA6D4324-8408-4511-8EFB-010FF4E0C61D}" name="Line Ref. No." dataDxfId="125" dataCellStyle="Locked Cell"/>
    <tableColumn id="2" xr3:uid="{0A32FCC8-00B1-45B3-82A8-916F7D1FB95E}" name="Measure Number" dataDxfId="124" dataCellStyle="Locked Cell">
      <calculatedColumnFormula>IFERROR(INDEX(Table_Prescript_Meas[Measure Number], MATCH(E5, Table_Prescript_Meas[Measure Description], 0)), "")</calculatedColumnFormula>
    </tableColumn>
    <tableColumn id="5" xr3:uid="{2502B7A7-62D1-472C-BDB6-33EA6433EF46}" name="Location / Measure Notes" dataDxfId="123" dataCellStyle="Locked Cell"/>
    <tableColumn id="4" xr3:uid="{D73AE1F4-E5D4-4A9D-AB00-360C316941EF}" name="Miscellaneous Measure" dataDxfId="122" dataCellStyle="Input General"/>
    <tableColumn id="3" xr3:uid="{C8D9C5D3-6630-46B2-8B4A-7032CB445B65}" name="Unit of Measure" dataDxfId="121" dataCellStyle="Input General">
      <calculatedColumnFormula>IFERROR(INDEX(Table_Prescript_Meas[Units], MATCH(Table_Controls_Input22[[#This Row],[Measure Number]], Table_Prescript_Meas[Measure Number], 0)), "")</calculatedColumnFormula>
    </tableColumn>
    <tableColumn id="8" xr3:uid="{84CB62B7-4BB4-4C28-9533-493B4C316463}" name="Number of Units" dataDxfId="120" dataCellStyle="Input General"/>
    <tableColumn id="14" xr3:uid="{338C641A-351F-47E3-B984-5944EF3D6D2B}" name="Total Equipment Cost" dataDxfId="119" dataCellStyle="Input General"/>
    <tableColumn id="15" xr3:uid="{41ADC273-E61A-4487-B748-D32D319E7936}" name="Total Labor Cost" dataDxfId="118" dataCellStyle="Input General"/>
    <tableColumn id="16" xr3:uid="{5075CE9B-C415-45EC-80A6-A015AEA0E4B9}" name="Per-Unit Incentive" dataDxfId="117" dataCellStyle="Locked Cell">
      <calculatedColumnFormula>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calculatedColumnFormula>
    </tableColumn>
    <tableColumn id="17" xr3:uid="{1365EF71-2C77-4E79-A71D-9448F5E6A38A}" name="Estimated Incentive" dataDxfId="116" dataCellStyle="Locked Cell">
      <calculatedColumnFormula>IFERROR(Table_Controls_Input22[[#This Row],[Number of Units]]*Table_Controls_Input22[[#This Row],[Per-Unit Incentive]], "")</calculatedColumnFormula>
    </tableColumn>
    <tableColumn id="18" xr3:uid="{46BC862A-CE2A-42E8-93AE-6E8BAAC2E2CD}" name="Energy Savings (kWh)" dataDxfId="115" dataCellStyle="Locked Cell">
      <calculatedColumnFormula>IFERROR(Table_Controls_Input22[[#This Row],[Number of Units]]*INDEX(Table_Prescript_Meas[Deemed kWh Savings], MATCH(Table_Controls_Input22[[#This Row],[Measure Number]], Table_Prescript_Meas[Measure Number], 0)),"" )</calculatedColumnFormula>
    </tableColumn>
    <tableColumn id="20" xr3:uid="{BC34BCCB-6FC2-4476-B5DE-F7649823F08D}" name="Demand Reduction (kW)" dataDxfId="114" dataCellStyle="Locked Cell">
      <calculatedColumnFormula>IFERROR(Table_Controls_Input22[[#This Row],[Number of Units]]*INDEX(Table_Prescript_Meas[Deemed kW Savings], MATCH(Table_Controls_Input22[[#This Row],[Measure Number]], Table_Prescript_Meas[Measure Number], 0)),"" )</calculatedColumnFormula>
    </tableColumn>
    <tableColumn id="19" xr3:uid="{729245E1-E41C-4D50-BBAF-ACEAF346B6DF}" name="Cost Savings" dataDxfId="113" dataCellStyle="Locked Cell">
      <calculatedColumnFormula>IFERROR(L5*Input_AvgkWhRate, "")</calculatedColumnFormula>
    </tableColumn>
    <tableColumn id="24" xr3:uid="{28AA99DF-584C-49A4-968B-E66BE6EF6D31}" name="Gross Measure Cost" dataDxfId="112" dataCellStyle="Locked Cell">
      <calculatedColumnFormula>IF(Table_Controls_Input22[[#This Row],[Measure Number]]="", "", Table_Controls_Input22[[#This Row],[Total Equipment Cost]]+Table_Controls_Input22[[#This Row],[Total Labor Cost]])</calculatedColumnFormula>
    </tableColumn>
    <tableColumn id="21" xr3:uid="{59821C92-B202-4591-A70A-521218BCF8CD}" name="Net Measure Cost" dataDxfId="111" dataCellStyle="Locked Cell">
      <calculatedColumnFormula>IFERROR(Table_Controls_Input22[[#This Row],[Gross Measure Cost]]-Table_Controls_Input22[[#This Row],[Estimated Incentive]], "")</calculatedColumnFormula>
    </tableColumn>
    <tableColumn id="22" xr3:uid="{F4069DE9-4210-4E09-8EFC-94AEC40A1843}" name="Simple Payback (Years)" dataDxfId="110" dataCellStyle="Locked Cell">
      <calculatedColumnFormula>IFERROR($P5/$N5,"")</calculatedColumnFormula>
    </tableColumn>
  </tableColumns>
  <tableStyleInfo name="Lookup Tabl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26AE6252-95DA-495D-AB84-5D43E81D62CE}" name="Table_Controls_Input2225" displayName="Table_Controls_Input2225" ref="B4:X24" totalsRowShown="0" headerRowDxfId="108" headerRowBorderDxfId="107" tableBorderDxfId="106" totalsRowBorderDxfId="105" headerRowCellStyle="Table Top 1" dataCellStyle="Locked Cell">
  <autoFilter ref="B4:X24" xr:uid="{C86DCFFF-2D47-473A-9BC9-BAB0551BF86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E8B5577F-D1F4-44D2-BEEF-0DEE0436D77F}" name="Line Ref. No." dataDxfId="104" dataCellStyle="Locked Cell"/>
    <tableColumn id="27" xr3:uid="{EDCA10BE-897A-4464-847F-37B11E35A1CF}" name="Measure Number" dataDxfId="103" dataCellStyle="Locked Cell">
      <calculatedColumnFormula>IFERROR(INDEX(Table_Prescript_Meas[Measure Number], MATCH(Table_Controls_Input2225[[#This Row],[Measure Classification]], Table_Prescript_Meas[Measure Description], 0)),"")</calculatedColumnFormula>
    </tableColumn>
    <tableColumn id="3" xr3:uid="{84E42968-E4E1-42BD-8FF2-C3B96E734A4C}" name="Location / Measure Notes" dataDxfId="102" dataCellStyle="Locked Cell"/>
    <tableColumn id="2" xr3:uid="{929277C3-9A75-4BC9-A37A-31FAE7EC6876}" name="Measure Name" dataCellStyle="Input General"/>
    <tableColumn id="4" xr3:uid="{99AA61B4-ADD1-4772-84A3-79644917E445}" name="Measure Type" dataDxfId="101" dataCellStyle="Input General"/>
    <tableColumn id="5" xr3:uid="{4B676B0C-4A2B-4D8A-8EDC-70CE53B32A30}" name="Measure Classification" dataDxfId="100" dataCellStyle="Input General"/>
    <tableColumn id="6" xr3:uid="{577628E1-A383-450A-B444-250954872D36}" name="Location" dataDxfId="99" dataCellStyle="Input General"/>
    <tableColumn id="7" xr3:uid="{B32B5A50-4D86-4BD6-9729-C36CD56F429F}" name="HVAC in Location" dataDxfId="98" dataCellStyle="Input General"/>
    <tableColumn id="9" xr3:uid="{2CE347E4-D6FC-47BB-8650-773B3E336501}" name="Summary of Existing Conditions" dataDxfId="97" dataCellStyle="Input General"/>
    <tableColumn id="10" xr3:uid="{DD32D2EB-8FBC-484E-9604-339B61210ADA}" name="Existing Energy Consumption (kWh/yr)" dataDxfId="96" dataCellStyle="Input General"/>
    <tableColumn id="11" xr3:uid="{C09C05C5-24BD-4D65-AB55-02383995853E}" name="Existing Peak Demand (kW)" dataDxfId="95" dataCellStyle="Input General"/>
    <tableColumn id="12" xr3:uid="{16E2D842-612A-4331-AC4F-1F673F0F97FC}" name="Summary of Proposed Conditions" dataDxfId="94" dataCellStyle="Input General"/>
    <tableColumn id="13" xr3:uid="{E9B66803-1CAC-4D90-942F-0255F2189377}" name="Proposed Energy Consumption (kWh/yr)" dataDxfId="93" dataCellStyle="Input General"/>
    <tableColumn id="25" xr3:uid="{E2A37F28-15E1-4348-B9B7-8ABF085EAA13}" name="Proposed Peak Demand (kW)" dataDxfId="92" dataCellStyle="Input General"/>
    <tableColumn id="14" xr3:uid="{3D3A3108-4732-4F5C-9128-0BAFEBDA2435}" name="Total Equipment Cost" dataDxfId="91" dataCellStyle="Input General"/>
    <tableColumn id="15" xr3:uid="{ACB4220E-44FE-4F2D-BD65-1B95FF325B1A}" name="Total Labor Cost" dataDxfId="90" dataCellStyle="Input General"/>
    <tableColumn id="17" xr3:uid="{308D612D-3FBC-4973-BD21-ACEEEB998072}" name="Estimated Incentive" dataDxfId="89" dataCellStyle="Locked Cell">
      <calculatedColumnFormula>IF(Table_Controls_Input2225[[#This Row],[Measure Name]]="","", Table_Controls_Input2225[[#This Row],[Energy Savings (kWh)]]*Value_Cus_IncentRate)</calculatedColumnFormula>
    </tableColumn>
    <tableColumn id="18" xr3:uid="{11500C76-9321-475C-BCD3-790B9AB37ABF}" name="Energy Savings (kWh)" dataDxfId="88" dataCellStyle="Locked Cell">
      <calculatedColumnFormula>IF(Table_Controls_Input2225[[#This Row],[Measure Name]]="", "", Table_Controls_Input2225[[#This Row],[Existing Energy Consumption (kWh/yr)]]-Table_Controls_Input2225[[#This Row],[Proposed Energy Consumption (kWh/yr)]])</calculatedColumnFormula>
    </tableColumn>
    <tableColumn id="20" xr3:uid="{F6E2BF1D-AC5C-4225-ABFC-D208E44B3F7D}" name="Demand Reduction (kW)" dataDxfId="87" dataCellStyle="Locked Cell">
      <calculatedColumnFormula>IF(Table_Controls_Input2225[[#This Row],[Measure Name]]="", "", Table_Controls_Input2225[[#This Row],[Existing Peak Demand (kW)]]-Table_Controls_Input2225[[#This Row],[Proposed Peak Demand (kW)]])</calculatedColumnFormula>
    </tableColumn>
    <tableColumn id="19" xr3:uid="{DB533714-0EC4-4CF3-9DE5-758A8704FF38}" name="Cost Savings" dataDxfId="86" dataCellStyle="Locked Cell">
      <calculatedColumnFormula>IFERROR(S5*Input_AvgkWhRate, "")</calculatedColumnFormula>
    </tableColumn>
    <tableColumn id="24" xr3:uid="{6C7E370C-68E0-4CD8-BB90-FCF98F7BDCE5}" name="Gross Measure Cost" dataDxfId="85" dataCellStyle="Locked Cell">
      <calculatedColumnFormula>IF(Table_Controls_Input2225[[#This Row],[Measure Name]]="", "", Table_Controls_Input2225[[#This Row],[Total Equipment Cost]]+Table_Controls_Input2225[[#This Row],[Total Labor Cost]])</calculatedColumnFormula>
    </tableColumn>
    <tableColumn id="21" xr3:uid="{1F307E57-E505-4110-B25E-289B6BD083DC}" name="Net Measure Cost" dataDxfId="84" dataCellStyle="Locked Cell">
      <calculatedColumnFormula>IFERROR(Table_Controls_Input2225[[#This Row],[Gross Measure Cost]]-Table_Controls_Input2225[[#This Row],[Estimated Incentive]], "")</calculatedColumnFormula>
    </tableColumn>
    <tableColumn id="22" xr3:uid="{8C03FB20-E424-4A3E-BD91-7777E2A66213}" name="Simple Payback (Years)" dataDxfId="83" dataCellStyle="Locked Cell">
      <calculatedColumnFormula>IFERROR($W5/$U5,"")</calculatedColumnFormula>
    </tableColumn>
  </tableColumns>
  <tableStyleInfo name="Lookup Tabl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B3E3CD38-913D-4F45-A343-C44868F40E80}" name="Table16" displayName="Table16" ref="B19:D27" totalsRowCount="1" tableBorderDxfId="82" totalsRowBorderDxfId="81" headerRowCellStyle="Table Top 2">
  <autoFilter ref="B19:D26" xr:uid="{B3E3CD38-913D-4F45-A343-C44868F40E80}">
    <filterColumn colId="0" hiddenButton="1"/>
    <filterColumn colId="1" hiddenButton="1"/>
    <filterColumn colId="2" hiddenButton="1"/>
  </autoFilter>
  <tableColumns count="3">
    <tableColumn id="1" xr3:uid="{83B90E73-B8F8-4BE8-A365-A62775107D60}" name="Incentive Type" totalsRowLabel="Total" dataDxfId="80" totalsRowDxfId="79" dataCellStyle="Locked Cell Bold">
      <calculatedColumnFormula>Caps!B3</calculatedColumnFormula>
    </tableColumn>
    <tableColumn id="2" xr3:uid="{BB580220-364F-4342-A480-3A7F0A85971E}" name="Energy Savings (kWh)" totalsRowFunction="sum" dataDxfId="78" totalsRowDxfId="77" dataCellStyle="Locked Cell White"/>
    <tableColumn id="3" xr3:uid="{08D5337C-CE22-4B9F-9C93-9E240610E3CF}" name="kW Reduction" totalsRowFunction="sum" dataDxfId="76" totalsRowDxfId="75" dataCellStyle="Locked Cell White">
      <calculatedColumnFormula>Caps!E3</calculatedColumnFormula>
    </tableColumn>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7C5417B-4AA8-4901-BDA8-B9F8286E5C8F}" name="Table15" displayName="Table15" ref="B30:G39" totalsRowCount="1" dataDxfId="74" tableBorderDxfId="73" totalsRowBorderDxfId="72" headerRowCellStyle="Table Top 2" dataCellStyle="Locked Cell White">
  <tableColumns count="6">
    <tableColumn id="1" xr3:uid="{D548A418-04DA-4B50-A62E-C275304AA5D5}" name="Incentive Type" totalsRowLabel="Total" dataDxfId="71" totalsRowDxfId="70" dataCellStyle="Locked Cell Bold"/>
    <tableColumn id="2" xr3:uid="{C84C9810-0655-48B1-BBAC-7F4CE667FA2F}" name="Cost Savings" totalsRowFunction="sum" dataDxfId="69" totalsRowDxfId="68" dataCellStyle="Currency">
      <calculatedColumnFormula>INDEX(Table_Measure_Caps[Cost Savings Total], MATCH(Table15[[#This Row],[Incentive Type]],Table_Measure_Caps[Measure Type], 0))</calculatedColumnFormula>
    </tableColumn>
    <tableColumn id="3" xr3:uid="{624D4AEF-BAE5-47BC-9E6E-DDA3C0A9F2D9}" name="Gross Project Cost" totalsRowFunction="sum" dataDxfId="67" totalsRowDxfId="66" dataCellStyle="Currency">
      <calculatedColumnFormula>INDEX(Table_Measure_Caps[Gross Measure Cost Total], MATCH(Table15[[#This Row],[Incentive Type]],Table_Measure_Caps[Measure Type], 0))</calculatedColumnFormula>
    </tableColumn>
    <tableColumn id="4" xr3:uid="{BAC78EBD-B290-44C2-80FD-EDD976754B88}" name="Estimated Incentive" totalsRowFunction="sum" dataDxfId="65" totalsRowDxfId="64" dataCellStyle="Currency">
      <calculatedColumnFormula>INDEX(Table_Measure_Caps[Capped Incentive], MATCH(Table15[[#This Row],[Incentive Type]], Table_Measure_Caps[Measure Type], 0))</calculatedColumnFormula>
    </tableColumn>
    <tableColumn id="7" xr3:uid="{313B6AB0-18D4-414B-8255-A4B0D4E313F6}" name="Net Project Cost" totalsRowFunction="sum" dataDxfId="63" totalsRowDxfId="62" dataCellStyle="Currency"/>
    <tableColumn id="8" xr3:uid="{0947E50A-946D-4F5D-8278-1B82EC35172D}" name="Simple Payback (Years)" totalsRowFunction="custom" dataDxfId="61" totalsRowDxfId="60" dataCellStyle="Locked Cell White">
      <calculatedColumnFormula>IFERROR(Table15[[#This Row],[Net Project Cost]]/Table15[[#This Row],[Cost Savings]],"")</calculatedColumnFormula>
      <totalsRowFormula>Table15[[#Totals],[Net Project Cost]]/Table15[[#Totals],[Cost Savings]]</totalsRowFormula>
    </tableColumn>
  </tableColumns>
  <tableStyleInfo showFirstColumn="0" showLastColumn="0" showRowStripes="1" showColumnStripes="0"/>
</table>
</file>

<file path=xl/theme/theme1.xml><?xml version="1.0" encoding="utf-8"?>
<a:theme xmlns:a="http://schemas.openxmlformats.org/drawingml/2006/main" name="Office Theme">
  <a:themeElements>
    <a:clrScheme name="Energy Smart Colors">
      <a:dk1>
        <a:sysClr val="windowText" lastClr="000000"/>
      </a:dk1>
      <a:lt1>
        <a:sysClr val="window" lastClr="FFFFFF"/>
      </a:lt1>
      <a:dk2>
        <a:srgbClr val="002D56"/>
      </a:dk2>
      <a:lt2>
        <a:srgbClr val="C0C0C0"/>
      </a:lt2>
      <a:accent1>
        <a:srgbClr val="002D56"/>
      </a:accent1>
      <a:accent2>
        <a:srgbClr val="8DC63F"/>
      </a:accent2>
      <a:accent3>
        <a:srgbClr val="006E51"/>
      </a:accent3>
      <a:accent4>
        <a:srgbClr val="007897"/>
      </a:accent4>
      <a:accent5>
        <a:srgbClr val="B41E83"/>
      </a:accent5>
      <a:accent6>
        <a:srgbClr val="DDDDDD"/>
      </a:accent6>
      <a:hlink>
        <a:srgbClr val="007897"/>
      </a:hlink>
      <a:folHlink>
        <a:srgbClr val="007897"/>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6" dT="2023-06-29T19:36:56.89" personId="{A3E89FC8-9D46-4C6C-B92E-ADD4BB5C8EEA}" id="{8EF07D4B-37BF-4245-9CA3-94EB6DE9529C}">
    <text>SEER2</text>
  </threadedComment>
  <threadedComment ref="M121" dT="2023-06-29T19:40:23.46" personId="{A3E89FC8-9D46-4C6C-B92E-ADD4BB5C8EEA}" id="{62C74FEC-860C-4FD5-BBC1-61E30FA1D7C5}">
    <text>SEER2</text>
  </threadedComment>
  <threadedComment ref="N121" dT="2023-06-29T19:54:05.98" personId="{A3E89FC8-9D46-4C6C-B92E-ADD4BB5C8EEA}" id="{13CE2E3C-D381-46CB-B794-332D929AC969}">
    <text>HSPF2</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9.bin"/><Relationship Id="rId5" Type="http://schemas.openxmlformats.org/officeDocument/2006/relationships/comments" Target="../comments8.xml"/><Relationship Id="rId4"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0.bin"/><Relationship Id="rId6" Type="http://schemas.openxmlformats.org/officeDocument/2006/relationships/comments" Target="../comments9.xml"/><Relationship Id="rId5" Type="http://schemas.openxmlformats.org/officeDocument/2006/relationships/table" Target="../tables/table9.xml"/><Relationship Id="rId4"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table" Target="../tables/table10.xml"/><Relationship Id="rId7"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 Id="rId6" Type="http://schemas.openxmlformats.org/officeDocument/2006/relationships/table" Target="../tables/table13.xml"/><Relationship Id="rId5" Type="http://schemas.openxmlformats.org/officeDocument/2006/relationships/table" Target="../tables/table12.xml"/><Relationship Id="rId4" Type="http://schemas.openxmlformats.org/officeDocument/2006/relationships/table" Target="../tables/table11.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www.energysmartnola.info/businesses/terms/"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3.bin"/><Relationship Id="rId6" Type="http://schemas.microsoft.com/office/2019/04/relationships/namedSheetView" Target="../namedSheetViews/namedSheetView1.xml"/><Relationship Id="rId5" Type="http://schemas.openxmlformats.org/officeDocument/2006/relationships/comments" Target="../comments2.xml"/><Relationship Id="rId4"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openxmlformats.org/officeDocument/2006/relationships/comments" Target="../comments3.xml"/><Relationship Id="rId4" Type="http://schemas.openxmlformats.org/officeDocument/2006/relationships/table" Target="../tables/table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5.bin"/><Relationship Id="rId5" Type="http://schemas.openxmlformats.org/officeDocument/2006/relationships/comments" Target="../comments4.xml"/><Relationship Id="rId4" Type="http://schemas.openxmlformats.org/officeDocument/2006/relationships/table" Target="../tables/table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6.bin"/><Relationship Id="rId5" Type="http://schemas.openxmlformats.org/officeDocument/2006/relationships/comments" Target="../comments5.xml"/><Relationship Id="rId4" Type="http://schemas.openxmlformats.org/officeDocument/2006/relationships/table" Target="../tables/table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7.bin"/><Relationship Id="rId5" Type="http://schemas.openxmlformats.org/officeDocument/2006/relationships/comments" Target="../comments6.xml"/><Relationship Id="rId4" Type="http://schemas.openxmlformats.org/officeDocument/2006/relationships/table" Target="../tables/table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8.bin"/><Relationship Id="rId5" Type="http://schemas.openxmlformats.org/officeDocument/2006/relationships/comments" Target="../comments7.xml"/><Relationship Id="rId4"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810B-6197-4CAF-97D1-29C01AE7281F}">
  <sheetPr>
    <tabColor theme="2"/>
  </sheetPr>
  <dimension ref="B1:E47"/>
  <sheetViews>
    <sheetView showGridLines="0" showRowColHeaders="0" tabSelected="1" workbookViewId="0">
      <selection activeCell="B7" sqref="B7:E7"/>
    </sheetView>
  </sheetViews>
  <sheetFormatPr defaultRowHeight="12.75" x14ac:dyDescent="0.2"/>
  <cols>
    <col min="1" max="1" width="1.7109375" customWidth="1"/>
    <col min="2" max="2" width="14.140625" customWidth="1"/>
    <col min="3" max="3" width="39" customWidth="1"/>
    <col min="4" max="4" width="14.140625" customWidth="1"/>
    <col min="5" max="5" width="39" customWidth="1"/>
  </cols>
  <sheetData>
    <row r="1" spans="2:5" ht="42.75" customHeight="1" x14ac:dyDescent="0.2">
      <c r="B1" s="94" t="s">
        <v>541</v>
      </c>
      <c r="C1" s="95"/>
      <c r="D1" s="95"/>
      <c r="E1" s="95"/>
    </row>
    <row r="2" spans="2:5" ht="15" customHeight="1" x14ac:dyDescent="0.2">
      <c r="B2" s="142"/>
    </row>
    <row r="3" spans="2:5" ht="15" customHeight="1" x14ac:dyDescent="0.2">
      <c r="B3" s="142"/>
    </row>
    <row r="4" spans="2:5" ht="15" customHeight="1" x14ac:dyDescent="0.2">
      <c r="B4" s="142"/>
    </row>
    <row r="5" spans="2:5" s="4" customFormat="1" x14ac:dyDescent="0.2">
      <c r="D5"/>
      <c r="E5"/>
    </row>
    <row r="6" spans="2:5" ht="15.75" customHeight="1" x14ac:dyDescent="0.2">
      <c r="B6" s="293"/>
      <c r="C6" s="293"/>
      <c r="D6" s="293"/>
      <c r="E6" s="293"/>
    </row>
    <row r="7" spans="2:5" ht="66.599999999999994" customHeight="1" x14ac:dyDescent="0.2">
      <c r="B7" s="294" t="s">
        <v>542</v>
      </c>
      <c r="C7" s="294"/>
      <c r="D7" s="294"/>
      <c r="E7" s="294"/>
    </row>
    <row r="8" spans="2:5" ht="15.75" customHeight="1" x14ac:dyDescent="0.2">
      <c r="B8" s="295" t="s">
        <v>543</v>
      </c>
      <c r="C8" s="295"/>
      <c r="D8" s="295"/>
      <c r="E8" s="295"/>
    </row>
    <row r="9" spans="2:5" ht="33" customHeight="1" x14ac:dyDescent="0.2">
      <c r="B9" s="296" t="s">
        <v>565</v>
      </c>
      <c r="C9" s="297"/>
      <c r="D9" s="297"/>
      <c r="E9" s="298"/>
    </row>
    <row r="10" spans="2:5" ht="33" customHeight="1" x14ac:dyDescent="0.2">
      <c r="B10" s="299"/>
      <c r="C10" s="300"/>
      <c r="D10" s="300"/>
      <c r="E10" s="301"/>
    </row>
    <row r="11" spans="2:5" ht="33" customHeight="1" x14ac:dyDescent="0.2">
      <c r="B11" s="299"/>
      <c r="C11" s="300"/>
      <c r="D11" s="300"/>
      <c r="E11" s="301"/>
    </row>
    <row r="12" spans="2:5" ht="33" customHeight="1" x14ac:dyDescent="0.2">
      <c r="B12" s="302"/>
      <c r="C12" s="294"/>
      <c r="D12" s="294"/>
      <c r="E12" s="303"/>
    </row>
    <row r="13" spans="2:5" ht="12.75" customHeight="1" x14ac:dyDescent="0.2">
      <c r="B13" s="68"/>
      <c r="C13" s="68"/>
    </row>
    <row r="14" spans="2:5" ht="15.75" x14ac:dyDescent="0.2">
      <c r="B14" s="295" t="s">
        <v>546</v>
      </c>
      <c r="C14" s="295"/>
      <c r="D14" s="295"/>
      <c r="E14" s="295"/>
    </row>
    <row r="15" spans="2:5" ht="25.5" customHeight="1" x14ac:dyDescent="0.2">
      <c r="B15" s="234" t="s">
        <v>0</v>
      </c>
      <c r="C15" s="290" t="s">
        <v>544</v>
      </c>
      <c r="D15" s="291"/>
      <c r="E15" s="292"/>
    </row>
    <row r="16" spans="2:5" ht="25.5" customHeight="1" x14ac:dyDescent="0.2">
      <c r="B16" s="69" t="s">
        <v>1</v>
      </c>
      <c r="C16" s="305" t="s">
        <v>545</v>
      </c>
      <c r="D16" s="306"/>
      <c r="E16" s="307"/>
    </row>
    <row r="17" spans="2:5" ht="12.75" customHeight="1" x14ac:dyDescent="0.2"/>
    <row r="18" spans="2:5" ht="15.75" customHeight="1" x14ac:dyDescent="0.25">
      <c r="B18" s="308" t="s">
        <v>563</v>
      </c>
      <c r="C18" s="309"/>
      <c r="D18" s="309"/>
      <c r="E18" s="310"/>
    </row>
    <row r="19" spans="2:5" ht="25.5" customHeight="1" x14ac:dyDescent="0.2">
      <c r="B19" s="76" t="s">
        <v>547</v>
      </c>
      <c r="C19" s="304" t="s">
        <v>548</v>
      </c>
      <c r="D19" s="304"/>
      <c r="E19" s="304"/>
    </row>
    <row r="20" spans="2:5" ht="25.5" customHeight="1" x14ac:dyDescent="0.2">
      <c r="B20" s="77" t="s">
        <v>549</v>
      </c>
      <c r="C20" s="304" t="s">
        <v>554</v>
      </c>
      <c r="D20" s="304"/>
      <c r="E20" s="304"/>
    </row>
    <row r="21" spans="2:5" s="4" customFormat="1" ht="25.5" customHeight="1" x14ac:dyDescent="0.2">
      <c r="B21" s="77" t="s">
        <v>10</v>
      </c>
      <c r="C21" s="311" t="s">
        <v>555</v>
      </c>
      <c r="D21" s="312"/>
      <c r="E21" s="313"/>
    </row>
    <row r="22" spans="2:5" ht="25.5" customHeight="1" x14ac:dyDescent="0.2">
      <c r="B22" s="78" t="s">
        <v>2</v>
      </c>
      <c r="C22" s="304" t="s">
        <v>556</v>
      </c>
      <c r="D22" s="304"/>
      <c r="E22" s="304"/>
    </row>
    <row r="23" spans="2:5" ht="25.5" customHeight="1" x14ac:dyDescent="0.2">
      <c r="B23" s="78" t="s">
        <v>3</v>
      </c>
      <c r="C23" s="304" t="s">
        <v>557</v>
      </c>
      <c r="D23" s="304"/>
      <c r="E23" s="304"/>
    </row>
    <row r="24" spans="2:5" s="4" customFormat="1" ht="25.5" customHeight="1" x14ac:dyDescent="0.2">
      <c r="B24" s="78" t="s">
        <v>4</v>
      </c>
      <c r="C24" s="304" t="s">
        <v>558</v>
      </c>
      <c r="D24" s="304"/>
      <c r="E24" s="304"/>
    </row>
    <row r="25" spans="2:5" ht="25.5" customHeight="1" x14ac:dyDescent="0.2">
      <c r="B25" s="78" t="s">
        <v>5</v>
      </c>
      <c r="C25" s="304" t="s">
        <v>559</v>
      </c>
      <c r="D25" s="304"/>
      <c r="E25" s="304"/>
    </row>
    <row r="26" spans="2:5" ht="25.5" customHeight="1" x14ac:dyDescent="0.2">
      <c r="B26" s="78" t="s">
        <v>550</v>
      </c>
      <c r="C26" s="304" t="s">
        <v>560</v>
      </c>
      <c r="D26" s="304"/>
      <c r="E26" s="304"/>
    </row>
    <row r="27" spans="2:5" ht="25.5" customHeight="1" x14ac:dyDescent="0.2">
      <c r="B27" s="78" t="s">
        <v>6</v>
      </c>
      <c r="C27" s="304" t="s">
        <v>561</v>
      </c>
      <c r="D27" s="304"/>
      <c r="E27" s="304"/>
    </row>
    <row r="28" spans="2:5" ht="25.5" customHeight="1" x14ac:dyDescent="0.2">
      <c r="B28" s="78" t="s">
        <v>7</v>
      </c>
      <c r="C28" s="304" t="s">
        <v>562</v>
      </c>
      <c r="D28" s="304"/>
      <c r="E28" s="304"/>
    </row>
    <row r="29" spans="2:5" ht="25.5" customHeight="1" x14ac:dyDescent="0.2">
      <c r="B29" s="76" t="s">
        <v>8</v>
      </c>
      <c r="C29" s="304" t="s">
        <v>9</v>
      </c>
      <c r="D29" s="304"/>
      <c r="E29" s="304"/>
    </row>
    <row r="30" spans="2:5" ht="12.75" customHeight="1" x14ac:dyDescent="0.2"/>
    <row r="31" spans="2:5" ht="15.75" customHeight="1" x14ac:dyDescent="0.25">
      <c r="B31" s="308" t="s">
        <v>564</v>
      </c>
      <c r="C31" s="309"/>
      <c r="D31" s="309"/>
      <c r="E31" s="310"/>
    </row>
    <row r="32" spans="2:5" ht="52.5" customHeight="1" x14ac:dyDescent="0.2">
      <c r="B32" s="304" t="s">
        <v>587</v>
      </c>
      <c r="C32" s="304"/>
      <c r="D32" s="304"/>
      <c r="E32" s="304"/>
    </row>
    <row r="33" spans="2:5" ht="179.25" customHeight="1" x14ac:dyDescent="0.2">
      <c r="B33" s="311" t="s">
        <v>588</v>
      </c>
      <c r="C33" s="312"/>
      <c r="D33" s="312"/>
      <c r="E33" s="313"/>
    </row>
    <row r="34" spans="2:5" ht="80.099999999999994" customHeight="1" x14ac:dyDescent="0.2">
      <c r="B34" s="304" t="s">
        <v>566</v>
      </c>
      <c r="C34" s="304"/>
      <c r="D34" s="304"/>
      <c r="E34" s="304"/>
    </row>
    <row r="35" spans="2:5" ht="32.25" customHeight="1" x14ac:dyDescent="0.2">
      <c r="B35" s="304" t="s">
        <v>567</v>
      </c>
      <c r="C35" s="304"/>
      <c r="D35" s="304"/>
      <c r="E35" s="304"/>
    </row>
    <row r="37" spans="2:5" x14ac:dyDescent="0.2">
      <c r="B37" t="s">
        <v>11</v>
      </c>
    </row>
    <row r="38" spans="2:5" x14ac:dyDescent="0.2">
      <c r="B38" t="str">
        <f>'Fill in the Application'!B41</f>
        <v>Version 5.0</v>
      </c>
    </row>
    <row r="40" spans="2:5" s="4" customFormat="1" ht="108.75" customHeight="1" x14ac:dyDescent="0.2">
      <c r="B40"/>
      <c r="C40"/>
      <c r="D40"/>
      <c r="E40"/>
    </row>
    <row r="41" spans="2:5" ht="42.75" customHeight="1" x14ac:dyDescent="0.2"/>
    <row r="42" spans="2:5" ht="31.5" customHeight="1" x14ac:dyDescent="0.2"/>
    <row r="43" spans="2:5" ht="42" customHeight="1" x14ac:dyDescent="0.2"/>
    <row r="44" spans="2:5" ht="30" customHeight="1" x14ac:dyDescent="0.2"/>
    <row r="45" spans="2:5" ht="132.75" customHeight="1" x14ac:dyDescent="0.2"/>
    <row r="46" spans="2:5" ht="31.5" customHeight="1" x14ac:dyDescent="0.2"/>
    <row r="47" spans="2:5" ht="42" customHeight="1" x14ac:dyDescent="0.2"/>
  </sheetData>
  <sheetProtection algorithmName="SHA-512" hashValue="EIvDnYWNO8E3Ws4AB4u8e1+w/jFr/1kyqVLb+saf+S4JvmQ+W0oF8nmqPw6tibw8YhFjE0mx7zHkdF0ftJs1Gg==" saltValue="2IoIi2FBUSx9UaNfSfRf6A==" spinCount="100000" sheet="1" objects="1" scenarios="1"/>
  <mergeCells count="24">
    <mergeCell ref="C29:E29"/>
    <mergeCell ref="B31:E31"/>
    <mergeCell ref="B32:E32"/>
    <mergeCell ref="B34:E34"/>
    <mergeCell ref="B35:E35"/>
    <mergeCell ref="B33:E33"/>
    <mergeCell ref="C28:E28"/>
    <mergeCell ref="C16:E16"/>
    <mergeCell ref="B18:E18"/>
    <mergeCell ref="C19:E19"/>
    <mergeCell ref="C20:E20"/>
    <mergeCell ref="C21:E21"/>
    <mergeCell ref="C22:E22"/>
    <mergeCell ref="C23:E23"/>
    <mergeCell ref="C24:E24"/>
    <mergeCell ref="C25:E25"/>
    <mergeCell ref="C26:E26"/>
    <mergeCell ref="C27:E27"/>
    <mergeCell ref="C15:E15"/>
    <mergeCell ref="B6:E6"/>
    <mergeCell ref="B7:E7"/>
    <mergeCell ref="B8:E8"/>
    <mergeCell ref="B9:E12"/>
    <mergeCell ref="B14:E14"/>
  </mergeCells>
  <pageMargins left="0.25" right="0.25" top="0.75" bottom="0.75" header="0.3" footer="0.3"/>
  <pageSetup orientation="portrait" horizontalDpi="0" verticalDpi="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C92F2-98D0-43A9-8F9A-8F39AC63CE9C}">
  <sheetPr>
    <tabColor theme="4"/>
  </sheetPr>
  <dimension ref="A1:AT180"/>
  <sheetViews>
    <sheetView showGridLines="0" showRowColHeaders="0" workbookViewId="0">
      <selection activeCell="D5" sqref="D5"/>
    </sheetView>
  </sheetViews>
  <sheetFormatPr defaultColWidth="9.140625" defaultRowHeight="12.75" customHeight="1" x14ac:dyDescent="0.2"/>
  <cols>
    <col min="1" max="1" width="2.140625" customWidth="1"/>
    <col min="2" max="2" width="5.28515625" customWidth="1"/>
    <col min="3" max="3" width="9" customWidth="1"/>
    <col min="4" max="4" width="17" customWidth="1"/>
    <col min="5" max="5" width="28.7109375" customWidth="1"/>
    <col min="6" max="6" width="15.85546875" customWidth="1"/>
    <col min="7" max="7" width="29.85546875" customWidth="1"/>
    <col min="8" max="8" width="21.28515625" customWidth="1"/>
    <col min="9" max="9" width="20" customWidth="1"/>
    <col min="10" max="10" width="41.42578125" customWidth="1"/>
    <col min="11" max="12" width="13.42578125" customWidth="1"/>
    <col min="13" max="13" width="41" customWidth="1"/>
    <col min="14" max="15" width="13.42578125" customWidth="1"/>
    <col min="16" max="16" width="12.42578125" customWidth="1"/>
    <col min="17" max="17" width="9.85546875" customWidth="1"/>
    <col min="18" max="18" width="11" customWidth="1"/>
    <col min="19" max="19" width="12" customWidth="1"/>
    <col min="20" max="20" width="11.85546875" customWidth="1"/>
    <col min="21" max="21" width="10.28515625" customWidth="1"/>
    <col min="22" max="22" width="10.85546875" bestFit="1" customWidth="1"/>
    <col min="23" max="23" width="13.42578125" customWidth="1"/>
    <col min="24" max="24" width="9.5703125" customWidth="1"/>
  </cols>
  <sheetData>
    <row r="1" spans="1:46" ht="36.75" customHeight="1" x14ac:dyDescent="0.2">
      <c r="B1" s="293" t="s">
        <v>129</v>
      </c>
      <c r="C1" s="293"/>
      <c r="D1" s="293"/>
      <c r="E1" s="293"/>
      <c r="F1" s="293"/>
      <c r="G1" s="293"/>
      <c r="H1" s="293"/>
      <c r="I1" s="293"/>
      <c r="J1" s="293"/>
      <c r="K1" s="293"/>
      <c r="L1" s="293"/>
      <c r="M1" s="293"/>
      <c r="N1" s="293"/>
      <c r="O1" s="293"/>
      <c r="P1" s="293"/>
      <c r="Q1" s="293"/>
      <c r="R1" s="293"/>
      <c r="S1" s="293"/>
      <c r="T1" s="293"/>
      <c r="U1" s="293"/>
      <c r="V1" s="149"/>
      <c r="W1" s="149"/>
      <c r="X1" s="149"/>
    </row>
    <row r="2" spans="1:46" x14ac:dyDescent="0.2">
      <c r="R2" s="82" t="s">
        <v>76</v>
      </c>
    </row>
    <row r="3" spans="1:46" x14ac:dyDescent="0.2">
      <c r="A3" s="4"/>
      <c r="J3" s="322" t="s">
        <v>130</v>
      </c>
      <c r="K3" s="322"/>
      <c r="L3" s="322"/>
      <c r="M3" s="318" t="s">
        <v>75</v>
      </c>
      <c r="N3" s="318"/>
      <c r="O3" s="318"/>
      <c r="P3" s="318"/>
      <c r="Q3" s="318"/>
      <c r="R3" s="143">
        <f>SUM(Table_Controls_Input2225[Estimated Incentive])</f>
        <v>0</v>
      </c>
      <c r="S3" s="81">
        <f>SUM(Table_Controls_Input2225[Energy Savings (kWh)])</f>
        <v>0</v>
      </c>
      <c r="T3" s="80">
        <f>SUM(Table_Controls_Input2225[Demand Reduction (kW)])</f>
        <v>0</v>
      </c>
      <c r="U3" s="144">
        <f>SUM(Table_Controls_Input2225[Cost Savings])</f>
        <v>0</v>
      </c>
      <c r="V3" s="144">
        <f>SUM(Table_Controls_Input2225[Gross Measure Cost])</f>
        <v>0</v>
      </c>
      <c r="W3" s="144">
        <f>SUM(Table_Controls_Input2225[Net Measure Cost])</f>
        <v>0</v>
      </c>
      <c r="X3" s="81" t="str">
        <f>IFERROR(W3/U3,"")</f>
        <v/>
      </c>
      <c r="Y3" s="4"/>
      <c r="Z3" s="4"/>
      <c r="AA3" s="4"/>
      <c r="AB3" s="4"/>
      <c r="AC3" s="4"/>
      <c r="AD3" s="4"/>
      <c r="AE3" s="4"/>
      <c r="AF3" s="4"/>
      <c r="AG3" s="4"/>
      <c r="AH3" s="4"/>
      <c r="AI3" s="4"/>
      <c r="AJ3" s="4"/>
      <c r="AK3" s="4"/>
      <c r="AL3" s="4"/>
      <c r="AM3" s="4"/>
      <c r="AN3" s="4"/>
      <c r="AO3" s="4"/>
      <c r="AP3" s="4"/>
      <c r="AQ3" s="4"/>
      <c r="AR3" s="4"/>
      <c r="AS3" s="4"/>
      <c r="AT3" s="4"/>
    </row>
    <row r="4" spans="1:46" ht="51" x14ac:dyDescent="0.2">
      <c r="A4" s="16"/>
      <c r="B4" s="62" t="s">
        <v>77</v>
      </c>
      <c r="C4" s="62" t="s">
        <v>78</v>
      </c>
      <c r="D4" s="66" t="s">
        <v>79</v>
      </c>
      <c r="E4" s="63" t="s">
        <v>131</v>
      </c>
      <c r="F4" s="63" t="s">
        <v>132</v>
      </c>
      <c r="G4" s="63" t="s">
        <v>133</v>
      </c>
      <c r="H4" s="63" t="s">
        <v>134</v>
      </c>
      <c r="I4" s="63" t="s">
        <v>135</v>
      </c>
      <c r="J4" s="54" t="s">
        <v>136</v>
      </c>
      <c r="K4" s="54" t="s">
        <v>137</v>
      </c>
      <c r="L4" s="54" t="s">
        <v>138</v>
      </c>
      <c r="M4" s="53" t="s">
        <v>139</v>
      </c>
      <c r="N4" s="53" t="s">
        <v>140</v>
      </c>
      <c r="O4" s="53" t="s">
        <v>141</v>
      </c>
      <c r="P4" s="65" t="s">
        <v>86</v>
      </c>
      <c r="Q4" s="65" t="s">
        <v>87</v>
      </c>
      <c r="R4" s="64" t="s">
        <v>89</v>
      </c>
      <c r="S4" s="64" t="s">
        <v>90</v>
      </c>
      <c r="T4" s="64" t="s">
        <v>91</v>
      </c>
      <c r="U4" s="64" t="s">
        <v>92</v>
      </c>
      <c r="V4" s="64" t="s">
        <v>93</v>
      </c>
      <c r="W4" s="64" t="s">
        <v>94</v>
      </c>
      <c r="X4" s="64" t="s">
        <v>95</v>
      </c>
      <c r="Y4" s="16"/>
      <c r="Z4" s="16"/>
      <c r="AA4" s="16"/>
      <c r="AB4" s="16"/>
      <c r="AC4" s="16"/>
      <c r="AD4" s="16"/>
      <c r="AE4" s="16"/>
      <c r="AF4" s="16"/>
      <c r="AG4" s="16"/>
      <c r="AH4" s="16"/>
      <c r="AI4" s="16"/>
      <c r="AJ4" s="16"/>
      <c r="AK4" s="16"/>
      <c r="AL4" s="16"/>
      <c r="AM4" s="16"/>
      <c r="AN4" s="16"/>
      <c r="AO4" s="16"/>
      <c r="AP4" s="16"/>
      <c r="AQ4" s="16"/>
      <c r="AR4" s="16"/>
      <c r="AS4" s="16"/>
      <c r="AT4" s="16"/>
    </row>
    <row r="5" spans="1:46" x14ac:dyDescent="0.2">
      <c r="A5" s="3"/>
      <c r="B5" s="71">
        <v>1</v>
      </c>
      <c r="C5" s="71" t="str">
        <f>IFERROR(INDEX(Table_Prescript_Meas[Measure Number], MATCH(Table_Controls_Input2225[[#This Row],[Measure Classification]], Table_Prescript_Meas[Measure Description], 0)),"")</f>
        <v/>
      </c>
      <c r="D5" s="61" t="s">
        <v>592</v>
      </c>
      <c r="E5" s="49"/>
      <c r="F5" s="60"/>
      <c r="G5" s="60"/>
      <c r="H5" s="60"/>
      <c r="I5" s="60"/>
      <c r="J5" s="60"/>
      <c r="K5" s="153"/>
      <c r="L5" s="154"/>
      <c r="M5" s="60"/>
      <c r="N5" s="153"/>
      <c r="O5" s="154"/>
      <c r="P5" s="155"/>
      <c r="Q5" s="155"/>
      <c r="R5" s="72" t="str">
        <f>IF(Table_Controls_Input2225[[#This Row],[Measure Name]]="","", Table_Controls_Input2225[[#This Row],[Energy Savings (kWh)]]*Value_Cus_IncentRate)</f>
        <v/>
      </c>
      <c r="S5" s="73" t="str">
        <f>IF(Table_Controls_Input2225[[#This Row],[Measure Name]]="", "", Table_Controls_Input2225[[#This Row],[Existing Energy Consumption (kWh/yr)]]-Table_Controls_Input2225[[#This Row],[Proposed Energy Consumption (kWh/yr)]])</f>
        <v/>
      </c>
      <c r="T5" s="79" t="str">
        <f>IF(Table_Controls_Input2225[[#This Row],[Measure Name]]="", "", Table_Controls_Input2225[[#This Row],[Existing Peak Demand (kW)]]-Table_Controls_Input2225[[#This Row],[Proposed Peak Demand (kW)]])</f>
        <v/>
      </c>
      <c r="U5" s="72" t="str">
        <f t="shared" ref="U5:U14" si="0">IFERROR(S5*Input_AvgkWhRate, "")</f>
        <v/>
      </c>
      <c r="V5" s="72" t="str">
        <f>IF(Table_Controls_Input2225[[#This Row],[Measure Name]]="", "", Table_Controls_Input2225[[#This Row],[Total Equipment Cost]]+Table_Controls_Input2225[[#This Row],[Total Labor Cost]])</f>
        <v/>
      </c>
      <c r="W5" s="72" t="str">
        <f>IFERROR(Table_Controls_Input2225[[#This Row],[Gross Measure Cost]]-Table_Controls_Input2225[[#This Row],[Estimated Incentive]], "")</f>
        <v/>
      </c>
      <c r="X5" s="73" t="str">
        <f t="shared" ref="X5:X24" si="1">IFERROR($W5/$U5,"")</f>
        <v/>
      </c>
      <c r="Y5" s="3"/>
      <c r="Z5" s="3"/>
      <c r="AA5" s="3"/>
      <c r="AB5" s="3"/>
      <c r="AC5" s="3"/>
      <c r="AD5" s="3"/>
      <c r="AE5" s="3"/>
      <c r="AF5" s="3"/>
      <c r="AG5" s="3"/>
      <c r="AH5" s="3"/>
      <c r="AI5" s="3"/>
      <c r="AJ5" s="3"/>
      <c r="AK5" s="3"/>
      <c r="AL5" s="3"/>
      <c r="AM5" s="3"/>
      <c r="AN5" s="3"/>
      <c r="AO5" s="3"/>
      <c r="AP5" s="3"/>
      <c r="AQ5" s="3"/>
      <c r="AR5" s="3"/>
      <c r="AS5" s="3"/>
      <c r="AT5" s="3"/>
    </row>
    <row r="6" spans="1:46" x14ac:dyDescent="0.2">
      <c r="A6" s="3"/>
      <c r="B6" s="71">
        <v>2</v>
      </c>
      <c r="C6" s="71" t="str">
        <f>IFERROR(INDEX(Table_Prescript_Meas[Measure Number], MATCH(Table_Controls_Input2225[[#This Row],[Measure Classification]], Table_Prescript_Meas[Measure Description], 0)),"")</f>
        <v/>
      </c>
      <c r="D6" s="61"/>
      <c r="E6" s="49"/>
      <c r="F6" s="60"/>
      <c r="G6" s="60"/>
      <c r="H6" s="60"/>
      <c r="I6" s="60"/>
      <c r="J6" s="60"/>
      <c r="K6" s="153"/>
      <c r="L6" s="154"/>
      <c r="M6" s="60"/>
      <c r="N6" s="153"/>
      <c r="O6" s="154"/>
      <c r="P6" s="155"/>
      <c r="Q6" s="155"/>
      <c r="R6" s="72" t="str">
        <f>IF(Table_Controls_Input2225[[#This Row],[Measure Name]]="","", Table_Controls_Input2225[[#This Row],[Energy Savings (kWh)]]*Value_Cus_IncentRate)</f>
        <v/>
      </c>
      <c r="S6" s="73" t="str">
        <f>IF(Table_Controls_Input2225[[#This Row],[Measure Name]]="", "", Table_Controls_Input2225[[#This Row],[Existing Energy Consumption (kWh/yr)]]-Table_Controls_Input2225[[#This Row],[Proposed Energy Consumption (kWh/yr)]])</f>
        <v/>
      </c>
      <c r="T6" s="79" t="str">
        <f>IF(Table_Controls_Input2225[[#This Row],[Measure Name]]="", "", Table_Controls_Input2225[[#This Row],[Existing Peak Demand (kW)]]-Table_Controls_Input2225[[#This Row],[Proposed Peak Demand (kW)]])</f>
        <v/>
      </c>
      <c r="U6" s="72" t="str">
        <f t="shared" si="0"/>
        <v/>
      </c>
      <c r="V6" s="72" t="str">
        <f>IF(Table_Controls_Input2225[[#This Row],[Measure Name]]="", "", Table_Controls_Input2225[[#This Row],[Total Equipment Cost]]+Table_Controls_Input2225[[#This Row],[Total Labor Cost]])</f>
        <v/>
      </c>
      <c r="W6" s="72" t="str">
        <f>IFERROR(Table_Controls_Input2225[[#This Row],[Gross Measure Cost]]-Table_Controls_Input2225[[#This Row],[Estimated Incentive]], "")</f>
        <v/>
      </c>
      <c r="X6" s="73" t="str">
        <f t="shared" si="1"/>
        <v/>
      </c>
      <c r="Y6" s="3"/>
      <c r="Z6" s="3"/>
      <c r="AA6" s="3"/>
      <c r="AB6" s="3"/>
      <c r="AC6" s="3"/>
      <c r="AD6" s="3"/>
      <c r="AE6" s="3"/>
      <c r="AF6" s="3"/>
      <c r="AG6" s="3"/>
      <c r="AH6" s="3"/>
      <c r="AI6" s="3"/>
      <c r="AJ6" s="3"/>
      <c r="AK6" s="3"/>
      <c r="AL6" s="3"/>
      <c r="AM6" s="3"/>
      <c r="AN6" s="3"/>
      <c r="AO6" s="3"/>
      <c r="AP6" s="3"/>
      <c r="AQ6" s="3"/>
      <c r="AR6" s="3"/>
      <c r="AS6" s="3"/>
      <c r="AT6" s="3"/>
    </row>
    <row r="7" spans="1:46" x14ac:dyDescent="0.2">
      <c r="A7" s="3"/>
      <c r="B7" s="71">
        <v>3</v>
      </c>
      <c r="C7" s="71" t="str">
        <f>IFERROR(INDEX(Table_Prescript_Meas[Measure Number], MATCH(Table_Controls_Input2225[[#This Row],[Measure Classification]], Table_Prescript_Meas[Measure Description], 0)),"")</f>
        <v/>
      </c>
      <c r="D7" s="61"/>
      <c r="E7" s="49"/>
      <c r="F7" s="60"/>
      <c r="G7" s="60"/>
      <c r="H7" s="60"/>
      <c r="I7" s="60"/>
      <c r="J7" s="60"/>
      <c r="K7" s="153"/>
      <c r="L7" s="154"/>
      <c r="M7" s="60"/>
      <c r="N7" s="153"/>
      <c r="O7" s="154"/>
      <c r="P7" s="155"/>
      <c r="Q7" s="155"/>
      <c r="R7" s="72" t="str">
        <f>IF(Table_Controls_Input2225[[#This Row],[Measure Name]]="","", Table_Controls_Input2225[[#This Row],[Energy Savings (kWh)]]*Value_Cus_IncentRate)</f>
        <v/>
      </c>
      <c r="S7" s="73" t="str">
        <f>IF(Table_Controls_Input2225[[#This Row],[Measure Name]]="", "", Table_Controls_Input2225[[#This Row],[Existing Energy Consumption (kWh/yr)]]-Table_Controls_Input2225[[#This Row],[Proposed Energy Consumption (kWh/yr)]])</f>
        <v/>
      </c>
      <c r="T7" s="79" t="str">
        <f>IF(Table_Controls_Input2225[[#This Row],[Measure Name]]="", "", Table_Controls_Input2225[[#This Row],[Existing Peak Demand (kW)]]-Table_Controls_Input2225[[#This Row],[Proposed Peak Demand (kW)]])</f>
        <v/>
      </c>
      <c r="U7" s="72" t="str">
        <f t="shared" si="0"/>
        <v/>
      </c>
      <c r="V7" s="72" t="str">
        <f>IF(Table_Controls_Input2225[[#This Row],[Measure Name]]="", "", Table_Controls_Input2225[[#This Row],[Total Equipment Cost]]+Table_Controls_Input2225[[#This Row],[Total Labor Cost]])</f>
        <v/>
      </c>
      <c r="W7" s="72" t="str">
        <f>IFERROR(Table_Controls_Input2225[[#This Row],[Gross Measure Cost]]-Table_Controls_Input2225[[#This Row],[Estimated Incentive]], "")</f>
        <v/>
      </c>
      <c r="X7" s="73" t="str">
        <f t="shared" si="1"/>
        <v/>
      </c>
      <c r="Y7" s="3"/>
      <c r="Z7" s="3"/>
      <c r="AA7" s="3"/>
      <c r="AB7" s="3"/>
      <c r="AC7" s="3"/>
      <c r="AD7" s="3"/>
      <c r="AE7" s="3"/>
      <c r="AF7" s="3"/>
      <c r="AG7" s="3"/>
      <c r="AH7" s="3"/>
      <c r="AI7" s="3"/>
      <c r="AJ7" s="3"/>
      <c r="AK7" s="3"/>
      <c r="AL7" s="3"/>
      <c r="AM7" s="3"/>
      <c r="AN7" s="3"/>
      <c r="AO7" s="3"/>
      <c r="AP7" s="3"/>
      <c r="AQ7" s="3"/>
      <c r="AR7" s="3"/>
      <c r="AS7" s="3"/>
      <c r="AT7" s="3"/>
    </row>
    <row r="8" spans="1:46" x14ac:dyDescent="0.2">
      <c r="A8" s="3"/>
      <c r="B8" s="71">
        <v>4</v>
      </c>
      <c r="C8" s="71" t="str">
        <f>IFERROR(INDEX(Table_Prescript_Meas[Measure Number], MATCH(Table_Controls_Input2225[[#This Row],[Measure Classification]], Table_Prescript_Meas[Measure Description], 0)),"")</f>
        <v/>
      </c>
      <c r="D8" s="61"/>
      <c r="E8" s="49"/>
      <c r="F8" s="60"/>
      <c r="G8" s="60"/>
      <c r="H8" s="60"/>
      <c r="I8" s="60"/>
      <c r="J8" s="60"/>
      <c r="K8" s="153"/>
      <c r="L8" s="154"/>
      <c r="M8" s="60"/>
      <c r="N8" s="153"/>
      <c r="O8" s="154"/>
      <c r="P8" s="155"/>
      <c r="Q8" s="155"/>
      <c r="R8" s="72" t="str">
        <f>IF(Table_Controls_Input2225[[#This Row],[Measure Name]]="","", Table_Controls_Input2225[[#This Row],[Energy Savings (kWh)]]*Value_Cus_IncentRate)</f>
        <v/>
      </c>
      <c r="S8" s="73" t="str">
        <f>IF(Table_Controls_Input2225[[#This Row],[Measure Name]]="", "", Table_Controls_Input2225[[#This Row],[Existing Energy Consumption (kWh/yr)]]-Table_Controls_Input2225[[#This Row],[Proposed Energy Consumption (kWh/yr)]])</f>
        <v/>
      </c>
      <c r="T8" s="79" t="str">
        <f>IF(Table_Controls_Input2225[[#This Row],[Measure Name]]="", "", Table_Controls_Input2225[[#This Row],[Existing Peak Demand (kW)]]-Table_Controls_Input2225[[#This Row],[Proposed Peak Demand (kW)]])</f>
        <v/>
      </c>
      <c r="U8" s="72" t="str">
        <f t="shared" si="0"/>
        <v/>
      </c>
      <c r="V8" s="72" t="str">
        <f>IF(Table_Controls_Input2225[[#This Row],[Measure Name]]="", "", Table_Controls_Input2225[[#This Row],[Total Equipment Cost]]+Table_Controls_Input2225[[#This Row],[Total Labor Cost]])</f>
        <v/>
      </c>
      <c r="W8" s="72" t="str">
        <f>IFERROR(Table_Controls_Input2225[[#This Row],[Gross Measure Cost]]-Table_Controls_Input2225[[#This Row],[Estimated Incentive]], "")</f>
        <v/>
      </c>
      <c r="X8" s="73" t="str">
        <f t="shared" si="1"/>
        <v/>
      </c>
      <c r="Y8" s="3"/>
      <c r="Z8" s="3"/>
      <c r="AA8" s="3"/>
      <c r="AB8" s="3"/>
      <c r="AC8" s="3"/>
      <c r="AD8" s="3"/>
      <c r="AE8" s="3"/>
      <c r="AF8" s="3"/>
      <c r="AG8" s="3"/>
      <c r="AH8" s="3"/>
      <c r="AI8" s="3"/>
      <c r="AJ8" s="3"/>
      <c r="AK8" s="3"/>
      <c r="AL8" s="3"/>
      <c r="AM8" s="3"/>
      <c r="AN8" s="3"/>
      <c r="AO8" s="3"/>
      <c r="AP8" s="3"/>
      <c r="AQ8" s="3"/>
      <c r="AR8" s="3"/>
      <c r="AS8" s="3"/>
      <c r="AT8" s="3"/>
    </row>
    <row r="9" spans="1:46" x14ac:dyDescent="0.2">
      <c r="A9" s="3"/>
      <c r="B9" s="71">
        <v>5</v>
      </c>
      <c r="C9" s="71" t="str">
        <f>IFERROR(INDEX(Table_Prescript_Meas[Measure Number], MATCH(Table_Controls_Input2225[[#This Row],[Measure Classification]], Table_Prescript_Meas[Measure Description], 0)),"")</f>
        <v/>
      </c>
      <c r="D9" s="61"/>
      <c r="E9" s="49"/>
      <c r="F9" s="60"/>
      <c r="G9" s="60"/>
      <c r="H9" s="60"/>
      <c r="I9" s="60"/>
      <c r="J9" s="60"/>
      <c r="K9" s="153"/>
      <c r="L9" s="154"/>
      <c r="M9" s="60"/>
      <c r="N9" s="153"/>
      <c r="O9" s="154"/>
      <c r="P9" s="155"/>
      <c r="Q9" s="155"/>
      <c r="R9" s="72" t="str">
        <f>IF(Table_Controls_Input2225[[#This Row],[Measure Name]]="","", Table_Controls_Input2225[[#This Row],[Energy Savings (kWh)]]*Value_Cus_IncentRate)</f>
        <v/>
      </c>
      <c r="S9" s="73" t="str">
        <f>IF(Table_Controls_Input2225[[#This Row],[Measure Name]]="", "", Table_Controls_Input2225[[#This Row],[Existing Energy Consumption (kWh/yr)]]-Table_Controls_Input2225[[#This Row],[Proposed Energy Consumption (kWh/yr)]])</f>
        <v/>
      </c>
      <c r="T9" s="79" t="str">
        <f>IF(Table_Controls_Input2225[[#This Row],[Measure Name]]="", "", Table_Controls_Input2225[[#This Row],[Existing Peak Demand (kW)]]-Table_Controls_Input2225[[#This Row],[Proposed Peak Demand (kW)]])</f>
        <v/>
      </c>
      <c r="U9" s="72" t="str">
        <f t="shared" si="0"/>
        <v/>
      </c>
      <c r="V9" s="72" t="str">
        <f>IF(Table_Controls_Input2225[[#This Row],[Measure Name]]="", "", Table_Controls_Input2225[[#This Row],[Total Equipment Cost]]+Table_Controls_Input2225[[#This Row],[Total Labor Cost]])</f>
        <v/>
      </c>
      <c r="W9" s="72" t="str">
        <f>IFERROR(Table_Controls_Input2225[[#This Row],[Gross Measure Cost]]-Table_Controls_Input2225[[#This Row],[Estimated Incentive]], "")</f>
        <v/>
      </c>
      <c r="X9" s="73" t="str">
        <f t="shared" si="1"/>
        <v/>
      </c>
      <c r="Y9" s="3"/>
      <c r="Z9" s="3"/>
      <c r="AA9" s="3"/>
      <c r="AB9" s="3"/>
      <c r="AC9" s="3"/>
      <c r="AD9" s="3"/>
      <c r="AE9" s="3"/>
      <c r="AF9" s="3"/>
      <c r="AG9" s="3"/>
      <c r="AH9" s="3"/>
      <c r="AI9" s="3"/>
      <c r="AJ9" s="3"/>
      <c r="AK9" s="3"/>
      <c r="AL9" s="3"/>
      <c r="AM9" s="3"/>
      <c r="AN9" s="3"/>
      <c r="AO9" s="3"/>
      <c r="AP9" s="3"/>
      <c r="AQ9" s="3"/>
      <c r="AR9" s="3"/>
      <c r="AS9" s="3"/>
      <c r="AT9" s="3"/>
    </row>
    <row r="10" spans="1:46" x14ac:dyDescent="0.2">
      <c r="A10" s="3"/>
      <c r="B10" s="71">
        <v>6</v>
      </c>
      <c r="C10" s="71" t="str">
        <f>IFERROR(INDEX(Table_Prescript_Meas[Measure Number], MATCH(Table_Controls_Input2225[[#This Row],[Measure Classification]], Table_Prescript_Meas[Measure Description], 0)),"")</f>
        <v/>
      </c>
      <c r="D10" s="61"/>
      <c r="E10" s="49"/>
      <c r="F10" s="60"/>
      <c r="G10" s="60"/>
      <c r="H10" s="60"/>
      <c r="I10" s="60"/>
      <c r="J10" s="60"/>
      <c r="K10" s="153"/>
      <c r="L10" s="154"/>
      <c r="M10" s="60"/>
      <c r="N10" s="153"/>
      <c r="O10" s="154"/>
      <c r="P10" s="155"/>
      <c r="Q10" s="155"/>
      <c r="R10" s="72" t="str">
        <f>IF(Table_Controls_Input2225[[#This Row],[Measure Name]]="","", Table_Controls_Input2225[[#This Row],[Energy Savings (kWh)]]*Value_Cus_IncentRate)</f>
        <v/>
      </c>
      <c r="S10" s="73" t="str">
        <f>IF(Table_Controls_Input2225[[#This Row],[Measure Name]]="", "", Table_Controls_Input2225[[#This Row],[Existing Energy Consumption (kWh/yr)]]-Table_Controls_Input2225[[#This Row],[Proposed Energy Consumption (kWh/yr)]])</f>
        <v/>
      </c>
      <c r="T10" s="79" t="str">
        <f>IF(Table_Controls_Input2225[[#This Row],[Measure Name]]="", "", Table_Controls_Input2225[[#This Row],[Existing Peak Demand (kW)]]-Table_Controls_Input2225[[#This Row],[Proposed Peak Demand (kW)]])</f>
        <v/>
      </c>
      <c r="U10" s="72" t="str">
        <f t="shared" si="0"/>
        <v/>
      </c>
      <c r="V10" s="72" t="str">
        <f>IF(Table_Controls_Input2225[[#This Row],[Measure Name]]="", "", Table_Controls_Input2225[[#This Row],[Total Equipment Cost]]+Table_Controls_Input2225[[#This Row],[Total Labor Cost]])</f>
        <v/>
      </c>
      <c r="W10" s="72" t="str">
        <f>IFERROR(Table_Controls_Input2225[[#This Row],[Gross Measure Cost]]-Table_Controls_Input2225[[#This Row],[Estimated Incentive]], "")</f>
        <v/>
      </c>
      <c r="X10" s="73" t="str">
        <f t="shared" si="1"/>
        <v/>
      </c>
      <c r="Y10" s="3"/>
      <c r="Z10" s="3"/>
      <c r="AA10" s="3"/>
      <c r="AB10" s="3"/>
      <c r="AC10" s="3"/>
      <c r="AD10" s="3"/>
      <c r="AE10" s="3"/>
      <c r="AF10" s="3"/>
      <c r="AG10" s="3"/>
      <c r="AH10" s="3"/>
      <c r="AI10" s="3"/>
      <c r="AJ10" s="3"/>
      <c r="AK10" s="3"/>
      <c r="AL10" s="3"/>
      <c r="AM10" s="3"/>
      <c r="AN10" s="3"/>
      <c r="AO10" s="3"/>
      <c r="AP10" s="3"/>
      <c r="AQ10" s="3"/>
      <c r="AR10" s="3"/>
      <c r="AS10" s="3"/>
      <c r="AT10" s="3"/>
    </row>
    <row r="11" spans="1:46" x14ac:dyDescent="0.2">
      <c r="A11" s="3"/>
      <c r="B11" s="71">
        <v>7</v>
      </c>
      <c r="C11" s="71" t="str">
        <f>IFERROR(INDEX(Table_Prescript_Meas[Measure Number], MATCH(Table_Controls_Input2225[[#This Row],[Measure Classification]], Table_Prescript_Meas[Measure Description], 0)),"")</f>
        <v/>
      </c>
      <c r="D11" s="61"/>
      <c r="E11" s="49"/>
      <c r="F11" s="60"/>
      <c r="G11" s="60"/>
      <c r="H11" s="60"/>
      <c r="I11" s="60"/>
      <c r="J11" s="60"/>
      <c r="K11" s="153"/>
      <c r="L11" s="154"/>
      <c r="M11" s="60"/>
      <c r="N11" s="153"/>
      <c r="O11" s="154"/>
      <c r="P11" s="155"/>
      <c r="Q11" s="155"/>
      <c r="R11" s="72" t="str">
        <f>IF(Table_Controls_Input2225[[#This Row],[Measure Name]]="","", Table_Controls_Input2225[[#This Row],[Energy Savings (kWh)]]*Value_Cus_IncentRate)</f>
        <v/>
      </c>
      <c r="S11" s="73" t="str">
        <f>IF(Table_Controls_Input2225[[#This Row],[Measure Name]]="", "", Table_Controls_Input2225[[#This Row],[Existing Energy Consumption (kWh/yr)]]-Table_Controls_Input2225[[#This Row],[Proposed Energy Consumption (kWh/yr)]])</f>
        <v/>
      </c>
      <c r="T11" s="79" t="str">
        <f>IF(Table_Controls_Input2225[[#This Row],[Measure Name]]="", "", Table_Controls_Input2225[[#This Row],[Existing Peak Demand (kW)]]-Table_Controls_Input2225[[#This Row],[Proposed Peak Demand (kW)]])</f>
        <v/>
      </c>
      <c r="U11" s="72" t="str">
        <f t="shared" si="0"/>
        <v/>
      </c>
      <c r="V11" s="72" t="str">
        <f>IF(Table_Controls_Input2225[[#This Row],[Measure Name]]="", "", Table_Controls_Input2225[[#This Row],[Total Equipment Cost]]+Table_Controls_Input2225[[#This Row],[Total Labor Cost]])</f>
        <v/>
      </c>
      <c r="W11" s="72" t="str">
        <f>IFERROR(Table_Controls_Input2225[[#This Row],[Gross Measure Cost]]-Table_Controls_Input2225[[#This Row],[Estimated Incentive]], "")</f>
        <v/>
      </c>
      <c r="X11" s="73" t="str">
        <f t="shared" si="1"/>
        <v/>
      </c>
      <c r="Y11" s="3"/>
      <c r="Z11" s="3"/>
      <c r="AA11" s="3"/>
      <c r="AB11" s="3"/>
      <c r="AC11" s="3"/>
      <c r="AD11" s="3"/>
      <c r="AE11" s="3"/>
      <c r="AF11" s="3"/>
      <c r="AG11" s="3"/>
      <c r="AH11" s="3"/>
      <c r="AI11" s="3"/>
      <c r="AJ11" s="3"/>
      <c r="AK11" s="3"/>
      <c r="AL11" s="3"/>
      <c r="AM11" s="3"/>
      <c r="AN11" s="3"/>
      <c r="AO11" s="3"/>
      <c r="AP11" s="3"/>
      <c r="AQ11" s="3"/>
      <c r="AR11" s="3"/>
      <c r="AS11" s="3"/>
      <c r="AT11" s="3"/>
    </row>
    <row r="12" spans="1:46" x14ac:dyDescent="0.2">
      <c r="A12" s="3"/>
      <c r="B12" s="71">
        <v>8</v>
      </c>
      <c r="C12" s="71" t="str">
        <f>IFERROR(INDEX(Table_Prescript_Meas[Measure Number], MATCH(Table_Controls_Input2225[[#This Row],[Measure Classification]], Table_Prescript_Meas[Measure Description], 0)),"")</f>
        <v/>
      </c>
      <c r="D12" s="61"/>
      <c r="E12" s="49"/>
      <c r="F12" s="60"/>
      <c r="G12" s="60"/>
      <c r="H12" s="60"/>
      <c r="I12" s="60"/>
      <c r="J12" s="60"/>
      <c r="K12" s="153"/>
      <c r="L12" s="154"/>
      <c r="M12" s="60"/>
      <c r="N12" s="153"/>
      <c r="O12" s="154"/>
      <c r="P12" s="155"/>
      <c r="Q12" s="155"/>
      <c r="R12" s="72" t="str">
        <f>IF(Table_Controls_Input2225[[#This Row],[Measure Name]]="","", Table_Controls_Input2225[[#This Row],[Energy Savings (kWh)]]*Value_Cus_IncentRate)</f>
        <v/>
      </c>
      <c r="S12" s="73" t="str">
        <f>IF(Table_Controls_Input2225[[#This Row],[Measure Name]]="", "", Table_Controls_Input2225[[#This Row],[Existing Energy Consumption (kWh/yr)]]-Table_Controls_Input2225[[#This Row],[Proposed Energy Consumption (kWh/yr)]])</f>
        <v/>
      </c>
      <c r="T12" s="79" t="str">
        <f>IF(Table_Controls_Input2225[[#This Row],[Measure Name]]="", "", Table_Controls_Input2225[[#This Row],[Existing Peak Demand (kW)]]-Table_Controls_Input2225[[#This Row],[Proposed Peak Demand (kW)]])</f>
        <v/>
      </c>
      <c r="U12" s="72" t="str">
        <f t="shared" si="0"/>
        <v/>
      </c>
      <c r="V12" s="72" t="str">
        <f>IF(Table_Controls_Input2225[[#This Row],[Measure Name]]="", "", Table_Controls_Input2225[[#This Row],[Total Equipment Cost]]+Table_Controls_Input2225[[#This Row],[Total Labor Cost]])</f>
        <v/>
      </c>
      <c r="W12" s="72" t="str">
        <f>IFERROR(Table_Controls_Input2225[[#This Row],[Gross Measure Cost]]-Table_Controls_Input2225[[#This Row],[Estimated Incentive]], "")</f>
        <v/>
      </c>
      <c r="X12" s="73" t="str">
        <f t="shared" si="1"/>
        <v/>
      </c>
      <c r="Y12" s="3"/>
      <c r="Z12" s="3"/>
      <c r="AA12" s="3"/>
      <c r="AB12" s="3"/>
      <c r="AC12" s="3"/>
      <c r="AD12" s="3"/>
      <c r="AE12" s="3"/>
      <c r="AF12" s="3"/>
      <c r="AG12" s="3"/>
      <c r="AH12" s="3"/>
      <c r="AI12" s="3"/>
      <c r="AJ12" s="3"/>
      <c r="AK12" s="3"/>
      <c r="AL12" s="3"/>
      <c r="AM12" s="3"/>
      <c r="AN12" s="3"/>
      <c r="AO12" s="3"/>
      <c r="AP12" s="3"/>
      <c r="AQ12" s="3"/>
      <c r="AR12" s="3"/>
      <c r="AS12" s="3"/>
      <c r="AT12" s="3"/>
    </row>
    <row r="13" spans="1:46" x14ac:dyDescent="0.2">
      <c r="A13" s="3"/>
      <c r="B13" s="71">
        <v>9</v>
      </c>
      <c r="C13" s="71" t="str">
        <f>IFERROR(INDEX(Table_Prescript_Meas[Measure Number], MATCH(Table_Controls_Input2225[[#This Row],[Measure Classification]], Table_Prescript_Meas[Measure Description], 0)),"")</f>
        <v/>
      </c>
      <c r="D13" s="61"/>
      <c r="E13" s="49"/>
      <c r="F13" s="60"/>
      <c r="G13" s="60"/>
      <c r="H13" s="60"/>
      <c r="I13" s="60"/>
      <c r="J13" s="60"/>
      <c r="K13" s="153"/>
      <c r="L13" s="154"/>
      <c r="M13" s="60"/>
      <c r="N13" s="153"/>
      <c r="O13" s="154"/>
      <c r="P13" s="155"/>
      <c r="Q13" s="155"/>
      <c r="R13" s="72" t="str">
        <f>IF(Table_Controls_Input2225[[#This Row],[Measure Name]]="","", Table_Controls_Input2225[[#This Row],[Energy Savings (kWh)]]*Value_Cus_IncentRate)</f>
        <v/>
      </c>
      <c r="S13" s="73" t="str">
        <f>IF(Table_Controls_Input2225[[#This Row],[Measure Name]]="", "", Table_Controls_Input2225[[#This Row],[Existing Energy Consumption (kWh/yr)]]-Table_Controls_Input2225[[#This Row],[Proposed Energy Consumption (kWh/yr)]])</f>
        <v/>
      </c>
      <c r="T13" s="79" t="str">
        <f>IF(Table_Controls_Input2225[[#This Row],[Measure Name]]="", "", Table_Controls_Input2225[[#This Row],[Existing Peak Demand (kW)]]-Table_Controls_Input2225[[#This Row],[Proposed Peak Demand (kW)]])</f>
        <v/>
      </c>
      <c r="U13" s="72" t="str">
        <f t="shared" si="0"/>
        <v/>
      </c>
      <c r="V13" s="72" t="str">
        <f>IF(Table_Controls_Input2225[[#This Row],[Measure Name]]="", "", Table_Controls_Input2225[[#This Row],[Total Equipment Cost]]+Table_Controls_Input2225[[#This Row],[Total Labor Cost]])</f>
        <v/>
      </c>
      <c r="W13" s="72" t="str">
        <f>IFERROR(Table_Controls_Input2225[[#This Row],[Gross Measure Cost]]-Table_Controls_Input2225[[#This Row],[Estimated Incentive]], "")</f>
        <v/>
      </c>
      <c r="X13" s="73" t="str">
        <f t="shared" si="1"/>
        <v/>
      </c>
      <c r="Y13" s="3"/>
      <c r="Z13" s="3"/>
      <c r="AA13" s="3"/>
      <c r="AB13" s="3"/>
      <c r="AC13" s="3"/>
      <c r="AD13" s="3"/>
      <c r="AE13" s="3"/>
      <c r="AF13" s="3"/>
      <c r="AG13" s="3"/>
      <c r="AH13" s="3"/>
      <c r="AI13" s="3"/>
      <c r="AJ13" s="3"/>
      <c r="AK13" s="3"/>
      <c r="AL13" s="3"/>
      <c r="AM13" s="3"/>
      <c r="AN13" s="3"/>
      <c r="AO13" s="3"/>
      <c r="AP13" s="3"/>
      <c r="AQ13" s="3"/>
      <c r="AR13" s="3"/>
      <c r="AS13" s="3"/>
      <c r="AT13" s="3"/>
    </row>
    <row r="14" spans="1:46" x14ac:dyDescent="0.2">
      <c r="A14" s="3"/>
      <c r="B14" s="71">
        <v>10</v>
      </c>
      <c r="C14" s="71" t="str">
        <f>IFERROR(INDEX(Table_Prescript_Meas[Measure Number], MATCH(Table_Controls_Input2225[[#This Row],[Measure Classification]], Table_Prescript_Meas[Measure Description], 0)),"")</f>
        <v/>
      </c>
      <c r="D14" s="61"/>
      <c r="E14" s="49"/>
      <c r="F14" s="60"/>
      <c r="G14" s="60"/>
      <c r="H14" s="60"/>
      <c r="I14" s="60"/>
      <c r="J14" s="60"/>
      <c r="K14" s="153"/>
      <c r="L14" s="154"/>
      <c r="M14" s="60"/>
      <c r="N14" s="153"/>
      <c r="O14" s="154"/>
      <c r="P14" s="155"/>
      <c r="Q14" s="155"/>
      <c r="R14" s="72" t="str">
        <f>IF(Table_Controls_Input2225[[#This Row],[Measure Name]]="","", Table_Controls_Input2225[[#This Row],[Energy Savings (kWh)]]*Value_Cus_IncentRate)</f>
        <v/>
      </c>
      <c r="S14" s="73" t="str">
        <f>IF(Table_Controls_Input2225[[#This Row],[Measure Name]]="", "", Table_Controls_Input2225[[#This Row],[Existing Energy Consumption (kWh/yr)]]-Table_Controls_Input2225[[#This Row],[Proposed Energy Consumption (kWh/yr)]])</f>
        <v/>
      </c>
      <c r="T14" s="79" t="str">
        <f>IF(Table_Controls_Input2225[[#This Row],[Measure Name]]="", "", Table_Controls_Input2225[[#This Row],[Existing Peak Demand (kW)]]-Table_Controls_Input2225[[#This Row],[Proposed Peak Demand (kW)]])</f>
        <v/>
      </c>
      <c r="U14" s="72" t="str">
        <f t="shared" si="0"/>
        <v/>
      </c>
      <c r="V14" s="72" t="str">
        <f>IF(Table_Controls_Input2225[[#This Row],[Measure Name]]="", "", Table_Controls_Input2225[[#This Row],[Total Equipment Cost]]+Table_Controls_Input2225[[#This Row],[Total Labor Cost]])</f>
        <v/>
      </c>
      <c r="W14" s="72" t="str">
        <f>IFERROR(Table_Controls_Input2225[[#This Row],[Gross Measure Cost]]-Table_Controls_Input2225[[#This Row],[Estimated Incentive]], "")</f>
        <v/>
      </c>
      <c r="X14" s="73" t="str">
        <f t="shared" si="1"/>
        <v/>
      </c>
      <c r="Y14" s="3"/>
      <c r="Z14" s="3"/>
      <c r="AA14" s="3"/>
      <c r="AB14" s="3"/>
      <c r="AC14" s="3"/>
      <c r="AD14" s="3"/>
      <c r="AE14" s="3"/>
      <c r="AF14" s="3"/>
      <c r="AG14" s="3"/>
      <c r="AH14" s="3"/>
      <c r="AI14" s="3"/>
      <c r="AJ14" s="3"/>
      <c r="AK14" s="3"/>
      <c r="AL14" s="3"/>
      <c r="AM14" s="3"/>
      <c r="AN14" s="3"/>
      <c r="AO14" s="3"/>
      <c r="AP14" s="3"/>
      <c r="AQ14" s="3"/>
      <c r="AR14" s="3"/>
      <c r="AS14" s="3"/>
      <c r="AT14" s="3"/>
    </row>
    <row r="15" spans="1:46" x14ac:dyDescent="0.2">
      <c r="A15" s="4"/>
      <c r="B15" s="71">
        <v>11</v>
      </c>
      <c r="C15" s="71" t="str">
        <f>IFERROR(INDEX(Table_Prescript_Meas[Measure Number], MATCH(Table_Controls_Input2225[[#This Row],[Measure Classification]], Table_Prescript_Meas[Measure Description], 0)),"")</f>
        <v/>
      </c>
      <c r="D15" s="61"/>
      <c r="E15" s="49"/>
      <c r="F15" s="60"/>
      <c r="G15" s="60"/>
      <c r="H15" s="60"/>
      <c r="I15" s="60"/>
      <c r="J15" s="60"/>
      <c r="K15" s="153"/>
      <c r="L15" s="154"/>
      <c r="M15" s="60"/>
      <c r="N15" s="153"/>
      <c r="O15" s="154"/>
      <c r="P15" s="155"/>
      <c r="Q15" s="155"/>
      <c r="R15" s="72" t="str">
        <f>IF(Table_Controls_Input2225[[#This Row],[Measure Name]]="","", Table_Controls_Input2225[[#This Row],[Energy Savings (kWh)]]*Value_Cus_IncentRate)</f>
        <v/>
      </c>
      <c r="S15" s="73" t="str">
        <f>IF(Table_Controls_Input2225[[#This Row],[Measure Name]]="", "", Table_Controls_Input2225[[#This Row],[Existing Energy Consumption (kWh/yr)]]-Table_Controls_Input2225[[#This Row],[Proposed Energy Consumption (kWh/yr)]])</f>
        <v/>
      </c>
      <c r="T15" s="79" t="str">
        <f>IF(Table_Controls_Input2225[[#This Row],[Measure Name]]="", "", Table_Controls_Input2225[[#This Row],[Existing Peak Demand (kW)]]-Table_Controls_Input2225[[#This Row],[Proposed Peak Demand (kW)]])</f>
        <v/>
      </c>
      <c r="U15" s="72" t="str">
        <f t="shared" ref="U15:U24" si="2">IFERROR(S15*Input_AvgkWhRate, "")</f>
        <v/>
      </c>
      <c r="V15" s="72" t="str">
        <f>IF(Table_Controls_Input2225[[#This Row],[Measure Name]]="", "", Table_Controls_Input2225[[#This Row],[Total Equipment Cost]]+Table_Controls_Input2225[[#This Row],[Total Labor Cost]])</f>
        <v/>
      </c>
      <c r="W15" s="72" t="str">
        <f>IFERROR(Table_Controls_Input2225[[#This Row],[Gross Measure Cost]]-Table_Controls_Input2225[[#This Row],[Estimated Incentive]], "")</f>
        <v/>
      </c>
      <c r="X15" s="73" t="str">
        <f t="shared" si="1"/>
        <v/>
      </c>
      <c r="Y15" s="4"/>
      <c r="Z15" s="4"/>
      <c r="AA15" s="4"/>
      <c r="AB15" s="4"/>
      <c r="AC15" s="4"/>
      <c r="AD15" s="4"/>
      <c r="AE15" s="4"/>
      <c r="AF15" s="4"/>
      <c r="AG15" s="4"/>
      <c r="AH15" s="4"/>
      <c r="AI15" s="4"/>
      <c r="AJ15" s="4"/>
      <c r="AK15" s="4"/>
      <c r="AL15" s="4"/>
      <c r="AM15" s="4"/>
      <c r="AN15" s="4"/>
      <c r="AO15" s="4"/>
      <c r="AP15" s="4"/>
      <c r="AQ15" s="4"/>
      <c r="AR15" s="4"/>
      <c r="AS15" s="4"/>
      <c r="AT15" s="4"/>
    </row>
    <row r="16" spans="1:46" x14ac:dyDescent="0.2">
      <c r="A16" s="4"/>
      <c r="B16" s="71">
        <v>12</v>
      </c>
      <c r="C16" s="71" t="str">
        <f>IFERROR(INDEX(Table_Prescript_Meas[Measure Number], MATCH(Table_Controls_Input2225[[#This Row],[Measure Classification]], Table_Prescript_Meas[Measure Description], 0)),"")</f>
        <v/>
      </c>
      <c r="D16" s="61"/>
      <c r="E16" s="49"/>
      <c r="F16" s="60"/>
      <c r="G16" s="60"/>
      <c r="H16" s="60"/>
      <c r="I16" s="60"/>
      <c r="J16" s="60"/>
      <c r="K16" s="153"/>
      <c r="L16" s="154"/>
      <c r="M16" s="60"/>
      <c r="N16" s="153"/>
      <c r="O16" s="154"/>
      <c r="P16" s="155"/>
      <c r="Q16" s="155"/>
      <c r="R16" s="72" t="str">
        <f>IF(Table_Controls_Input2225[[#This Row],[Measure Name]]="","", Table_Controls_Input2225[[#This Row],[Energy Savings (kWh)]]*Value_Cus_IncentRate)</f>
        <v/>
      </c>
      <c r="S16" s="73" t="str">
        <f>IF(Table_Controls_Input2225[[#This Row],[Measure Name]]="", "", Table_Controls_Input2225[[#This Row],[Existing Energy Consumption (kWh/yr)]]-Table_Controls_Input2225[[#This Row],[Proposed Energy Consumption (kWh/yr)]])</f>
        <v/>
      </c>
      <c r="T16" s="79" t="str">
        <f>IF(Table_Controls_Input2225[[#This Row],[Measure Name]]="", "", Table_Controls_Input2225[[#This Row],[Existing Peak Demand (kW)]]-Table_Controls_Input2225[[#This Row],[Proposed Peak Demand (kW)]])</f>
        <v/>
      </c>
      <c r="U16" s="72" t="str">
        <f t="shared" si="2"/>
        <v/>
      </c>
      <c r="V16" s="72" t="str">
        <f>IF(Table_Controls_Input2225[[#This Row],[Measure Name]]="", "", Table_Controls_Input2225[[#This Row],[Total Equipment Cost]]+Table_Controls_Input2225[[#This Row],[Total Labor Cost]])</f>
        <v/>
      </c>
      <c r="W16" s="72" t="str">
        <f>IFERROR(Table_Controls_Input2225[[#This Row],[Gross Measure Cost]]-Table_Controls_Input2225[[#This Row],[Estimated Incentive]], "")</f>
        <v/>
      </c>
      <c r="X16" s="73" t="str">
        <f t="shared" si="1"/>
        <v/>
      </c>
      <c r="Y16" s="4"/>
      <c r="Z16" s="4"/>
      <c r="AA16" s="4"/>
      <c r="AB16" s="4"/>
      <c r="AC16" s="4"/>
      <c r="AD16" s="4"/>
      <c r="AE16" s="4"/>
      <c r="AF16" s="4"/>
      <c r="AG16" s="4"/>
      <c r="AH16" s="4"/>
      <c r="AI16" s="4"/>
      <c r="AJ16" s="4"/>
      <c r="AK16" s="4"/>
      <c r="AL16" s="4"/>
      <c r="AM16" s="4"/>
      <c r="AN16" s="4"/>
      <c r="AO16" s="4"/>
      <c r="AP16" s="4"/>
      <c r="AQ16" s="4"/>
      <c r="AR16" s="4"/>
      <c r="AS16" s="4"/>
      <c r="AT16" s="4"/>
    </row>
    <row r="17" spans="1:46" x14ac:dyDescent="0.2">
      <c r="A17" s="4"/>
      <c r="B17" s="71">
        <v>13</v>
      </c>
      <c r="C17" s="71" t="str">
        <f>IFERROR(INDEX(Table_Prescript_Meas[Measure Number], MATCH(Table_Controls_Input2225[[#This Row],[Measure Classification]], Table_Prescript_Meas[Measure Description], 0)),"")</f>
        <v/>
      </c>
      <c r="D17" s="61"/>
      <c r="E17" s="49"/>
      <c r="F17" s="60"/>
      <c r="G17" s="60"/>
      <c r="H17" s="60"/>
      <c r="I17" s="60"/>
      <c r="J17" s="60"/>
      <c r="K17" s="153"/>
      <c r="L17" s="154"/>
      <c r="M17" s="60"/>
      <c r="N17" s="153"/>
      <c r="O17" s="154"/>
      <c r="P17" s="155"/>
      <c r="Q17" s="155"/>
      <c r="R17" s="72" t="str">
        <f>IF(Table_Controls_Input2225[[#This Row],[Measure Name]]="","", Table_Controls_Input2225[[#This Row],[Energy Savings (kWh)]]*Value_Cus_IncentRate)</f>
        <v/>
      </c>
      <c r="S17" s="73" t="str">
        <f>IF(Table_Controls_Input2225[[#This Row],[Measure Name]]="", "", Table_Controls_Input2225[[#This Row],[Existing Energy Consumption (kWh/yr)]]-Table_Controls_Input2225[[#This Row],[Proposed Energy Consumption (kWh/yr)]])</f>
        <v/>
      </c>
      <c r="T17" s="79" t="str">
        <f>IF(Table_Controls_Input2225[[#This Row],[Measure Name]]="", "", Table_Controls_Input2225[[#This Row],[Existing Peak Demand (kW)]]-Table_Controls_Input2225[[#This Row],[Proposed Peak Demand (kW)]])</f>
        <v/>
      </c>
      <c r="U17" s="72" t="str">
        <f t="shared" si="2"/>
        <v/>
      </c>
      <c r="V17" s="72" t="str">
        <f>IF(Table_Controls_Input2225[[#This Row],[Measure Name]]="", "", Table_Controls_Input2225[[#This Row],[Total Equipment Cost]]+Table_Controls_Input2225[[#This Row],[Total Labor Cost]])</f>
        <v/>
      </c>
      <c r="W17" s="72" t="str">
        <f>IFERROR(Table_Controls_Input2225[[#This Row],[Gross Measure Cost]]-Table_Controls_Input2225[[#This Row],[Estimated Incentive]], "")</f>
        <v/>
      </c>
      <c r="X17" s="73" t="str">
        <f t="shared" si="1"/>
        <v/>
      </c>
      <c r="Y17" s="4"/>
      <c r="Z17" s="4"/>
      <c r="AA17" s="4"/>
      <c r="AB17" s="4"/>
      <c r="AC17" s="4"/>
      <c r="AD17" s="4"/>
      <c r="AE17" s="4"/>
      <c r="AF17" s="4"/>
      <c r="AG17" s="4"/>
      <c r="AH17" s="4"/>
      <c r="AI17" s="4"/>
      <c r="AJ17" s="4"/>
      <c r="AK17" s="4"/>
      <c r="AL17" s="4"/>
      <c r="AM17" s="4"/>
      <c r="AN17" s="4"/>
      <c r="AO17" s="4"/>
      <c r="AP17" s="4"/>
      <c r="AQ17" s="4"/>
      <c r="AR17" s="4"/>
      <c r="AS17" s="4"/>
      <c r="AT17" s="4"/>
    </row>
    <row r="18" spans="1:46" x14ac:dyDescent="0.2">
      <c r="A18" s="4"/>
      <c r="B18" s="71">
        <v>14</v>
      </c>
      <c r="C18" s="71" t="str">
        <f>IFERROR(INDEX(Table_Prescript_Meas[Measure Number], MATCH(Table_Controls_Input2225[[#This Row],[Measure Classification]], Table_Prescript_Meas[Measure Description], 0)),"")</f>
        <v/>
      </c>
      <c r="D18" s="61"/>
      <c r="E18" s="49"/>
      <c r="F18" s="60"/>
      <c r="G18" s="60"/>
      <c r="H18" s="60"/>
      <c r="I18" s="60"/>
      <c r="J18" s="60"/>
      <c r="K18" s="153"/>
      <c r="L18" s="154"/>
      <c r="M18" s="60"/>
      <c r="N18" s="153"/>
      <c r="O18" s="154"/>
      <c r="P18" s="155"/>
      <c r="Q18" s="155"/>
      <c r="R18" s="72" t="str">
        <f>IF(Table_Controls_Input2225[[#This Row],[Measure Name]]="","", Table_Controls_Input2225[[#This Row],[Energy Savings (kWh)]]*Value_Cus_IncentRate)</f>
        <v/>
      </c>
      <c r="S18" s="73" t="str">
        <f>IF(Table_Controls_Input2225[[#This Row],[Measure Name]]="", "", Table_Controls_Input2225[[#This Row],[Existing Energy Consumption (kWh/yr)]]-Table_Controls_Input2225[[#This Row],[Proposed Energy Consumption (kWh/yr)]])</f>
        <v/>
      </c>
      <c r="T18" s="79" t="str">
        <f>IF(Table_Controls_Input2225[[#This Row],[Measure Name]]="", "", Table_Controls_Input2225[[#This Row],[Existing Peak Demand (kW)]]-Table_Controls_Input2225[[#This Row],[Proposed Peak Demand (kW)]])</f>
        <v/>
      </c>
      <c r="U18" s="72" t="str">
        <f t="shared" si="2"/>
        <v/>
      </c>
      <c r="V18" s="72" t="str">
        <f>IF(Table_Controls_Input2225[[#This Row],[Measure Name]]="", "", Table_Controls_Input2225[[#This Row],[Total Equipment Cost]]+Table_Controls_Input2225[[#This Row],[Total Labor Cost]])</f>
        <v/>
      </c>
      <c r="W18" s="72" t="str">
        <f>IFERROR(Table_Controls_Input2225[[#This Row],[Gross Measure Cost]]-Table_Controls_Input2225[[#This Row],[Estimated Incentive]], "")</f>
        <v/>
      </c>
      <c r="X18" s="73" t="str">
        <f t="shared" si="1"/>
        <v/>
      </c>
      <c r="Y18" s="4"/>
      <c r="Z18" s="4"/>
      <c r="AA18" s="4"/>
      <c r="AB18" s="4"/>
      <c r="AC18" s="4"/>
      <c r="AD18" s="4"/>
      <c r="AE18" s="4"/>
      <c r="AF18" s="4"/>
      <c r="AG18" s="4"/>
      <c r="AH18" s="4"/>
      <c r="AI18" s="4"/>
      <c r="AJ18" s="4"/>
      <c r="AK18" s="4"/>
      <c r="AL18" s="4"/>
      <c r="AM18" s="4"/>
      <c r="AN18" s="4"/>
      <c r="AO18" s="4"/>
      <c r="AP18" s="4"/>
      <c r="AQ18" s="4"/>
      <c r="AR18" s="4"/>
      <c r="AS18" s="4"/>
      <c r="AT18" s="4"/>
    </row>
    <row r="19" spans="1:46" x14ac:dyDescent="0.2">
      <c r="A19" s="4"/>
      <c r="B19" s="71">
        <v>15</v>
      </c>
      <c r="C19" s="71" t="str">
        <f>IFERROR(INDEX(Table_Prescript_Meas[Measure Number], MATCH(Table_Controls_Input2225[[#This Row],[Measure Classification]], Table_Prescript_Meas[Measure Description], 0)),"")</f>
        <v/>
      </c>
      <c r="D19" s="61"/>
      <c r="E19" s="49"/>
      <c r="F19" s="60"/>
      <c r="G19" s="60"/>
      <c r="H19" s="60"/>
      <c r="I19" s="60"/>
      <c r="J19" s="60"/>
      <c r="K19" s="153"/>
      <c r="L19" s="154"/>
      <c r="M19" s="60"/>
      <c r="N19" s="153"/>
      <c r="O19" s="154"/>
      <c r="P19" s="155"/>
      <c r="Q19" s="155"/>
      <c r="R19" s="72" t="str">
        <f>IF(Table_Controls_Input2225[[#This Row],[Measure Name]]="","", Table_Controls_Input2225[[#This Row],[Energy Savings (kWh)]]*Value_Cus_IncentRate)</f>
        <v/>
      </c>
      <c r="S19" s="73" t="str">
        <f>IF(Table_Controls_Input2225[[#This Row],[Measure Name]]="", "", Table_Controls_Input2225[[#This Row],[Existing Energy Consumption (kWh/yr)]]-Table_Controls_Input2225[[#This Row],[Proposed Energy Consumption (kWh/yr)]])</f>
        <v/>
      </c>
      <c r="T19" s="79" t="str">
        <f>IF(Table_Controls_Input2225[[#This Row],[Measure Name]]="", "", Table_Controls_Input2225[[#This Row],[Existing Peak Demand (kW)]]-Table_Controls_Input2225[[#This Row],[Proposed Peak Demand (kW)]])</f>
        <v/>
      </c>
      <c r="U19" s="72" t="str">
        <f t="shared" si="2"/>
        <v/>
      </c>
      <c r="V19" s="72" t="str">
        <f>IF(Table_Controls_Input2225[[#This Row],[Measure Name]]="", "", Table_Controls_Input2225[[#This Row],[Total Equipment Cost]]+Table_Controls_Input2225[[#This Row],[Total Labor Cost]])</f>
        <v/>
      </c>
      <c r="W19" s="72" t="str">
        <f>IFERROR(Table_Controls_Input2225[[#This Row],[Gross Measure Cost]]-Table_Controls_Input2225[[#This Row],[Estimated Incentive]], "")</f>
        <v/>
      </c>
      <c r="X19" s="73" t="str">
        <f t="shared" si="1"/>
        <v/>
      </c>
      <c r="Y19" s="4"/>
      <c r="Z19" s="4"/>
      <c r="AA19" s="4"/>
      <c r="AB19" s="4"/>
      <c r="AC19" s="4"/>
      <c r="AD19" s="4"/>
      <c r="AE19" s="4"/>
      <c r="AF19" s="4"/>
      <c r="AG19" s="4"/>
      <c r="AH19" s="4"/>
      <c r="AI19" s="4"/>
      <c r="AJ19" s="4"/>
      <c r="AK19" s="4"/>
      <c r="AL19" s="4"/>
      <c r="AM19" s="4"/>
      <c r="AN19" s="4"/>
      <c r="AO19" s="4"/>
      <c r="AP19" s="4"/>
      <c r="AQ19" s="4"/>
      <c r="AR19" s="4"/>
      <c r="AS19" s="4"/>
      <c r="AT19" s="4"/>
    </row>
    <row r="20" spans="1:46" x14ac:dyDescent="0.2">
      <c r="A20" s="4"/>
      <c r="B20" s="71">
        <v>16</v>
      </c>
      <c r="C20" s="71" t="str">
        <f>IFERROR(INDEX(Table_Prescript_Meas[Measure Number], MATCH(Table_Controls_Input2225[[#This Row],[Measure Classification]], Table_Prescript_Meas[Measure Description], 0)),"")</f>
        <v/>
      </c>
      <c r="D20" s="61"/>
      <c r="E20" s="49"/>
      <c r="F20" s="60"/>
      <c r="G20" s="60"/>
      <c r="H20" s="60"/>
      <c r="I20" s="60"/>
      <c r="J20" s="60"/>
      <c r="K20" s="153"/>
      <c r="L20" s="154"/>
      <c r="M20" s="60"/>
      <c r="N20" s="153"/>
      <c r="O20" s="154"/>
      <c r="P20" s="155"/>
      <c r="Q20" s="155"/>
      <c r="R20" s="72" t="str">
        <f>IF(Table_Controls_Input2225[[#This Row],[Measure Name]]="","", Table_Controls_Input2225[[#This Row],[Energy Savings (kWh)]]*Value_Cus_IncentRate)</f>
        <v/>
      </c>
      <c r="S20" s="73" t="str">
        <f>IF(Table_Controls_Input2225[[#This Row],[Measure Name]]="", "", Table_Controls_Input2225[[#This Row],[Existing Energy Consumption (kWh/yr)]]-Table_Controls_Input2225[[#This Row],[Proposed Energy Consumption (kWh/yr)]])</f>
        <v/>
      </c>
      <c r="T20" s="79" t="str">
        <f>IF(Table_Controls_Input2225[[#This Row],[Measure Name]]="", "", Table_Controls_Input2225[[#This Row],[Existing Peak Demand (kW)]]-Table_Controls_Input2225[[#This Row],[Proposed Peak Demand (kW)]])</f>
        <v/>
      </c>
      <c r="U20" s="72" t="str">
        <f t="shared" si="2"/>
        <v/>
      </c>
      <c r="V20" s="72" t="str">
        <f>IF(Table_Controls_Input2225[[#This Row],[Measure Name]]="", "", Table_Controls_Input2225[[#This Row],[Total Equipment Cost]]+Table_Controls_Input2225[[#This Row],[Total Labor Cost]])</f>
        <v/>
      </c>
      <c r="W20" s="72" t="str">
        <f>IFERROR(Table_Controls_Input2225[[#This Row],[Gross Measure Cost]]-Table_Controls_Input2225[[#This Row],[Estimated Incentive]], "")</f>
        <v/>
      </c>
      <c r="X20" s="73" t="str">
        <f t="shared" si="1"/>
        <v/>
      </c>
      <c r="Y20" s="4"/>
      <c r="Z20" s="4"/>
      <c r="AA20" s="4"/>
      <c r="AB20" s="4"/>
      <c r="AC20" s="4"/>
      <c r="AD20" s="4"/>
      <c r="AE20" s="4"/>
      <c r="AF20" s="4"/>
      <c r="AG20" s="4"/>
      <c r="AH20" s="4"/>
      <c r="AI20" s="4"/>
      <c r="AJ20" s="4"/>
      <c r="AK20" s="4"/>
      <c r="AL20" s="4"/>
      <c r="AM20" s="4"/>
      <c r="AN20" s="4"/>
      <c r="AO20" s="4"/>
      <c r="AP20" s="4"/>
      <c r="AQ20" s="4"/>
      <c r="AR20" s="4"/>
      <c r="AS20" s="4"/>
      <c r="AT20" s="4"/>
    </row>
    <row r="21" spans="1:46" x14ac:dyDescent="0.2">
      <c r="A21" s="4"/>
      <c r="B21" s="71">
        <v>17</v>
      </c>
      <c r="C21" s="71" t="str">
        <f>IFERROR(INDEX(Table_Prescript_Meas[Measure Number], MATCH(Table_Controls_Input2225[[#This Row],[Measure Classification]], Table_Prescript_Meas[Measure Description], 0)),"")</f>
        <v/>
      </c>
      <c r="D21" s="61"/>
      <c r="E21" s="49"/>
      <c r="F21" s="60"/>
      <c r="G21" s="60"/>
      <c r="H21" s="60"/>
      <c r="I21" s="60"/>
      <c r="J21" s="60"/>
      <c r="K21" s="153"/>
      <c r="L21" s="154"/>
      <c r="M21" s="60"/>
      <c r="N21" s="153"/>
      <c r="O21" s="154"/>
      <c r="P21" s="155"/>
      <c r="Q21" s="155"/>
      <c r="R21" s="72" t="str">
        <f>IF(Table_Controls_Input2225[[#This Row],[Measure Name]]="","", Table_Controls_Input2225[[#This Row],[Energy Savings (kWh)]]*Value_Cus_IncentRate)</f>
        <v/>
      </c>
      <c r="S21" s="73" t="str">
        <f>IF(Table_Controls_Input2225[[#This Row],[Measure Name]]="", "", Table_Controls_Input2225[[#This Row],[Existing Energy Consumption (kWh/yr)]]-Table_Controls_Input2225[[#This Row],[Proposed Energy Consumption (kWh/yr)]])</f>
        <v/>
      </c>
      <c r="T21" s="79" t="str">
        <f>IF(Table_Controls_Input2225[[#This Row],[Measure Name]]="", "", Table_Controls_Input2225[[#This Row],[Existing Peak Demand (kW)]]-Table_Controls_Input2225[[#This Row],[Proposed Peak Demand (kW)]])</f>
        <v/>
      </c>
      <c r="U21" s="72" t="str">
        <f t="shared" si="2"/>
        <v/>
      </c>
      <c r="V21" s="72" t="str">
        <f>IF(Table_Controls_Input2225[[#This Row],[Measure Name]]="", "", Table_Controls_Input2225[[#This Row],[Total Equipment Cost]]+Table_Controls_Input2225[[#This Row],[Total Labor Cost]])</f>
        <v/>
      </c>
      <c r="W21" s="72" t="str">
        <f>IFERROR(Table_Controls_Input2225[[#This Row],[Gross Measure Cost]]-Table_Controls_Input2225[[#This Row],[Estimated Incentive]], "")</f>
        <v/>
      </c>
      <c r="X21" s="73" t="str">
        <f t="shared" si="1"/>
        <v/>
      </c>
      <c r="Y21" s="4"/>
      <c r="Z21" s="4"/>
      <c r="AA21" s="4"/>
      <c r="AB21" s="4"/>
      <c r="AC21" s="4"/>
      <c r="AD21" s="4"/>
      <c r="AE21" s="4"/>
      <c r="AF21" s="4"/>
      <c r="AG21" s="4"/>
      <c r="AH21" s="4"/>
      <c r="AI21" s="4"/>
      <c r="AJ21" s="4"/>
      <c r="AK21" s="4"/>
      <c r="AL21" s="4"/>
      <c r="AM21" s="4"/>
      <c r="AN21" s="4"/>
      <c r="AO21" s="4"/>
      <c r="AP21" s="4"/>
      <c r="AQ21" s="4"/>
      <c r="AR21" s="4"/>
      <c r="AS21" s="4"/>
      <c r="AT21" s="4"/>
    </row>
    <row r="22" spans="1:46" x14ac:dyDescent="0.2">
      <c r="A22" s="4"/>
      <c r="B22" s="71">
        <v>18</v>
      </c>
      <c r="C22" s="71" t="str">
        <f>IFERROR(INDEX(Table_Prescript_Meas[Measure Number], MATCH(Table_Controls_Input2225[[#This Row],[Measure Classification]], Table_Prescript_Meas[Measure Description], 0)),"")</f>
        <v/>
      </c>
      <c r="D22" s="61"/>
      <c r="E22" s="49"/>
      <c r="F22" s="60"/>
      <c r="G22" s="60"/>
      <c r="H22" s="60"/>
      <c r="I22" s="60"/>
      <c r="J22" s="60"/>
      <c r="K22" s="153"/>
      <c r="L22" s="154"/>
      <c r="M22" s="60"/>
      <c r="N22" s="153"/>
      <c r="O22" s="154"/>
      <c r="P22" s="155"/>
      <c r="Q22" s="155"/>
      <c r="R22" s="72" t="str">
        <f>IF(Table_Controls_Input2225[[#This Row],[Measure Name]]="","", Table_Controls_Input2225[[#This Row],[Energy Savings (kWh)]]*Value_Cus_IncentRate)</f>
        <v/>
      </c>
      <c r="S22" s="73" t="str">
        <f>IF(Table_Controls_Input2225[[#This Row],[Measure Name]]="", "", Table_Controls_Input2225[[#This Row],[Existing Energy Consumption (kWh/yr)]]-Table_Controls_Input2225[[#This Row],[Proposed Energy Consumption (kWh/yr)]])</f>
        <v/>
      </c>
      <c r="T22" s="79" t="str">
        <f>IF(Table_Controls_Input2225[[#This Row],[Measure Name]]="", "", Table_Controls_Input2225[[#This Row],[Existing Peak Demand (kW)]]-Table_Controls_Input2225[[#This Row],[Proposed Peak Demand (kW)]])</f>
        <v/>
      </c>
      <c r="U22" s="72" t="str">
        <f t="shared" si="2"/>
        <v/>
      </c>
      <c r="V22" s="72" t="str">
        <f>IF(Table_Controls_Input2225[[#This Row],[Measure Name]]="", "", Table_Controls_Input2225[[#This Row],[Total Equipment Cost]]+Table_Controls_Input2225[[#This Row],[Total Labor Cost]])</f>
        <v/>
      </c>
      <c r="W22" s="72" t="str">
        <f>IFERROR(Table_Controls_Input2225[[#This Row],[Gross Measure Cost]]-Table_Controls_Input2225[[#This Row],[Estimated Incentive]], "")</f>
        <v/>
      </c>
      <c r="X22" s="73" t="str">
        <f t="shared" si="1"/>
        <v/>
      </c>
      <c r="Y22" s="4"/>
      <c r="Z22" s="4"/>
      <c r="AA22" s="4"/>
      <c r="AB22" s="4"/>
      <c r="AC22" s="4"/>
      <c r="AD22" s="4"/>
      <c r="AE22" s="4"/>
      <c r="AF22" s="4"/>
      <c r="AG22" s="4"/>
      <c r="AH22" s="4"/>
      <c r="AI22" s="4"/>
      <c r="AJ22" s="4"/>
      <c r="AK22" s="4"/>
      <c r="AL22" s="4"/>
      <c r="AM22" s="4"/>
      <c r="AN22" s="4"/>
      <c r="AO22" s="4"/>
      <c r="AP22" s="4"/>
      <c r="AQ22" s="4"/>
      <c r="AR22" s="4"/>
      <c r="AS22" s="4"/>
      <c r="AT22" s="4"/>
    </row>
    <row r="23" spans="1:46" x14ac:dyDescent="0.2">
      <c r="A23" s="4"/>
      <c r="B23" s="71">
        <v>19</v>
      </c>
      <c r="C23" s="71" t="str">
        <f>IFERROR(INDEX(Table_Prescript_Meas[Measure Number], MATCH(Table_Controls_Input2225[[#This Row],[Measure Classification]], Table_Prescript_Meas[Measure Description], 0)),"")</f>
        <v/>
      </c>
      <c r="D23" s="61"/>
      <c r="E23" s="49"/>
      <c r="F23" s="60"/>
      <c r="G23" s="60"/>
      <c r="H23" s="60"/>
      <c r="I23" s="60"/>
      <c r="J23" s="60"/>
      <c r="K23" s="153"/>
      <c r="L23" s="154"/>
      <c r="M23" s="60"/>
      <c r="N23" s="153"/>
      <c r="O23" s="154"/>
      <c r="P23" s="155"/>
      <c r="Q23" s="155"/>
      <c r="R23" s="72" t="str">
        <f>IF(Table_Controls_Input2225[[#This Row],[Measure Name]]="","", Table_Controls_Input2225[[#This Row],[Energy Savings (kWh)]]*Value_Cus_IncentRate)</f>
        <v/>
      </c>
      <c r="S23" s="73" t="str">
        <f>IF(Table_Controls_Input2225[[#This Row],[Measure Name]]="", "", Table_Controls_Input2225[[#This Row],[Existing Energy Consumption (kWh/yr)]]-Table_Controls_Input2225[[#This Row],[Proposed Energy Consumption (kWh/yr)]])</f>
        <v/>
      </c>
      <c r="T23" s="79" t="str">
        <f>IF(Table_Controls_Input2225[[#This Row],[Measure Name]]="", "", Table_Controls_Input2225[[#This Row],[Existing Peak Demand (kW)]]-Table_Controls_Input2225[[#This Row],[Proposed Peak Demand (kW)]])</f>
        <v/>
      </c>
      <c r="U23" s="72" t="str">
        <f t="shared" si="2"/>
        <v/>
      </c>
      <c r="V23" s="72" t="str">
        <f>IF(Table_Controls_Input2225[[#This Row],[Measure Name]]="", "", Table_Controls_Input2225[[#This Row],[Total Equipment Cost]]+Table_Controls_Input2225[[#This Row],[Total Labor Cost]])</f>
        <v/>
      </c>
      <c r="W23" s="72" t="str">
        <f>IFERROR(Table_Controls_Input2225[[#This Row],[Gross Measure Cost]]-Table_Controls_Input2225[[#This Row],[Estimated Incentive]], "")</f>
        <v/>
      </c>
      <c r="X23" s="73" t="str">
        <f t="shared" si="1"/>
        <v/>
      </c>
      <c r="Y23" s="4"/>
      <c r="Z23" s="4"/>
      <c r="AA23" s="4"/>
      <c r="AB23" s="4"/>
      <c r="AC23" s="4"/>
      <c r="AD23" s="4"/>
      <c r="AE23" s="4"/>
      <c r="AF23" s="4"/>
      <c r="AG23" s="4"/>
      <c r="AH23" s="4"/>
      <c r="AI23" s="4"/>
      <c r="AJ23" s="4"/>
      <c r="AK23" s="4"/>
      <c r="AL23" s="4"/>
      <c r="AM23" s="4"/>
      <c r="AN23" s="4"/>
      <c r="AO23" s="4"/>
      <c r="AP23" s="4"/>
      <c r="AQ23" s="4"/>
      <c r="AR23" s="4"/>
      <c r="AS23" s="4"/>
      <c r="AT23" s="4"/>
    </row>
    <row r="24" spans="1:46" x14ac:dyDescent="0.2">
      <c r="A24" s="4"/>
      <c r="B24" s="71">
        <v>20</v>
      </c>
      <c r="C24" s="71" t="str">
        <f>IFERROR(INDEX(Table_Prescript_Meas[Measure Number], MATCH(Table_Controls_Input2225[[#This Row],[Measure Classification]], Table_Prescript_Meas[Measure Description], 0)),"")</f>
        <v/>
      </c>
      <c r="D24" s="61"/>
      <c r="E24" s="49"/>
      <c r="F24" s="60"/>
      <c r="G24" s="60"/>
      <c r="H24" s="60"/>
      <c r="I24" s="60"/>
      <c r="J24" s="60"/>
      <c r="K24" s="153"/>
      <c r="L24" s="154"/>
      <c r="M24" s="60"/>
      <c r="N24" s="153"/>
      <c r="O24" s="154"/>
      <c r="P24" s="155"/>
      <c r="Q24" s="155"/>
      <c r="R24" s="72" t="str">
        <f>IF(Table_Controls_Input2225[[#This Row],[Measure Name]]="","", Table_Controls_Input2225[[#This Row],[Energy Savings (kWh)]]*Value_Cus_IncentRate)</f>
        <v/>
      </c>
      <c r="S24" s="73" t="str">
        <f>IF(Table_Controls_Input2225[[#This Row],[Measure Name]]="", "", Table_Controls_Input2225[[#This Row],[Existing Energy Consumption (kWh/yr)]]-Table_Controls_Input2225[[#This Row],[Proposed Energy Consumption (kWh/yr)]])</f>
        <v/>
      </c>
      <c r="T24" s="79" t="str">
        <f>IF(Table_Controls_Input2225[[#This Row],[Measure Name]]="", "", Table_Controls_Input2225[[#This Row],[Existing Peak Demand (kW)]]-Table_Controls_Input2225[[#This Row],[Proposed Peak Demand (kW)]])</f>
        <v/>
      </c>
      <c r="U24" s="72" t="str">
        <f t="shared" si="2"/>
        <v/>
      </c>
      <c r="V24" s="72" t="str">
        <f>IF(Table_Controls_Input2225[[#This Row],[Measure Name]]="", "", Table_Controls_Input2225[[#This Row],[Total Equipment Cost]]+Table_Controls_Input2225[[#This Row],[Total Labor Cost]])</f>
        <v/>
      </c>
      <c r="W24" s="72" t="str">
        <f>IFERROR(Table_Controls_Input2225[[#This Row],[Gross Measure Cost]]-Table_Controls_Input2225[[#This Row],[Estimated Incentive]], "")</f>
        <v/>
      </c>
      <c r="X24" s="73" t="str">
        <f t="shared" si="1"/>
        <v/>
      </c>
      <c r="Y24" s="4"/>
      <c r="Z24" s="4"/>
      <c r="AA24" s="4"/>
      <c r="AB24" s="4"/>
      <c r="AC24" s="4"/>
      <c r="AD24" s="4"/>
      <c r="AE24" s="4"/>
      <c r="AF24" s="4"/>
      <c r="AG24" s="4"/>
      <c r="AH24" s="4"/>
      <c r="AI24" s="4"/>
      <c r="AJ24" s="4"/>
      <c r="AK24" s="4"/>
      <c r="AL24" s="4"/>
      <c r="AM24" s="4"/>
      <c r="AN24" s="4"/>
      <c r="AO24" s="4"/>
      <c r="AP24" s="4"/>
      <c r="AQ24" s="4"/>
      <c r="AR24" s="4"/>
      <c r="AS24" s="4"/>
      <c r="AT24" s="4"/>
    </row>
    <row r="25" spans="1:46" x14ac:dyDescent="0.2">
      <c r="A25" s="4"/>
      <c r="Y25" s="4"/>
      <c r="Z25" s="4"/>
      <c r="AA25" s="4"/>
      <c r="AB25" s="4"/>
      <c r="AC25" s="4"/>
      <c r="AD25" s="4"/>
      <c r="AE25" s="4"/>
      <c r="AF25" s="4"/>
      <c r="AG25" s="4"/>
      <c r="AH25" s="4"/>
      <c r="AI25" s="4"/>
      <c r="AJ25" s="4"/>
      <c r="AK25" s="4"/>
      <c r="AL25" s="4"/>
      <c r="AM25" s="4"/>
      <c r="AN25" s="4"/>
      <c r="AO25" s="4"/>
      <c r="AP25" s="4"/>
      <c r="AQ25" s="4"/>
      <c r="AR25" s="4"/>
      <c r="AS25" s="4"/>
      <c r="AT25" s="4"/>
    </row>
    <row r="26" spans="1:46" x14ac:dyDescent="0.2"/>
    <row r="27" spans="1:46" x14ac:dyDescent="0.2">
      <c r="B27" t="s">
        <v>11</v>
      </c>
    </row>
    <row r="28" spans="1:46" x14ac:dyDescent="0.2">
      <c r="B28" t="str">
        <f>Value_Application_Version</f>
        <v>Version 5.0</v>
      </c>
    </row>
    <row r="29" spans="1:46" x14ac:dyDescent="0.2"/>
    <row r="30" spans="1:46" x14ac:dyDescent="0.2">
      <c r="A30" s="4"/>
      <c r="Y30" s="4"/>
      <c r="Z30" s="4"/>
      <c r="AA30" s="4"/>
      <c r="AB30" s="4"/>
      <c r="AC30" s="4"/>
      <c r="AD30" s="4"/>
      <c r="AE30" s="4"/>
      <c r="AF30" s="4"/>
      <c r="AG30" s="4"/>
      <c r="AH30" s="4"/>
      <c r="AI30" s="4"/>
      <c r="AJ30" s="4"/>
      <c r="AK30" s="4"/>
      <c r="AL30" s="4"/>
      <c r="AM30" s="4"/>
      <c r="AN30" s="4"/>
      <c r="AO30" s="4"/>
      <c r="AP30" s="4"/>
      <c r="AQ30" s="4"/>
      <c r="AR30" s="4"/>
      <c r="AS30" s="4"/>
      <c r="AT30" s="4"/>
    </row>
    <row r="31" spans="1:46" x14ac:dyDescent="0.2">
      <c r="A31" s="4"/>
      <c r="Y31" s="4"/>
      <c r="Z31" s="4"/>
      <c r="AA31" s="4"/>
      <c r="AB31" s="4"/>
      <c r="AC31" s="4"/>
      <c r="AD31" s="4"/>
      <c r="AE31" s="4"/>
      <c r="AF31" s="4"/>
      <c r="AG31" s="4"/>
      <c r="AH31" s="4"/>
      <c r="AI31" s="4"/>
      <c r="AJ31" s="4"/>
      <c r="AK31" s="4"/>
      <c r="AL31" s="4"/>
      <c r="AM31" s="4"/>
      <c r="AN31" s="4"/>
      <c r="AO31" s="4"/>
      <c r="AP31" s="4"/>
      <c r="AQ31" s="4"/>
      <c r="AR31" s="4"/>
      <c r="AS31" s="4"/>
      <c r="AT31" s="4"/>
    </row>
    <row r="32" spans="1:46" x14ac:dyDescent="0.2">
      <c r="A32" s="4"/>
      <c r="Y32" s="4"/>
      <c r="Z32" s="4"/>
      <c r="AA32" s="4"/>
      <c r="AB32" s="4"/>
      <c r="AC32" s="4"/>
      <c r="AD32" s="4"/>
      <c r="AE32" s="4"/>
      <c r="AF32" s="4"/>
      <c r="AG32" s="4"/>
      <c r="AH32" s="4"/>
      <c r="AI32" s="4"/>
      <c r="AJ32" s="4"/>
      <c r="AK32" s="4"/>
      <c r="AL32" s="4"/>
      <c r="AM32" s="4"/>
      <c r="AN32" s="4"/>
      <c r="AO32" s="4"/>
      <c r="AP32" s="4"/>
      <c r="AQ32" s="4"/>
      <c r="AR32" s="4"/>
      <c r="AS32" s="4"/>
      <c r="AT32" s="4"/>
    </row>
    <row r="33" spans="1:46" x14ac:dyDescent="0.2">
      <c r="A33" s="4"/>
      <c r="Y33" s="4"/>
      <c r="Z33" s="4"/>
      <c r="AA33" s="4"/>
      <c r="AB33" s="4"/>
      <c r="AC33" s="4"/>
      <c r="AD33" s="4"/>
      <c r="AE33" s="4"/>
      <c r="AF33" s="4"/>
      <c r="AG33" s="4"/>
      <c r="AH33" s="4"/>
      <c r="AI33" s="4"/>
      <c r="AJ33" s="4"/>
      <c r="AK33" s="4"/>
      <c r="AL33" s="4"/>
      <c r="AM33" s="4"/>
      <c r="AN33" s="4"/>
      <c r="AO33" s="4"/>
      <c r="AP33" s="4"/>
      <c r="AQ33" s="4"/>
      <c r="AR33" s="4"/>
      <c r="AS33" s="4"/>
      <c r="AT33" s="4"/>
    </row>
    <row r="34" spans="1:46" x14ac:dyDescent="0.2">
      <c r="A34" s="4"/>
      <c r="Y34" s="4"/>
      <c r="Z34" s="4"/>
      <c r="AA34" s="4"/>
      <c r="AB34" s="4"/>
      <c r="AC34" s="4"/>
      <c r="AD34" s="4"/>
      <c r="AE34" s="4"/>
      <c r="AF34" s="4"/>
      <c r="AG34" s="4"/>
      <c r="AH34" s="4"/>
      <c r="AI34" s="4"/>
      <c r="AJ34" s="4"/>
      <c r="AK34" s="4"/>
      <c r="AL34" s="4"/>
      <c r="AM34" s="4"/>
      <c r="AN34" s="4"/>
      <c r="AO34" s="4"/>
      <c r="AP34" s="4"/>
      <c r="AQ34" s="4"/>
      <c r="AR34" s="4"/>
      <c r="AS34" s="4"/>
      <c r="AT34" s="4"/>
    </row>
    <row r="35" spans="1:46" x14ac:dyDescent="0.2">
      <c r="A35" s="4"/>
      <c r="Y35" s="4"/>
      <c r="Z35" s="4"/>
      <c r="AA35" s="4"/>
      <c r="AB35" s="4"/>
      <c r="AC35" s="4"/>
      <c r="AD35" s="4"/>
      <c r="AE35" s="4"/>
      <c r="AF35" s="4"/>
      <c r="AG35" s="4"/>
      <c r="AH35" s="4"/>
      <c r="AI35" s="4"/>
      <c r="AJ35" s="4"/>
      <c r="AK35" s="4"/>
      <c r="AL35" s="4"/>
      <c r="AM35" s="4"/>
      <c r="AN35" s="4"/>
      <c r="AO35" s="4"/>
      <c r="AP35" s="4"/>
      <c r="AQ35" s="4"/>
      <c r="AR35" s="4"/>
      <c r="AS35" s="4"/>
      <c r="AT35" s="4"/>
    </row>
    <row r="36" spans="1:46" x14ac:dyDescent="0.2">
      <c r="A36" s="4"/>
      <c r="Y36" s="4"/>
      <c r="Z36" s="4"/>
      <c r="AA36" s="4"/>
      <c r="AB36" s="4"/>
      <c r="AC36" s="4"/>
      <c r="AD36" s="4"/>
      <c r="AE36" s="4"/>
      <c r="AF36" s="4"/>
      <c r="AG36" s="4"/>
      <c r="AH36" s="4"/>
      <c r="AI36" s="4"/>
      <c r="AJ36" s="4"/>
      <c r="AK36" s="4"/>
      <c r="AL36" s="4"/>
      <c r="AM36" s="4"/>
      <c r="AN36" s="4"/>
      <c r="AO36" s="4"/>
      <c r="AP36" s="4"/>
      <c r="AQ36" s="4"/>
      <c r="AR36" s="4"/>
      <c r="AS36" s="4"/>
      <c r="AT36" s="4"/>
    </row>
    <row r="37" spans="1:46" x14ac:dyDescent="0.2">
      <c r="A37" s="4"/>
      <c r="Y37" s="4"/>
      <c r="Z37" s="4"/>
      <c r="AA37" s="4"/>
      <c r="AB37" s="4"/>
      <c r="AC37" s="4"/>
      <c r="AD37" s="4"/>
      <c r="AE37" s="4"/>
      <c r="AF37" s="4"/>
      <c r="AG37" s="4"/>
      <c r="AH37" s="4"/>
      <c r="AI37" s="4"/>
      <c r="AJ37" s="4"/>
      <c r="AK37" s="4"/>
      <c r="AL37" s="4"/>
      <c r="AM37" s="4"/>
      <c r="AN37" s="4"/>
      <c r="AO37" s="4"/>
      <c r="AP37" s="4"/>
      <c r="AQ37" s="4"/>
      <c r="AR37" s="4"/>
      <c r="AS37" s="4"/>
      <c r="AT37" s="4"/>
    </row>
    <row r="38" spans="1:46" x14ac:dyDescent="0.2">
      <c r="A38" s="4"/>
      <c r="Y38" s="4"/>
      <c r="Z38" s="4"/>
      <c r="AA38" s="4"/>
      <c r="AB38" s="4"/>
      <c r="AC38" s="4"/>
      <c r="AD38" s="4"/>
      <c r="AE38" s="4"/>
      <c r="AF38" s="4"/>
      <c r="AG38" s="4"/>
      <c r="AH38" s="4"/>
      <c r="AI38" s="4"/>
      <c r="AJ38" s="4"/>
      <c r="AK38" s="4"/>
      <c r="AL38" s="4"/>
      <c r="AM38" s="4"/>
      <c r="AN38" s="4"/>
      <c r="AO38" s="4"/>
      <c r="AP38" s="4"/>
      <c r="AQ38" s="4"/>
      <c r="AR38" s="4"/>
      <c r="AS38" s="4"/>
      <c r="AT38" s="4"/>
    </row>
    <row r="39" spans="1:46" x14ac:dyDescent="0.2">
      <c r="A39" s="4"/>
      <c r="Y39" s="4"/>
      <c r="Z39" s="4"/>
      <c r="AA39" s="4"/>
      <c r="AB39" s="4"/>
      <c r="AC39" s="4"/>
      <c r="AD39" s="4"/>
      <c r="AE39" s="4"/>
      <c r="AF39" s="4"/>
      <c r="AG39" s="4"/>
      <c r="AH39" s="4"/>
      <c r="AI39" s="4"/>
      <c r="AJ39" s="4"/>
      <c r="AK39" s="4"/>
      <c r="AL39" s="4"/>
      <c r="AM39" s="4"/>
      <c r="AN39" s="4"/>
      <c r="AO39" s="4"/>
      <c r="AP39" s="4"/>
      <c r="AQ39" s="4"/>
      <c r="AR39" s="4"/>
      <c r="AS39" s="4"/>
      <c r="AT39" s="4"/>
    </row>
    <row r="40" spans="1:46" x14ac:dyDescent="0.2">
      <c r="A40" s="4"/>
      <c r="Y40" s="4"/>
      <c r="Z40" s="4"/>
      <c r="AA40" s="4"/>
      <c r="AB40" s="4"/>
      <c r="AC40" s="4"/>
      <c r="AD40" s="4"/>
      <c r="AE40" s="4"/>
      <c r="AF40" s="4"/>
      <c r="AG40" s="4"/>
      <c r="AH40" s="4"/>
      <c r="AI40" s="4"/>
      <c r="AJ40" s="4"/>
      <c r="AK40" s="4"/>
      <c r="AL40" s="4"/>
      <c r="AM40" s="4"/>
      <c r="AN40" s="4"/>
      <c r="AO40" s="4"/>
      <c r="AP40" s="4"/>
      <c r="AQ40" s="4"/>
      <c r="AR40" s="4"/>
      <c r="AS40" s="4"/>
      <c r="AT40" s="4"/>
    </row>
    <row r="41" spans="1:46" x14ac:dyDescent="0.2">
      <c r="A41" s="4"/>
      <c r="Y41" s="4"/>
      <c r="Z41" s="4"/>
      <c r="AA41" s="4"/>
      <c r="AB41" s="4"/>
      <c r="AC41" s="4"/>
      <c r="AD41" s="4"/>
      <c r="AE41" s="4"/>
      <c r="AF41" s="4"/>
      <c r="AG41" s="4"/>
      <c r="AH41" s="4"/>
      <c r="AI41" s="4"/>
      <c r="AJ41" s="4"/>
      <c r="AK41" s="4"/>
      <c r="AL41" s="4"/>
      <c r="AM41" s="4"/>
      <c r="AN41" s="4"/>
      <c r="AO41" s="4"/>
      <c r="AP41" s="4"/>
      <c r="AQ41" s="4"/>
      <c r="AR41" s="4"/>
      <c r="AS41" s="4"/>
      <c r="AT41" s="4"/>
    </row>
    <row r="42" spans="1:46" x14ac:dyDescent="0.2">
      <c r="A42" s="4"/>
      <c r="Y42" s="4"/>
      <c r="Z42" s="4"/>
      <c r="AA42" s="4"/>
      <c r="AB42" s="4"/>
      <c r="AC42" s="4"/>
      <c r="AD42" s="4"/>
      <c r="AE42" s="4"/>
      <c r="AF42" s="4"/>
      <c r="AG42" s="4"/>
      <c r="AH42" s="4"/>
      <c r="AI42" s="4"/>
      <c r="AJ42" s="4"/>
      <c r="AK42" s="4"/>
      <c r="AL42" s="4"/>
      <c r="AM42" s="4"/>
      <c r="AN42" s="4"/>
      <c r="AO42" s="4"/>
      <c r="AP42" s="4"/>
      <c r="AQ42" s="4"/>
      <c r="AR42" s="4"/>
      <c r="AS42" s="4"/>
      <c r="AT42" s="4"/>
    </row>
    <row r="43" spans="1:46" x14ac:dyDescent="0.2">
      <c r="A43" s="4"/>
      <c r="Y43" s="4"/>
      <c r="Z43" s="4"/>
      <c r="AA43" s="4"/>
      <c r="AB43" s="4"/>
      <c r="AC43" s="4"/>
      <c r="AD43" s="4"/>
      <c r="AE43" s="4"/>
      <c r="AF43" s="4"/>
      <c r="AG43" s="4"/>
      <c r="AH43" s="4"/>
      <c r="AI43" s="4"/>
      <c r="AJ43" s="4"/>
      <c r="AK43" s="4"/>
      <c r="AL43" s="4"/>
      <c r="AM43" s="4"/>
      <c r="AN43" s="4"/>
      <c r="AO43" s="4"/>
      <c r="AP43" s="4"/>
      <c r="AQ43" s="4"/>
      <c r="AR43" s="4"/>
      <c r="AS43" s="4"/>
      <c r="AT43" s="4"/>
    </row>
    <row r="44" spans="1:46" x14ac:dyDescent="0.2">
      <c r="A44" s="4"/>
      <c r="Y44" s="4"/>
      <c r="Z44" s="4"/>
      <c r="AA44" s="4"/>
      <c r="AB44" s="4"/>
      <c r="AC44" s="4"/>
      <c r="AD44" s="4"/>
      <c r="AE44" s="4"/>
      <c r="AF44" s="4"/>
      <c r="AG44" s="4"/>
      <c r="AH44" s="4"/>
      <c r="AI44" s="4"/>
      <c r="AJ44" s="4"/>
      <c r="AK44" s="4"/>
      <c r="AL44" s="4"/>
      <c r="AM44" s="4"/>
      <c r="AN44" s="4"/>
      <c r="AO44" s="4"/>
      <c r="AP44" s="4"/>
      <c r="AQ44" s="4"/>
      <c r="AR44" s="4"/>
      <c r="AS44" s="4"/>
      <c r="AT44" s="4"/>
    </row>
    <row r="45" spans="1:46" x14ac:dyDescent="0.2">
      <c r="A45" s="4"/>
      <c r="Y45" s="4"/>
      <c r="Z45" s="4"/>
      <c r="AA45" s="4"/>
      <c r="AB45" s="4"/>
      <c r="AC45" s="4"/>
      <c r="AD45" s="4"/>
      <c r="AE45" s="4"/>
      <c r="AF45" s="4"/>
      <c r="AG45" s="4"/>
      <c r="AH45" s="4"/>
      <c r="AI45" s="4"/>
      <c r="AJ45" s="4"/>
      <c r="AK45" s="4"/>
      <c r="AL45" s="4"/>
      <c r="AM45" s="4"/>
      <c r="AN45" s="4"/>
      <c r="AO45" s="4"/>
      <c r="AP45" s="4"/>
      <c r="AQ45" s="4"/>
      <c r="AR45" s="4"/>
      <c r="AS45" s="4"/>
      <c r="AT45" s="4"/>
    </row>
    <row r="46" spans="1:46" x14ac:dyDescent="0.2">
      <c r="A46" s="4"/>
      <c r="Y46" s="4"/>
      <c r="Z46" s="4"/>
      <c r="AA46" s="4"/>
      <c r="AB46" s="4"/>
      <c r="AC46" s="4"/>
      <c r="AD46" s="4"/>
      <c r="AE46" s="4"/>
      <c r="AF46" s="4"/>
      <c r="AG46" s="4"/>
      <c r="AH46" s="4"/>
      <c r="AI46" s="4"/>
      <c r="AJ46" s="4"/>
      <c r="AK46" s="4"/>
      <c r="AL46" s="4"/>
      <c r="AM46" s="4"/>
      <c r="AN46" s="4"/>
      <c r="AO46" s="4"/>
      <c r="AP46" s="4"/>
      <c r="AQ46" s="4"/>
      <c r="AR46" s="4"/>
      <c r="AS46" s="4"/>
      <c r="AT46" s="4"/>
    </row>
    <row r="47" spans="1:46" x14ac:dyDescent="0.2">
      <c r="A47" s="4"/>
      <c r="Y47" s="4"/>
      <c r="Z47" s="4"/>
      <c r="AA47" s="4"/>
      <c r="AB47" s="4"/>
      <c r="AC47" s="4"/>
      <c r="AD47" s="4"/>
      <c r="AE47" s="4"/>
      <c r="AF47" s="4"/>
      <c r="AG47" s="4"/>
      <c r="AH47" s="4"/>
      <c r="AI47" s="4"/>
      <c r="AJ47" s="4"/>
      <c r="AK47" s="4"/>
      <c r="AL47" s="4"/>
      <c r="AM47" s="4"/>
      <c r="AN47" s="4"/>
      <c r="AO47" s="4"/>
      <c r="AP47" s="4"/>
      <c r="AQ47" s="4"/>
      <c r="AR47" s="4"/>
      <c r="AS47" s="4"/>
      <c r="AT47" s="4"/>
    </row>
    <row r="48" spans="1:46" x14ac:dyDescent="0.2">
      <c r="A48" s="4"/>
      <c r="Y48" s="4"/>
      <c r="Z48" s="4"/>
      <c r="AA48" s="4"/>
      <c r="AB48" s="4"/>
      <c r="AC48" s="4"/>
      <c r="AD48" s="4"/>
      <c r="AE48" s="4"/>
      <c r="AF48" s="4"/>
      <c r="AG48" s="4"/>
      <c r="AH48" s="4"/>
      <c r="AI48" s="4"/>
      <c r="AJ48" s="4"/>
      <c r="AK48" s="4"/>
      <c r="AL48" s="4"/>
      <c r="AM48" s="4"/>
      <c r="AN48" s="4"/>
      <c r="AO48" s="4"/>
      <c r="AP48" s="4"/>
      <c r="AQ48" s="4"/>
      <c r="AR48" s="4"/>
      <c r="AS48" s="4"/>
      <c r="AT48" s="4"/>
    </row>
    <row r="49" spans="1:46" x14ac:dyDescent="0.2">
      <c r="A49" s="4"/>
      <c r="Y49" s="4"/>
      <c r="Z49" s="4"/>
      <c r="AA49" s="4"/>
      <c r="AB49" s="4"/>
      <c r="AC49" s="4"/>
      <c r="AD49" s="4"/>
      <c r="AE49" s="4"/>
      <c r="AF49" s="4"/>
      <c r="AG49" s="4"/>
      <c r="AH49" s="4"/>
      <c r="AI49" s="4"/>
      <c r="AJ49" s="4"/>
      <c r="AK49" s="4"/>
      <c r="AL49" s="4"/>
      <c r="AM49" s="4"/>
      <c r="AN49" s="4"/>
      <c r="AO49" s="4"/>
      <c r="AP49" s="4"/>
      <c r="AQ49" s="4"/>
      <c r="AR49" s="4"/>
      <c r="AS49" s="4"/>
      <c r="AT49" s="4"/>
    </row>
    <row r="50" spans="1:46" x14ac:dyDescent="0.2">
      <c r="A50" s="4"/>
      <c r="Y50" s="4"/>
      <c r="Z50" s="4"/>
      <c r="AA50" s="4"/>
      <c r="AB50" s="4"/>
      <c r="AC50" s="4"/>
      <c r="AD50" s="4"/>
      <c r="AE50" s="4"/>
      <c r="AF50" s="4"/>
      <c r="AG50" s="4"/>
      <c r="AH50" s="4"/>
      <c r="AI50" s="4"/>
      <c r="AJ50" s="4"/>
      <c r="AK50" s="4"/>
      <c r="AL50" s="4"/>
      <c r="AM50" s="4"/>
      <c r="AN50" s="4"/>
      <c r="AO50" s="4"/>
      <c r="AP50" s="4"/>
      <c r="AQ50" s="4"/>
      <c r="AR50" s="4"/>
      <c r="AS50" s="4"/>
      <c r="AT50" s="4"/>
    </row>
    <row r="51" spans="1:46" x14ac:dyDescent="0.2">
      <c r="A51" s="4"/>
      <c r="Y51" s="4"/>
      <c r="Z51" s="4"/>
      <c r="AA51" s="4"/>
      <c r="AB51" s="4"/>
      <c r="AC51" s="4"/>
      <c r="AD51" s="4"/>
      <c r="AE51" s="4"/>
      <c r="AF51" s="4"/>
      <c r="AG51" s="4"/>
      <c r="AH51" s="4"/>
      <c r="AI51" s="4"/>
      <c r="AJ51" s="4"/>
      <c r="AK51" s="4"/>
      <c r="AL51" s="4"/>
      <c r="AM51" s="4"/>
      <c r="AN51" s="4"/>
      <c r="AO51" s="4"/>
      <c r="AP51" s="4"/>
      <c r="AQ51" s="4"/>
      <c r="AR51" s="4"/>
      <c r="AS51" s="4"/>
      <c r="AT51" s="4"/>
    </row>
    <row r="52" spans="1:46" x14ac:dyDescent="0.2">
      <c r="A52" s="4"/>
      <c r="Y52" s="4"/>
      <c r="Z52" s="4"/>
      <c r="AA52" s="4"/>
      <c r="AB52" s="4"/>
      <c r="AC52" s="4"/>
      <c r="AD52" s="4"/>
      <c r="AE52" s="4"/>
      <c r="AF52" s="4"/>
      <c r="AG52" s="4"/>
      <c r="AH52" s="4"/>
      <c r="AI52" s="4"/>
      <c r="AJ52" s="4"/>
      <c r="AK52" s="4"/>
      <c r="AL52" s="4"/>
      <c r="AM52" s="4"/>
      <c r="AN52" s="4"/>
      <c r="AO52" s="4"/>
      <c r="AP52" s="4"/>
      <c r="AQ52" s="4"/>
      <c r="AR52" s="4"/>
      <c r="AS52" s="4"/>
      <c r="AT52" s="4"/>
    </row>
    <row r="53" spans="1:46" x14ac:dyDescent="0.2">
      <c r="A53" s="4"/>
      <c r="Y53" s="4"/>
      <c r="Z53" s="4"/>
      <c r="AA53" s="4"/>
      <c r="AB53" s="4"/>
      <c r="AC53" s="4"/>
      <c r="AD53" s="4"/>
      <c r="AE53" s="4"/>
      <c r="AF53" s="4"/>
      <c r="AG53" s="4"/>
      <c r="AH53" s="4"/>
      <c r="AI53" s="4"/>
      <c r="AJ53" s="4"/>
      <c r="AK53" s="4"/>
      <c r="AL53" s="4"/>
      <c r="AM53" s="4"/>
      <c r="AN53" s="4"/>
      <c r="AO53" s="4"/>
      <c r="AP53" s="4"/>
      <c r="AQ53" s="4"/>
      <c r="AR53" s="4"/>
      <c r="AS53" s="4"/>
      <c r="AT53" s="4"/>
    </row>
    <row r="54" spans="1:46" x14ac:dyDescent="0.2">
      <c r="A54" s="4"/>
      <c r="Y54" s="4"/>
      <c r="Z54" s="4"/>
      <c r="AA54" s="4"/>
      <c r="AB54" s="4"/>
      <c r="AC54" s="4"/>
      <c r="AD54" s="4"/>
      <c r="AE54" s="4"/>
      <c r="AF54" s="4"/>
      <c r="AG54" s="4"/>
      <c r="AH54" s="4"/>
      <c r="AI54" s="4"/>
      <c r="AJ54" s="4"/>
      <c r="AK54" s="4"/>
      <c r="AL54" s="4"/>
      <c r="AM54" s="4"/>
      <c r="AN54" s="4"/>
      <c r="AO54" s="4"/>
      <c r="AP54" s="4"/>
      <c r="AQ54" s="4"/>
      <c r="AR54" s="4"/>
      <c r="AS54" s="4"/>
      <c r="AT54" s="4"/>
    </row>
    <row r="55" spans="1:46" x14ac:dyDescent="0.2">
      <c r="A55" s="4"/>
      <c r="Y55" s="4"/>
      <c r="Z55" s="4"/>
      <c r="AA55" s="4"/>
      <c r="AB55" s="4"/>
      <c r="AC55" s="4"/>
      <c r="AD55" s="4"/>
      <c r="AE55" s="4"/>
      <c r="AF55" s="4"/>
      <c r="AG55" s="4"/>
      <c r="AH55" s="4"/>
      <c r="AI55" s="4"/>
      <c r="AJ55" s="4"/>
      <c r="AK55" s="4"/>
      <c r="AL55" s="4"/>
      <c r="AM55" s="4"/>
      <c r="AN55" s="4"/>
      <c r="AO55" s="4"/>
      <c r="AP55" s="4"/>
      <c r="AQ55" s="4"/>
      <c r="AR55" s="4"/>
      <c r="AS55" s="4"/>
      <c r="AT55" s="4"/>
    </row>
    <row r="56" spans="1:46" x14ac:dyDescent="0.2">
      <c r="A56" s="4"/>
      <c r="Y56" s="4"/>
      <c r="Z56" s="4"/>
      <c r="AA56" s="4"/>
      <c r="AB56" s="4"/>
      <c r="AC56" s="4"/>
      <c r="AD56" s="4"/>
      <c r="AE56" s="4"/>
      <c r="AF56" s="4"/>
      <c r="AG56" s="4"/>
      <c r="AH56" s="4"/>
      <c r="AI56" s="4"/>
      <c r="AJ56" s="4"/>
      <c r="AK56" s="4"/>
      <c r="AL56" s="4"/>
      <c r="AM56" s="4"/>
      <c r="AN56" s="4"/>
      <c r="AO56" s="4"/>
      <c r="AP56" s="4"/>
      <c r="AQ56" s="4"/>
      <c r="AR56" s="4"/>
      <c r="AS56" s="4"/>
      <c r="AT56" s="4"/>
    </row>
    <row r="57" spans="1:46" x14ac:dyDescent="0.2">
      <c r="A57" s="4"/>
      <c r="Y57" s="4"/>
      <c r="Z57" s="4"/>
      <c r="AA57" s="4"/>
      <c r="AB57" s="4"/>
      <c r="AC57" s="4"/>
      <c r="AD57" s="4"/>
      <c r="AE57" s="4"/>
      <c r="AF57" s="4"/>
      <c r="AG57" s="4"/>
      <c r="AH57" s="4"/>
      <c r="AI57" s="4"/>
      <c r="AJ57" s="4"/>
      <c r="AK57" s="4"/>
      <c r="AL57" s="4"/>
      <c r="AM57" s="4"/>
      <c r="AN57" s="4"/>
      <c r="AO57" s="4"/>
      <c r="AP57" s="4"/>
      <c r="AQ57" s="4"/>
      <c r="AR57" s="4"/>
      <c r="AS57" s="4"/>
      <c r="AT57" s="4"/>
    </row>
    <row r="58" spans="1:46" x14ac:dyDescent="0.2">
      <c r="A58" s="4"/>
      <c r="Y58" s="4"/>
      <c r="Z58" s="4"/>
      <c r="AA58" s="4"/>
      <c r="AB58" s="4"/>
      <c r="AC58" s="4"/>
      <c r="AD58" s="4"/>
      <c r="AE58" s="4"/>
      <c r="AF58" s="4"/>
      <c r="AG58" s="4"/>
      <c r="AH58" s="4"/>
      <c r="AI58" s="4"/>
      <c r="AJ58" s="4"/>
      <c r="AK58" s="4"/>
      <c r="AL58" s="4"/>
      <c r="AM58" s="4"/>
      <c r="AN58" s="4"/>
      <c r="AO58" s="4"/>
      <c r="AP58" s="4"/>
      <c r="AQ58" s="4"/>
      <c r="AR58" s="4"/>
      <c r="AS58" s="4"/>
      <c r="AT58" s="4"/>
    </row>
    <row r="59" spans="1:46" x14ac:dyDescent="0.2">
      <c r="A59" s="4"/>
      <c r="Y59" s="4"/>
      <c r="Z59" s="4"/>
      <c r="AA59" s="4"/>
      <c r="AB59" s="4"/>
      <c r="AC59" s="4"/>
      <c r="AD59" s="4"/>
      <c r="AE59" s="4"/>
      <c r="AF59" s="4"/>
      <c r="AG59" s="4"/>
      <c r="AH59" s="4"/>
      <c r="AI59" s="4"/>
      <c r="AJ59" s="4"/>
      <c r="AK59" s="4"/>
      <c r="AL59" s="4"/>
      <c r="AM59" s="4"/>
      <c r="AN59" s="4"/>
      <c r="AO59" s="4"/>
      <c r="AP59" s="4"/>
      <c r="AQ59" s="4"/>
      <c r="AR59" s="4"/>
      <c r="AS59" s="4"/>
      <c r="AT59" s="4"/>
    </row>
    <row r="60" spans="1:46" x14ac:dyDescent="0.2">
      <c r="A60" s="4"/>
      <c r="Y60" s="4"/>
      <c r="Z60" s="4"/>
      <c r="AA60" s="4"/>
      <c r="AB60" s="4"/>
      <c r="AC60" s="4"/>
      <c r="AD60" s="4"/>
      <c r="AE60" s="4"/>
      <c r="AF60" s="4"/>
      <c r="AG60" s="4"/>
      <c r="AH60" s="4"/>
      <c r="AI60" s="4"/>
      <c r="AJ60" s="4"/>
      <c r="AK60" s="4"/>
      <c r="AL60" s="4"/>
      <c r="AM60" s="4"/>
      <c r="AN60" s="4"/>
      <c r="AO60" s="4"/>
      <c r="AP60" s="4"/>
      <c r="AQ60" s="4"/>
      <c r="AR60" s="4"/>
      <c r="AS60" s="4"/>
      <c r="AT60" s="4"/>
    </row>
    <row r="61" spans="1:46" x14ac:dyDescent="0.2">
      <c r="A61" s="4"/>
      <c r="Y61" s="4"/>
      <c r="Z61" s="4"/>
      <c r="AA61" s="4"/>
      <c r="AB61" s="4"/>
      <c r="AC61" s="4"/>
      <c r="AD61" s="4"/>
      <c r="AE61" s="4"/>
      <c r="AF61" s="4"/>
      <c r="AG61" s="4"/>
      <c r="AH61" s="4"/>
      <c r="AI61" s="4"/>
      <c r="AJ61" s="4"/>
      <c r="AK61" s="4"/>
      <c r="AL61" s="4"/>
      <c r="AM61" s="4"/>
      <c r="AN61" s="4"/>
      <c r="AO61" s="4"/>
      <c r="AP61" s="4"/>
      <c r="AQ61" s="4"/>
      <c r="AR61" s="4"/>
      <c r="AS61" s="4"/>
      <c r="AT61" s="4"/>
    </row>
    <row r="62" spans="1:46" x14ac:dyDescent="0.2">
      <c r="A62" s="4"/>
      <c r="Y62" s="4"/>
      <c r="Z62" s="4"/>
      <c r="AA62" s="4"/>
      <c r="AB62" s="4"/>
      <c r="AC62" s="4"/>
      <c r="AD62" s="4"/>
      <c r="AE62" s="4"/>
      <c r="AF62" s="4"/>
      <c r="AG62" s="4"/>
      <c r="AH62" s="4"/>
      <c r="AI62" s="4"/>
      <c r="AJ62" s="4"/>
      <c r="AK62" s="4"/>
      <c r="AL62" s="4"/>
      <c r="AM62" s="4"/>
      <c r="AN62" s="4"/>
      <c r="AO62" s="4"/>
      <c r="AP62" s="4"/>
      <c r="AQ62" s="4"/>
      <c r="AR62" s="4"/>
      <c r="AS62" s="4"/>
      <c r="AT62" s="4"/>
    </row>
    <row r="63" spans="1:46" x14ac:dyDescent="0.2">
      <c r="A63" s="4"/>
      <c r="Y63" s="4"/>
      <c r="Z63" s="4"/>
      <c r="AA63" s="4"/>
      <c r="AB63" s="4"/>
      <c r="AC63" s="4"/>
      <c r="AD63" s="4"/>
      <c r="AE63" s="4"/>
      <c r="AF63" s="4"/>
      <c r="AG63" s="4"/>
      <c r="AH63" s="4"/>
      <c r="AI63" s="4"/>
      <c r="AJ63" s="4"/>
      <c r="AK63" s="4"/>
      <c r="AL63" s="4"/>
      <c r="AM63" s="4"/>
      <c r="AN63" s="4"/>
      <c r="AO63" s="4"/>
      <c r="AP63" s="4"/>
      <c r="AQ63" s="4"/>
      <c r="AR63" s="4"/>
      <c r="AS63" s="4"/>
      <c r="AT63" s="4"/>
    </row>
    <row r="64" spans="1:46" x14ac:dyDescent="0.2">
      <c r="A64" s="4"/>
      <c r="Y64" s="4"/>
      <c r="Z64" s="4"/>
      <c r="AA64" s="4"/>
      <c r="AB64" s="4"/>
      <c r="AC64" s="4"/>
      <c r="AD64" s="4"/>
      <c r="AE64" s="4"/>
      <c r="AF64" s="4"/>
      <c r="AG64" s="4"/>
      <c r="AH64" s="4"/>
      <c r="AI64" s="4"/>
      <c r="AJ64" s="4"/>
      <c r="AK64" s="4"/>
      <c r="AL64" s="4"/>
      <c r="AM64" s="4"/>
      <c r="AN64" s="4"/>
      <c r="AO64" s="4"/>
      <c r="AP64" s="4"/>
      <c r="AQ64" s="4"/>
      <c r="AR64" s="4"/>
      <c r="AS64" s="4"/>
      <c r="AT64" s="4"/>
    </row>
    <row r="65" spans="1:46" x14ac:dyDescent="0.2">
      <c r="A65" s="4"/>
      <c r="Y65" s="4"/>
      <c r="Z65" s="4"/>
      <c r="AA65" s="4"/>
      <c r="AB65" s="4"/>
      <c r="AC65" s="4"/>
      <c r="AD65" s="4"/>
      <c r="AE65" s="4"/>
      <c r="AF65" s="4"/>
      <c r="AG65" s="4"/>
      <c r="AH65" s="4"/>
      <c r="AI65" s="4"/>
      <c r="AJ65" s="4"/>
      <c r="AK65" s="4"/>
      <c r="AL65" s="4"/>
      <c r="AM65" s="4"/>
      <c r="AN65" s="4"/>
      <c r="AO65" s="4"/>
      <c r="AP65" s="4"/>
      <c r="AQ65" s="4"/>
      <c r="AR65" s="4"/>
      <c r="AS65" s="4"/>
      <c r="AT65" s="4"/>
    </row>
    <row r="66" spans="1:46" x14ac:dyDescent="0.2">
      <c r="A66" s="4"/>
      <c r="Y66" s="4"/>
      <c r="Z66" s="4"/>
      <c r="AA66" s="4"/>
      <c r="AB66" s="4"/>
      <c r="AC66" s="4"/>
      <c r="AD66" s="4"/>
      <c r="AE66" s="4"/>
      <c r="AF66" s="4"/>
      <c r="AG66" s="4"/>
      <c r="AH66" s="4"/>
      <c r="AI66" s="4"/>
      <c r="AJ66" s="4"/>
      <c r="AK66" s="4"/>
      <c r="AL66" s="4"/>
      <c r="AM66" s="4"/>
      <c r="AN66" s="4"/>
      <c r="AO66" s="4"/>
      <c r="AP66" s="4"/>
      <c r="AQ66" s="4"/>
      <c r="AR66" s="4"/>
      <c r="AS66" s="4"/>
      <c r="AT66" s="4"/>
    </row>
    <row r="67" spans="1:46" x14ac:dyDescent="0.2">
      <c r="A67" s="4"/>
      <c r="Y67" s="4"/>
      <c r="Z67" s="4"/>
      <c r="AA67" s="4"/>
      <c r="AB67" s="4"/>
      <c r="AC67" s="4"/>
      <c r="AD67" s="4"/>
      <c r="AE67" s="4"/>
      <c r="AF67" s="4"/>
      <c r="AG67" s="4"/>
      <c r="AH67" s="4"/>
      <c r="AI67" s="4"/>
      <c r="AJ67" s="4"/>
      <c r="AK67" s="4"/>
      <c r="AL67" s="4"/>
      <c r="AM67" s="4"/>
      <c r="AN67" s="4"/>
      <c r="AO67" s="4"/>
      <c r="AP67" s="4"/>
      <c r="AQ67" s="4"/>
      <c r="AR67" s="4"/>
      <c r="AS67" s="4"/>
      <c r="AT67" s="4"/>
    </row>
    <row r="68" spans="1:46" x14ac:dyDescent="0.2">
      <c r="A68" s="4"/>
      <c r="Y68" s="4"/>
      <c r="Z68" s="4"/>
      <c r="AA68" s="4"/>
      <c r="AB68" s="4"/>
      <c r="AC68" s="4"/>
      <c r="AD68" s="4"/>
      <c r="AE68" s="4"/>
      <c r="AF68" s="4"/>
      <c r="AG68" s="4"/>
      <c r="AH68" s="4"/>
      <c r="AI68" s="4"/>
      <c r="AJ68" s="4"/>
      <c r="AK68" s="4"/>
      <c r="AL68" s="4"/>
      <c r="AM68" s="4"/>
      <c r="AN68" s="4"/>
      <c r="AO68" s="4"/>
      <c r="AP68" s="4"/>
      <c r="AQ68" s="4"/>
      <c r="AR68" s="4"/>
      <c r="AS68" s="4"/>
      <c r="AT68" s="4"/>
    </row>
    <row r="69" spans="1:46" x14ac:dyDescent="0.2">
      <c r="A69" s="4"/>
      <c r="Y69" s="4"/>
      <c r="Z69" s="4"/>
      <c r="AA69" s="4"/>
      <c r="AB69" s="4"/>
      <c r="AC69" s="4"/>
      <c r="AD69" s="4"/>
      <c r="AE69" s="4"/>
      <c r="AF69" s="4"/>
      <c r="AG69" s="4"/>
      <c r="AH69" s="4"/>
      <c r="AI69" s="4"/>
      <c r="AJ69" s="4"/>
      <c r="AK69" s="4"/>
      <c r="AL69" s="4"/>
      <c r="AM69" s="4"/>
      <c r="AN69" s="4"/>
      <c r="AO69" s="4"/>
      <c r="AP69" s="4"/>
      <c r="AQ69" s="4"/>
      <c r="AR69" s="4"/>
      <c r="AS69" s="4"/>
      <c r="AT69" s="4"/>
    </row>
    <row r="70" spans="1:46" x14ac:dyDescent="0.2">
      <c r="A70" s="4"/>
      <c r="Y70" s="4"/>
      <c r="Z70" s="4"/>
      <c r="AA70" s="4"/>
      <c r="AB70" s="4"/>
      <c r="AC70" s="4"/>
      <c r="AD70" s="4"/>
      <c r="AE70" s="4"/>
      <c r="AF70" s="4"/>
      <c r="AG70" s="4"/>
      <c r="AH70" s="4"/>
      <c r="AI70" s="4"/>
      <c r="AJ70" s="4"/>
      <c r="AK70" s="4"/>
      <c r="AL70" s="4"/>
      <c r="AM70" s="4"/>
      <c r="AN70" s="4"/>
      <c r="AO70" s="4"/>
      <c r="AP70" s="4"/>
      <c r="AQ70" s="4"/>
      <c r="AR70" s="4"/>
      <c r="AS70" s="4"/>
      <c r="AT70" s="4"/>
    </row>
    <row r="71" spans="1:46" x14ac:dyDescent="0.2">
      <c r="A71" s="4"/>
      <c r="Y71" s="4"/>
      <c r="Z71" s="4"/>
      <c r="AA71" s="4"/>
      <c r="AB71" s="4"/>
      <c r="AC71" s="4"/>
      <c r="AD71" s="4"/>
      <c r="AE71" s="4"/>
      <c r="AF71" s="4"/>
      <c r="AG71" s="4"/>
      <c r="AH71" s="4"/>
      <c r="AI71" s="4"/>
      <c r="AJ71" s="4"/>
      <c r="AK71" s="4"/>
      <c r="AL71" s="4"/>
      <c r="AM71" s="4"/>
      <c r="AN71" s="4"/>
      <c r="AO71" s="4"/>
      <c r="AP71" s="4"/>
      <c r="AQ71" s="4"/>
      <c r="AR71" s="4"/>
      <c r="AS71" s="4"/>
      <c r="AT71" s="4"/>
    </row>
    <row r="72" spans="1:46" x14ac:dyDescent="0.2">
      <c r="A72" s="4"/>
      <c r="Y72" s="4"/>
      <c r="Z72" s="4"/>
      <c r="AA72" s="4"/>
      <c r="AB72" s="4"/>
      <c r="AC72" s="4"/>
      <c r="AD72" s="4"/>
      <c r="AE72" s="4"/>
      <c r="AF72" s="4"/>
      <c r="AG72" s="4"/>
      <c r="AH72" s="4"/>
      <c r="AI72" s="4"/>
      <c r="AJ72" s="4"/>
      <c r="AK72" s="4"/>
      <c r="AL72" s="4"/>
      <c r="AM72" s="4"/>
      <c r="AN72" s="4"/>
      <c r="AO72" s="4"/>
      <c r="AP72" s="4"/>
      <c r="AQ72" s="4"/>
      <c r="AR72" s="4"/>
      <c r="AS72" s="4"/>
      <c r="AT72" s="4"/>
    </row>
    <row r="73" spans="1:46" x14ac:dyDescent="0.2">
      <c r="A73" s="4"/>
      <c r="Y73" s="4"/>
      <c r="Z73" s="4"/>
      <c r="AA73" s="4"/>
      <c r="AB73" s="4"/>
      <c r="AC73" s="4"/>
      <c r="AD73" s="4"/>
      <c r="AE73" s="4"/>
      <c r="AF73" s="4"/>
      <c r="AG73" s="4"/>
      <c r="AH73" s="4"/>
      <c r="AI73" s="4"/>
      <c r="AJ73" s="4"/>
      <c r="AK73" s="4"/>
      <c r="AL73" s="4"/>
      <c r="AM73" s="4"/>
      <c r="AN73" s="4"/>
      <c r="AO73" s="4"/>
      <c r="AP73" s="4"/>
      <c r="AQ73" s="4"/>
      <c r="AR73" s="4"/>
      <c r="AS73" s="4"/>
      <c r="AT73" s="4"/>
    </row>
    <row r="74" spans="1:46" x14ac:dyDescent="0.2">
      <c r="A74" s="4"/>
      <c r="Y74" s="4"/>
      <c r="Z74" s="4"/>
      <c r="AA74" s="4"/>
      <c r="AB74" s="4"/>
      <c r="AC74" s="4"/>
      <c r="AD74" s="4"/>
      <c r="AE74" s="4"/>
      <c r="AF74" s="4"/>
      <c r="AG74" s="4"/>
      <c r="AH74" s="4"/>
      <c r="AI74" s="4"/>
      <c r="AJ74" s="4"/>
      <c r="AK74" s="4"/>
      <c r="AL74" s="4"/>
      <c r="AM74" s="4"/>
      <c r="AN74" s="4"/>
      <c r="AO74" s="4"/>
      <c r="AP74" s="4"/>
      <c r="AQ74" s="4"/>
      <c r="AR74" s="4"/>
      <c r="AS74" s="4"/>
      <c r="AT74" s="4"/>
    </row>
    <row r="75" spans="1:46" x14ac:dyDescent="0.2">
      <c r="A75" s="4"/>
      <c r="Y75" s="4"/>
      <c r="Z75" s="4"/>
      <c r="AA75" s="4"/>
      <c r="AB75" s="4"/>
      <c r="AC75" s="4"/>
      <c r="AD75" s="4"/>
      <c r="AE75" s="4"/>
      <c r="AF75" s="4"/>
      <c r="AG75" s="4"/>
      <c r="AH75" s="4"/>
      <c r="AI75" s="4"/>
      <c r="AJ75" s="4"/>
      <c r="AK75" s="4"/>
      <c r="AL75" s="4"/>
      <c r="AM75" s="4"/>
      <c r="AN75" s="4"/>
      <c r="AO75" s="4"/>
      <c r="AP75" s="4"/>
      <c r="AQ75" s="4"/>
      <c r="AR75" s="4"/>
      <c r="AS75" s="4"/>
      <c r="AT75" s="4"/>
    </row>
    <row r="76" spans="1:46" x14ac:dyDescent="0.2">
      <c r="A76" s="4"/>
      <c r="Y76" s="4"/>
      <c r="Z76" s="4"/>
      <c r="AA76" s="4"/>
      <c r="AB76" s="4"/>
      <c r="AC76" s="4"/>
      <c r="AD76" s="4"/>
      <c r="AE76" s="4"/>
      <c r="AF76" s="4"/>
      <c r="AG76" s="4"/>
      <c r="AH76" s="4"/>
      <c r="AI76" s="4"/>
      <c r="AJ76" s="4"/>
      <c r="AK76" s="4"/>
      <c r="AL76" s="4"/>
      <c r="AM76" s="4"/>
      <c r="AN76" s="4"/>
      <c r="AO76" s="4"/>
      <c r="AP76" s="4"/>
      <c r="AQ76" s="4"/>
      <c r="AR76" s="4"/>
      <c r="AS76" s="4"/>
      <c r="AT76" s="4"/>
    </row>
    <row r="77" spans="1:46" x14ac:dyDescent="0.2">
      <c r="A77" s="4"/>
      <c r="Y77" s="4"/>
      <c r="Z77" s="4"/>
      <c r="AA77" s="4"/>
      <c r="AB77" s="4"/>
      <c r="AC77" s="4"/>
      <c r="AD77" s="4"/>
      <c r="AE77" s="4"/>
      <c r="AF77" s="4"/>
      <c r="AG77" s="4"/>
      <c r="AH77" s="4"/>
      <c r="AI77" s="4"/>
      <c r="AJ77" s="4"/>
      <c r="AK77" s="4"/>
      <c r="AL77" s="4"/>
      <c r="AM77" s="4"/>
      <c r="AN77" s="4"/>
      <c r="AO77" s="4"/>
      <c r="AP77" s="4"/>
      <c r="AQ77" s="4"/>
      <c r="AR77" s="4"/>
      <c r="AS77" s="4"/>
      <c r="AT77" s="4"/>
    </row>
    <row r="78" spans="1:46" x14ac:dyDescent="0.2">
      <c r="A78" s="4"/>
      <c r="Y78" s="4"/>
      <c r="Z78" s="4"/>
      <c r="AA78" s="4"/>
      <c r="AB78" s="4"/>
      <c r="AC78" s="4"/>
      <c r="AD78" s="4"/>
      <c r="AE78" s="4"/>
      <c r="AF78" s="4"/>
      <c r="AG78" s="4"/>
      <c r="AH78" s="4"/>
      <c r="AI78" s="4"/>
      <c r="AJ78" s="4"/>
      <c r="AK78" s="4"/>
      <c r="AL78" s="4"/>
      <c r="AM78" s="4"/>
      <c r="AN78" s="4"/>
      <c r="AO78" s="4"/>
      <c r="AP78" s="4"/>
      <c r="AQ78" s="4"/>
      <c r="AR78" s="4"/>
      <c r="AS78" s="4"/>
      <c r="AT78" s="4"/>
    </row>
    <row r="79" spans="1:46" x14ac:dyDescent="0.2">
      <c r="A79" s="4"/>
      <c r="Y79" s="4"/>
      <c r="Z79" s="4"/>
      <c r="AA79" s="4"/>
      <c r="AB79" s="4"/>
      <c r="AC79" s="4"/>
      <c r="AD79" s="4"/>
      <c r="AE79" s="4"/>
      <c r="AF79" s="4"/>
      <c r="AG79" s="4"/>
      <c r="AH79" s="4"/>
      <c r="AI79" s="4"/>
      <c r="AJ79" s="4"/>
      <c r="AK79" s="4"/>
      <c r="AL79" s="4"/>
      <c r="AM79" s="4"/>
      <c r="AN79" s="4"/>
      <c r="AO79" s="4"/>
      <c r="AP79" s="4"/>
      <c r="AQ79" s="4"/>
      <c r="AR79" s="4"/>
      <c r="AS79" s="4"/>
      <c r="AT79" s="4"/>
    </row>
    <row r="80" spans="1:46" x14ac:dyDescent="0.2">
      <c r="A80" s="4"/>
      <c r="Y80" s="4"/>
      <c r="Z80" s="4"/>
      <c r="AA80" s="4"/>
      <c r="AB80" s="4"/>
      <c r="AC80" s="4"/>
      <c r="AD80" s="4"/>
      <c r="AE80" s="4"/>
      <c r="AF80" s="4"/>
      <c r="AG80" s="4"/>
      <c r="AH80" s="4"/>
      <c r="AI80" s="4"/>
      <c r="AJ80" s="4"/>
      <c r="AK80" s="4"/>
      <c r="AL80" s="4"/>
      <c r="AM80" s="4"/>
      <c r="AN80" s="4"/>
      <c r="AO80" s="4"/>
      <c r="AP80" s="4"/>
      <c r="AQ80" s="4"/>
      <c r="AR80" s="4"/>
      <c r="AS80" s="4"/>
      <c r="AT80" s="4"/>
    </row>
    <row r="81" spans="1:46" x14ac:dyDescent="0.2">
      <c r="A81" s="4"/>
      <c r="Y81" s="4"/>
      <c r="Z81" s="4"/>
      <c r="AA81" s="4"/>
      <c r="AB81" s="4"/>
      <c r="AC81" s="4"/>
      <c r="AD81" s="4"/>
      <c r="AE81" s="4"/>
      <c r="AF81" s="4"/>
      <c r="AG81" s="4"/>
      <c r="AH81" s="4"/>
      <c r="AI81" s="4"/>
      <c r="AJ81" s="4"/>
      <c r="AK81" s="4"/>
      <c r="AL81" s="4"/>
      <c r="AM81" s="4"/>
      <c r="AN81" s="4"/>
      <c r="AO81" s="4"/>
      <c r="AP81" s="4"/>
      <c r="AQ81" s="4"/>
      <c r="AR81" s="4"/>
      <c r="AS81" s="4"/>
      <c r="AT81" s="4"/>
    </row>
    <row r="82" spans="1:46" x14ac:dyDescent="0.2">
      <c r="A82" s="4"/>
      <c r="Y82" s="4"/>
      <c r="Z82" s="4"/>
      <c r="AA82" s="4"/>
      <c r="AB82" s="4"/>
      <c r="AC82" s="4"/>
      <c r="AD82" s="4"/>
      <c r="AE82" s="4"/>
      <c r="AF82" s="4"/>
      <c r="AG82" s="4"/>
      <c r="AH82" s="4"/>
      <c r="AI82" s="4"/>
      <c r="AJ82" s="4"/>
      <c r="AK82" s="4"/>
      <c r="AL82" s="4"/>
      <c r="AM82" s="4"/>
      <c r="AN82" s="4"/>
      <c r="AO82" s="4"/>
      <c r="AP82" s="4"/>
      <c r="AQ82" s="4"/>
      <c r="AR82" s="4"/>
      <c r="AS82" s="4"/>
      <c r="AT82" s="4"/>
    </row>
    <row r="83" spans="1:46" x14ac:dyDescent="0.2">
      <c r="A83" s="4"/>
      <c r="Y83" s="4"/>
      <c r="Z83" s="4"/>
      <c r="AA83" s="4"/>
      <c r="AB83" s="4"/>
      <c r="AC83" s="4"/>
      <c r="AD83" s="4"/>
      <c r="AE83" s="4"/>
      <c r="AF83" s="4"/>
      <c r="AG83" s="4"/>
      <c r="AH83" s="4"/>
      <c r="AI83" s="4"/>
      <c r="AJ83" s="4"/>
      <c r="AK83" s="4"/>
      <c r="AL83" s="4"/>
      <c r="AM83" s="4"/>
      <c r="AN83" s="4"/>
      <c r="AO83" s="4"/>
      <c r="AP83" s="4"/>
      <c r="AQ83" s="4"/>
      <c r="AR83" s="4"/>
      <c r="AS83" s="4"/>
      <c r="AT83" s="4"/>
    </row>
    <row r="84" spans="1:46" x14ac:dyDescent="0.2">
      <c r="A84" s="4"/>
      <c r="Y84" s="4"/>
      <c r="Z84" s="4"/>
      <c r="AA84" s="4"/>
      <c r="AB84" s="4"/>
      <c r="AC84" s="4"/>
      <c r="AD84" s="4"/>
      <c r="AE84" s="4"/>
      <c r="AF84" s="4"/>
      <c r="AG84" s="4"/>
      <c r="AH84" s="4"/>
      <c r="AI84" s="4"/>
      <c r="AJ84" s="4"/>
      <c r="AK84" s="4"/>
      <c r="AL84" s="4"/>
      <c r="AM84" s="4"/>
      <c r="AN84" s="4"/>
      <c r="AO84" s="4"/>
      <c r="AP84" s="4"/>
      <c r="AQ84" s="4"/>
      <c r="AR84" s="4"/>
      <c r="AS84" s="4"/>
      <c r="AT84" s="4"/>
    </row>
    <row r="85" spans="1:46" x14ac:dyDescent="0.2">
      <c r="A85" s="4"/>
      <c r="Y85" s="4"/>
      <c r="Z85" s="4"/>
      <c r="AA85" s="4"/>
      <c r="AB85" s="4"/>
      <c r="AC85" s="4"/>
      <c r="AD85" s="4"/>
      <c r="AE85" s="4"/>
      <c r="AF85" s="4"/>
      <c r="AG85" s="4"/>
      <c r="AH85" s="4"/>
      <c r="AI85" s="4"/>
      <c r="AJ85" s="4"/>
      <c r="AK85" s="4"/>
      <c r="AL85" s="4"/>
      <c r="AM85" s="4"/>
      <c r="AN85" s="4"/>
      <c r="AO85" s="4"/>
      <c r="AP85" s="4"/>
      <c r="AQ85" s="4"/>
      <c r="AR85" s="4"/>
      <c r="AS85" s="4"/>
      <c r="AT85" s="4"/>
    </row>
    <row r="86" spans="1:46" x14ac:dyDescent="0.2">
      <c r="A86" s="4"/>
      <c r="Y86" s="4"/>
      <c r="Z86" s="4"/>
      <c r="AA86" s="4"/>
      <c r="AB86" s="4"/>
      <c r="AC86" s="4"/>
      <c r="AD86" s="4"/>
      <c r="AE86" s="4"/>
      <c r="AF86" s="4"/>
      <c r="AG86" s="4"/>
      <c r="AH86" s="4"/>
      <c r="AI86" s="4"/>
      <c r="AJ86" s="4"/>
      <c r="AK86" s="4"/>
      <c r="AL86" s="4"/>
      <c r="AM86" s="4"/>
      <c r="AN86" s="4"/>
      <c r="AO86" s="4"/>
      <c r="AP86" s="4"/>
      <c r="AQ86" s="4"/>
      <c r="AR86" s="4"/>
      <c r="AS86" s="4"/>
      <c r="AT86" s="4"/>
    </row>
    <row r="87" spans="1:46" x14ac:dyDescent="0.2">
      <c r="A87" s="4"/>
      <c r="Y87" s="4"/>
      <c r="Z87" s="4"/>
      <c r="AA87" s="4"/>
      <c r="AB87" s="4"/>
      <c r="AC87" s="4"/>
      <c r="AD87" s="4"/>
      <c r="AE87" s="4"/>
      <c r="AF87" s="4"/>
      <c r="AG87" s="4"/>
      <c r="AH87" s="4"/>
      <c r="AI87" s="4"/>
      <c r="AJ87" s="4"/>
      <c r="AK87" s="4"/>
      <c r="AL87" s="4"/>
      <c r="AM87" s="4"/>
      <c r="AN87" s="4"/>
      <c r="AO87" s="4"/>
      <c r="AP87" s="4"/>
      <c r="AQ87" s="4"/>
      <c r="AR87" s="4"/>
      <c r="AS87" s="4"/>
      <c r="AT87" s="4"/>
    </row>
    <row r="88" spans="1:46" x14ac:dyDescent="0.2">
      <c r="A88" s="4"/>
      <c r="Y88" s="4"/>
      <c r="Z88" s="4"/>
      <c r="AA88" s="4"/>
      <c r="AB88" s="4"/>
      <c r="AC88" s="4"/>
      <c r="AD88" s="4"/>
      <c r="AE88" s="4"/>
      <c r="AF88" s="4"/>
      <c r="AG88" s="4"/>
      <c r="AH88" s="4"/>
      <c r="AI88" s="4"/>
      <c r="AJ88" s="4"/>
      <c r="AK88" s="4"/>
      <c r="AL88" s="4"/>
      <c r="AM88" s="4"/>
      <c r="AN88" s="4"/>
      <c r="AO88" s="4"/>
      <c r="AP88" s="4"/>
      <c r="AQ88" s="4"/>
      <c r="AR88" s="4"/>
      <c r="AS88" s="4"/>
      <c r="AT88" s="4"/>
    </row>
    <row r="89" spans="1:46" x14ac:dyDescent="0.2">
      <c r="A89" s="4"/>
      <c r="Y89" s="4"/>
      <c r="Z89" s="4"/>
      <c r="AA89" s="4"/>
      <c r="AB89" s="4"/>
      <c r="AC89" s="4"/>
      <c r="AD89" s="4"/>
      <c r="AE89" s="4"/>
      <c r="AF89" s="4"/>
      <c r="AG89" s="4"/>
      <c r="AH89" s="4"/>
      <c r="AI89" s="4"/>
      <c r="AJ89" s="4"/>
      <c r="AK89" s="4"/>
      <c r="AL89" s="4"/>
      <c r="AM89" s="4"/>
      <c r="AN89" s="4"/>
      <c r="AO89" s="4"/>
      <c r="AP89" s="4"/>
      <c r="AQ89" s="4"/>
      <c r="AR89" s="4"/>
      <c r="AS89" s="4"/>
      <c r="AT89" s="4"/>
    </row>
    <row r="90" spans="1:46" x14ac:dyDescent="0.2">
      <c r="A90" s="4"/>
      <c r="Y90" s="4"/>
      <c r="Z90" s="4"/>
      <c r="AA90" s="4"/>
      <c r="AB90" s="4"/>
      <c r="AC90" s="4"/>
      <c r="AD90" s="4"/>
      <c r="AE90" s="4"/>
      <c r="AF90" s="4"/>
      <c r="AG90" s="4"/>
      <c r="AH90" s="4"/>
      <c r="AI90" s="4"/>
      <c r="AJ90" s="4"/>
      <c r="AK90" s="4"/>
      <c r="AL90" s="4"/>
      <c r="AM90" s="4"/>
      <c r="AN90" s="4"/>
      <c r="AO90" s="4"/>
      <c r="AP90" s="4"/>
      <c r="AQ90" s="4"/>
      <c r="AR90" s="4"/>
      <c r="AS90" s="4"/>
      <c r="AT90" s="4"/>
    </row>
    <row r="91" spans="1:46" x14ac:dyDescent="0.2">
      <c r="A91" s="4"/>
      <c r="Y91" s="4"/>
      <c r="Z91" s="4"/>
      <c r="AA91" s="4"/>
      <c r="AB91" s="4"/>
      <c r="AC91" s="4"/>
      <c r="AD91" s="4"/>
      <c r="AE91" s="4"/>
      <c r="AF91" s="4"/>
      <c r="AG91" s="4"/>
      <c r="AH91" s="4"/>
      <c r="AI91" s="4"/>
      <c r="AJ91" s="4"/>
      <c r="AK91" s="4"/>
      <c r="AL91" s="4"/>
      <c r="AM91" s="4"/>
      <c r="AN91" s="4"/>
      <c r="AO91" s="4"/>
      <c r="AP91" s="4"/>
      <c r="AQ91" s="4"/>
      <c r="AR91" s="4"/>
      <c r="AS91" s="4"/>
      <c r="AT91" s="4"/>
    </row>
    <row r="92" spans="1:46" x14ac:dyDescent="0.2">
      <c r="A92" s="4"/>
      <c r="Y92" s="4"/>
      <c r="Z92" s="4"/>
      <c r="AA92" s="4"/>
      <c r="AB92" s="4"/>
      <c r="AC92" s="4"/>
      <c r="AD92" s="4"/>
      <c r="AE92" s="4"/>
      <c r="AF92" s="4"/>
      <c r="AG92" s="4"/>
      <c r="AH92" s="4"/>
      <c r="AI92" s="4"/>
      <c r="AJ92" s="4"/>
      <c r="AK92" s="4"/>
      <c r="AL92" s="4"/>
      <c r="AM92" s="4"/>
      <c r="AN92" s="4"/>
      <c r="AO92" s="4"/>
      <c r="AP92" s="4"/>
      <c r="AQ92" s="4"/>
      <c r="AR92" s="4"/>
      <c r="AS92" s="4"/>
      <c r="AT92" s="4"/>
    </row>
    <row r="93" spans="1:46" x14ac:dyDescent="0.2">
      <c r="A93" s="4"/>
      <c r="Y93" s="4"/>
      <c r="Z93" s="4"/>
      <c r="AA93" s="4"/>
      <c r="AB93" s="4"/>
      <c r="AC93" s="4"/>
      <c r="AD93" s="4"/>
      <c r="AE93" s="4"/>
      <c r="AF93" s="4"/>
      <c r="AG93" s="4"/>
      <c r="AH93" s="4"/>
      <c r="AI93" s="4"/>
      <c r="AJ93" s="4"/>
      <c r="AK93" s="4"/>
      <c r="AL93" s="4"/>
      <c r="AM93" s="4"/>
      <c r="AN93" s="4"/>
      <c r="AO93" s="4"/>
      <c r="AP93" s="4"/>
      <c r="AQ93" s="4"/>
      <c r="AR93" s="4"/>
      <c r="AS93" s="4"/>
      <c r="AT93" s="4"/>
    </row>
    <row r="94" spans="1:46" x14ac:dyDescent="0.2">
      <c r="A94" s="4"/>
      <c r="Y94" s="4"/>
      <c r="Z94" s="4"/>
      <c r="AA94" s="4"/>
      <c r="AB94" s="4"/>
      <c r="AC94" s="4"/>
      <c r="AD94" s="4"/>
      <c r="AE94" s="4"/>
      <c r="AF94" s="4"/>
      <c r="AG94" s="4"/>
      <c r="AH94" s="4"/>
      <c r="AI94" s="4"/>
      <c r="AJ94" s="4"/>
      <c r="AK94" s="4"/>
      <c r="AL94" s="4"/>
      <c r="AM94" s="4"/>
      <c r="AN94" s="4"/>
      <c r="AO94" s="4"/>
      <c r="AP94" s="4"/>
      <c r="AQ94" s="4"/>
      <c r="AR94" s="4"/>
      <c r="AS94" s="4"/>
      <c r="AT94" s="4"/>
    </row>
    <row r="95" spans="1:46" x14ac:dyDescent="0.2">
      <c r="A95" s="4"/>
      <c r="Y95" s="4"/>
      <c r="Z95" s="4"/>
      <c r="AA95" s="4"/>
      <c r="AB95" s="4"/>
      <c r="AC95" s="4"/>
      <c r="AD95" s="4"/>
      <c r="AE95" s="4"/>
      <c r="AF95" s="4"/>
      <c r="AG95" s="4"/>
      <c r="AH95" s="4"/>
      <c r="AI95" s="4"/>
      <c r="AJ95" s="4"/>
      <c r="AK95" s="4"/>
      <c r="AL95" s="4"/>
      <c r="AM95" s="4"/>
      <c r="AN95" s="4"/>
      <c r="AO95" s="4"/>
      <c r="AP95" s="4"/>
      <c r="AQ95" s="4"/>
      <c r="AR95" s="4"/>
      <c r="AS95" s="4"/>
      <c r="AT95" s="4"/>
    </row>
    <row r="96" spans="1:46" x14ac:dyDescent="0.2">
      <c r="A96" s="4"/>
      <c r="Y96" s="4"/>
      <c r="Z96" s="4"/>
      <c r="AA96" s="4"/>
      <c r="AB96" s="4"/>
      <c r="AC96" s="4"/>
      <c r="AD96" s="4"/>
      <c r="AE96" s="4"/>
      <c r="AF96" s="4"/>
      <c r="AG96" s="4"/>
      <c r="AH96" s="4"/>
      <c r="AI96" s="4"/>
      <c r="AJ96" s="4"/>
      <c r="AK96" s="4"/>
      <c r="AL96" s="4"/>
      <c r="AM96" s="4"/>
      <c r="AN96" s="4"/>
      <c r="AO96" s="4"/>
      <c r="AP96" s="4"/>
      <c r="AQ96" s="4"/>
      <c r="AR96" s="4"/>
      <c r="AS96" s="4"/>
      <c r="AT96" s="4"/>
    </row>
    <row r="97" spans="1:46" x14ac:dyDescent="0.2">
      <c r="A97" s="4"/>
      <c r="Y97" s="4"/>
      <c r="Z97" s="4"/>
      <c r="AA97" s="4"/>
      <c r="AB97" s="4"/>
      <c r="AC97" s="4"/>
      <c r="AD97" s="4"/>
      <c r="AE97" s="4"/>
      <c r="AF97" s="4"/>
      <c r="AG97" s="4"/>
      <c r="AH97" s="4"/>
      <c r="AI97" s="4"/>
      <c r="AJ97" s="4"/>
      <c r="AK97" s="4"/>
      <c r="AL97" s="4"/>
      <c r="AM97" s="4"/>
      <c r="AN97" s="4"/>
      <c r="AO97" s="4"/>
      <c r="AP97" s="4"/>
      <c r="AQ97" s="4"/>
      <c r="AR97" s="4"/>
      <c r="AS97" s="4"/>
      <c r="AT97" s="4"/>
    </row>
    <row r="98" spans="1:46" x14ac:dyDescent="0.2">
      <c r="A98" s="4"/>
      <c r="Y98" s="4"/>
      <c r="Z98" s="4"/>
      <c r="AA98" s="4"/>
      <c r="AB98" s="4"/>
      <c r="AC98" s="4"/>
      <c r="AD98" s="4"/>
      <c r="AE98" s="4"/>
      <c r="AF98" s="4"/>
      <c r="AG98" s="4"/>
      <c r="AH98" s="4"/>
      <c r="AI98" s="4"/>
      <c r="AJ98" s="4"/>
      <c r="AK98" s="4"/>
      <c r="AL98" s="4"/>
      <c r="AM98" s="4"/>
      <c r="AN98" s="4"/>
      <c r="AO98" s="4"/>
      <c r="AP98" s="4"/>
      <c r="AQ98" s="4"/>
      <c r="AR98" s="4"/>
      <c r="AS98" s="4"/>
      <c r="AT98" s="4"/>
    </row>
    <row r="99" spans="1:46" x14ac:dyDescent="0.2">
      <c r="A99" s="4"/>
      <c r="Y99" s="4"/>
      <c r="Z99" s="4"/>
      <c r="AA99" s="4"/>
      <c r="AB99" s="4"/>
      <c r="AC99" s="4"/>
      <c r="AD99" s="4"/>
      <c r="AE99" s="4"/>
      <c r="AF99" s="4"/>
      <c r="AG99" s="4"/>
      <c r="AH99" s="4"/>
      <c r="AI99" s="4"/>
      <c r="AJ99" s="4"/>
      <c r="AK99" s="4"/>
      <c r="AL99" s="4"/>
      <c r="AM99" s="4"/>
      <c r="AN99" s="4"/>
      <c r="AO99" s="4"/>
      <c r="AP99" s="4"/>
      <c r="AQ99" s="4"/>
      <c r="AR99" s="4"/>
      <c r="AS99" s="4"/>
      <c r="AT99" s="4"/>
    </row>
    <row r="100" spans="1:46" x14ac:dyDescent="0.2">
      <c r="A100" s="4"/>
      <c r="Y100" s="4"/>
      <c r="Z100" s="4"/>
      <c r="AA100" s="4"/>
      <c r="AB100" s="4"/>
      <c r="AC100" s="4"/>
      <c r="AD100" s="4"/>
      <c r="AE100" s="4"/>
      <c r="AF100" s="4"/>
      <c r="AG100" s="4"/>
      <c r="AH100" s="4"/>
      <c r="AI100" s="4"/>
      <c r="AJ100" s="4"/>
      <c r="AK100" s="4"/>
      <c r="AL100" s="4"/>
      <c r="AM100" s="4"/>
      <c r="AN100" s="4"/>
      <c r="AO100" s="4"/>
      <c r="AP100" s="4"/>
      <c r="AQ100" s="4"/>
      <c r="AR100" s="4"/>
      <c r="AS100" s="4"/>
      <c r="AT100" s="4"/>
    </row>
    <row r="101" spans="1:46" x14ac:dyDescent="0.2">
      <c r="A101" s="4"/>
      <c r="Y101" s="4"/>
      <c r="Z101" s="4"/>
      <c r="AA101" s="4"/>
      <c r="AB101" s="4"/>
      <c r="AC101" s="4"/>
      <c r="AD101" s="4"/>
      <c r="AE101" s="4"/>
      <c r="AF101" s="4"/>
      <c r="AG101" s="4"/>
      <c r="AH101" s="4"/>
      <c r="AI101" s="4"/>
      <c r="AJ101" s="4"/>
      <c r="AK101" s="4"/>
      <c r="AL101" s="4"/>
      <c r="AM101" s="4"/>
      <c r="AN101" s="4"/>
      <c r="AO101" s="4"/>
      <c r="AP101" s="4"/>
      <c r="AQ101" s="4"/>
      <c r="AR101" s="4"/>
      <c r="AS101" s="4"/>
      <c r="AT101" s="4"/>
    </row>
    <row r="102" spans="1:46" x14ac:dyDescent="0.2">
      <c r="A102" s="4"/>
      <c r="Y102" s="4"/>
      <c r="Z102" s="4"/>
      <c r="AA102" s="4"/>
      <c r="AB102" s="4"/>
      <c r="AC102" s="4"/>
      <c r="AD102" s="4"/>
      <c r="AE102" s="4"/>
      <c r="AF102" s="4"/>
      <c r="AG102" s="4"/>
      <c r="AH102" s="4"/>
      <c r="AI102" s="4"/>
      <c r="AJ102" s="4"/>
      <c r="AK102" s="4"/>
      <c r="AL102" s="4"/>
      <c r="AM102" s="4"/>
      <c r="AN102" s="4"/>
      <c r="AO102" s="4"/>
      <c r="AP102" s="4"/>
      <c r="AQ102" s="4"/>
      <c r="AR102" s="4"/>
      <c r="AS102" s="4"/>
      <c r="AT102" s="4"/>
    </row>
    <row r="103" spans="1:46" x14ac:dyDescent="0.2">
      <c r="A103" s="4"/>
      <c r="Y103" s="4"/>
      <c r="Z103" s="4"/>
      <c r="AA103" s="4"/>
      <c r="AB103" s="4"/>
      <c r="AC103" s="4"/>
      <c r="AD103" s="4"/>
      <c r="AE103" s="4"/>
      <c r="AF103" s="4"/>
      <c r="AG103" s="4"/>
      <c r="AH103" s="4"/>
      <c r="AI103" s="4"/>
      <c r="AJ103" s="4"/>
      <c r="AK103" s="4"/>
      <c r="AL103" s="4"/>
      <c r="AM103" s="4"/>
      <c r="AN103" s="4"/>
      <c r="AO103" s="4"/>
      <c r="AP103" s="4"/>
      <c r="AQ103" s="4"/>
      <c r="AR103" s="4"/>
      <c r="AS103" s="4"/>
      <c r="AT103" s="4"/>
    </row>
    <row r="104" spans="1:46" x14ac:dyDescent="0.2">
      <c r="A104" s="4"/>
      <c r="Y104" s="4"/>
      <c r="Z104" s="4"/>
      <c r="AA104" s="4"/>
      <c r="AB104" s="4"/>
      <c r="AC104" s="4"/>
      <c r="AD104" s="4"/>
      <c r="AE104" s="4"/>
      <c r="AF104" s="4"/>
      <c r="AG104" s="4"/>
      <c r="AH104" s="4"/>
      <c r="AI104" s="4"/>
      <c r="AJ104" s="4"/>
      <c r="AK104" s="4"/>
      <c r="AL104" s="4"/>
      <c r="AM104" s="4"/>
      <c r="AN104" s="4"/>
      <c r="AO104" s="4"/>
      <c r="AP104" s="4"/>
      <c r="AQ104" s="4"/>
      <c r="AR104" s="4"/>
      <c r="AS104" s="4"/>
      <c r="AT104" s="4"/>
    </row>
    <row r="105" spans="1:46" x14ac:dyDescent="0.2">
      <c r="A105" s="4"/>
      <c r="Y105" s="4"/>
      <c r="Z105" s="4"/>
      <c r="AA105" s="4"/>
      <c r="AB105" s="4"/>
      <c r="AC105" s="4"/>
      <c r="AD105" s="4"/>
      <c r="AE105" s="4"/>
      <c r="AF105" s="4"/>
      <c r="AG105" s="4"/>
      <c r="AH105" s="4"/>
      <c r="AI105" s="4"/>
      <c r="AJ105" s="4"/>
      <c r="AK105" s="4"/>
      <c r="AL105" s="4"/>
      <c r="AM105" s="4"/>
      <c r="AN105" s="4"/>
      <c r="AO105" s="4"/>
      <c r="AP105" s="4"/>
      <c r="AQ105" s="4"/>
      <c r="AR105" s="4"/>
      <c r="AS105" s="4"/>
      <c r="AT105" s="4"/>
    </row>
    <row r="106" spans="1:46" x14ac:dyDescent="0.2">
      <c r="A106" s="4"/>
      <c r="Y106" s="4"/>
      <c r="Z106" s="4"/>
      <c r="AA106" s="4"/>
      <c r="AB106" s="4"/>
      <c r="AC106" s="4"/>
      <c r="AD106" s="4"/>
      <c r="AE106" s="4"/>
      <c r="AF106" s="4"/>
      <c r="AG106" s="4"/>
      <c r="AH106" s="4"/>
      <c r="AI106" s="4"/>
      <c r="AJ106" s="4"/>
      <c r="AK106" s="4"/>
      <c r="AL106" s="4"/>
      <c r="AM106" s="4"/>
      <c r="AN106" s="4"/>
      <c r="AO106" s="4"/>
      <c r="AP106" s="4"/>
      <c r="AQ106" s="4"/>
      <c r="AR106" s="4"/>
      <c r="AS106" s="4"/>
      <c r="AT106" s="4"/>
    </row>
    <row r="107" spans="1:46" x14ac:dyDescent="0.2">
      <c r="A107" s="4"/>
      <c r="Y107" s="4"/>
      <c r="Z107" s="4"/>
      <c r="AA107" s="4"/>
      <c r="AB107" s="4"/>
      <c r="AC107" s="4"/>
      <c r="AD107" s="4"/>
      <c r="AE107" s="4"/>
      <c r="AF107" s="4"/>
      <c r="AG107" s="4"/>
      <c r="AH107" s="4"/>
      <c r="AI107" s="4"/>
      <c r="AJ107" s="4"/>
      <c r="AK107" s="4"/>
      <c r="AL107" s="4"/>
      <c r="AM107" s="4"/>
      <c r="AN107" s="4"/>
      <c r="AO107" s="4"/>
      <c r="AP107" s="4"/>
      <c r="AQ107" s="4"/>
      <c r="AR107" s="4"/>
      <c r="AS107" s="4"/>
      <c r="AT107" s="4"/>
    </row>
    <row r="108" spans="1:46" x14ac:dyDescent="0.2">
      <c r="A108" s="4"/>
      <c r="Y108" s="4"/>
      <c r="Z108" s="4"/>
      <c r="AA108" s="4"/>
      <c r="AB108" s="4"/>
      <c r="AC108" s="4"/>
      <c r="AD108" s="4"/>
      <c r="AE108" s="4"/>
      <c r="AF108" s="4"/>
      <c r="AG108" s="4"/>
      <c r="AH108" s="4"/>
      <c r="AI108" s="4"/>
      <c r="AJ108" s="4"/>
      <c r="AK108" s="4"/>
      <c r="AL108" s="4"/>
      <c r="AM108" s="4"/>
      <c r="AN108" s="4"/>
      <c r="AO108" s="4"/>
      <c r="AP108" s="4"/>
      <c r="AQ108" s="4"/>
      <c r="AR108" s="4"/>
      <c r="AS108" s="4"/>
      <c r="AT108" s="4"/>
    </row>
    <row r="109" spans="1:46" x14ac:dyDescent="0.2">
      <c r="A109" s="4"/>
      <c r="Y109" s="4"/>
      <c r="Z109" s="4"/>
      <c r="AA109" s="4"/>
      <c r="AB109" s="4"/>
      <c r="AC109" s="4"/>
      <c r="AD109" s="4"/>
      <c r="AE109" s="4"/>
      <c r="AF109" s="4"/>
      <c r="AG109" s="4"/>
      <c r="AH109" s="4"/>
      <c r="AI109" s="4"/>
      <c r="AJ109" s="4"/>
      <c r="AK109" s="4"/>
      <c r="AL109" s="4"/>
      <c r="AM109" s="4"/>
      <c r="AN109" s="4"/>
      <c r="AO109" s="4"/>
      <c r="AP109" s="4"/>
      <c r="AQ109" s="4"/>
      <c r="AR109" s="4"/>
      <c r="AS109" s="4"/>
      <c r="AT109" s="4"/>
    </row>
    <row r="110" spans="1:46" x14ac:dyDescent="0.2">
      <c r="A110" s="4"/>
      <c r="Y110" s="4"/>
      <c r="Z110" s="4"/>
      <c r="AA110" s="4"/>
      <c r="AB110" s="4"/>
      <c r="AC110" s="4"/>
      <c r="AD110" s="4"/>
      <c r="AE110" s="4"/>
      <c r="AF110" s="4"/>
      <c r="AG110" s="4"/>
      <c r="AH110" s="4"/>
      <c r="AI110" s="4"/>
      <c r="AJ110" s="4"/>
      <c r="AK110" s="4"/>
      <c r="AL110" s="4"/>
      <c r="AM110" s="4"/>
      <c r="AN110" s="4"/>
      <c r="AO110" s="4"/>
      <c r="AP110" s="4"/>
      <c r="AQ110" s="4"/>
      <c r="AR110" s="4"/>
      <c r="AS110" s="4"/>
      <c r="AT110" s="4"/>
    </row>
    <row r="111" spans="1:46" x14ac:dyDescent="0.2">
      <c r="A111" s="4"/>
      <c r="Y111" s="4"/>
      <c r="Z111" s="4"/>
      <c r="AA111" s="4"/>
      <c r="AB111" s="4"/>
      <c r="AC111" s="4"/>
      <c r="AD111" s="4"/>
      <c r="AE111" s="4"/>
      <c r="AF111" s="4"/>
      <c r="AG111" s="4"/>
      <c r="AH111" s="4"/>
      <c r="AI111" s="4"/>
      <c r="AJ111" s="4"/>
      <c r="AK111" s="4"/>
      <c r="AL111" s="4"/>
      <c r="AM111" s="4"/>
      <c r="AN111" s="4"/>
      <c r="AO111" s="4"/>
      <c r="AP111" s="4"/>
      <c r="AQ111" s="4"/>
      <c r="AR111" s="4"/>
      <c r="AS111" s="4"/>
      <c r="AT111" s="4"/>
    </row>
    <row r="112" spans="1:46" x14ac:dyDescent="0.2">
      <c r="A112" s="4"/>
      <c r="Y112" s="4"/>
      <c r="Z112" s="4"/>
      <c r="AA112" s="4"/>
      <c r="AB112" s="4"/>
      <c r="AC112" s="4"/>
      <c r="AD112" s="4"/>
      <c r="AE112" s="4"/>
      <c r="AF112" s="4"/>
      <c r="AG112" s="4"/>
      <c r="AH112" s="4"/>
      <c r="AI112" s="4"/>
      <c r="AJ112" s="4"/>
      <c r="AK112" s="4"/>
      <c r="AL112" s="4"/>
      <c r="AM112" s="4"/>
      <c r="AN112" s="4"/>
      <c r="AO112" s="4"/>
      <c r="AP112" s="4"/>
      <c r="AQ112" s="4"/>
      <c r="AR112" s="4"/>
      <c r="AS112" s="4"/>
      <c r="AT112" s="4"/>
    </row>
    <row r="113" spans="1:46" x14ac:dyDescent="0.2">
      <c r="A113" s="4"/>
      <c r="Y113" s="4"/>
      <c r="Z113" s="4"/>
      <c r="AA113" s="4"/>
      <c r="AB113" s="4"/>
      <c r="AC113" s="4"/>
      <c r="AD113" s="4"/>
      <c r="AE113" s="4"/>
      <c r="AF113" s="4"/>
      <c r="AG113" s="4"/>
      <c r="AH113" s="4"/>
      <c r="AI113" s="4"/>
      <c r="AJ113" s="4"/>
      <c r="AK113" s="4"/>
      <c r="AL113" s="4"/>
      <c r="AM113" s="4"/>
      <c r="AN113" s="4"/>
      <c r="AO113" s="4"/>
      <c r="AP113" s="4"/>
      <c r="AQ113" s="4"/>
      <c r="AR113" s="4"/>
      <c r="AS113" s="4"/>
      <c r="AT113" s="4"/>
    </row>
    <row r="114" spans="1:46" x14ac:dyDescent="0.2">
      <c r="A114" s="4"/>
      <c r="Y114" s="4"/>
      <c r="Z114" s="4"/>
      <c r="AA114" s="4"/>
      <c r="AB114" s="4"/>
      <c r="AC114" s="4"/>
      <c r="AD114" s="4"/>
      <c r="AE114" s="4"/>
      <c r="AF114" s="4"/>
      <c r="AG114" s="4"/>
      <c r="AH114" s="4"/>
      <c r="AI114" s="4"/>
      <c r="AJ114" s="4"/>
      <c r="AK114" s="4"/>
      <c r="AL114" s="4"/>
      <c r="AM114" s="4"/>
      <c r="AN114" s="4"/>
      <c r="AO114" s="4"/>
      <c r="AP114" s="4"/>
      <c r="AQ114" s="4"/>
      <c r="AR114" s="4"/>
      <c r="AS114" s="4"/>
      <c r="AT114" s="4"/>
    </row>
    <row r="115" spans="1:46" x14ac:dyDescent="0.2">
      <c r="A115" s="4"/>
      <c r="Y115" s="4"/>
      <c r="Z115" s="4"/>
      <c r="AA115" s="4"/>
      <c r="AB115" s="4"/>
      <c r="AC115" s="4"/>
      <c r="AD115" s="4"/>
      <c r="AE115" s="4"/>
      <c r="AF115" s="4"/>
      <c r="AG115" s="4"/>
      <c r="AH115" s="4"/>
      <c r="AI115" s="4"/>
      <c r="AJ115" s="4"/>
      <c r="AK115" s="4"/>
      <c r="AL115" s="4"/>
      <c r="AM115" s="4"/>
      <c r="AN115" s="4"/>
      <c r="AO115" s="4"/>
      <c r="AP115" s="4"/>
      <c r="AQ115" s="4"/>
      <c r="AR115" s="4"/>
      <c r="AS115" s="4"/>
      <c r="AT115" s="4"/>
    </row>
    <row r="116" spans="1:46" x14ac:dyDescent="0.2">
      <c r="A116" s="4"/>
      <c r="Y116" s="4"/>
      <c r="Z116" s="4"/>
      <c r="AA116" s="4"/>
      <c r="AB116" s="4"/>
      <c r="AC116" s="4"/>
      <c r="AD116" s="4"/>
      <c r="AE116" s="4"/>
      <c r="AF116" s="4"/>
      <c r="AG116" s="4"/>
      <c r="AH116" s="4"/>
      <c r="AI116" s="4"/>
      <c r="AJ116" s="4"/>
      <c r="AK116" s="4"/>
      <c r="AL116" s="4"/>
      <c r="AM116" s="4"/>
      <c r="AN116" s="4"/>
      <c r="AO116" s="4"/>
      <c r="AP116" s="4"/>
      <c r="AQ116" s="4"/>
      <c r="AR116" s="4"/>
      <c r="AS116" s="4"/>
      <c r="AT116" s="4"/>
    </row>
    <row r="117" spans="1:46" x14ac:dyDescent="0.2">
      <c r="A117" s="4"/>
      <c r="Y117" s="4"/>
      <c r="Z117" s="4"/>
      <c r="AA117" s="4"/>
      <c r="AB117" s="4"/>
      <c r="AC117" s="4"/>
      <c r="AD117" s="4"/>
      <c r="AE117" s="4"/>
      <c r="AF117" s="4"/>
      <c r="AG117" s="4"/>
      <c r="AH117" s="4"/>
      <c r="AI117" s="4"/>
      <c r="AJ117" s="4"/>
      <c r="AK117" s="4"/>
      <c r="AL117" s="4"/>
      <c r="AM117" s="4"/>
      <c r="AN117" s="4"/>
      <c r="AO117" s="4"/>
      <c r="AP117" s="4"/>
      <c r="AQ117" s="4"/>
      <c r="AR117" s="4"/>
      <c r="AS117" s="4"/>
      <c r="AT117" s="4"/>
    </row>
    <row r="118" spans="1:46" x14ac:dyDescent="0.2">
      <c r="A118" s="4"/>
      <c r="Y118" s="4"/>
      <c r="Z118" s="4"/>
      <c r="AA118" s="4"/>
      <c r="AB118" s="4"/>
      <c r="AC118" s="4"/>
      <c r="AD118" s="4"/>
      <c r="AE118" s="4"/>
      <c r="AF118" s="4"/>
      <c r="AG118" s="4"/>
      <c r="AH118" s="4"/>
      <c r="AI118" s="4"/>
      <c r="AJ118" s="4"/>
      <c r="AK118" s="4"/>
      <c r="AL118" s="4"/>
      <c r="AM118" s="4"/>
      <c r="AN118" s="4"/>
      <c r="AO118" s="4"/>
      <c r="AP118" s="4"/>
      <c r="AQ118" s="4"/>
      <c r="AR118" s="4"/>
      <c r="AS118" s="4"/>
      <c r="AT118" s="4"/>
    </row>
    <row r="119" spans="1:46" x14ac:dyDescent="0.2">
      <c r="A119" s="4"/>
      <c r="Y119" s="4"/>
      <c r="Z119" s="4"/>
      <c r="AA119" s="4"/>
      <c r="AB119" s="4"/>
      <c r="AC119" s="4"/>
      <c r="AD119" s="4"/>
      <c r="AE119" s="4"/>
      <c r="AF119" s="4"/>
      <c r="AG119" s="4"/>
      <c r="AH119" s="4"/>
      <c r="AI119" s="4"/>
      <c r="AJ119" s="4"/>
      <c r="AK119" s="4"/>
      <c r="AL119" s="4"/>
      <c r="AM119" s="4"/>
      <c r="AN119" s="4"/>
      <c r="AO119" s="4"/>
      <c r="AP119" s="4"/>
      <c r="AQ119" s="4"/>
      <c r="AR119" s="4"/>
      <c r="AS119" s="4"/>
      <c r="AT119" s="4"/>
    </row>
    <row r="120" spans="1:46" x14ac:dyDescent="0.2">
      <c r="A120" s="4"/>
      <c r="Y120" s="4"/>
      <c r="Z120" s="4"/>
      <c r="AA120" s="4"/>
      <c r="AB120" s="4"/>
      <c r="AC120" s="4"/>
      <c r="AD120" s="4"/>
      <c r="AE120" s="4"/>
      <c r="AF120" s="4"/>
      <c r="AG120" s="4"/>
      <c r="AH120" s="4"/>
      <c r="AI120" s="4"/>
      <c r="AJ120" s="4"/>
      <c r="AK120" s="4"/>
      <c r="AL120" s="4"/>
      <c r="AM120" s="4"/>
      <c r="AN120" s="4"/>
      <c r="AO120" s="4"/>
      <c r="AP120" s="4"/>
      <c r="AQ120" s="4"/>
      <c r="AR120" s="4"/>
      <c r="AS120" s="4"/>
      <c r="AT120" s="4"/>
    </row>
    <row r="121" spans="1:46" x14ac:dyDescent="0.2">
      <c r="A121" s="4"/>
      <c r="Y121" s="4"/>
      <c r="Z121" s="4"/>
      <c r="AA121" s="4"/>
      <c r="AB121" s="4"/>
      <c r="AC121" s="4"/>
      <c r="AD121" s="4"/>
      <c r="AE121" s="4"/>
      <c r="AF121" s="4"/>
      <c r="AG121" s="4"/>
      <c r="AH121" s="4"/>
      <c r="AI121" s="4"/>
      <c r="AJ121" s="4"/>
      <c r="AK121" s="4"/>
      <c r="AL121" s="4"/>
      <c r="AM121" s="4"/>
      <c r="AN121" s="4"/>
      <c r="AO121" s="4"/>
      <c r="AP121" s="4"/>
      <c r="AQ121" s="4"/>
      <c r="AR121" s="4"/>
      <c r="AS121" s="4"/>
      <c r="AT121" s="4"/>
    </row>
    <row r="122" spans="1:46" x14ac:dyDescent="0.2">
      <c r="A122" s="4"/>
      <c r="Y122" s="4"/>
      <c r="Z122" s="4"/>
      <c r="AA122" s="4"/>
      <c r="AB122" s="4"/>
      <c r="AC122" s="4"/>
      <c r="AD122" s="4"/>
      <c r="AE122" s="4"/>
      <c r="AF122" s="4"/>
      <c r="AG122" s="4"/>
      <c r="AH122" s="4"/>
      <c r="AI122" s="4"/>
      <c r="AJ122" s="4"/>
      <c r="AK122" s="4"/>
      <c r="AL122" s="4"/>
      <c r="AM122" s="4"/>
      <c r="AN122" s="4"/>
      <c r="AO122" s="4"/>
      <c r="AP122" s="4"/>
      <c r="AQ122" s="4"/>
      <c r="AR122" s="4"/>
      <c r="AS122" s="4"/>
      <c r="AT122" s="4"/>
    </row>
    <row r="123" spans="1:46" x14ac:dyDescent="0.2">
      <c r="A123" s="4"/>
      <c r="Y123" s="4"/>
      <c r="Z123" s="4"/>
      <c r="AA123" s="4"/>
      <c r="AB123" s="4"/>
      <c r="AC123" s="4"/>
      <c r="AD123" s="4"/>
      <c r="AE123" s="4"/>
      <c r="AF123" s="4"/>
      <c r="AG123" s="4"/>
      <c r="AH123" s="4"/>
      <c r="AI123" s="4"/>
      <c r="AJ123" s="4"/>
      <c r="AK123" s="4"/>
      <c r="AL123" s="4"/>
      <c r="AM123" s="4"/>
      <c r="AN123" s="4"/>
      <c r="AO123" s="4"/>
      <c r="AP123" s="4"/>
      <c r="AQ123" s="4"/>
      <c r="AR123" s="4"/>
      <c r="AS123" s="4"/>
      <c r="AT123" s="4"/>
    </row>
    <row r="124" spans="1:46" x14ac:dyDescent="0.2">
      <c r="A124" s="4"/>
      <c r="Y124" s="4"/>
      <c r="Z124" s="4"/>
      <c r="AA124" s="4"/>
      <c r="AB124" s="4"/>
      <c r="AC124" s="4"/>
      <c r="AD124" s="4"/>
      <c r="AE124" s="4"/>
      <c r="AF124" s="4"/>
      <c r="AG124" s="4"/>
      <c r="AH124" s="4"/>
      <c r="AI124" s="4"/>
      <c r="AJ124" s="4"/>
      <c r="AK124" s="4"/>
      <c r="AL124" s="4"/>
      <c r="AM124" s="4"/>
      <c r="AN124" s="4"/>
      <c r="AO124" s="4"/>
      <c r="AP124" s="4"/>
      <c r="AQ124" s="4"/>
      <c r="AR124" s="4"/>
      <c r="AS124" s="4"/>
      <c r="AT124" s="4"/>
    </row>
    <row r="125" spans="1:46" x14ac:dyDescent="0.2">
      <c r="A125" s="4"/>
      <c r="Y125" s="4"/>
      <c r="Z125" s="4"/>
      <c r="AA125" s="4"/>
      <c r="AB125" s="4"/>
      <c r="AC125" s="4"/>
      <c r="AD125" s="4"/>
      <c r="AE125" s="4"/>
      <c r="AF125" s="4"/>
      <c r="AG125" s="4"/>
      <c r="AH125" s="4"/>
      <c r="AI125" s="4"/>
      <c r="AJ125" s="4"/>
      <c r="AK125" s="4"/>
      <c r="AL125" s="4"/>
      <c r="AM125" s="4"/>
      <c r="AN125" s="4"/>
      <c r="AO125" s="4"/>
      <c r="AP125" s="4"/>
      <c r="AQ125" s="4"/>
      <c r="AR125" s="4"/>
      <c r="AS125" s="4"/>
      <c r="AT125" s="4"/>
    </row>
    <row r="126" spans="1:46" x14ac:dyDescent="0.2">
      <c r="A126" s="4"/>
      <c r="Y126" s="4"/>
      <c r="Z126" s="4"/>
      <c r="AA126" s="4"/>
      <c r="AB126" s="4"/>
      <c r="AC126" s="4"/>
      <c r="AD126" s="4"/>
      <c r="AE126" s="4"/>
      <c r="AF126" s="4"/>
      <c r="AG126" s="4"/>
      <c r="AH126" s="4"/>
      <c r="AI126" s="4"/>
      <c r="AJ126" s="4"/>
      <c r="AK126" s="4"/>
      <c r="AL126" s="4"/>
      <c r="AM126" s="4"/>
      <c r="AN126" s="4"/>
      <c r="AO126" s="4"/>
      <c r="AP126" s="4"/>
      <c r="AQ126" s="4"/>
      <c r="AR126" s="4"/>
      <c r="AS126" s="4"/>
      <c r="AT126" s="4"/>
    </row>
    <row r="127" spans="1:46" x14ac:dyDescent="0.2">
      <c r="A127" s="4"/>
      <c r="Y127" s="4"/>
      <c r="Z127" s="4"/>
      <c r="AA127" s="4"/>
      <c r="AB127" s="4"/>
      <c r="AC127" s="4"/>
      <c r="AD127" s="4"/>
      <c r="AE127" s="4"/>
      <c r="AF127" s="4"/>
      <c r="AG127" s="4"/>
      <c r="AH127" s="4"/>
      <c r="AI127" s="4"/>
      <c r="AJ127" s="4"/>
      <c r="AK127" s="4"/>
      <c r="AL127" s="4"/>
      <c r="AM127" s="4"/>
      <c r="AN127" s="4"/>
      <c r="AO127" s="4"/>
      <c r="AP127" s="4"/>
      <c r="AQ127" s="4"/>
      <c r="AR127" s="4"/>
      <c r="AS127" s="4"/>
      <c r="AT127" s="4"/>
    </row>
    <row r="128" spans="1:46" x14ac:dyDescent="0.2">
      <c r="A128" s="4"/>
      <c r="Y128" s="4"/>
      <c r="Z128" s="4"/>
      <c r="AA128" s="4"/>
      <c r="AB128" s="4"/>
      <c r="AC128" s="4"/>
      <c r="AD128" s="4"/>
      <c r="AE128" s="4"/>
      <c r="AF128" s="4"/>
      <c r="AG128" s="4"/>
      <c r="AH128" s="4"/>
      <c r="AI128" s="4"/>
      <c r="AJ128" s="4"/>
      <c r="AK128" s="4"/>
      <c r="AL128" s="4"/>
      <c r="AM128" s="4"/>
      <c r="AN128" s="4"/>
      <c r="AO128" s="4"/>
      <c r="AP128" s="4"/>
      <c r="AQ128" s="4"/>
      <c r="AR128" s="4"/>
      <c r="AS128" s="4"/>
      <c r="AT128" s="4"/>
    </row>
    <row r="129" spans="1:46" x14ac:dyDescent="0.2">
      <c r="A129" s="4"/>
      <c r="Y129" s="4"/>
      <c r="Z129" s="4"/>
      <c r="AA129" s="4"/>
      <c r="AB129" s="4"/>
      <c r="AC129" s="4"/>
      <c r="AD129" s="4"/>
      <c r="AE129" s="4"/>
      <c r="AF129" s="4"/>
      <c r="AG129" s="4"/>
      <c r="AH129" s="4"/>
      <c r="AI129" s="4"/>
      <c r="AJ129" s="4"/>
      <c r="AK129" s="4"/>
      <c r="AL129" s="4"/>
      <c r="AM129" s="4"/>
      <c r="AN129" s="4"/>
      <c r="AO129" s="4"/>
      <c r="AP129" s="4"/>
      <c r="AQ129" s="4"/>
      <c r="AR129" s="4"/>
      <c r="AS129" s="4"/>
      <c r="AT129" s="4"/>
    </row>
    <row r="130" spans="1:46" x14ac:dyDescent="0.2">
      <c r="A130" s="4"/>
      <c r="Y130" s="4"/>
      <c r="Z130" s="4"/>
      <c r="AA130" s="4"/>
      <c r="AB130" s="4"/>
      <c r="AC130" s="4"/>
      <c r="AD130" s="4"/>
      <c r="AE130" s="4"/>
      <c r="AF130" s="4"/>
      <c r="AG130" s="4"/>
      <c r="AH130" s="4"/>
      <c r="AI130" s="4"/>
      <c r="AJ130" s="4"/>
      <c r="AK130" s="4"/>
      <c r="AL130" s="4"/>
      <c r="AM130" s="4"/>
      <c r="AN130" s="4"/>
      <c r="AO130" s="4"/>
      <c r="AP130" s="4"/>
      <c r="AQ130" s="4"/>
      <c r="AR130" s="4"/>
      <c r="AS130" s="4"/>
      <c r="AT130" s="4"/>
    </row>
    <row r="131" spans="1:46" x14ac:dyDescent="0.2">
      <c r="A131" s="4"/>
      <c r="Y131" s="4"/>
      <c r="Z131" s="4"/>
      <c r="AA131" s="4"/>
      <c r="AB131" s="4"/>
      <c r="AC131" s="4"/>
      <c r="AD131" s="4"/>
      <c r="AE131" s="4"/>
      <c r="AF131" s="4"/>
      <c r="AG131" s="4"/>
      <c r="AH131" s="4"/>
      <c r="AI131" s="4"/>
      <c r="AJ131" s="4"/>
      <c r="AK131" s="4"/>
      <c r="AL131" s="4"/>
      <c r="AM131" s="4"/>
      <c r="AN131" s="4"/>
      <c r="AO131" s="4"/>
      <c r="AP131" s="4"/>
      <c r="AQ131" s="4"/>
      <c r="AR131" s="4"/>
      <c r="AS131" s="4"/>
      <c r="AT131" s="4"/>
    </row>
    <row r="132" spans="1:46" x14ac:dyDescent="0.2">
      <c r="A132" s="4"/>
      <c r="Y132" s="4"/>
      <c r="Z132" s="4"/>
      <c r="AA132" s="4"/>
      <c r="AB132" s="4"/>
      <c r="AC132" s="4"/>
      <c r="AD132" s="4"/>
      <c r="AE132" s="4"/>
      <c r="AF132" s="4"/>
      <c r="AG132" s="4"/>
      <c r="AH132" s="4"/>
      <c r="AI132" s="4"/>
      <c r="AJ132" s="4"/>
      <c r="AK132" s="4"/>
      <c r="AL132" s="4"/>
      <c r="AM132" s="4"/>
      <c r="AN132" s="4"/>
      <c r="AO132" s="4"/>
      <c r="AP132" s="4"/>
      <c r="AQ132" s="4"/>
      <c r="AR132" s="4"/>
      <c r="AS132" s="4"/>
      <c r="AT132" s="4"/>
    </row>
    <row r="133" spans="1:46" x14ac:dyDescent="0.2">
      <c r="A133" s="4"/>
      <c r="Y133" s="4"/>
      <c r="Z133" s="4"/>
      <c r="AA133" s="4"/>
      <c r="AB133" s="4"/>
      <c r="AC133" s="4"/>
      <c r="AD133" s="4"/>
      <c r="AE133" s="4"/>
      <c r="AF133" s="4"/>
      <c r="AG133" s="4"/>
      <c r="AH133" s="4"/>
      <c r="AI133" s="4"/>
      <c r="AJ133" s="4"/>
      <c r="AK133" s="4"/>
      <c r="AL133" s="4"/>
      <c r="AM133" s="4"/>
      <c r="AN133" s="4"/>
      <c r="AO133" s="4"/>
      <c r="AP133" s="4"/>
      <c r="AQ133" s="4"/>
      <c r="AR133" s="4"/>
      <c r="AS133" s="4"/>
      <c r="AT133" s="4"/>
    </row>
    <row r="134" spans="1:46" x14ac:dyDescent="0.2">
      <c r="A134" s="4"/>
      <c r="Y134" s="4"/>
      <c r="Z134" s="4"/>
      <c r="AA134" s="4"/>
      <c r="AB134" s="4"/>
      <c r="AC134" s="4"/>
      <c r="AD134" s="4"/>
      <c r="AE134" s="4"/>
      <c r="AF134" s="4"/>
      <c r="AG134" s="4"/>
      <c r="AH134" s="4"/>
      <c r="AI134" s="4"/>
      <c r="AJ134" s="4"/>
      <c r="AK134" s="4"/>
      <c r="AL134" s="4"/>
      <c r="AM134" s="4"/>
      <c r="AN134" s="4"/>
      <c r="AO134" s="4"/>
      <c r="AP134" s="4"/>
      <c r="AQ134" s="4"/>
      <c r="AR134" s="4"/>
      <c r="AS134" s="4"/>
      <c r="AT134" s="4"/>
    </row>
    <row r="135" spans="1:46" x14ac:dyDescent="0.2">
      <c r="A135" s="4"/>
      <c r="Y135" s="4"/>
      <c r="Z135" s="4"/>
      <c r="AA135" s="4"/>
      <c r="AB135" s="4"/>
      <c r="AC135" s="4"/>
      <c r="AD135" s="4"/>
      <c r="AE135" s="4"/>
      <c r="AF135" s="4"/>
      <c r="AG135" s="4"/>
      <c r="AH135" s="4"/>
      <c r="AI135" s="4"/>
      <c r="AJ135" s="4"/>
      <c r="AK135" s="4"/>
      <c r="AL135" s="4"/>
      <c r="AM135" s="4"/>
      <c r="AN135" s="4"/>
      <c r="AO135" s="4"/>
      <c r="AP135" s="4"/>
      <c r="AQ135" s="4"/>
      <c r="AR135" s="4"/>
      <c r="AS135" s="4"/>
      <c r="AT135" s="4"/>
    </row>
    <row r="136" spans="1:46" x14ac:dyDescent="0.2">
      <c r="A136" s="4"/>
      <c r="Y136" s="4"/>
      <c r="Z136" s="4"/>
      <c r="AA136" s="4"/>
      <c r="AB136" s="4"/>
      <c r="AC136" s="4"/>
      <c r="AD136" s="4"/>
      <c r="AE136" s="4"/>
      <c r="AF136" s="4"/>
      <c r="AG136" s="4"/>
      <c r="AH136" s="4"/>
      <c r="AI136" s="4"/>
      <c r="AJ136" s="4"/>
      <c r="AK136" s="4"/>
      <c r="AL136" s="4"/>
      <c r="AM136" s="4"/>
      <c r="AN136" s="4"/>
      <c r="AO136" s="4"/>
      <c r="AP136" s="4"/>
      <c r="AQ136" s="4"/>
      <c r="AR136" s="4"/>
      <c r="AS136" s="4"/>
      <c r="AT136" s="4"/>
    </row>
    <row r="137" spans="1:46" x14ac:dyDescent="0.2">
      <c r="A137" s="4"/>
      <c r="Y137" s="4"/>
      <c r="Z137" s="4"/>
      <c r="AA137" s="4"/>
      <c r="AB137" s="4"/>
      <c r="AC137" s="4"/>
      <c r="AD137" s="4"/>
      <c r="AE137" s="4"/>
      <c r="AF137" s="4"/>
      <c r="AG137" s="4"/>
      <c r="AH137" s="4"/>
      <c r="AI137" s="4"/>
      <c r="AJ137" s="4"/>
      <c r="AK137" s="4"/>
      <c r="AL137" s="4"/>
      <c r="AM137" s="4"/>
      <c r="AN137" s="4"/>
      <c r="AO137" s="4"/>
      <c r="AP137" s="4"/>
      <c r="AQ137" s="4"/>
      <c r="AR137" s="4"/>
      <c r="AS137" s="4"/>
      <c r="AT137" s="4"/>
    </row>
    <row r="138" spans="1:46" x14ac:dyDescent="0.2">
      <c r="A138" s="4"/>
      <c r="Y138" s="4"/>
      <c r="Z138" s="4"/>
      <c r="AA138" s="4"/>
      <c r="AB138" s="4"/>
      <c r="AC138" s="4"/>
      <c r="AD138" s="4"/>
      <c r="AE138" s="4"/>
      <c r="AF138" s="4"/>
      <c r="AG138" s="4"/>
      <c r="AH138" s="4"/>
      <c r="AI138" s="4"/>
      <c r="AJ138" s="4"/>
      <c r="AK138" s="4"/>
      <c r="AL138" s="4"/>
      <c r="AM138" s="4"/>
      <c r="AN138" s="4"/>
      <c r="AO138" s="4"/>
      <c r="AP138" s="4"/>
      <c r="AQ138" s="4"/>
      <c r="AR138" s="4"/>
      <c r="AS138" s="4"/>
      <c r="AT138" s="4"/>
    </row>
    <row r="139" spans="1:46" x14ac:dyDescent="0.2">
      <c r="A139" s="4"/>
      <c r="Y139" s="4"/>
      <c r="Z139" s="4"/>
      <c r="AA139" s="4"/>
      <c r="AB139" s="4"/>
      <c r="AC139" s="4"/>
      <c r="AD139" s="4"/>
      <c r="AE139" s="4"/>
      <c r="AF139" s="4"/>
      <c r="AG139" s="4"/>
      <c r="AH139" s="4"/>
      <c r="AI139" s="4"/>
      <c r="AJ139" s="4"/>
      <c r="AK139" s="4"/>
      <c r="AL139" s="4"/>
      <c r="AM139" s="4"/>
      <c r="AN139" s="4"/>
      <c r="AO139" s="4"/>
      <c r="AP139" s="4"/>
      <c r="AQ139" s="4"/>
      <c r="AR139" s="4"/>
      <c r="AS139" s="4"/>
      <c r="AT139" s="4"/>
    </row>
    <row r="140" spans="1:46" x14ac:dyDescent="0.2">
      <c r="A140" s="4"/>
      <c r="Y140" s="4"/>
      <c r="Z140" s="4"/>
      <c r="AA140" s="4"/>
      <c r="AB140" s="4"/>
      <c r="AC140" s="4"/>
      <c r="AD140" s="4"/>
      <c r="AE140" s="4"/>
      <c r="AF140" s="4"/>
      <c r="AG140" s="4"/>
      <c r="AH140" s="4"/>
      <c r="AI140" s="4"/>
      <c r="AJ140" s="4"/>
      <c r="AK140" s="4"/>
      <c r="AL140" s="4"/>
      <c r="AM140" s="4"/>
      <c r="AN140" s="4"/>
      <c r="AO140" s="4"/>
      <c r="AP140" s="4"/>
      <c r="AQ140" s="4"/>
      <c r="AR140" s="4"/>
      <c r="AS140" s="4"/>
      <c r="AT140" s="4"/>
    </row>
    <row r="141" spans="1:46" x14ac:dyDescent="0.2">
      <c r="A141" s="4"/>
      <c r="Y141" s="4"/>
      <c r="Z141" s="4"/>
      <c r="AA141" s="4"/>
      <c r="AB141" s="4"/>
      <c r="AC141" s="4"/>
      <c r="AD141" s="4"/>
      <c r="AE141" s="4"/>
      <c r="AF141" s="4"/>
      <c r="AG141" s="4"/>
      <c r="AH141" s="4"/>
      <c r="AI141" s="4"/>
      <c r="AJ141" s="4"/>
      <c r="AK141" s="4"/>
      <c r="AL141" s="4"/>
      <c r="AM141" s="4"/>
      <c r="AN141" s="4"/>
      <c r="AO141" s="4"/>
      <c r="AP141" s="4"/>
      <c r="AQ141" s="4"/>
      <c r="AR141" s="4"/>
      <c r="AS141" s="4"/>
      <c r="AT141" s="4"/>
    </row>
    <row r="142" spans="1:46" x14ac:dyDescent="0.2">
      <c r="A142" s="4"/>
      <c r="Y142" s="4"/>
      <c r="Z142" s="4"/>
      <c r="AA142" s="4"/>
      <c r="AB142" s="4"/>
      <c r="AC142" s="4"/>
      <c r="AD142" s="4"/>
      <c r="AE142" s="4"/>
      <c r="AF142" s="4"/>
      <c r="AG142" s="4"/>
      <c r="AH142" s="4"/>
      <c r="AI142" s="4"/>
      <c r="AJ142" s="4"/>
      <c r="AK142" s="4"/>
      <c r="AL142" s="4"/>
      <c r="AM142" s="4"/>
      <c r="AN142" s="4"/>
      <c r="AO142" s="4"/>
      <c r="AP142" s="4"/>
      <c r="AQ142" s="4"/>
      <c r="AR142" s="4"/>
      <c r="AS142" s="4"/>
      <c r="AT142" s="4"/>
    </row>
    <row r="143" spans="1:46" x14ac:dyDescent="0.2">
      <c r="A143" s="4"/>
      <c r="Y143" s="4"/>
      <c r="Z143" s="4"/>
      <c r="AA143" s="4"/>
      <c r="AB143" s="4"/>
      <c r="AC143" s="4"/>
      <c r="AD143" s="4"/>
      <c r="AE143" s="4"/>
      <c r="AF143" s="4"/>
      <c r="AG143" s="4"/>
      <c r="AH143" s="4"/>
      <c r="AI143" s="4"/>
      <c r="AJ143" s="4"/>
      <c r="AK143" s="4"/>
      <c r="AL143" s="4"/>
      <c r="AM143" s="4"/>
      <c r="AN143" s="4"/>
      <c r="AO143" s="4"/>
      <c r="AP143" s="4"/>
      <c r="AQ143" s="4"/>
      <c r="AR143" s="4"/>
      <c r="AS143" s="4"/>
      <c r="AT143" s="4"/>
    </row>
    <row r="144" spans="1:46" x14ac:dyDescent="0.2">
      <c r="A144" s="4"/>
      <c r="Y144" s="4"/>
      <c r="Z144" s="4"/>
      <c r="AA144" s="4"/>
      <c r="AB144" s="4"/>
      <c r="AC144" s="4"/>
      <c r="AD144" s="4"/>
      <c r="AE144" s="4"/>
      <c r="AF144" s="4"/>
      <c r="AG144" s="4"/>
      <c r="AH144" s="4"/>
      <c r="AI144" s="4"/>
      <c r="AJ144" s="4"/>
      <c r="AK144" s="4"/>
      <c r="AL144" s="4"/>
      <c r="AM144" s="4"/>
      <c r="AN144" s="4"/>
      <c r="AO144" s="4"/>
      <c r="AP144" s="4"/>
      <c r="AQ144" s="4"/>
      <c r="AR144" s="4"/>
      <c r="AS144" s="4"/>
      <c r="AT144" s="4"/>
    </row>
    <row r="145" spans="1:46" x14ac:dyDescent="0.2">
      <c r="A145" s="4"/>
      <c r="Y145" s="4"/>
      <c r="Z145" s="4"/>
      <c r="AA145" s="4"/>
      <c r="AB145" s="4"/>
      <c r="AC145" s="4"/>
      <c r="AD145" s="4"/>
      <c r="AE145" s="4"/>
      <c r="AF145" s="4"/>
      <c r="AG145" s="4"/>
      <c r="AH145" s="4"/>
      <c r="AI145" s="4"/>
      <c r="AJ145" s="4"/>
      <c r="AK145" s="4"/>
      <c r="AL145" s="4"/>
      <c r="AM145" s="4"/>
      <c r="AN145" s="4"/>
      <c r="AO145" s="4"/>
      <c r="AP145" s="4"/>
      <c r="AQ145" s="4"/>
      <c r="AR145" s="4"/>
      <c r="AS145" s="4"/>
      <c r="AT145" s="4"/>
    </row>
    <row r="146" spans="1:46" x14ac:dyDescent="0.2">
      <c r="A146" s="4"/>
      <c r="Y146" s="4"/>
      <c r="Z146" s="4"/>
      <c r="AA146" s="4"/>
      <c r="AB146" s="4"/>
      <c r="AC146" s="4"/>
      <c r="AD146" s="4"/>
      <c r="AE146" s="4"/>
      <c r="AF146" s="4"/>
      <c r="AG146" s="4"/>
      <c r="AH146" s="4"/>
      <c r="AI146" s="4"/>
      <c r="AJ146" s="4"/>
      <c r="AK146" s="4"/>
      <c r="AL146" s="4"/>
      <c r="AM146" s="4"/>
      <c r="AN146" s="4"/>
      <c r="AO146" s="4"/>
      <c r="AP146" s="4"/>
      <c r="AQ146" s="4"/>
      <c r="AR146" s="4"/>
      <c r="AS146" s="4"/>
      <c r="AT146" s="4"/>
    </row>
    <row r="147" spans="1:46" x14ac:dyDescent="0.2">
      <c r="A147" s="4"/>
      <c r="Y147" s="4"/>
      <c r="Z147" s="4"/>
      <c r="AA147" s="4"/>
      <c r="AB147" s="4"/>
      <c r="AC147" s="4"/>
      <c r="AD147" s="4"/>
      <c r="AE147" s="4"/>
      <c r="AF147" s="4"/>
      <c r="AG147" s="4"/>
      <c r="AH147" s="4"/>
      <c r="AI147" s="4"/>
      <c r="AJ147" s="4"/>
      <c r="AK147" s="4"/>
      <c r="AL147" s="4"/>
      <c r="AM147" s="4"/>
      <c r="AN147" s="4"/>
      <c r="AO147" s="4"/>
      <c r="AP147" s="4"/>
      <c r="AQ147" s="4"/>
      <c r="AR147" s="4"/>
      <c r="AS147" s="4"/>
      <c r="AT147" s="4"/>
    </row>
    <row r="148" spans="1:46" x14ac:dyDescent="0.2">
      <c r="A148" s="4"/>
      <c r="Y148" s="4"/>
      <c r="Z148" s="4"/>
      <c r="AA148" s="4"/>
      <c r="AB148" s="4"/>
      <c r="AC148" s="4"/>
      <c r="AD148" s="4"/>
      <c r="AE148" s="4"/>
      <c r="AF148" s="4"/>
      <c r="AG148" s="4"/>
      <c r="AH148" s="4"/>
      <c r="AI148" s="4"/>
      <c r="AJ148" s="4"/>
      <c r="AK148" s="4"/>
      <c r="AL148" s="4"/>
      <c r="AM148" s="4"/>
      <c r="AN148" s="4"/>
      <c r="AO148" s="4"/>
      <c r="AP148" s="4"/>
      <c r="AQ148" s="4"/>
      <c r="AR148" s="4"/>
      <c r="AS148" s="4"/>
      <c r="AT148" s="4"/>
    </row>
    <row r="149" spans="1:46" x14ac:dyDescent="0.2">
      <c r="A149" s="4"/>
      <c r="Y149" s="4"/>
      <c r="Z149" s="4"/>
      <c r="AA149" s="4"/>
      <c r="AB149" s="4"/>
      <c r="AC149" s="4"/>
      <c r="AD149" s="4"/>
      <c r="AE149" s="4"/>
      <c r="AF149" s="4"/>
      <c r="AG149" s="4"/>
      <c r="AH149" s="4"/>
      <c r="AI149" s="4"/>
      <c r="AJ149" s="4"/>
      <c r="AK149" s="4"/>
      <c r="AL149" s="4"/>
      <c r="AM149" s="4"/>
      <c r="AN149" s="4"/>
      <c r="AO149" s="4"/>
      <c r="AP149" s="4"/>
      <c r="AQ149" s="4"/>
      <c r="AR149" s="4"/>
      <c r="AS149" s="4"/>
      <c r="AT149" s="4"/>
    </row>
    <row r="150" spans="1:46" x14ac:dyDescent="0.2">
      <c r="A150" s="4"/>
      <c r="Y150" s="4"/>
      <c r="Z150" s="4"/>
      <c r="AA150" s="4"/>
      <c r="AB150" s="4"/>
      <c r="AC150" s="4"/>
      <c r="AD150" s="4"/>
      <c r="AE150" s="4"/>
      <c r="AF150" s="4"/>
      <c r="AG150" s="4"/>
      <c r="AH150" s="4"/>
      <c r="AI150" s="4"/>
      <c r="AJ150" s="4"/>
      <c r="AK150" s="4"/>
      <c r="AL150" s="4"/>
      <c r="AM150" s="4"/>
      <c r="AN150" s="4"/>
      <c r="AO150" s="4"/>
      <c r="AP150" s="4"/>
      <c r="AQ150" s="4"/>
      <c r="AR150" s="4"/>
      <c r="AS150" s="4"/>
      <c r="AT150" s="4"/>
    </row>
    <row r="151" spans="1:46" x14ac:dyDescent="0.2">
      <c r="A151" s="4"/>
      <c r="Y151" s="4"/>
      <c r="Z151" s="4"/>
      <c r="AA151" s="4"/>
      <c r="AB151" s="4"/>
      <c r="AC151" s="4"/>
      <c r="AD151" s="4"/>
      <c r="AE151" s="4"/>
      <c r="AF151" s="4"/>
      <c r="AG151" s="4"/>
      <c r="AH151" s="4"/>
      <c r="AI151" s="4"/>
      <c r="AJ151" s="4"/>
      <c r="AK151" s="4"/>
      <c r="AL151" s="4"/>
      <c r="AM151" s="4"/>
      <c r="AN151" s="4"/>
      <c r="AO151" s="4"/>
      <c r="AP151" s="4"/>
      <c r="AQ151" s="4"/>
      <c r="AR151" s="4"/>
      <c r="AS151" s="4"/>
      <c r="AT151" s="4"/>
    </row>
    <row r="152" spans="1:46" x14ac:dyDescent="0.2">
      <c r="A152" s="4"/>
      <c r="Y152" s="4"/>
      <c r="Z152" s="4"/>
      <c r="AA152" s="4"/>
      <c r="AB152" s="4"/>
      <c r="AC152" s="4"/>
      <c r="AD152" s="4"/>
      <c r="AE152" s="4"/>
      <c r="AF152" s="4"/>
      <c r="AG152" s="4"/>
      <c r="AH152" s="4"/>
      <c r="AI152" s="4"/>
      <c r="AJ152" s="4"/>
      <c r="AK152" s="4"/>
      <c r="AL152" s="4"/>
      <c r="AM152" s="4"/>
      <c r="AN152" s="4"/>
      <c r="AO152" s="4"/>
      <c r="AP152" s="4"/>
      <c r="AQ152" s="4"/>
      <c r="AR152" s="4"/>
      <c r="AS152" s="4"/>
      <c r="AT152" s="4"/>
    </row>
    <row r="153" spans="1:46" x14ac:dyDescent="0.2">
      <c r="A153" s="4"/>
      <c r="Y153" s="4"/>
      <c r="Z153" s="4"/>
      <c r="AA153" s="4"/>
      <c r="AB153" s="4"/>
      <c r="AC153" s="4"/>
      <c r="AD153" s="4"/>
      <c r="AE153" s="4"/>
      <c r="AF153" s="4"/>
      <c r="AG153" s="4"/>
      <c r="AH153" s="4"/>
      <c r="AI153" s="4"/>
      <c r="AJ153" s="4"/>
      <c r="AK153" s="4"/>
      <c r="AL153" s="4"/>
      <c r="AM153" s="4"/>
      <c r="AN153" s="4"/>
      <c r="AO153" s="4"/>
      <c r="AP153" s="4"/>
      <c r="AQ153" s="4"/>
      <c r="AR153" s="4"/>
      <c r="AS153" s="4"/>
      <c r="AT153" s="4"/>
    </row>
    <row r="154" spans="1:46" x14ac:dyDescent="0.2">
      <c r="A154" s="4"/>
      <c r="Y154" s="4"/>
      <c r="Z154" s="4"/>
      <c r="AA154" s="4"/>
      <c r="AB154" s="4"/>
      <c r="AC154" s="4"/>
      <c r="AD154" s="4"/>
      <c r="AE154" s="4"/>
      <c r="AF154" s="4"/>
      <c r="AG154" s="4"/>
      <c r="AH154" s="4"/>
      <c r="AI154" s="4"/>
      <c r="AJ154" s="4"/>
      <c r="AK154" s="4"/>
      <c r="AL154" s="4"/>
      <c r="AM154" s="4"/>
      <c r="AN154" s="4"/>
      <c r="AO154" s="4"/>
      <c r="AP154" s="4"/>
      <c r="AQ154" s="4"/>
      <c r="AR154" s="4"/>
      <c r="AS154" s="4"/>
      <c r="AT154" s="4"/>
    </row>
    <row r="155" spans="1:46" x14ac:dyDescent="0.2">
      <c r="A155" s="4"/>
      <c r="Y155" s="4"/>
      <c r="Z155" s="4"/>
      <c r="AA155" s="4"/>
      <c r="AB155" s="4"/>
      <c r="AC155" s="4"/>
      <c r="AD155" s="4"/>
      <c r="AE155" s="4"/>
      <c r="AF155" s="4"/>
      <c r="AG155" s="4"/>
      <c r="AH155" s="4"/>
      <c r="AI155" s="4"/>
      <c r="AJ155" s="4"/>
      <c r="AK155" s="4"/>
      <c r="AL155" s="4"/>
      <c r="AM155" s="4"/>
      <c r="AN155" s="4"/>
      <c r="AO155" s="4"/>
      <c r="AP155" s="4"/>
      <c r="AQ155" s="4"/>
      <c r="AR155" s="4"/>
      <c r="AS155" s="4"/>
      <c r="AT155" s="4"/>
    </row>
    <row r="156" spans="1:46" x14ac:dyDescent="0.2">
      <c r="A156" s="4"/>
      <c r="Y156" s="4"/>
      <c r="Z156" s="4"/>
      <c r="AA156" s="4"/>
      <c r="AB156" s="4"/>
      <c r="AC156" s="4"/>
      <c r="AD156" s="4"/>
      <c r="AE156" s="4"/>
      <c r="AF156" s="4"/>
      <c r="AG156" s="4"/>
      <c r="AH156" s="4"/>
      <c r="AI156" s="4"/>
      <c r="AJ156" s="4"/>
      <c r="AK156" s="4"/>
      <c r="AL156" s="4"/>
      <c r="AM156" s="4"/>
      <c r="AN156" s="4"/>
      <c r="AO156" s="4"/>
      <c r="AP156" s="4"/>
      <c r="AQ156" s="4"/>
      <c r="AR156" s="4"/>
      <c r="AS156" s="4"/>
      <c r="AT156" s="4"/>
    </row>
    <row r="157" spans="1:46" x14ac:dyDescent="0.2">
      <c r="A157" s="4"/>
      <c r="Y157" s="4"/>
      <c r="Z157" s="4"/>
      <c r="AA157" s="4"/>
      <c r="AB157" s="4"/>
      <c r="AC157" s="4"/>
      <c r="AD157" s="4"/>
      <c r="AE157" s="4"/>
      <c r="AF157" s="4"/>
      <c r="AG157" s="4"/>
      <c r="AH157" s="4"/>
      <c r="AI157" s="4"/>
      <c r="AJ157" s="4"/>
      <c r="AK157" s="4"/>
      <c r="AL157" s="4"/>
      <c r="AM157" s="4"/>
      <c r="AN157" s="4"/>
      <c r="AO157" s="4"/>
      <c r="AP157" s="4"/>
      <c r="AQ157" s="4"/>
      <c r="AR157" s="4"/>
      <c r="AS157" s="4"/>
      <c r="AT157" s="4"/>
    </row>
    <row r="158" spans="1:46" x14ac:dyDescent="0.2">
      <c r="A158" s="4"/>
      <c r="Y158" s="4"/>
      <c r="Z158" s="4"/>
      <c r="AA158" s="4"/>
      <c r="AB158" s="4"/>
      <c r="AC158" s="4"/>
      <c r="AD158" s="4"/>
      <c r="AE158" s="4"/>
      <c r="AF158" s="4"/>
      <c r="AG158" s="4"/>
      <c r="AH158" s="4"/>
      <c r="AI158" s="4"/>
      <c r="AJ158" s="4"/>
      <c r="AK158" s="4"/>
      <c r="AL158" s="4"/>
      <c r="AM158" s="4"/>
      <c r="AN158" s="4"/>
      <c r="AO158" s="4"/>
      <c r="AP158" s="4"/>
      <c r="AQ158" s="4"/>
      <c r="AR158" s="4"/>
      <c r="AS158" s="4"/>
      <c r="AT158" s="4"/>
    </row>
    <row r="159" spans="1:46" x14ac:dyDescent="0.2">
      <c r="A159" s="4"/>
      <c r="Y159" s="4"/>
      <c r="Z159" s="4"/>
      <c r="AA159" s="4"/>
      <c r="AB159" s="4"/>
      <c r="AC159" s="4"/>
      <c r="AD159" s="4"/>
      <c r="AE159" s="4"/>
      <c r="AF159" s="4"/>
      <c r="AG159" s="4"/>
      <c r="AH159" s="4"/>
      <c r="AI159" s="4"/>
      <c r="AJ159" s="4"/>
      <c r="AK159" s="4"/>
      <c r="AL159" s="4"/>
      <c r="AM159" s="4"/>
      <c r="AN159" s="4"/>
      <c r="AO159" s="4"/>
      <c r="AP159" s="4"/>
      <c r="AQ159" s="4"/>
      <c r="AR159" s="4"/>
      <c r="AS159" s="4"/>
      <c r="AT159" s="4"/>
    </row>
    <row r="160" spans="1:46" x14ac:dyDescent="0.2">
      <c r="A160" s="4"/>
      <c r="Y160" s="4"/>
      <c r="Z160" s="4"/>
      <c r="AA160" s="4"/>
      <c r="AB160" s="4"/>
      <c r="AC160" s="4"/>
      <c r="AD160" s="4"/>
      <c r="AE160" s="4"/>
      <c r="AF160" s="4"/>
      <c r="AG160" s="4"/>
      <c r="AH160" s="4"/>
      <c r="AI160" s="4"/>
      <c r="AJ160" s="4"/>
      <c r="AK160" s="4"/>
      <c r="AL160" s="4"/>
      <c r="AM160" s="4"/>
      <c r="AN160" s="4"/>
      <c r="AO160" s="4"/>
      <c r="AP160" s="4"/>
      <c r="AQ160" s="4"/>
      <c r="AR160" s="4"/>
      <c r="AS160" s="4"/>
      <c r="AT160" s="4"/>
    </row>
    <row r="161" spans="1:46" x14ac:dyDescent="0.2">
      <c r="A161" s="4"/>
      <c r="Y161" s="4"/>
      <c r="Z161" s="4"/>
      <c r="AA161" s="4"/>
      <c r="AB161" s="4"/>
      <c r="AC161" s="4"/>
      <c r="AD161" s="4"/>
      <c r="AE161" s="4"/>
      <c r="AF161" s="4"/>
      <c r="AG161" s="4"/>
      <c r="AH161" s="4"/>
      <c r="AI161" s="4"/>
      <c r="AJ161" s="4"/>
      <c r="AK161" s="4"/>
      <c r="AL161" s="4"/>
      <c r="AM161" s="4"/>
      <c r="AN161" s="4"/>
      <c r="AO161" s="4"/>
      <c r="AP161" s="4"/>
      <c r="AQ161" s="4"/>
      <c r="AR161" s="4"/>
      <c r="AS161" s="4"/>
      <c r="AT161" s="4"/>
    </row>
    <row r="162" spans="1:46" x14ac:dyDescent="0.2">
      <c r="A162" s="4"/>
      <c r="Y162" s="4"/>
      <c r="Z162" s="4"/>
      <c r="AA162" s="4"/>
      <c r="AB162" s="4"/>
      <c r="AC162" s="4"/>
      <c r="AD162" s="4"/>
      <c r="AE162" s="4"/>
      <c r="AF162" s="4"/>
      <c r="AG162" s="4"/>
      <c r="AH162" s="4"/>
      <c r="AI162" s="4"/>
      <c r="AJ162" s="4"/>
      <c r="AK162" s="4"/>
      <c r="AL162" s="4"/>
      <c r="AM162" s="4"/>
      <c r="AN162" s="4"/>
      <c r="AO162" s="4"/>
      <c r="AP162" s="4"/>
      <c r="AQ162" s="4"/>
      <c r="AR162" s="4"/>
      <c r="AS162" s="4"/>
      <c r="AT162" s="4"/>
    </row>
    <row r="163" spans="1:46" x14ac:dyDescent="0.2">
      <c r="A163" s="4"/>
      <c r="Y163" s="4"/>
      <c r="Z163" s="4"/>
      <c r="AA163" s="4"/>
      <c r="AB163" s="4"/>
      <c r="AC163" s="4"/>
      <c r="AD163" s="4"/>
      <c r="AE163" s="4"/>
      <c r="AF163" s="4"/>
      <c r="AG163" s="4"/>
      <c r="AH163" s="4"/>
      <c r="AI163" s="4"/>
      <c r="AJ163" s="4"/>
      <c r="AK163" s="4"/>
      <c r="AL163" s="4"/>
      <c r="AM163" s="4"/>
      <c r="AN163" s="4"/>
      <c r="AO163" s="4"/>
      <c r="AP163" s="4"/>
      <c r="AQ163" s="4"/>
      <c r="AR163" s="4"/>
      <c r="AS163" s="4"/>
      <c r="AT163" s="4"/>
    </row>
    <row r="164" spans="1:46" x14ac:dyDescent="0.2">
      <c r="A164" s="4"/>
      <c r="Y164" s="4"/>
      <c r="Z164" s="4"/>
      <c r="AA164" s="4"/>
      <c r="AB164" s="4"/>
      <c r="AC164" s="4"/>
      <c r="AD164" s="4"/>
      <c r="AE164" s="4"/>
      <c r="AF164" s="4"/>
      <c r="AG164" s="4"/>
      <c r="AH164" s="4"/>
      <c r="AI164" s="4"/>
      <c r="AJ164" s="4"/>
      <c r="AK164" s="4"/>
      <c r="AL164" s="4"/>
      <c r="AM164" s="4"/>
      <c r="AN164" s="4"/>
      <c r="AO164" s="4"/>
      <c r="AP164" s="4"/>
      <c r="AQ164" s="4"/>
      <c r="AR164" s="4"/>
      <c r="AS164" s="4"/>
      <c r="AT164" s="4"/>
    </row>
    <row r="165" spans="1:46" x14ac:dyDescent="0.2">
      <c r="A165" s="4"/>
      <c r="Y165" s="4"/>
      <c r="Z165" s="4"/>
      <c r="AA165" s="4"/>
      <c r="AB165" s="4"/>
      <c r="AC165" s="4"/>
      <c r="AD165" s="4"/>
      <c r="AE165" s="4"/>
      <c r="AF165" s="4"/>
      <c r="AG165" s="4"/>
      <c r="AH165" s="4"/>
      <c r="AI165" s="4"/>
      <c r="AJ165" s="4"/>
      <c r="AK165" s="4"/>
      <c r="AL165" s="4"/>
      <c r="AM165" s="4"/>
      <c r="AN165" s="4"/>
      <c r="AO165" s="4"/>
      <c r="AP165" s="4"/>
      <c r="AQ165" s="4"/>
      <c r="AR165" s="4"/>
      <c r="AS165" s="4"/>
      <c r="AT165" s="4"/>
    </row>
    <row r="166" spans="1:46" x14ac:dyDescent="0.2">
      <c r="A166" s="4"/>
      <c r="Y166" s="4"/>
      <c r="Z166" s="4"/>
      <c r="AA166" s="4"/>
      <c r="AB166" s="4"/>
      <c r="AC166" s="4"/>
      <c r="AD166" s="4"/>
      <c r="AE166" s="4"/>
      <c r="AF166" s="4"/>
      <c r="AG166" s="4"/>
      <c r="AH166" s="4"/>
      <c r="AI166" s="4"/>
      <c r="AJ166" s="4"/>
      <c r="AK166" s="4"/>
      <c r="AL166" s="4"/>
      <c r="AM166" s="4"/>
      <c r="AN166" s="4"/>
      <c r="AO166" s="4"/>
      <c r="AP166" s="4"/>
      <c r="AQ166" s="4"/>
      <c r="AR166" s="4"/>
      <c r="AS166" s="4"/>
      <c r="AT166" s="4"/>
    </row>
    <row r="167" spans="1:46" x14ac:dyDescent="0.2">
      <c r="A167" s="4"/>
      <c r="Y167" s="4"/>
      <c r="Z167" s="4"/>
      <c r="AA167" s="4"/>
      <c r="AB167" s="4"/>
      <c r="AC167" s="4"/>
      <c r="AD167" s="4"/>
      <c r="AE167" s="4"/>
      <c r="AF167" s="4"/>
      <c r="AG167" s="4"/>
      <c r="AH167" s="4"/>
      <c r="AI167" s="4"/>
      <c r="AJ167" s="4"/>
      <c r="AK167" s="4"/>
      <c r="AL167" s="4"/>
      <c r="AM167" s="4"/>
      <c r="AN167" s="4"/>
      <c r="AO167" s="4"/>
      <c r="AP167" s="4"/>
      <c r="AQ167" s="4"/>
      <c r="AR167" s="4"/>
      <c r="AS167" s="4"/>
      <c r="AT167" s="4"/>
    </row>
    <row r="168" spans="1:46" x14ac:dyDescent="0.2">
      <c r="A168" s="4"/>
      <c r="Y168" s="4"/>
      <c r="Z168" s="4"/>
      <c r="AA168" s="4"/>
      <c r="AB168" s="4"/>
      <c r="AC168" s="4"/>
      <c r="AD168" s="4"/>
      <c r="AE168" s="4"/>
      <c r="AF168" s="4"/>
      <c r="AG168" s="4"/>
      <c r="AH168" s="4"/>
      <c r="AI168" s="4"/>
      <c r="AJ168" s="4"/>
      <c r="AK168" s="4"/>
      <c r="AL168" s="4"/>
      <c r="AM168" s="4"/>
      <c r="AN168" s="4"/>
      <c r="AO168" s="4"/>
      <c r="AP168" s="4"/>
      <c r="AQ168" s="4"/>
      <c r="AR168" s="4"/>
      <c r="AS168" s="4"/>
      <c r="AT168" s="4"/>
    </row>
    <row r="169" spans="1:46" x14ac:dyDescent="0.2">
      <c r="A169" s="4"/>
      <c r="Y169" s="4"/>
      <c r="Z169" s="4"/>
      <c r="AA169" s="4"/>
      <c r="AB169" s="4"/>
      <c r="AC169" s="4"/>
      <c r="AD169" s="4"/>
      <c r="AE169" s="4"/>
      <c r="AF169" s="4"/>
      <c r="AG169" s="4"/>
      <c r="AH169" s="4"/>
      <c r="AI169" s="4"/>
      <c r="AJ169" s="4"/>
      <c r="AK169" s="4"/>
      <c r="AL169" s="4"/>
      <c r="AM169" s="4"/>
      <c r="AN169" s="4"/>
      <c r="AO169" s="4"/>
      <c r="AP169" s="4"/>
      <c r="AQ169" s="4"/>
      <c r="AR169" s="4"/>
      <c r="AS169" s="4"/>
      <c r="AT169" s="4"/>
    </row>
    <row r="170" spans="1:46" x14ac:dyDescent="0.2">
      <c r="A170" s="4"/>
      <c r="Y170" s="4"/>
      <c r="Z170" s="4"/>
      <c r="AA170" s="4"/>
      <c r="AB170" s="4"/>
      <c r="AC170" s="4"/>
      <c r="AD170" s="4"/>
      <c r="AE170" s="4"/>
      <c r="AF170" s="4"/>
      <c r="AG170" s="4"/>
      <c r="AH170" s="4"/>
      <c r="AI170" s="4"/>
      <c r="AJ170" s="4"/>
      <c r="AK170" s="4"/>
      <c r="AL170" s="4"/>
      <c r="AM170" s="4"/>
      <c r="AN170" s="4"/>
      <c r="AO170" s="4"/>
      <c r="AP170" s="4"/>
      <c r="AQ170" s="4"/>
      <c r="AR170" s="4"/>
      <c r="AS170" s="4"/>
      <c r="AT170" s="4"/>
    </row>
    <row r="171" spans="1:46" x14ac:dyDescent="0.2">
      <c r="A171" s="4"/>
      <c r="Y171" s="4"/>
      <c r="Z171" s="4"/>
      <c r="AA171" s="4"/>
      <c r="AB171" s="4"/>
      <c r="AC171" s="4"/>
      <c r="AD171" s="4"/>
      <c r="AE171" s="4"/>
      <c r="AF171" s="4"/>
      <c r="AG171" s="4"/>
      <c r="AH171" s="4"/>
      <c r="AI171" s="4"/>
      <c r="AJ171" s="4"/>
      <c r="AK171" s="4"/>
      <c r="AL171" s="4"/>
      <c r="AM171" s="4"/>
      <c r="AN171" s="4"/>
      <c r="AO171" s="4"/>
      <c r="AP171" s="4"/>
      <c r="AQ171" s="4"/>
      <c r="AR171" s="4"/>
      <c r="AS171" s="4"/>
      <c r="AT171" s="4"/>
    </row>
    <row r="172" spans="1:46" x14ac:dyDescent="0.2">
      <c r="A172" s="4"/>
      <c r="Y172" s="4"/>
      <c r="Z172" s="4"/>
      <c r="AA172" s="4"/>
      <c r="AB172" s="4"/>
      <c r="AC172" s="4"/>
      <c r="AD172" s="4"/>
      <c r="AE172" s="4"/>
      <c r="AF172" s="4"/>
      <c r="AG172" s="4"/>
      <c r="AH172" s="4"/>
      <c r="AI172" s="4"/>
      <c r="AJ172" s="4"/>
      <c r="AK172" s="4"/>
      <c r="AL172" s="4"/>
      <c r="AM172" s="4"/>
      <c r="AN172" s="4"/>
      <c r="AO172" s="4"/>
      <c r="AP172" s="4"/>
      <c r="AQ172" s="4"/>
      <c r="AR172" s="4"/>
      <c r="AS172" s="4"/>
      <c r="AT172" s="4"/>
    </row>
    <row r="173" spans="1:46" x14ac:dyDescent="0.2">
      <c r="A173" s="4"/>
      <c r="Y173" s="4"/>
      <c r="Z173" s="4"/>
      <c r="AA173" s="4"/>
      <c r="AB173" s="4"/>
      <c r="AC173" s="4"/>
      <c r="AD173" s="4"/>
      <c r="AE173" s="4"/>
      <c r="AF173" s="4"/>
      <c r="AG173" s="4"/>
      <c r="AH173" s="4"/>
      <c r="AI173" s="4"/>
      <c r="AJ173" s="4"/>
      <c r="AK173" s="4"/>
      <c r="AL173" s="4"/>
      <c r="AM173" s="4"/>
      <c r="AN173" s="4"/>
      <c r="AO173" s="4"/>
      <c r="AP173" s="4"/>
      <c r="AQ173" s="4"/>
      <c r="AR173" s="4"/>
      <c r="AS173" s="4"/>
      <c r="AT173" s="4"/>
    </row>
    <row r="174" spans="1:46" x14ac:dyDescent="0.2">
      <c r="A174" s="4"/>
      <c r="Y174" s="4"/>
      <c r="Z174" s="4"/>
      <c r="AA174" s="4"/>
      <c r="AB174" s="4"/>
      <c r="AC174" s="4"/>
      <c r="AD174" s="4"/>
      <c r="AE174" s="4"/>
      <c r="AF174" s="4"/>
      <c r="AG174" s="4"/>
      <c r="AH174" s="4"/>
      <c r="AI174" s="4"/>
      <c r="AJ174" s="4"/>
      <c r="AK174" s="4"/>
      <c r="AL174" s="4"/>
      <c r="AM174" s="4"/>
      <c r="AN174" s="4"/>
      <c r="AO174" s="4"/>
      <c r="AP174" s="4"/>
      <c r="AQ174" s="4"/>
      <c r="AR174" s="4"/>
      <c r="AS174" s="4"/>
      <c r="AT174" s="4"/>
    </row>
    <row r="175" spans="1:46" x14ac:dyDescent="0.2">
      <c r="A175" s="4"/>
      <c r="Y175" s="4"/>
      <c r="Z175" s="4"/>
      <c r="AA175" s="4"/>
      <c r="AB175" s="4"/>
      <c r="AC175" s="4"/>
      <c r="AD175" s="4"/>
      <c r="AE175" s="4"/>
      <c r="AF175" s="4"/>
      <c r="AG175" s="4"/>
      <c r="AH175" s="4"/>
      <c r="AI175" s="4"/>
      <c r="AJ175" s="4"/>
      <c r="AK175" s="4"/>
      <c r="AL175" s="4"/>
      <c r="AM175" s="4"/>
      <c r="AN175" s="4"/>
      <c r="AO175" s="4"/>
      <c r="AP175" s="4"/>
      <c r="AQ175" s="4"/>
      <c r="AR175" s="4"/>
      <c r="AS175" s="4"/>
      <c r="AT175" s="4"/>
    </row>
    <row r="176" spans="1:46" x14ac:dyDescent="0.2">
      <c r="A176" s="4"/>
      <c r="Y176" s="4"/>
      <c r="Z176" s="4"/>
      <c r="AA176" s="4"/>
      <c r="AB176" s="4"/>
      <c r="AC176" s="4"/>
      <c r="AD176" s="4"/>
      <c r="AE176" s="4"/>
      <c r="AF176" s="4"/>
      <c r="AG176" s="4"/>
      <c r="AH176" s="4"/>
      <c r="AI176" s="4"/>
      <c r="AJ176" s="4"/>
      <c r="AK176" s="4"/>
      <c r="AL176" s="4"/>
      <c r="AM176" s="4"/>
      <c r="AN176" s="4"/>
      <c r="AO176" s="4"/>
      <c r="AP176" s="4"/>
      <c r="AQ176" s="4"/>
      <c r="AR176" s="4"/>
      <c r="AS176" s="4"/>
      <c r="AT176" s="4"/>
    </row>
    <row r="177" spans="1:46" x14ac:dyDescent="0.2">
      <c r="A177" s="4"/>
      <c r="Y177" s="4"/>
      <c r="Z177" s="4"/>
      <c r="AA177" s="4"/>
      <c r="AB177" s="4"/>
      <c r="AC177" s="4"/>
      <c r="AD177" s="4"/>
      <c r="AE177" s="4"/>
      <c r="AF177" s="4"/>
      <c r="AG177" s="4"/>
      <c r="AH177" s="4"/>
      <c r="AI177" s="4"/>
      <c r="AJ177" s="4"/>
      <c r="AK177" s="4"/>
      <c r="AL177" s="4"/>
      <c r="AM177" s="4"/>
      <c r="AN177" s="4"/>
      <c r="AO177" s="4"/>
      <c r="AP177" s="4"/>
      <c r="AQ177" s="4"/>
      <c r="AR177" s="4"/>
      <c r="AS177" s="4"/>
      <c r="AT177" s="4"/>
    </row>
    <row r="178" spans="1:46" x14ac:dyDescent="0.2">
      <c r="A178" s="4"/>
      <c r="Y178" s="4"/>
      <c r="Z178" s="4"/>
      <c r="AA178" s="4"/>
      <c r="AB178" s="4"/>
      <c r="AC178" s="4"/>
      <c r="AD178" s="4"/>
      <c r="AE178" s="4"/>
      <c r="AF178" s="4"/>
      <c r="AG178" s="4"/>
      <c r="AH178" s="4"/>
      <c r="AI178" s="4"/>
      <c r="AJ178" s="4"/>
      <c r="AK178" s="4"/>
      <c r="AL178" s="4"/>
      <c r="AM178" s="4"/>
      <c r="AN178" s="4"/>
      <c r="AO178" s="4"/>
      <c r="AP178" s="4"/>
      <c r="AQ178" s="4"/>
      <c r="AR178" s="4"/>
      <c r="AS178" s="4"/>
      <c r="AT178" s="4"/>
    </row>
    <row r="179" spans="1:46" x14ac:dyDescent="0.2">
      <c r="A179" s="4"/>
      <c r="Y179" s="4"/>
      <c r="Z179" s="4"/>
      <c r="AA179" s="4"/>
      <c r="AB179" s="4"/>
      <c r="AC179" s="4"/>
      <c r="AD179" s="4"/>
      <c r="AE179" s="4"/>
      <c r="AF179" s="4"/>
      <c r="AG179" s="4"/>
      <c r="AH179" s="4"/>
      <c r="AI179" s="4"/>
      <c r="AJ179" s="4"/>
      <c r="AK179" s="4"/>
      <c r="AL179" s="4"/>
      <c r="AM179" s="4"/>
      <c r="AN179" s="4"/>
      <c r="AO179" s="4"/>
      <c r="AP179" s="4"/>
      <c r="AQ179" s="4"/>
      <c r="AR179" s="4"/>
      <c r="AS179" s="4"/>
      <c r="AT179" s="4"/>
    </row>
    <row r="180" spans="1:46" x14ac:dyDescent="0.2">
      <c r="A180" s="4"/>
      <c r="Y180" s="4"/>
      <c r="Z180" s="4"/>
      <c r="AA180" s="4"/>
      <c r="AB180" s="4"/>
      <c r="AC180" s="4"/>
      <c r="AD180" s="4"/>
      <c r="AE180" s="4"/>
      <c r="AF180" s="4"/>
      <c r="AG180" s="4"/>
      <c r="AH180" s="4"/>
      <c r="AI180" s="4"/>
      <c r="AJ180" s="4"/>
      <c r="AK180" s="4"/>
      <c r="AL180" s="4"/>
      <c r="AM180" s="4"/>
      <c r="AN180" s="4"/>
      <c r="AO180" s="4"/>
      <c r="AP180" s="4"/>
      <c r="AQ180" s="4"/>
      <c r="AR180" s="4"/>
      <c r="AS180" s="4"/>
      <c r="AT180" s="4"/>
    </row>
  </sheetData>
  <sheetProtection algorithmName="SHA-512" hashValue="+ZehR9+xLRZ6RH2WJgk/+QYj1Umr4JBAOR6G2OR9xceH6Sz8V3i5CPM00pXEKrqc0OkIZRV/08K0O6ubabPZBQ==" saltValue="vELb+XL3WYtZ0rDG8SjSzg==" spinCount="100000" sheet="1" selectLockedCells="1"/>
  <mergeCells count="3">
    <mergeCell ref="M3:Q3"/>
    <mergeCell ref="J3:L3"/>
    <mergeCell ref="B1:U1"/>
  </mergeCells>
  <phoneticPr fontId="11" type="noConversion"/>
  <conditionalFormatting sqref="F5:Q24">
    <cfRule type="expression" dxfId="109" priority="1">
      <formula>$E5=""</formula>
    </cfRule>
  </conditionalFormatting>
  <dataValidations count="3">
    <dataValidation type="list" allowBlank="1" showInputMessage="1" showErrorMessage="1" sqref="F5:F24" xr:uid="{EF88264F-637E-4F81-AD57-AC11AB2797D9}">
      <formula1>List_Custom_Type</formula1>
    </dataValidation>
    <dataValidation type="list" allowBlank="1" showInputMessage="1" showErrorMessage="1" sqref="G5:G24" xr:uid="{C16ECBD4-BA48-4E83-8B6C-47D2AF7AC03D}">
      <formula1>List_Custom_Class</formula1>
    </dataValidation>
    <dataValidation type="list" allowBlank="1" showInputMessage="1" showErrorMessage="1" sqref="I5:I24" xr:uid="{B51D72EA-574A-452F-9CC7-E65AB35BADF4}">
      <formula1>List_Custom_HVAC</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8F2B1-05F7-435A-A75E-B1B4A700E1E1}">
  <sheetPr codeName="Sheet3">
    <tabColor theme="2"/>
  </sheetPr>
  <dimension ref="B1:G42"/>
  <sheetViews>
    <sheetView showGridLines="0" showRowColHeaders="0" workbookViewId="0">
      <selection activeCell="C11" sqref="C11"/>
    </sheetView>
  </sheetViews>
  <sheetFormatPr defaultRowHeight="12.75" x14ac:dyDescent="0.2"/>
  <cols>
    <col min="1" max="1" width="1.7109375" customWidth="1"/>
    <col min="2" max="2" width="29.28515625" customWidth="1"/>
    <col min="3" max="7" width="17.85546875" customWidth="1"/>
    <col min="8" max="8" width="14.7109375" customWidth="1"/>
  </cols>
  <sheetData>
    <row r="1" spans="2:7" ht="21" customHeight="1" x14ac:dyDescent="0.2">
      <c r="B1" s="293" t="s">
        <v>149</v>
      </c>
      <c r="C1" s="293"/>
      <c r="D1" s="293"/>
      <c r="E1" s="293"/>
      <c r="F1" s="67"/>
      <c r="G1" s="67"/>
    </row>
    <row r="2" spans="2:7" ht="12.75" customHeight="1" x14ac:dyDescent="0.2"/>
    <row r="3" spans="2:7" ht="12.75" customHeight="1" x14ac:dyDescent="0.2"/>
    <row r="4" spans="2:7" ht="12.75" customHeight="1" x14ac:dyDescent="0.2"/>
    <row r="7" spans="2:7" ht="12.75" customHeight="1" x14ac:dyDescent="0.2">
      <c r="B7" s="324" t="s">
        <v>568</v>
      </c>
      <c r="C7" s="324"/>
      <c r="D7" s="324"/>
      <c r="E7" s="324"/>
      <c r="F7" s="324"/>
      <c r="G7" s="324"/>
    </row>
    <row r="8" spans="2:7" x14ac:dyDescent="0.2">
      <c r="B8" s="324"/>
      <c r="C8" s="324"/>
      <c r="D8" s="324"/>
      <c r="E8" s="324"/>
      <c r="F8" s="324"/>
      <c r="G8" s="324"/>
    </row>
    <row r="10" spans="2:7" ht="28.5" customHeight="1" x14ac:dyDescent="0.2">
      <c r="B10" s="323" t="s">
        <v>150</v>
      </c>
      <c r="C10" s="54" t="s">
        <v>151</v>
      </c>
      <c r="D10" s="54" t="s">
        <v>152</v>
      </c>
      <c r="E10" s="54" t="s">
        <v>153</v>
      </c>
      <c r="F10" s="54" t="s">
        <v>154</v>
      </c>
    </row>
    <row r="11" spans="2:7" ht="28.5" customHeight="1" x14ac:dyDescent="0.2">
      <c r="B11" s="323"/>
      <c r="C11" s="215">
        <f>Table15[[#Totals],[Gross Project Cost]]</f>
        <v>0</v>
      </c>
      <c r="D11" s="215" t="e">
        <f>Table15[[#Totals],[Estimated Incentive]]</f>
        <v>#DIV/0!</v>
      </c>
      <c r="E11" s="215" t="e">
        <f>Table15[[#Totals],[Net Project Cost]]</f>
        <v>#DIV/0!</v>
      </c>
      <c r="F11" s="216">
        <f>Table16[[#Totals],[Energy Savings (kWh)]]</f>
        <v>0</v>
      </c>
    </row>
    <row r="13" spans="2:7" ht="15.75" x14ac:dyDescent="0.25">
      <c r="B13" s="328" t="s">
        <v>155</v>
      </c>
      <c r="C13" s="329"/>
      <c r="D13" s="329"/>
      <c r="E13" s="329"/>
      <c r="F13" s="329"/>
    </row>
    <row r="14" spans="2:7" ht="12.75" customHeight="1" x14ac:dyDescent="0.2">
      <c r="B14" s="91" t="s">
        <v>62</v>
      </c>
      <c r="C14" s="330" t="str">
        <f>_xlfn.CONCAT('Fill in the Application'!C$5, ", ",'Fill in the Application'!$C$4, ", ",'Fill in the Application'!$C$10, ", ",'Fill in the Application'!$C$11)</f>
        <v xml:space="preserve">, , , </v>
      </c>
      <c r="D14" s="330"/>
      <c r="E14" s="330"/>
      <c r="F14" s="330"/>
    </row>
    <row r="15" spans="2:7" ht="25.5" customHeight="1" x14ac:dyDescent="0.2">
      <c r="B15" s="91" t="s">
        <v>156</v>
      </c>
      <c r="C15" s="330" t="str">
        <f>_xlfn.CONCAT('Fill in the Application'!$C$17, ", ",'Fill in the Application'!$C$16, ", ",'Fill in the Application'!$C$22, ", ",'Fill in the Application'!$C$23)</f>
        <v xml:space="preserve">, , , </v>
      </c>
      <c r="D15" s="330"/>
      <c r="E15" s="330"/>
      <c r="F15" s="330"/>
    </row>
    <row r="16" spans="2:7" ht="12.75" customHeight="1" x14ac:dyDescent="0.2">
      <c r="B16" s="91" t="s">
        <v>157</v>
      </c>
      <c r="C16" s="330" t="str">
        <f>_xlfn.CONCAT('Fill in the Application'!$C$27, ", ",'Fill in the Application'!$C$26, ", ",'Fill in the Application'!$C$32, ", ",'Fill in the Application'!$C$33)</f>
        <v xml:space="preserve">, , , </v>
      </c>
      <c r="D16" s="330"/>
      <c r="E16" s="330"/>
      <c r="F16" s="330"/>
    </row>
    <row r="18" spans="2:7" ht="15.75" x14ac:dyDescent="0.25">
      <c r="B18" s="326" t="s">
        <v>158</v>
      </c>
      <c r="C18" s="327"/>
      <c r="D18" s="327"/>
    </row>
    <row r="19" spans="2:7" x14ac:dyDescent="0.2">
      <c r="B19" s="54" t="s">
        <v>159</v>
      </c>
      <c r="C19" s="54" t="s">
        <v>90</v>
      </c>
      <c r="D19" s="54" t="s">
        <v>160</v>
      </c>
    </row>
    <row r="20" spans="2:7" x14ac:dyDescent="0.2">
      <c r="B20" s="83" t="str">
        <f>Caps!B3</f>
        <v>Prescriptive HVAC</v>
      </c>
      <c r="C20" s="216">
        <f>Caps!D3</f>
        <v>0</v>
      </c>
      <c r="D20" s="217">
        <f>Caps!E3</f>
        <v>0</v>
      </c>
    </row>
    <row r="21" spans="2:7" x14ac:dyDescent="0.2">
      <c r="B21" s="83" t="str">
        <f>Caps!B4</f>
        <v>Prescriptive Refrigeration</v>
      </c>
      <c r="C21" s="216">
        <f>Caps!D4</f>
        <v>0</v>
      </c>
      <c r="D21" s="217">
        <f>Caps!E4</f>
        <v>0</v>
      </c>
    </row>
    <row r="22" spans="2:7" x14ac:dyDescent="0.2">
      <c r="B22" s="83" t="str">
        <f>Caps!B5</f>
        <v>Prescriptive Commercial Kitchen</v>
      </c>
      <c r="C22" s="216">
        <f>Caps!D5</f>
        <v>0</v>
      </c>
      <c r="D22" s="217">
        <f>Caps!E5</f>
        <v>0</v>
      </c>
    </row>
    <row r="23" spans="2:7" x14ac:dyDescent="0.2">
      <c r="B23" s="83" t="str">
        <f>Caps!B6</f>
        <v>Prescriptive Window Film</v>
      </c>
      <c r="C23" s="216">
        <f>Caps!D6</f>
        <v>0</v>
      </c>
      <c r="D23" s="217">
        <f>Caps!E6</f>
        <v>0</v>
      </c>
    </row>
    <row r="24" spans="2:7" x14ac:dyDescent="0.2">
      <c r="B24" s="83" t="str">
        <f>Caps!B7</f>
        <v>Prescriptive Efficient Windows</v>
      </c>
      <c r="C24" s="216">
        <f>Caps!D7</f>
        <v>0</v>
      </c>
      <c r="D24" s="274">
        <f>Caps!E7</f>
        <v>0</v>
      </c>
    </row>
    <row r="25" spans="2:7" x14ac:dyDescent="0.2">
      <c r="B25" s="83" t="str">
        <f>Caps!B8</f>
        <v>Prescriptive Miscellaneous</v>
      </c>
      <c r="C25" s="216">
        <f>Caps!D8</f>
        <v>0</v>
      </c>
      <c r="D25" s="217">
        <f>Caps!E8</f>
        <v>0</v>
      </c>
    </row>
    <row r="26" spans="2:7" x14ac:dyDescent="0.2">
      <c r="B26" s="83" t="str">
        <f>Caps!B9</f>
        <v>Custom</v>
      </c>
      <c r="C26" s="216">
        <f>Caps!D9</f>
        <v>0</v>
      </c>
      <c r="D26" s="217">
        <f>Caps!E9</f>
        <v>0</v>
      </c>
    </row>
    <row r="27" spans="2:7" x14ac:dyDescent="0.2">
      <c r="B27" s="84" t="s">
        <v>161</v>
      </c>
      <c r="C27" s="218">
        <f>SUBTOTAL(109,Table16[Energy Savings (kWh)])</f>
        <v>0</v>
      </c>
      <c r="D27" s="219">
        <f>SUBTOTAL(109,Table16[kW Reduction])</f>
        <v>0</v>
      </c>
    </row>
    <row r="29" spans="2:7" ht="15.75" x14ac:dyDescent="0.25">
      <c r="B29" s="325" t="s">
        <v>162</v>
      </c>
      <c r="C29" s="325"/>
      <c r="D29" s="325"/>
      <c r="E29" s="325"/>
      <c r="F29" s="325"/>
      <c r="G29" s="325"/>
    </row>
    <row r="30" spans="2:7" ht="25.5" x14ac:dyDescent="0.2">
      <c r="B30" s="54" t="s">
        <v>159</v>
      </c>
      <c r="C30" s="54" t="s">
        <v>92</v>
      </c>
      <c r="D30" s="54" t="s">
        <v>163</v>
      </c>
      <c r="E30" s="54" t="s">
        <v>89</v>
      </c>
      <c r="F30" s="54" t="s">
        <v>153</v>
      </c>
      <c r="G30" s="54" t="s">
        <v>95</v>
      </c>
    </row>
    <row r="31" spans="2:7" x14ac:dyDescent="0.2">
      <c r="B31" s="83" t="str">
        <f>Caps!B3</f>
        <v>Prescriptive HVAC</v>
      </c>
      <c r="C31" s="220">
        <f>INDEX(Table_Measure_Caps[Cost Savings Total], MATCH(Table15[[#This Row],[Incentive Type]],Table_Measure_Caps[Measure Type], 0))</f>
        <v>0</v>
      </c>
      <c r="D31" s="220">
        <f>INDEX(Table_Measure_Caps[Gross Measure Cost Total], MATCH(Table15[[#This Row],[Incentive Type]],Table_Measure_Caps[Measure Type], 0))</f>
        <v>0</v>
      </c>
      <c r="E31" s="220" t="e">
        <f>Caps!J3</f>
        <v>#DIV/0!</v>
      </c>
      <c r="F31" s="220" t="e">
        <f>Table15[[#This Row],[Gross Project Cost]]-Table15[[#This Row],[Estimated Incentive]]</f>
        <v>#DIV/0!</v>
      </c>
      <c r="G31" s="221" t="str">
        <f>IFERROR(Table15[[#This Row],[Net Project Cost]]/Table15[[#This Row],[Cost Savings]],"")</f>
        <v/>
      </c>
    </row>
    <row r="32" spans="2:7" x14ac:dyDescent="0.2">
      <c r="B32" s="83" t="str">
        <f>Caps!B4</f>
        <v>Prescriptive Refrigeration</v>
      </c>
      <c r="C32" s="220">
        <f>INDEX(Table_Measure_Caps[Cost Savings Total], MATCH(Table15[[#This Row],[Incentive Type]],Table_Measure_Caps[Measure Type], 0))</f>
        <v>0</v>
      </c>
      <c r="D32" s="220">
        <f>INDEX(Table_Measure_Caps[Gross Measure Cost Total], MATCH(Table15[[#This Row],[Incentive Type]],Table_Measure_Caps[Measure Type], 0))</f>
        <v>0</v>
      </c>
      <c r="E32" s="220" t="e">
        <f>Caps!J4</f>
        <v>#DIV/0!</v>
      </c>
      <c r="F32" s="220" t="e">
        <f>Table15[[#This Row],[Gross Project Cost]]-Table15[[#This Row],[Estimated Incentive]]</f>
        <v>#DIV/0!</v>
      </c>
      <c r="G32" s="221" t="str">
        <f>IFERROR(Table15[[#This Row],[Net Project Cost]]/Table15[[#This Row],[Cost Savings]],"")</f>
        <v/>
      </c>
    </row>
    <row r="33" spans="2:7" x14ac:dyDescent="0.2">
      <c r="B33" s="83" t="str">
        <f>Caps!B5</f>
        <v>Prescriptive Commercial Kitchen</v>
      </c>
      <c r="C33" s="220">
        <f>INDEX(Table_Measure_Caps[Cost Savings Total], MATCH(Table15[[#This Row],[Incentive Type]],Table_Measure_Caps[Measure Type], 0))</f>
        <v>0</v>
      </c>
      <c r="D33" s="220">
        <f>INDEX(Table_Measure_Caps[Gross Measure Cost Total], MATCH(Table15[[#This Row],[Incentive Type]],Table_Measure_Caps[Measure Type], 0))</f>
        <v>0</v>
      </c>
      <c r="E33" s="220" t="e">
        <f>Caps!J5</f>
        <v>#DIV/0!</v>
      </c>
      <c r="F33" s="220" t="e">
        <f>Table15[[#This Row],[Gross Project Cost]]-Table15[[#This Row],[Estimated Incentive]]</f>
        <v>#DIV/0!</v>
      </c>
      <c r="G33" s="221" t="str">
        <f>IFERROR(Table15[[#This Row],[Net Project Cost]]/Table15[[#This Row],[Cost Savings]],"")</f>
        <v/>
      </c>
    </row>
    <row r="34" spans="2:7" x14ac:dyDescent="0.2">
      <c r="B34" s="83" t="str">
        <f>Caps!B6</f>
        <v>Prescriptive Window Film</v>
      </c>
      <c r="C34" s="220">
        <f>INDEX(Table_Measure_Caps[Cost Savings Total], MATCH(Table15[[#This Row],[Incentive Type]],Table_Measure_Caps[Measure Type], 0))</f>
        <v>0</v>
      </c>
      <c r="D34" s="220">
        <f>INDEX(Table_Measure_Caps[Gross Measure Cost Total], MATCH(Table15[[#This Row],[Incentive Type]],Table_Measure_Caps[Measure Type], 0))</f>
        <v>0</v>
      </c>
      <c r="E34" s="220" t="e">
        <f>Caps!J6</f>
        <v>#DIV/0!</v>
      </c>
      <c r="F34" s="220" t="e">
        <f>Table15[[#This Row],[Gross Project Cost]]-Table15[[#This Row],[Estimated Incentive]]</f>
        <v>#DIV/0!</v>
      </c>
      <c r="G34" s="221" t="str">
        <f>IFERROR(Table15[[#This Row],[Net Project Cost]]/Table15[[#This Row],[Cost Savings]],"")</f>
        <v/>
      </c>
    </row>
    <row r="35" spans="2:7" x14ac:dyDescent="0.2">
      <c r="B35" s="83" t="str">
        <f>Caps!B7</f>
        <v>Prescriptive Efficient Windows</v>
      </c>
      <c r="C35" s="220">
        <f>INDEX(Table_Measure_Caps[Cost Savings Total], MATCH(Table15[[#This Row],[Incentive Type]],Table_Measure_Caps[Measure Type], 0))</f>
        <v>0</v>
      </c>
      <c r="D35" s="220">
        <f>INDEX(Table_Measure_Caps[Gross Measure Cost Total], MATCH(Table15[[#This Row],[Incentive Type]],Table_Measure_Caps[Measure Type], 0))</f>
        <v>0</v>
      </c>
      <c r="E35" s="220" t="e">
        <f>INDEX(Table_Measure_Caps[Capped Incentive], MATCH(Table15[[#This Row],[Incentive Type]], Table_Measure_Caps[Measure Type], 0))</f>
        <v>#DIV/0!</v>
      </c>
      <c r="F35" s="220" t="e">
        <f>Table15[[#This Row],[Gross Project Cost]]-Table15[[#This Row],[Estimated Incentive]]</f>
        <v>#DIV/0!</v>
      </c>
      <c r="G35" s="275" t="str">
        <f>IFERROR(Table15[[#This Row],[Net Project Cost]]/Table15[[#This Row],[Cost Savings]],"")</f>
        <v/>
      </c>
    </row>
    <row r="36" spans="2:7" x14ac:dyDescent="0.2">
      <c r="B36" s="83" t="str">
        <f>Caps!B8</f>
        <v>Prescriptive Miscellaneous</v>
      </c>
      <c r="C36" s="220">
        <f>INDEX(Table_Measure_Caps[Cost Savings Total], MATCH(Table15[[#This Row],[Incentive Type]],Table_Measure_Caps[Measure Type], 0))</f>
        <v>0</v>
      </c>
      <c r="D36" s="220">
        <f>INDEX(Table_Measure_Caps[Gross Measure Cost Total], MATCH(Table15[[#This Row],[Incentive Type]],Table_Measure_Caps[Measure Type], 0))</f>
        <v>0</v>
      </c>
      <c r="E36" s="220" t="e">
        <f>Caps!J8</f>
        <v>#DIV/0!</v>
      </c>
      <c r="F36" s="220" t="e">
        <f>Table15[[#This Row],[Gross Project Cost]]-Table15[[#This Row],[Estimated Incentive]]</f>
        <v>#DIV/0!</v>
      </c>
      <c r="G36" s="221" t="str">
        <f>IFERROR(Table15[[#This Row],[Net Project Cost]]/Table15[[#This Row],[Cost Savings]],"")</f>
        <v/>
      </c>
    </row>
    <row r="37" spans="2:7" x14ac:dyDescent="0.2">
      <c r="B37" s="83" t="str">
        <f>Caps!B9</f>
        <v>Custom</v>
      </c>
      <c r="C37" s="220">
        <f>INDEX(Table_Measure_Caps[Cost Savings Total], MATCH(Table15[[#This Row],[Incentive Type]],Table_Measure_Caps[Measure Type], 0))</f>
        <v>0</v>
      </c>
      <c r="D37" s="220">
        <f>INDEX(Table_Measure_Caps[Gross Measure Cost Total], MATCH(Table15[[#This Row],[Incentive Type]],Table_Measure_Caps[Measure Type], 0))</f>
        <v>0</v>
      </c>
      <c r="E37" s="220" t="e">
        <f>Caps!J9</f>
        <v>#DIV/0!</v>
      </c>
      <c r="F37" s="220" t="e">
        <f>Table15[[#This Row],[Gross Project Cost]]-Table15[[#This Row],[Estimated Incentive]]</f>
        <v>#DIV/0!</v>
      </c>
      <c r="G37" s="221" t="str">
        <f>IFERROR(Table15[[#This Row],[Net Project Cost]]/Table15[[#This Row],[Cost Savings]],"")</f>
        <v/>
      </c>
    </row>
    <row r="38" spans="2:7" ht="12.75" customHeight="1" x14ac:dyDescent="0.2">
      <c r="B38" s="222"/>
      <c r="C38" s="222"/>
      <c r="D38" s="222"/>
      <c r="E38" s="222"/>
      <c r="F38" s="222"/>
      <c r="G38" s="222"/>
    </row>
    <row r="39" spans="2:7" x14ac:dyDescent="0.2">
      <c r="B39" s="84" t="s">
        <v>161</v>
      </c>
      <c r="C39" s="223">
        <f>SUBTOTAL(109,Table15[Cost Savings])</f>
        <v>0</v>
      </c>
      <c r="D39" s="223">
        <f>SUBTOTAL(109,Table15[Gross Project Cost])</f>
        <v>0</v>
      </c>
      <c r="E39" s="223" t="e">
        <f>SUBTOTAL(109,Table15[Estimated Incentive])</f>
        <v>#DIV/0!</v>
      </c>
      <c r="F39" s="223" t="e">
        <f>SUBTOTAL(109,Table15[Net Project Cost])</f>
        <v>#DIV/0!</v>
      </c>
      <c r="G39" s="224" t="e">
        <f>Table15[[#Totals],[Net Project Cost]]/Table15[[#Totals],[Cost Savings]]</f>
        <v>#DIV/0!</v>
      </c>
    </row>
    <row r="41" spans="2:7" x14ac:dyDescent="0.2">
      <c r="B41" t="s">
        <v>11</v>
      </c>
    </row>
    <row r="42" spans="2:7" x14ac:dyDescent="0.2">
      <c r="B42" t="str">
        <f>Value_Application_Version</f>
        <v>Version 5.0</v>
      </c>
    </row>
  </sheetData>
  <sheetProtection algorithmName="SHA-512" hashValue="aExUN0VKwy6r+uS0u83InAt+sOOkx1SYy4MPEx59PkYn4ClA8Xgvt1q56E41qt/x04tUfffwNjQ3f05gMmkQRg==" saltValue="YGobr7+vJzTrlhmiuMXM/w==" spinCount="100000" sheet="1" objects="1" scenarios="1"/>
  <mergeCells count="9">
    <mergeCell ref="B10:B11"/>
    <mergeCell ref="B7:G8"/>
    <mergeCell ref="B29:G29"/>
    <mergeCell ref="B1:E1"/>
    <mergeCell ref="B18:D18"/>
    <mergeCell ref="B13:F13"/>
    <mergeCell ref="C14:F14"/>
    <mergeCell ref="C15:F15"/>
    <mergeCell ref="C16:F16"/>
  </mergeCells>
  <pageMargins left="0.25" right="0.25" top="0.75" bottom="0.75" header="0.3" footer="0.3"/>
  <pageSetup orientation="portrait" r:id="rId1"/>
  <ignoredErrors>
    <ignoredError sqref="C36:E37 C32:E34" calculatedColumn="1"/>
  </ignoredErrors>
  <drawing r:id="rId2"/>
  <legacyDrawing r:id="rId3"/>
  <tableParts count="2">
    <tablePart r:id="rId4"/>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E6B2A8-96D8-477A-8D12-8FE8C63DDC38}">
  <sheetPr>
    <tabColor rgb="FFFF0000"/>
  </sheetPr>
  <dimension ref="B1:G58"/>
  <sheetViews>
    <sheetView showGridLines="0" workbookViewId="0">
      <selection activeCell="B12" sqref="B12:B13"/>
    </sheetView>
  </sheetViews>
  <sheetFormatPr defaultRowHeight="12.75" x14ac:dyDescent="0.2"/>
  <cols>
    <col min="1" max="1" width="1.7109375" customWidth="1"/>
    <col min="2" max="2" width="18.85546875" customWidth="1"/>
    <col min="3" max="7" width="17.85546875" customWidth="1"/>
    <col min="8" max="8" width="14.7109375" customWidth="1"/>
  </cols>
  <sheetData>
    <row r="1" spans="2:7" ht="21" customHeight="1" x14ac:dyDescent="0.2">
      <c r="B1" s="293" t="s">
        <v>170</v>
      </c>
      <c r="C1" s="293"/>
      <c r="D1" s="293"/>
      <c r="E1" s="293"/>
      <c r="F1" s="67"/>
      <c r="G1" s="67"/>
    </row>
    <row r="2" spans="2:7" ht="12.75" customHeight="1" x14ac:dyDescent="0.2"/>
    <row r="3" spans="2:7" ht="12.75" customHeight="1" x14ac:dyDescent="0.2"/>
    <row r="4" spans="2:7" ht="12.75" customHeight="1" x14ac:dyDescent="0.2"/>
    <row r="5" spans="2:7" ht="12.75" customHeight="1" x14ac:dyDescent="0.2"/>
    <row r="6" spans="2:7" ht="12.75" customHeight="1" x14ac:dyDescent="0.2"/>
    <row r="7" spans="2:7" x14ac:dyDescent="0.2">
      <c r="B7" s="331" t="s">
        <v>171</v>
      </c>
      <c r="C7" s="331"/>
      <c r="D7" s="331"/>
      <c r="E7" s="331"/>
      <c r="F7" s="331"/>
      <c r="G7" s="331"/>
    </row>
    <row r="8" spans="2:7" x14ac:dyDescent="0.2">
      <c r="B8" s="331"/>
      <c r="C8" s="331"/>
      <c r="D8" s="331"/>
      <c r="E8" s="331"/>
      <c r="F8" s="331"/>
      <c r="G8" s="331"/>
    </row>
    <row r="9" spans="2:7" x14ac:dyDescent="0.2">
      <c r="B9" s="55"/>
      <c r="C9" s="55"/>
      <c r="D9" s="55"/>
      <c r="E9" s="55"/>
      <c r="F9" s="55"/>
      <c r="G9" s="55"/>
    </row>
    <row r="10" spans="2:7" ht="26.25" customHeight="1" x14ac:dyDescent="0.2">
      <c r="B10" s="333" t="s">
        <v>172</v>
      </c>
      <c r="C10" s="333"/>
      <c r="D10" s="333"/>
      <c r="E10" s="333"/>
      <c r="F10" s="333"/>
      <c r="G10" s="333"/>
    </row>
    <row r="12" spans="2:7" ht="28.5" customHeight="1" x14ac:dyDescent="0.2">
      <c r="B12" s="323" t="s">
        <v>150</v>
      </c>
      <c r="C12" s="54" t="s">
        <v>151</v>
      </c>
      <c r="D12" s="54" t="s">
        <v>152</v>
      </c>
      <c r="E12" s="54" t="s">
        <v>153</v>
      </c>
      <c r="F12" s="54" t="s">
        <v>154</v>
      </c>
    </row>
    <row r="13" spans="2:7" ht="19.5" customHeight="1" x14ac:dyDescent="0.2">
      <c r="B13" s="323"/>
      <c r="C13" s="215">
        <f>Gross_Proj_Cost</f>
        <v>0</v>
      </c>
      <c r="D13" s="215" t="e">
        <f>Total_Incentive</f>
        <v>#DIV/0!</v>
      </c>
      <c r="E13" s="215" t="e">
        <f>Net_Project_Cost</f>
        <v>#DIV/0!</v>
      </c>
      <c r="F13" s="216">
        <f>Project_Energy_Savings</f>
        <v>0</v>
      </c>
    </row>
    <row r="15" spans="2:7" ht="15.75" x14ac:dyDescent="0.25">
      <c r="B15" s="332" t="str">
        <f>'Fill in the Application'!B3</f>
        <v>Entergy New Orleans Customer Information</v>
      </c>
      <c r="C15" s="332"/>
      <c r="D15" s="332"/>
      <c r="E15" s="332"/>
      <c r="F15" s="332"/>
    </row>
    <row r="16" spans="2:7" x14ac:dyDescent="0.2">
      <c r="B16" s="334" t="s">
        <v>14</v>
      </c>
      <c r="C16" s="334"/>
      <c r="D16" s="330">
        <f>'Fill in the Application'!C4</f>
        <v>0</v>
      </c>
      <c r="E16" s="330"/>
      <c r="F16" s="330"/>
    </row>
    <row r="17" spans="2:6" x14ac:dyDescent="0.2">
      <c r="B17" s="334" t="s">
        <v>16</v>
      </c>
      <c r="C17" s="334"/>
      <c r="D17" s="330">
        <f>'Fill in the Application'!C5</f>
        <v>0</v>
      </c>
      <c r="E17" s="330"/>
      <c r="F17" s="330"/>
    </row>
    <row r="18" spans="2:6" ht="12.75" customHeight="1" x14ac:dyDescent="0.2">
      <c r="B18" s="334" t="s">
        <v>40</v>
      </c>
      <c r="C18" s="334"/>
      <c r="D18" s="330" t="str">
        <f>_xlfn.CONCAT('Fill in the Application'!C6,", ",'Fill in the Application'!C7,", ",'Fill in the Application'!C8,", ",'Fill in the Application'!C9)</f>
        <v xml:space="preserve">, , , </v>
      </c>
      <c r="E18" s="330"/>
      <c r="F18" s="330"/>
    </row>
    <row r="19" spans="2:6" x14ac:dyDescent="0.2">
      <c r="B19" s="334" t="s">
        <v>29</v>
      </c>
      <c r="C19" s="334"/>
      <c r="D19" s="330">
        <f>'Fill in the Application'!C12</f>
        <v>0</v>
      </c>
      <c r="E19" s="330"/>
      <c r="F19" s="330"/>
    </row>
    <row r="21" spans="2:6" ht="15.75" customHeight="1" x14ac:dyDescent="0.2">
      <c r="B21" s="295" t="s">
        <v>35</v>
      </c>
      <c r="C21" s="295"/>
      <c r="D21" s="295"/>
      <c r="E21" s="295"/>
      <c r="F21" s="295"/>
    </row>
    <row r="22" spans="2:6" x14ac:dyDescent="0.2">
      <c r="B22" s="334" t="s">
        <v>37</v>
      </c>
      <c r="C22" s="334"/>
      <c r="D22" s="330">
        <f>'Fill in the Application'!C16</f>
        <v>0</v>
      </c>
      <c r="E22" s="330"/>
      <c r="F22" s="330"/>
    </row>
    <row r="23" spans="2:6" x14ac:dyDescent="0.2">
      <c r="B23" s="334" t="s">
        <v>39</v>
      </c>
      <c r="C23" s="334"/>
      <c r="D23" s="330">
        <f>'Fill in the Application'!C17</f>
        <v>0</v>
      </c>
      <c r="E23" s="330"/>
      <c r="F23" s="330"/>
    </row>
    <row r="24" spans="2:6" ht="12.75" customHeight="1" x14ac:dyDescent="0.2">
      <c r="B24" s="334" t="s">
        <v>40</v>
      </c>
      <c r="C24" s="334"/>
      <c r="D24" s="330" t="str">
        <f>_xlfn.CONCAT('Fill in the Application'!C18,", ",'Fill in the Application'!C19,", ",'Fill in the Application'!C20,", ",'Fill in the Application'!C21)</f>
        <v xml:space="preserve">, , , </v>
      </c>
      <c r="E24" s="330"/>
      <c r="F24" s="330"/>
    </row>
    <row r="25" spans="2:6" x14ac:dyDescent="0.2">
      <c r="B25" s="334" t="s">
        <v>46</v>
      </c>
      <c r="C25" s="334"/>
      <c r="D25" s="330">
        <f>'Fill in the Application'!C24</f>
        <v>0</v>
      </c>
      <c r="E25" s="330"/>
      <c r="F25" s="330"/>
    </row>
    <row r="27" spans="2:6" ht="15.75" customHeight="1" x14ac:dyDescent="0.2">
      <c r="B27" s="295" t="s">
        <v>60</v>
      </c>
      <c r="C27" s="295"/>
      <c r="D27" s="295"/>
      <c r="E27" s="295"/>
      <c r="F27" s="295"/>
    </row>
    <row r="28" spans="2:6" x14ac:dyDescent="0.2">
      <c r="B28" s="334" t="s">
        <v>173</v>
      </c>
      <c r="C28" s="334"/>
      <c r="D28" s="330">
        <f>'Fill in the Application'!F32</f>
        <v>0</v>
      </c>
      <c r="E28" s="330"/>
      <c r="F28" s="330"/>
    </row>
    <row r="29" spans="2:6" x14ac:dyDescent="0.2">
      <c r="B29" s="334" t="s">
        <v>174</v>
      </c>
      <c r="C29" s="334"/>
      <c r="D29" s="330">
        <f>'Fill in the Application'!F33</f>
        <v>0</v>
      </c>
      <c r="E29" s="330"/>
      <c r="F29" s="330"/>
    </row>
    <row r="30" spans="2:6" x14ac:dyDescent="0.2">
      <c r="B30" s="334" t="s">
        <v>40</v>
      </c>
      <c r="C30" s="334"/>
      <c r="D30" s="330" t="str">
        <f>IF(D28="Customer",D18,IF(D28="Trade Ally/Contractor",D24,IF(D28="Additional Contact",_xlfn.CONCAT('Fill in the Application'!C28,", ",'Fill in the Application'!C29,", ",'Fill in the Application'!C30,", ",'Fill in the Application'!C31),IF(D28="Job Site",_xlfn.CONCAT('Fill in the Application'!F16,", ",'Fill in the Application'!F17,", ",'Fill in the Application'!F18,", ",'Fill in the Application'!F19),""))))</f>
        <v/>
      </c>
      <c r="E30" s="330"/>
      <c r="F30" s="330"/>
    </row>
    <row r="31" spans="2:6" x14ac:dyDescent="0.2">
      <c r="B31" s="334" t="s">
        <v>65</v>
      </c>
      <c r="C31" s="334"/>
      <c r="D31" s="330">
        <f>'Fill in the Application'!F34</f>
        <v>0</v>
      </c>
      <c r="E31" s="330"/>
      <c r="F31" s="330"/>
    </row>
    <row r="32" spans="2:6" x14ac:dyDescent="0.2">
      <c r="B32" s="334" t="s">
        <v>67</v>
      </c>
      <c r="C32" s="334"/>
      <c r="D32" s="330">
        <f>'Fill in the Application'!F35</f>
        <v>0</v>
      </c>
      <c r="E32" s="330"/>
      <c r="F32" s="330"/>
    </row>
    <row r="33" spans="2:7" x14ac:dyDescent="0.2">
      <c r="B33" s="334" t="s">
        <v>69</v>
      </c>
      <c r="C33" s="334"/>
      <c r="D33" s="330">
        <f>'Fill in the Application'!F36</f>
        <v>0</v>
      </c>
      <c r="E33" s="330"/>
      <c r="F33" s="330"/>
    </row>
    <row r="35" spans="2:7" ht="12.75" customHeight="1" x14ac:dyDescent="0.2">
      <c r="B35" s="336" t="s">
        <v>175</v>
      </c>
      <c r="C35" s="336"/>
      <c r="D35" s="337"/>
    </row>
    <row r="36" spans="2:7" x14ac:dyDescent="0.2">
      <c r="B36" s="336"/>
      <c r="C36" s="336"/>
      <c r="D36" s="337"/>
    </row>
    <row r="38" spans="2:7" ht="11.25" customHeight="1" x14ac:dyDescent="0.2">
      <c r="B38" s="300" t="s">
        <v>176</v>
      </c>
      <c r="C38" s="300"/>
      <c r="D38" s="300"/>
      <c r="E38" s="300"/>
      <c r="F38" s="300"/>
      <c r="G38" s="300"/>
    </row>
    <row r="39" spans="2:7" x14ac:dyDescent="0.2">
      <c r="B39" s="300"/>
      <c r="C39" s="300"/>
      <c r="D39" s="300"/>
      <c r="E39" s="300"/>
      <c r="F39" s="300"/>
      <c r="G39" s="300"/>
    </row>
    <row r="40" spans="2:7" x14ac:dyDescent="0.2">
      <c r="B40" s="300"/>
      <c r="C40" s="300"/>
      <c r="D40" s="300"/>
      <c r="E40" s="300"/>
      <c r="F40" s="300"/>
      <c r="G40" s="300"/>
    </row>
    <row r="41" spans="2:7" x14ac:dyDescent="0.2">
      <c r="B41" s="300"/>
      <c r="C41" s="300"/>
      <c r="D41" s="300"/>
      <c r="E41" s="300"/>
      <c r="F41" s="300"/>
      <c r="G41" s="300"/>
    </row>
    <row r="42" spans="2:7" x14ac:dyDescent="0.2">
      <c r="B42" s="300"/>
      <c r="C42" s="300"/>
      <c r="D42" s="300"/>
      <c r="E42" s="300"/>
      <c r="F42" s="300"/>
      <c r="G42" s="300"/>
    </row>
    <row r="43" spans="2:7" x14ac:dyDescent="0.2">
      <c r="B43" s="74" t="s">
        <v>168</v>
      </c>
      <c r="C43" s="74"/>
      <c r="F43" s="74" t="s">
        <v>169</v>
      </c>
      <c r="G43" s="90"/>
    </row>
    <row r="44" spans="2:7" x14ac:dyDescent="0.2">
      <c r="B44" s="335"/>
      <c r="C44" s="335"/>
      <c r="D44" s="335"/>
      <c r="F44" s="50"/>
      <c r="G44" s="90"/>
    </row>
    <row r="45" spans="2:7" x14ac:dyDescent="0.2">
      <c r="B45" s="90"/>
      <c r="C45" s="90"/>
      <c r="D45" s="90"/>
      <c r="E45" s="90"/>
      <c r="F45" s="90"/>
      <c r="G45" s="90"/>
    </row>
    <row r="46" spans="2:7" x14ac:dyDescent="0.2">
      <c r="B46" t="s">
        <v>11</v>
      </c>
    </row>
    <row r="47" spans="2:7" x14ac:dyDescent="0.2">
      <c r="B47" t="str">
        <f>Value_Application_Version</f>
        <v>Version 5.0</v>
      </c>
    </row>
    <row r="49" spans="3:5" x14ac:dyDescent="0.2">
      <c r="C49" s="36"/>
    </row>
    <row r="51" spans="3:5" x14ac:dyDescent="0.2">
      <c r="C51" s="34"/>
    </row>
    <row r="54" spans="3:5" x14ac:dyDescent="0.2">
      <c r="D54" s="36"/>
      <c r="E54" s="36"/>
    </row>
    <row r="57" spans="3:5" x14ac:dyDescent="0.2">
      <c r="D57" s="36"/>
    </row>
    <row r="58" spans="3:5" x14ac:dyDescent="0.2">
      <c r="D58" s="36"/>
    </row>
  </sheetData>
  <mergeCells count="39">
    <mergeCell ref="B35:C36"/>
    <mergeCell ref="D35:D36"/>
    <mergeCell ref="D28:F28"/>
    <mergeCell ref="D30:F30"/>
    <mergeCell ref="D31:F31"/>
    <mergeCell ref="D32:F32"/>
    <mergeCell ref="D33:F33"/>
    <mergeCell ref="B29:C29"/>
    <mergeCell ref="B27:F27"/>
    <mergeCell ref="D29:F29"/>
    <mergeCell ref="B44:D44"/>
    <mergeCell ref="D16:F16"/>
    <mergeCell ref="D17:F17"/>
    <mergeCell ref="D18:F18"/>
    <mergeCell ref="D19:F19"/>
    <mergeCell ref="D22:F22"/>
    <mergeCell ref="D23:F23"/>
    <mergeCell ref="B31:C31"/>
    <mergeCell ref="B32:C32"/>
    <mergeCell ref="B33:C33"/>
    <mergeCell ref="B38:G42"/>
    <mergeCell ref="B28:C28"/>
    <mergeCell ref="B30:C30"/>
    <mergeCell ref="B25:C25"/>
    <mergeCell ref="B22:C22"/>
    <mergeCell ref="B23:C23"/>
    <mergeCell ref="B24:C24"/>
    <mergeCell ref="D24:F24"/>
    <mergeCell ref="D25:F25"/>
    <mergeCell ref="B21:F21"/>
    <mergeCell ref="B19:C19"/>
    <mergeCell ref="B16:C16"/>
    <mergeCell ref="B17:C17"/>
    <mergeCell ref="B18:C18"/>
    <mergeCell ref="B1:E1"/>
    <mergeCell ref="B7:G8"/>
    <mergeCell ref="B12:B13"/>
    <mergeCell ref="B15:F15"/>
    <mergeCell ref="B10:G10"/>
  </mergeCells>
  <pageMargins left="0.25" right="0.25"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1" id="{DE4C34D9-E893-4CDB-A55A-D9856690557F}">
            <xm:f>'Fill in the Application'!$F$11="Pre-Retrofit"</xm:f>
            <x14:dxf>
              <fill>
                <patternFill>
                  <bgColor theme="2"/>
                </patternFill>
              </fill>
            </x14:dxf>
          </x14:cfRule>
          <xm:sqref>D35:D36 B44:D44 F44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29C664-E8F0-4FE6-8393-91616EE9FA2E}">
  <sheetPr codeName="Sheet11">
    <tabColor rgb="FFFF0000"/>
  </sheetPr>
  <dimension ref="A1:AX251"/>
  <sheetViews>
    <sheetView zoomScale="90" zoomScaleNormal="90" workbookViewId="0">
      <selection activeCell="L14" sqref="L14"/>
    </sheetView>
  </sheetViews>
  <sheetFormatPr defaultRowHeight="12.75" x14ac:dyDescent="0.2"/>
  <cols>
    <col min="1" max="1" width="26.28515625" bestFit="1" customWidth="1"/>
    <col min="2" max="2" width="14.28515625" bestFit="1" customWidth="1"/>
    <col min="3" max="3" width="2.85546875" customWidth="1"/>
    <col min="5" max="5" width="16.85546875" bestFit="1" customWidth="1"/>
    <col min="6" max="6" width="10.7109375" customWidth="1"/>
    <col min="7" max="7" width="64" customWidth="1"/>
    <col min="8" max="9" width="11" customWidth="1"/>
    <col min="10" max="10" width="23.42578125" bestFit="1" customWidth="1"/>
    <col min="11" max="11" width="69.28515625" customWidth="1"/>
    <col min="12" max="12" width="20.28515625" bestFit="1" customWidth="1"/>
    <col min="13" max="13" width="14.85546875" bestFit="1" customWidth="1"/>
    <col min="14" max="14" width="17.85546875" bestFit="1" customWidth="1"/>
    <col min="15" max="15" width="17.85546875" customWidth="1"/>
    <col min="16" max="16" width="12.7109375" customWidth="1"/>
    <col min="17" max="17" width="53.85546875" bestFit="1" customWidth="1"/>
    <col min="18" max="18" width="17" customWidth="1"/>
    <col min="19" max="19" width="44.5703125" bestFit="1" customWidth="1"/>
    <col min="20" max="20" width="19.85546875" customWidth="1"/>
    <col min="21" max="21" width="18.85546875" customWidth="1"/>
    <col min="22" max="22" width="2" customWidth="1"/>
    <col min="23" max="23" width="64.5703125" bestFit="1" customWidth="1"/>
    <col min="24" max="24" width="21.5703125" bestFit="1" customWidth="1"/>
    <col min="26" max="26" width="25.7109375" bestFit="1" customWidth="1"/>
    <col min="27" max="27" width="25.7109375" customWidth="1"/>
    <col min="28" max="28" width="9.7109375" bestFit="1" customWidth="1"/>
    <col min="29" max="29" width="7.7109375" bestFit="1" customWidth="1"/>
    <col min="30" max="30" width="46.28515625" bestFit="1" customWidth="1"/>
    <col min="31" max="31" width="15.42578125" bestFit="1" customWidth="1"/>
    <col min="32" max="32" width="15.140625" bestFit="1" customWidth="1"/>
    <col min="33" max="33" width="13.28515625" bestFit="1" customWidth="1"/>
    <col min="34" max="34" width="36.42578125" bestFit="1" customWidth="1"/>
    <col min="35" max="35" width="26.85546875" bestFit="1" customWidth="1"/>
    <col min="36" max="36" width="16.5703125" bestFit="1" customWidth="1"/>
    <col min="37" max="37" width="30.140625" bestFit="1" customWidth="1"/>
    <col min="38" max="38" width="16.85546875" bestFit="1" customWidth="1"/>
    <col min="40" max="40" width="62.140625" bestFit="1" customWidth="1"/>
    <col min="41" max="41" width="44.7109375" bestFit="1" customWidth="1"/>
    <col min="42" max="42" width="43" bestFit="1" customWidth="1"/>
    <col min="43" max="43" width="39.28515625" bestFit="1" customWidth="1"/>
    <col min="44" max="44" width="39.28515625" customWidth="1"/>
    <col min="45" max="45" width="38.85546875" bestFit="1" customWidth="1"/>
    <col min="46" max="46" width="19.85546875" bestFit="1" customWidth="1"/>
    <col min="47" max="47" width="22" bestFit="1" customWidth="1"/>
    <col min="48" max="48" width="15.5703125" bestFit="1" customWidth="1"/>
    <col min="49" max="49" width="51" bestFit="1" customWidth="1"/>
    <col min="50" max="50" width="26.7109375" bestFit="1" customWidth="1"/>
  </cols>
  <sheetData>
    <row r="1" spans="1:50" ht="13.5" thickBot="1" x14ac:dyDescent="0.25"/>
    <row r="2" spans="1:50" ht="40.5" customHeight="1" thickTop="1" thickBot="1" x14ac:dyDescent="0.3">
      <c r="A2" s="56" t="s">
        <v>177</v>
      </c>
      <c r="D2" s="338" t="s">
        <v>178</v>
      </c>
      <c r="E2" s="339"/>
      <c r="F2" s="339"/>
      <c r="G2" s="340"/>
      <c r="P2" s="57" t="s">
        <v>179</v>
      </c>
      <c r="W2" s="57" t="s">
        <v>180</v>
      </c>
    </row>
    <row r="3" spans="1:50" s="10" customFormat="1" ht="14.25" thickTop="1" thickBot="1" x14ac:dyDescent="0.25">
      <c r="A3" s="57" t="s">
        <v>181</v>
      </c>
      <c r="B3" s="75">
        <v>200000</v>
      </c>
      <c r="D3" s="10" t="s">
        <v>182</v>
      </c>
      <c r="E3" s="10" t="s">
        <v>183</v>
      </c>
      <c r="F3" t="s">
        <v>78</v>
      </c>
      <c r="G3" t="s">
        <v>184</v>
      </c>
      <c r="H3" t="s">
        <v>185</v>
      </c>
      <c r="I3" t="s">
        <v>186</v>
      </c>
      <c r="J3" t="s">
        <v>187</v>
      </c>
      <c r="K3" t="s">
        <v>188</v>
      </c>
      <c r="L3" t="s">
        <v>189</v>
      </c>
      <c r="M3" t="s">
        <v>190</v>
      </c>
      <c r="P3" s="10" t="s">
        <v>191</v>
      </c>
      <c r="Q3" s="10" t="s">
        <v>192</v>
      </c>
      <c r="R3" s="10" t="s">
        <v>193</v>
      </c>
      <c r="S3" s="10" t="s">
        <v>194</v>
      </c>
      <c r="T3" s="10" t="s">
        <v>188</v>
      </c>
      <c r="U3" s="10" t="s">
        <v>189</v>
      </c>
      <c r="W3" s="57" t="s">
        <v>195</v>
      </c>
      <c r="X3" t="s">
        <v>196</v>
      </c>
      <c r="Y3"/>
      <c r="Z3" s="58" t="s">
        <v>197</v>
      </c>
      <c r="AA3" s="58" t="s">
        <v>198</v>
      </c>
      <c r="AB3" s="58" t="s">
        <v>199</v>
      </c>
      <c r="AC3" s="58" t="s">
        <v>200</v>
      </c>
      <c r="AD3" s="58" t="s">
        <v>201</v>
      </c>
      <c r="AE3" s="58" t="s">
        <v>202</v>
      </c>
      <c r="AF3" s="58" t="s">
        <v>203</v>
      </c>
      <c r="AG3" s="58" t="s">
        <v>204</v>
      </c>
      <c r="AH3" s="58" t="s">
        <v>205</v>
      </c>
      <c r="AI3" s="58" t="s">
        <v>206</v>
      </c>
      <c r="AJ3" s="58" t="s">
        <v>207</v>
      </c>
      <c r="AK3" s="58" t="s">
        <v>208</v>
      </c>
      <c r="AL3" s="58" t="s">
        <v>209</v>
      </c>
      <c r="AM3"/>
      <c r="AN3" s="58" t="s">
        <v>210</v>
      </c>
      <c r="AO3" s="58" t="s">
        <v>211</v>
      </c>
      <c r="AP3" s="58" t="s">
        <v>212</v>
      </c>
      <c r="AQ3" s="58" t="s">
        <v>213</v>
      </c>
      <c r="AR3" s="58" t="s">
        <v>214</v>
      </c>
      <c r="AS3" s="58" t="s">
        <v>215</v>
      </c>
      <c r="AT3" s="58" t="s">
        <v>216</v>
      </c>
      <c r="AU3" s="58" t="s">
        <v>217</v>
      </c>
      <c r="AV3" s="58" t="s">
        <v>218</v>
      </c>
      <c r="AW3" s="58" t="s">
        <v>219</v>
      </c>
      <c r="AX3" s="58" t="s">
        <v>220</v>
      </c>
    </row>
    <row r="4" spans="1:50" ht="14.25" thickTop="1" thickBot="1" x14ac:dyDescent="0.25">
      <c r="A4" s="57" t="s">
        <v>221</v>
      </c>
      <c r="B4" s="75">
        <v>200000</v>
      </c>
      <c r="D4">
        <v>1</v>
      </c>
      <c r="E4" t="s">
        <v>222</v>
      </c>
      <c r="F4">
        <v>223730</v>
      </c>
      <c r="G4" t="s">
        <v>96</v>
      </c>
      <c r="H4" s="36">
        <v>80</v>
      </c>
      <c r="I4" s="36">
        <v>80</v>
      </c>
      <c r="J4" t="s">
        <v>223</v>
      </c>
      <c r="K4" t="e">
        <f>VLOOKUP('Input HVAC Measures'!$E$3,References!$K$102:$N$112,2,FALSE)</f>
        <v>#N/A</v>
      </c>
      <c r="L4" t="e">
        <f>VLOOKUP('Input HVAC Measures'!$E$3,References!$K$102:$N$112,4,FALSE)</f>
        <v>#N/A</v>
      </c>
      <c r="M4">
        <v>80</v>
      </c>
      <c r="P4">
        <v>991298</v>
      </c>
      <c r="Q4" t="s">
        <v>224</v>
      </c>
      <c r="R4" t="s">
        <v>117</v>
      </c>
      <c r="S4" t="str">
        <f>_xlfn.CONCAT($AQ$4,Table_WinFilm_Savings[[#This Row],[Cardinal Direction]])</f>
        <v>Window film, gas heat w/ACEast</v>
      </c>
      <c r="T4">
        <f>K40</f>
        <v>10.24</v>
      </c>
      <c r="U4">
        <f>L40</f>
        <v>1.0240000000000001E-2</v>
      </c>
      <c r="W4" t="s">
        <v>25</v>
      </c>
      <c r="X4" s="227">
        <f>0.12*1.25</f>
        <v>0.15</v>
      </c>
      <c r="Z4" t="s">
        <v>225</v>
      </c>
      <c r="AA4" t="s">
        <v>226</v>
      </c>
      <c r="AB4" t="s">
        <v>227</v>
      </c>
      <c r="AC4" t="s">
        <v>227</v>
      </c>
      <c r="AD4" t="s">
        <v>45</v>
      </c>
      <c r="AE4" t="s">
        <v>28</v>
      </c>
      <c r="AF4" t="s">
        <v>228</v>
      </c>
      <c r="AG4" t="s">
        <v>229</v>
      </c>
      <c r="AH4" t="s">
        <v>230</v>
      </c>
      <c r="AI4" t="s">
        <v>57</v>
      </c>
      <c r="AJ4" t="s">
        <v>59</v>
      </c>
      <c r="AK4" t="s">
        <v>62</v>
      </c>
      <c r="AL4" t="s">
        <v>231</v>
      </c>
      <c r="AN4" s="59" t="str">
        <f>Table_Prescript_Meas[[#This Row],[Measure Description]]</f>
        <v>High Eff. AC Unit</v>
      </c>
      <c r="AO4" s="59" t="s">
        <v>104</v>
      </c>
      <c r="AP4" s="59" t="s">
        <v>232</v>
      </c>
      <c r="AQ4" s="59" t="s">
        <v>116</v>
      </c>
      <c r="AR4" s="59" t="s">
        <v>122</v>
      </c>
      <c r="AS4" s="59" t="s">
        <v>128</v>
      </c>
      <c r="AT4" s="59" t="s">
        <v>117</v>
      </c>
      <c r="AU4" s="59" t="s">
        <v>123</v>
      </c>
      <c r="AV4" s="59" t="s">
        <v>145</v>
      </c>
      <c r="AW4" s="59" t="s">
        <v>233</v>
      </c>
      <c r="AX4" s="59" t="s">
        <v>144</v>
      </c>
    </row>
    <row r="5" spans="1:50" ht="14.25" thickTop="1" thickBot="1" x14ac:dyDescent="0.25">
      <c r="A5" s="57" t="s">
        <v>234</v>
      </c>
      <c r="B5" s="75">
        <v>5000</v>
      </c>
      <c r="D5">
        <v>2</v>
      </c>
      <c r="E5" t="s">
        <v>222</v>
      </c>
      <c r="F5">
        <v>223830</v>
      </c>
      <c r="G5" t="s">
        <v>97</v>
      </c>
      <c r="H5" s="36">
        <v>80</v>
      </c>
      <c r="I5" s="36">
        <v>80</v>
      </c>
      <c r="J5" t="s">
        <v>223</v>
      </c>
      <c r="K5" t="e">
        <f>VLOOKUP('Input HVAC Measures'!$E$3,References!$K$102:$N$112,2,FALSE)</f>
        <v>#N/A</v>
      </c>
      <c r="L5" t="e">
        <f>VLOOKUP('Input HVAC Measures'!$E$3,References!$K$102:$N$112,4,FALSE)</f>
        <v>#N/A</v>
      </c>
      <c r="M5">
        <v>80</v>
      </c>
      <c r="N5" s="5" t="e">
        <f>VLOOKUP('Input HVAC Measures'!$E$3,References!$K$102:$N$112,3,FALSE)</f>
        <v>#N/A</v>
      </c>
      <c r="P5">
        <v>991299</v>
      </c>
      <c r="Q5" t="s">
        <v>235</v>
      </c>
      <c r="R5" t="s">
        <v>119</v>
      </c>
      <c r="S5" t="str">
        <f>_xlfn.CONCAT($AQ$4,Table_WinFilm_Savings[[#This Row],[Cardinal Direction]])</f>
        <v>Window film, gas heat w/ACWest</v>
      </c>
      <c r="T5">
        <f t="shared" ref="T5:T12" si="0">K41</f>
        <v>12.32</v>
      </c>
      <c r="U5">
        <f t="shared" ref="U5:U12" si="1">L41</f>
        <v>1.2320000000000001E-2</v>
      </c>
      <c r="W5" t="s">
        <v>236</v>
      </c>
      <c r="X5" s="227">
        <f>0.12*1.25</f>
        <v>0.15</v>
      </c>
      <c r="Z5" t="s">
        <v>237</v>
      </c>
      <c r="AA5" t="s">
        <v>238</v>
      </c>
      <c r="AB5" t="s">
        <v>45</v>
      </c>
      <c r="AC5" t="s">
        <v>45</v>
      </c>
      <c r="AD5" t="s">
        <v>239</v>
      </c>
      <c r="AE5" t="s">
        <v>240</v>
      </c>
      <c r="AF5" t="s">
        <v>241</v>
      </c>
      <c r="AG5" t="s">
        <v>51</v>
      </c>
      <c r="AH5" t="s">
        <v>242</v>
      </c>
      <c r="AI5" t="s">
        <v>243</v>
      </c>
      <c r="AJ5" t="s">
        <v>244</v>
      </c>
      <c r="AK5" t="s">
        <v>245</v>
      </c>
      <c r="AL5" t="s">
        <v>246</v>
      </c>
      <c r="AN5" s="59" t="str">
        <f>Table_Prescript_Meas[[#This Row],[Measure Description]]</f>
        <v>High Eff. Heat Pump Unit</v>
      </c>
      <c r="AO5" s="59" t="s">
        <v>247</v>
      </c>
      <c r="AP5" s="59" t="s">
        <v>110</v>
      </c>
      <c r="AQ5" s="59" t="s">
        <v>120</v>
      </c>
      <c r="AR5" s="59" t="s">
        <v>124</v>
      </c>
      <c r="AS5" s="59" t="s">
        <v>127</v>
      </c>
      <c r="AT5" s="59" t="s">
        <v>118</v>
      </c>
      <c r="AU5" s="59" t="s">
        <v>118</v>
      </c>
      <c r="AV5" s="59" t="s">
        <v>142</v>
      </c>
      <c r="AW5" s="59" t="s">
        <v>248</v>
      </c>
      <c r="AX5" s="59" t="s">
        <v>249</v>
      </c>
    </row>
    <row r="6" spans="1:50" ht="14.25" thickTop="1" thickBot="1" x14ac:dyDescent="0.25">
      <c r="A6" s="57" t="s">
        <v>250</v>
      </c>
      <c r="B6" s="226" t="e">
        <f>INDEX(Table_Programs_Rates[Custom Incentive Rate], MATCH(Input_ProgramType, Table_Programs_Rates[List_Programs], 0))</f>
        <v>#N/A</v>
      </c>
      <c r="D6">
        <v>3</v>
      </c>
      <c r="E6" t="s">
        <v>222</v>
      </c>
      <c r="F6">
        <v>229230</v>
      </c>
      <c r="G6" t="s">
        <v>251</v>
      </c>
      <c r="H6" s="36">
        <v>35</v>
      </c>
      <c r="I6" s="36">
        <v>35</v>
      </c>
      <c r="J6" t="s">
        <v>223</v>
      </c>
      <c r="K6" s="209" t="e">
        <f>VLOOKUP('Input HVAC Measures'!$E$3,References!$K$127:$M$138,2,FALSE)*(12/11)</f>
        <v>#N/A</v>
      </c>
      <c r="L6" s="210" t="e">
        <f>VLOOKUP('Input HVAC Measures'!$E$3,References!$K$127:$M$138,3,FALSE)*(12/11)</f>
        <v>#N/A</v>
      </c>
      <c r="M6">
        <v>35</v>
      </c>
      <c r="P6">
        <v>991300</v>
      </c>
      <c r="Q6" t="s">
        <v>252</v>
      </c>
      <c r="R6" t="s">
        <v>118</v>
      </c>
      <c r="S6" t="str">
        <f>_xlfn.CONCAT($AQ$4,Table_WinFilm_Savings[[#This Row],[Cardinal Direction]])</f>
        <v>Window film, gas heat w/ACSouth</v>
      </c>
      <c r="T6">
        <f t="shared" si="0"/>
        <v>17.079999999999998</v>
      </c>
      <c r="U6">
        <f t="shared" si="1"/>
        <v>1.7079999999999998E-2</v>
      </c>
      <c r="Z6" t="s">
        <v>253</v>
      </c>
      <c r="AA6" t="s">
        <v>254</v>
      </c>
      <c r="AB6" t="s">
        <v>239</v>
      </c>
      <c r="AD6" t="s">
        <v>255</v>
      </c>
      <c r="AF6" t="s">
        <v>256</v>
      </c>
      <c r="AH6" t="s">
        <v>257</v>
      </c>
      <c r="AI6" t="s">
        <v>258</v>
      </c>
      <c r="AJ6" t="s">
        <v>259</v>
      </c>
      <c r="AK6" t="s">
        <v>157</v>
      </c>
      <c r="AL6" t="s">
        <v>260</v>
      </c>
      <c r="AN6" s="59" t="str">
        <f>Table_Prescript_Meas[[#This Row],[Measure Description]]</f>
        <v>High Eff. Packaged Terminal AC (PTAC) Unit</v>
      </c>
      <c r="AO6" s="59" t="s">
        <v>261</v>
      </c>
      <c r="AP6" s="59" t="s">
        <v>262</v>
      </c>
      <c r="AQ6" s="59" t="s">
        <v>121</v>
      </c>
      <c r="AR6" s="59"/>
      <c r="AS6" s="59" t="s">
        <v>263</v>
      </c>
      <c r="AT6" s="59" t="s">
        <v>119</v>
      </c>
      <c r="AU6" s="59" t="s">
        <v>119</v>
      </c>
      <c r="AV6" s="59" t="s">
        <v>264</v>
      </c>
      <c r="AW6" s="59" t="s">
        <v>265</v>
      </c>
      <c r="AX6" s="59" t="s">
        <v>147</v>
      </c>
    </row>
    <row r="7" spans="1:50" ht="14.25" thickTop="1" thickBot="1" x14ac:dyDescent="0.25">
      <c r="A7" s="57" t="s">
        <v>266</v>
      </c>
      <c r="B7" s="88">
        <v>1</v>
      </c>
      <c r="D7">
        <v>4</v>
      </c>
      <c r="E7" t="s">
        <v>222</v>
      </c>
      <c r="F7">
        <v>229330</v>
      </c>
      <c r="G7" t="s">
        <v>267</v>
      </c>
      <c r="H7" s="36">
        <v>35</v>
      </c>
      <c r="I7" s="36">
        <v>35</v>
      </c>
      <c r="J7" t="s">
        <v>223</v>
      </c>
      <c r="K7" s="209" t="e">
        <f>VLOOKUP('Input HVAC Measures'!$E$3,References!$K$140:$M$151,2,FALSE)*(12/11)</f>
        <v>#N/A</v>
      </c>
      <c r="L7" s="210" t="e">
        <f>VLOOKUP('Input HVAC Measures'!$E$3,References!$K$140:$M$151,3,FALSE)*(12/11)</f>
        <v>#N/A</v>
      </c>
      <c r="M7">
        <v>35</v>
      </c>
      <c r="P7">
        <v>991292</v>
      </c>
      <c r="Q7" t="s">
        <v>268</v>
      </c>
      <c r="R7" t="s">
        <v>117</v>
      </c>
      <c r="S7" t="str">
        <f>_xlfn.CONCAT($AQ$5,Table_WinFilm_Savings[[#This Row],[Cardinal Direction]])</f>
        <v>Window film, heat pump heating/coolingEast</v>
      </c>
      <c r="T7">
        <f t="shared" si="0"/>
        <v>3.08</v>
      </c>
      <c r="U7">
        <f t="shared" si="1"/>
        <v>3.0800000000000003E-3</v>
      </c>
      <c r="Z7" t="s">
        <v>269</v>
      </c>
      <c r="AA7" t="s">
        <v>269</v>
      </c>
      <c r="AD7" t="s">
        <v>270</v>
      </c>
      <c r="AF7" t="s">
        <v>271</v>
      </c>
      <c r="AH7" t="s">
        <v>55</v>
      </c>
      <c r="AI7" t="s">
        <v>272</v>
      </c>
      <c r="AJ7" t="s">
        <v>273</v>
      </c>
      <c r="AK7" t="s">
        <v>274</v>
      </c>
      <c r="AL7" t="s">
        <v>275</v>
      </c>
      <c r="AN7" s="59" t="str">
        <f>Table_Prescript_Meas[[#This Row],[Measure Description]]</f>
        <v>High Eff. Packaged Terminal HP (PTHP) Unit</v>
      </c>
      <c r="AO7" s="59" t="s">
        <v>276</v>
      </c>
      <c r="AP7" s="59" t="s">
        <v>109</v>
      </c>
      <c r="AR7" s="59"/>
      <c r="AS7" s="59" t="s">
        <v>277</v>
      </c>
      <c r="AU7" s="59" t="s">
        <v>117</v>
      </c>
      <c r="AW7" s="59" t="s">
        <v>278</v>
      </c>
    </row>
    <row r="8" spans="1:50" ht="14.25" thickTop="1" thickBot="1" x14ac:dyDescent="0.25">
      <c r="A8" s="57" t="s">
        <v>279</v>
      </c>
      <c r="B8" s="106" t="s">
        <v>579</v>
      </c>
      <c r="D8">
        <v>5</v>
      </c>
      <c r="E8" t="s">
        <v>222</v>
      </c>
      <c r="F8">
        <v>222130</v>
      </c>
      <c r="G8" t="s">
        <v>569</v>
      </c>
      <c r="H8" s="36">
        <v>45</v>
      </c>
      <c r="I8" s="36">
        <v>45</v>
      </c>
      <c r="J8" t="s">
        <v>280</v>
      </c>
      <c r="K8">
        <v>355</v>
      </c>
      <c r="L8">
        <v>0</v>
      </c>
      <c r="M8">
        <v>45</v>
      </c>
      <c r="P8">
        <v>991293</v>
      </c>
      <c r="Q8" t="s">
        <v>281</v>
      </c>
      <c r="R8" t="s">
        <v>119</v>
      </c>
      <c r="S8" t="str">
        <f>_xlfn.CONCAT($AQ$5,Table_WinFilm_Savings[[#This Row],[Cardinal Direction]])</f>
        <v>Window film, heat pump heating/coolingWest</v>
      </c>
      <c r="T8">
        <f t="shared" si="0"/>
        <v>6.13</v>
      </c>
      <c r="U8">
        <f t="shared" si="1"/>
        <v>6.13E-3</v>
      </c>
      <c r="Z8" t="s">
        <v>282</v>
      </c>
      <c r="AA8" t="s">
        <v>283</v>
      </c>
      <c r="AD8" t="s">
        <v>284</v>
      </c>
      <c r="AH8" t="s">
        <v>285</v>
      </c>
      <c r="AI8" t="s">
        <v>286</v>
      </c>
      <c r="AJ8" t="s">
        <v>287</v>
      </c>
      <c r="AL8" t="s">
        <v>288</v>
      </c>
      <c r="AN8" s="59" t="str">
        <f>Table_Prescript_Meas[[#This Row],[Measure Description]]</f>
        <v>Guestroom Energy Management Controls</v>
      </c>
      <c r="AO8" s="59" t="s">
        <v>289</v>
      </c>
      <c r="AP8" s="59" t="s">
        <v>290</v>
      </c>
      <c r="AR8" s="59"/>
      <c r="AS8" s="59"/>
      <c r="AW8" s="59" t="s">
        <v>143</v>
      </c>
    </row>
    <row r="9" spans="1:50" ht="14.25" thickTop="1" thickBot="1" x14ac:dyDescent="0.25">
      <c r="A9" s="57" t="s">
        <v>291</v>
      </c>
      <c r="B9" s="107"/>
      <c r="D9">
        <v>6</v>
      </c>
      <c r="E9" t="s">
        <v>222</v>
      </c>
      <c r="F9">
        <v>223630</v>
      </c>
      <c r="G9" t="s">
        <v>100</v>
      </c>
      <c r="H9" s="36">
        <v>150</v>
      </c>
      <c r="I9" s="36" t="s">
        <v>292</v>
      </c>
      <c r="J9" t="s">
        <v>280</v>
      </c>
      <c r="K9">
        <v>472.1</v>
      </c>
      <c r="L9">
        <v>0</v>
      </c>
      <c r="P9">
        <v>991294</v>
      </c>
      <c r="Q9" t="s">
        <v>293</v>
      </c>
      <c r="R9" t="s">
        <v>118</v>
      </c>
      <c r="S9" t="str">
        <f>_xlfn.CONCAT($AQ$5,Table_WinFilm_Savings[[#This Row],[Cardinal Direction]])</f>
        <v>Window film, heat pump heating/coolingSouth</v>
      </c>
      <c r="T9">
        <f t="shared" si="0"/>
        <v>1.68</v>
      </c>
      <c r="U9">
        <f t="shared" si="1"/>
        <v>1.6799999999999999E-3</v>
      </c>
      <c r="Z9" t="s">
        <v>294</v>
      </c>
      <c r="AA9" t="s">
        <v>295</v>
      </c>
      <c r="AD9" t="s">
        <v>296</v>
      </c>
      <c r="AH9" t="s">
        <v>297</v>
      </c>
      <c r="AI9" t="s">
        <v>298</v>
      </c>
      <c r="AJ9" t="s">
        <v>271</v>
      </c>
      <c r="AL9" t="s">
        <v>71</v>
      </c>
      <c r="AN9" s="59" t="str">
        <f>Table_Prescript_Meas[[#This Row],[Measure Description]]</f>
        <v>Smart Thermostats for Small Business</v>
      </c>
      <c r="AO9" s="59" t="s">
        <v>106</v>
      </c>
      <c r="AP9" s="59" t="s">
        <v>299</v>
      </c>
      <c r="AR9" s="59"/>
      <c r="AS9" s="59"/>
      <c r="AW9" s="59" t="s">
        <v>300</v>
      </c>
    </row>
    <row r="10" spans="1:50" ht="13.5" thickTop="1" x14ac:dyDescent="0.2">
      <c r="D10">
        <v>7</v>
      </c>
      <c r="E10" t="s">
        <v>222</v>
      </c>
      <c r="F10">
        <v>229430</v>
      </c>
      <c r="G10" t="s">
        <v>301</v>
      </c>
      <c r="H10" s="36">
        <v>0.7</v>
      </c>
      <c r="I10" s="36">
        <v>0.7</v>
      </c>
      <c r="J10" t="s">
        <v>302</v>
      </c>
      <c r="K10">
        <v>4.9000000000000004</v>
      </c>
      <c r="L10">
        <v>4.0000000000000001E-3</v>
      </c>
      <c r="M10">
        <v>0.7</v>
      </c>
      <c r="P10">
        <v>991295</v>
      </c>
      <c r="Q10" t="s">
        <v>303</v>
      </c>
      <c r="R10" t="s">
        <v>117</v>
      </c>
      <c r="S10" t="str">
        <f>_xlfn.CONCAT($AQ$6,Table_WinFilm_Savings[[#This Row],[Cardinal Direction]])</f>
        <v>Window film, electric resistance heat w/ACEast</v>
      </c>
      <c r="T10">
        <f t="shared" si="0"/>
        <v>5.04</v>
      </c>
      <c r="U10">
        <f t="shared" si="1"/>
        <v>5.0400000000000002E-3</v>
      </c>
      <c r="Z10" t="s">
        <v>271</v>
      </c>
      <c r="AD10" t="s">
        <v>304</v>
      </c>
      <c r="AH10" t="s">
        <v>305</v>
      </c>
      <c r="AI10" t="s">
        <v>306</v>
      </c>
      <c r="AJ10" t="s">
        <v>307</v>
      </c>
      <c r="AL10" t="s">
        <v>308</v>
      </c>
      <c r="AN10" s="59" t="str">
        <f>Table_Prescript_Meas[[#This Row],[Measure Description]]</f>
        <v>Commercial Duct Sealing</v>
      </c>
      <c r="AO10" s="59" t="s">
        <v>309</v>
      </c>
      <c r="AP10" s="59" t="s">
        <v>310</v>
      </c>
      <c r="AR10" s="59"/>
      <c r="AW10" s="59" t="s">
        <v>311</v>
      </c>
    </row>
    <row r="11" spans="1:50" x14ac:dyDescent="0.2">
      <c r="D11">
        <v>8</v>
      </c>
      <c r="E11" t="s">
        <v>222</v>
      </c>
      <c r="F11">
        <v>229530</v>
      </c>
      <c r="G11" t="s">
        <v>98</v>
      </c>
      <c r="H11" s="36">
        <v>50</v>
      </c>
      <c r="I11" s="36">
        <v>50</v>
      </c>
      <c r="J11" t="s">
        <v>223</v>
      </c>
      <c r="K11" s="209" t="e">
        <f>VLOOKUP('Input HVAC Measures'!$E$3,References!$K$154:$X$175,13,FALSE)</f>
        <v>#N/A</v>
      </c>
      <c r="L11" s="210" t="e">
        <f>VLOOKUP('Input HVAC Measures'!$E$3,References!$K$154:$X$175,14,FALSE)</f>
        <v>#N/A</v>
      </c>
      <c r="M11">
        <v>50</v>
      </c>
      <c r="P11">
        <v>991296</v>
      </c>
      <c r="Q11" t="s">
        <v>312</v>
      </c>
      <c r="R11" t="s">
        <v>119</v>
      </c>
      <c r="S11" t="str">
        <f>_xlfn.CONCAT($AQ$6,Table_WinFilm_Savings[[#This Row],[Cardinal Direction]])</f>
        <v>Window film, electric resistance heat w/ACWest</v>
      </c>
      <c r="T11">
        <f t="shared" si="0"/>
        <v>7.76</v>
      </c>
      <c r="U11">
        <f t="shared" si="1"/>
        <v>7.7599999999999995E-3</v>
      </c>
      <c r="AD11" t="s">
        <v>313</v>
      </c>
      <c r="AH11" t="s">
        <v>314</v>
      </c>
      <c r="AL11" t="s">
        <v>315</v>
      </c>
      <c r="AN11" s="59" t="str">
        <f>Table_Prescript_Meas[[#This Row],[Measure Description]]</f>
        <v>High Eff. Air-Cooled Chiller</v>
      </c>
      <c r="AO11" s="59" t="s">
        <v>316</v>
      </c>
      <c r="AR11" s="59"/>
      <c r="AW11" s="59" t="s">
        <v>317</v>
      </c>
    </row>
    <row r="12" spans="1:50" x14ac:dyDescent="0.2">
      <c r="D12">
        <v>9</v>
      </c>
      <c r="E12" t="s">
        <v>222</v>
      </c>
      <c r="F12">
        <v>229630</v>
      </c>
      <c r="G12" t="s">
        <v>318</v>
      </c>
      <c r="H12" s="36">
        <v>17</v>
      </c>
      <c r="I12" s="36">
        <v>17</v>
      </c>
      <c r="J12" t="s">
        <v>223</v>
      </c>
      <c r="K12" s="209" t="e">
        <f>VLOOKUP('Input HVAC Measures'!$E$3,References!$K$177:$U$218,10,FALSE)</f>
        <v>#N/A</v>
      </c>
      <c r="L12" s="210" t="e">
        <f>VLOOKUP('Input HVAC Measures'!$E$3,References!$K$177:$U$218,11,FALSE)</f>
        <v>#N/A</v>
      </c>
      <c r="M12">
        <v>17</v>
      </c>
      <c r="P12">
        <v>991297</v>
      </c>
      <c r="Q12" t="s">
        <v>319</v>
      </c>
      <c r="R12" t="s">
        <v>118</v>
      </c>
      <c r="S12" t="str">
        <f>_xlfn.CONCAT($AQ$6,Table_WinFilm_Savings[[#This Row],[Cardinal Direction]])</f>
        <v>Window film, electric resistance heat w/ACSouth</v>
      </c>
      <c r="T12">
        <f t="shared" si="0"/>
        <v>5.81</v>
      </c>
      <c r="U12">
        <f t="shared" si="1"/>
        <v>5.8099999999999992E-3</v>
      </c>
      <c r="AD12" t="s">
        <v>320</v>
      </c>
      <c r="AH12" t="s">
        <v>321</v>
      </c>
      <c r="AL12" t="s">
        <v>322</v>
      </c>
      <c r="AN12" s="59" t="str">
        <f>Table_Prescript_Meas[[#This Row],[Measure Description]]</f>
        <v>High Eff. Positive Displacement Water-Cooled Chiller</v>
      </c>
      <c r="AO12" s="59" t="s">
        <v>323</v>
      </c>
      <c r="AW12" s="59" t="s">
        <v>324</v>
      </c>
    </row>
    <row r="13" spans="1:50" ht="13.5" thickBot="1" x14ac:dyDescent="0.25">
      <c r="D13">
        <v>10</v>
      </c>
      <c r="E13" t="s">
        <v>222</v>
      </c>
      <c r="F13">
        <v>229730</v>
      </c>
      <c r="G13" t="s">
        <v>99</v>
      </c>
      <c r="H13" s="36">
        <v>30</v>
      </c>
      <c r="I13" s="36">
        <v>30</v>
      </c>
      <c r="J13" t="s">
        <v>223</v>
      </c>
      <c r="K13" s="209" t="e">
        <f>VLOOKUP('Input HVAC Measures'!$E$3,References!$K$220:$U$251,4,FALSE)</f>
        <v>#N/A</v>
      </c>
      <c r="L13" s="210" t="e">
        <f>VLOOKUP('Input HVAC Measures'!$E$3,References!$K$220:$U$251,7,FALSE)</f>
        <v>#N/A</v>
      </c>
      <c r="M13">
        <v>30</v>
      </c>
      <c r="AD13" t="s">
        <v>325</v>
      </c>
      <c r="AH13" t="s">
        <v>326</v>
      </c>
      <c r="AL13" t="s">
        <v>271</v>
      </c>
      <c r="AN13" s="59" t="str">
        <f>Table_Prescript_Meas[[#This Row],[Measure Description]]</f>
        <v>High Eff. Centrifugal Water-Cooled Chiller</v>
      </c>
      <c r="AO13" s="59" t="s">
        <v>105</v>
      </c>
      <c r="AW13" s="59" t="s">
        <v>327</v>
      </c>
    </row>
    <row r="14" spans="1:50" ht="27" thickTop="1" thickBot="1" x14ac:dyDescent="0.25">
      <c r="D14">
        <v>11</v>
      </c>
      <c r="E14" t="s">
        <v>222</v>
      </c>
      <c r="F14">
        <v>222530</v>
      </c>
      <c r="G14" t="s">
        <v>580</v>
      </c>
      <c r="H14" s="36">
        <v>15</v>
      </c>
      <c r="I14" s="36">
        <v>15</v>
      </c>
      <c r="J14" t="s">
        <v>223</v>
      </c>
      <c r="K14" t="e">
        <f>VLOOKUP('Input HVAC Measures'!$E$3,References!$K$103:$N$112,2,FALSE)*0.05</f>
        <v>#N/A</v>
      </c>
      <c r="L14" t="e">
        <f>VLOOKUP('Input HVAC Measures'!$E$3,References!$K$103:$N$112,4,FALSE)*0.05</f>
        <v>#N/A</v>
      </c>
      <c r="P14" s="57" t="s">
        <v>328</v>
      </c>
      <c r="AD14" t="s">
        <v>329</v>
      </c>
      <c r="AH14" t="s">
        <v>330</v>
      </c>
      <c r="AN14" s="59" t="s">
        <v>580</v>
      </c>
      <c r="AO14" s="59" t="s">
        <v>331</v>
      </c>
      <c r="AW14" s="59" t="s">
        <v>332</v>
      </c>
    </row>
    <row r="15" spans="1:50" ht="13.5" thickTop="1" x14ac:dyDescent="0.2">
      <c r="D15">
        <v>12</v>
      </c>
      <c r="E15" t="s">
        <v>222</v>
      </c>
      <c r="F15">
        <v>222230</v>
      </c>
      <c r="G15" t="s">
        <v>581</v>
      </c>
      <c r="H15" s="36">
        <v>9</v>
      </c>
      <c r="I15" s="36">
        <v>9</v>
      </c>
      <c r="J15" t="s">
        <v>223</v>
      </c>
      <c r="K15" t="e">
        <f>VLOOKUP('Input HVAC Measures'!$E$3,References!$K$103:$N$112,2,FALSE)*0.05</f>
        <v>#N/A</v>
      </c>
      <c r="L15" t="e">
        <f>VLOOKUP('Input HVAC Measures'!$E$3,References!$K$103:$N$112,4,FALSE)*0.05</f>
        <v>#N/A</v>
      </c>
      <c r="P15" s="10" t="s">
        <v>191</v>
      </c>
      <c r="Q15" s="10" t="s">
        <v>192</v>
      </c>
      <c r="R15" s="10" t="s">
        <v>193</v>
      </c>
      <c r="S15" s="10" t="s">
        <v>194</v>
      </c>
      <c r="T15" s="10" t="s">
        <v>188</v>
      </c>
      <c r="U15" s="10" t="s">
        <v>189</v>
      </c>
      <c r="AH15" t="s">
        <v>333</v>
      </c>
      <c r="AN15" s="59" t="s">
        <v>581</v>
      </c>
      <c r="AO15" s="59" t="s">
        <v>334</v>
      </c>
      <c r="AW15" s="59" t="s">
        <v>335</v>
      </c>
    </row>
    <row r="16" spans="1:50" x14ac:dyDescent="0.2">
      <c r="D16">
        <v>13</v>
      </c>
      <c r="E16" t="s">
        <v>222</v>
      </c>
      <c r="F16">
        <v>222330</v>
      </c>
      <c r="G16" t="s">
        <v>582</v>
      </c>
      <c r="H16" s="36">
        <v>9</v>
      </c>
      <c r="I16" s="36">
        <v>9</v>
      </c>
      <c r="J16" t="s">
        <v>223</v>
      </c>
      <c r="K16" t="e">
        <f>VLOOKUP('Input HVAC Measures'!$E$3,References!$K$103:$N$112,2,FALSE)*0.05</f>
        <v>#N/A</v>
      </c>
      <c r="L16" t="e">
        <f>VLOOKUP('Input HVAC Measures'!$E$3,References!$K$103:$N$112,4,FALSE)*0.05</f>
        <v>#N/A</v>
      </c>
      <c r="P16">
        <v>991301</v>
      </c>
      <c r="Q16" t="s">
        <v>336</v>
      </c>
      <c r="R16" t="s">
        <v>123</v>
      </c>
      <c r="S16" t="str">
        <f>_xlfn.CONCAT($AR$4,Table_EffWindow_Savings[[#This Row],[Cardinal Direction]])</f>
        <v>Premium WindowsNorth</v>
      </c>
      <c r="T16" s="42">
        <v>3.4</v>
      </c>
      <c r="U16">
        <v>2.0000000000000001E-4</v>
      </c>
      <c r="AH16" t="s">
        <v>337</v>
      </c>
      <c r="AN16" s="59" t="s">
        <v>582</v>
      </c>
      <c r="AO16" s="59" t="s">
        <v>338</v>
      </c>
      <c r="AW16" s="59" t="s">
        <v>339</v>
      </c>
    </row>
    <row r="17" spans="4:49" x14ac:dyDescent="0.2">
      <c r="H17" s="36"/>
      <c r="I17" s="36"/>
      <c r="K17" s="209"/>
      <c r="L17" s="210"/>
      <c r="P17">
        <v>991302</v>
      </c>
      <c r="Q17" t="s">
        <v>340</v>
      </c>
      <c r="R17" t="s">
        <v>118</v>
      </c>
      <c r="S17" t="str">
        <f>_xlfn.CONCAT($AR$4,Table_EffWindow_Savings[[#This Row],[Cardinal Direction]])</f>
        <v>Premium WindowsSouth</v>
      </c>
      <c r="T17">
        <v>4.16</v>
      </c>
      <c r="U17">
        <v>4.0000000000000002E-4</v>
      </c>
      <c r="AH17" t="s">
        <v>341</v>
      </c>
      <c r="AN17" s="59"/>
      <c r="AO17" s="59" t="s">
        <v>103</v>
      </c>
      <c r="AW17" s="59" t="s">
        <v>342</v>
      </c>
    </row>
    <row r="18" spans="4:49" x14ac:dyDescent="0.2">
      <c r="D18">
        <v>14</v>
      </c>
      <c r="E18" t="s">
        <v>343</v>
      </c>
      <c r="F18">
        <v>422230</v>
      </c>
      <c r="G18" t="s">
        <v>104</v>
      </c>
      <c r="H18" s="36">
        <v>100</v>
      </c>
      <c r="I18" s="36">
        <v>100</v>
      </c>
      <c r="J18" t="s">
        <v>280</v>
      </c>
      <c r="K18">
        <v>804</v>
      </c>
      <c r="L18">
        <v>9.1999999999999998E-2</v>
      </c>
      <c r="M18">
        <v>100</v>
      </c>
      <c r="P18">
        <v>991303</v>
      </c>
      <c r="Q18" t="s">
        <v>344</v>
      </c>
      <c r="R18" t="s">
        <v>119</v>
      </c>
      <c r="S18" t="str">
        <f>_xlfn.CONCAT($AR$4,Table_EffWindow_Savings[[#This Row],[Cardinal Direction]])</f>
        <v>Premium WindowsWest</v>
      </c>
      <c r="T18">
        <v>4.67</v>
      </c>
      <c r="U18">
        <v>5.0000000000000001E-4</v>
      </c>
      <c r="AH18" t="s">
        <v>345</v>
      </c>
      <c r="AO18" s="59" t="s">
        <v>346</v>
      </c>
      <c r="AW18" s="59" t="s">
        <v>347</v>
      </c>
    </row>
    <row r="19" spans="4:49" x14ac:dyDescent="0.2">
      <c r="D19">
        <v>15</v>
      </c>
      <c r="E19" t="s">
        <v>343</v>
      </c>
      <c r="F19">
        <v>422315</v>
      </c>
      <c r="G19" t="s">
        <v>247</v>
      </c>
      <c r="H19" s="36">
        <v>65</v>
      </c>
      <c r="I19" s="36">
        <v>65</v>
      </c>
      <c r="J19" t="s">
        <v>348</v>
      </c>
      <c r="K19">
        <v>502.3</v>
      </c>
      <c r="L19">
        <v>5.7000000000000002E-2</v>
      </c>
      <c r="M19">
        <v>65</v>
      </c>
      <c r="P19">
        <v>991304</v>
      </c>
      <c r="Q19" t="s">
        <v>349</v>
      </c>
      <c r="R19" t="s">
        <v>117</v>
      </c>
      <c r="S19" t="str">
        <f>_xlfn.CONCAT($AR$4,Table_EffWindow_Savings[[#This Row],[Cardinal Direction]])</f>
        <v>Premium WindowsEast</v>
      </c>
      <c r="T19">
        <v>3.98</v>
      </c>
      <c r="U19">
        <v>2.9999999999999997E-4</v>
      </c>
      <c r="AH19" t="s">
        <v>350</v>
      </c>
      <c r="AW19" s="59" t="s">
        <v>351</v>
      </c>
    </row>
    <row r="20" spans="4:49" x14ac:dyDescent="0.2">
      <c r="D20">
        <v>16</v>
      </c>
      <c r="E20" t="s">
        <v>343</v>
      </c>
      <c r="F20">
        <v>422415</v>
      </c>
      <c r="G20" t="s">
        <v>261</v>
      </c>
      <c r="H20" s="36">
        <v>35</v>
      </c>
      <c r="I20" s="36">
        <v>35</v>
      </c>
      <c r="J20" t="s">
        <v>352</v>
      </c>
      <c r="K20">
        <v>633.79999999999995</v>
      </c>
      <c r="L20">
        <v>1.2999999999999999E-2</v>
      </c>
      <c r="M20">
        <v>35</v>
      </c>
      <c r="P20">
        <v>991305</v>
      </c>
      <c r="Q20" t="s">
        <v>353</v>
      </c>
      <c r="R20" t="s">
        <v>123</v>
      </c>
      <c r="S20" t="str">
        <f>_xlfn.CONCAT($AR$5,Table_EffWindow_Savings[[#This Row],[Cardinal Direction]])</f>
        <v>Efficient WindowsNorth</v>
      </c>
      <c r="T20">
        <v>3.11</v>
      </c>
      <c r="U20">
        <v>2.0000000000000001E-4</v>
      </c>
      <c r="AH20" t="s">
        <v>354</v>
      </c>
      <c r="AW20" s="59" t="s">
        <v>355</v>
      </c>
    </row>
    <row r="21" spans="4:49" x14ac:dyDescent="0.2">
      <c r="D21">
        <v>17</v>
      </c>
      <c r="E21" t="s">
        <v>343</v>
      </c>
      <c r="F21">
        <v>420125</v>
      </c>
      <c r="G21" t="s">
        <v>276</v>
      </c>
      <c r="H21" s="36">
        <v>20</v>
      </c>
      <c r="I21" s="36">
        <v>20</v>
      </c>
      <c r="J21" t="s">
        <v>356</v>
      </c>
      <c r="K21">
        <v>144.9</v>
      </c>
      <c r="L21">
        <v>0</v>
      </c>
      <c r="M21">
        <v>20</v>
      </c>
      <c r="P21">
        <v>991306</v>
      </c>
      <c r="Q21" t="s">
        <v>357</v>
      </c>
      <c r="R21" t="s">
        <v>118</v>
      </c>
      <c r="S21" t="str">
        <f>_xlfn.CONCAT($AR$5,Table_EffWindow_Savings[[#This Row],[Cardinal Direction]])</f>
        <v>Efficient WindowsSouth</v>
      </c>
      <c r="T21">
        <v>3.83</v>
      </c>
      <c r="U21">
        <v>4.0000000000000002E-4</v>
      </c>
      <c r="AH21" t="s">
        <v>358</v>
      </c>
      <c r="AW21" s="59" t="s">
        <v>359</v>
      </c>
    </row>
    <row r="22" spans="4:49" x14ac:dyDescent="0.2">
      <c r="D22">
        <v>18</v>
      </c>
      <c r="E22" t="s">
        <v>343</v>
      </c>
      <c r="F22">
        <v>420230</v>
      </c>
      <c r="G22" t="s">
        <v>289</v>
      </c>
      <c r="H22" s="36">
        <v>95</v>
      </c>
      <c r="I22" s="36">
        <v>95</v>
      </c>
      <c r="J22" t="s">
        <v>280</v>
      </c>
      <c r="K22">
        <v>780.5</v>
      </c>
      <c r="L22">
        <v>8.7999999999999995E-2</v>
      </c>
      <c r="M22">
        <v>95</v>
      </c>
      <c r="P22">
        <v>991307</v>
      </c>
      <c r="Q22" t="s">
        <v>360</v>
      </c>
      <c r="R22" t="s">
        <v>119</v>
      </c>
      <c r="S22" t="str">
        <f>_xlfn.CONCAT($AR$5,Table_EffWindow_Savings[[#This Row],[Cardinal Direction]])</f>
        <v>Efficient WindowsWest</v>
      </c>
      <c r="T22">
        <v>4.32</v>
      </c>
      <c r="U22">
        <v>5.0000000000000001E-4</v>
      </c>
      <c r="AH22" t="s">
        <v>361</v>
      </c>
      <c r="AW22" s="59" t="s">
        <v>362</v>
      </c>
    </row>
    <row r="23" spans="4:49" x14ac:dyDescent="0.2">
      <c r="D23">
        <v>19</v>
      </c>
      <c r="E23" t="s">
        <v>343</v>
      </c>
      <c r="F23">
        <v>420330</v>
      </c>
      <c r="G23" t="s">
        <v>106</v>
      </c>
      <c r="H23" s="36">
        <v>165</v>
      </c>
      <c r="I23" s="36">
        <v>165</v>
      </c>
      <c r="J23" t="s">
        <v>280</v>
      </c>
      <c r="K23" s="108">
        <v>2176.5</v>
      </c>
      <c r="L23">
        <v>0.25</v>
      </c>
      <c r="M23">
        <v>165</v>
      </c>
      <c r="P23">
        <v>991308</v>
      </c>
      <c r="Q23" t="s">
        <v>363</v>
      </c>
      <c r="R23" t="s">
        <v>117</v>
      </c>
      <c r="S23" t="str">
        <f>_xlfn.CONCAT($AR$5,Table_EffWindow_Savings[[#This Row],[Cardinal Direction]])</f>
        <v>Efficient WindowsEast</v>
      </c>
      <c r="T23">
        <v>4.32</v>
      </c>
      <c r="U23">
        <v>5.0000000000000001E-4</v>
      </c>
      <c r="AH23" t="s">
        <v>364</v>
      </c>
      <c r="AW23" s="59" t="s">
        <v>365</v>
      </c>
    </row>
    <row r="24" spans="4:49" x14ac:dyDescent="0.2">
      <c r="D24">
        <v>20</v>
      </c>
      <c r="E24" t="s">
        <v>343</v>
      </c>
      <c r="F24">
        <v>420425</v>
      </c>
      <c r="G24" t="s">
        <v>309</v>
      </c>
      <c r="H24" s="36">
        <v>4</v>
      </c>
      <c r="I24" s="36">
        <v>4</v>
      </c>
      <c r="J24" t="s">
        <v>366</v>
      </c>
      <c r="K24">
        <v>30</v>
      </c>
      <c r="L24">
        <v>3.0000000000000001E-3</v>
      </c>
      <c r="M24">
        <v>4</v>
      </c>
      <c r="AH24" t="s">
        <v>367</v>
      </c>
      <c r="AW24" s="59" t="s">
        <v>368</v>
      </c>
    </row>
    <row r="25" spans="4:49" x14ac:dyDescent="0.2">
      <c r="D25">
        <v>21</v>
      </c>
      <c r="E25" t="s">
        <v>343</v>
      </c>
      <c r="F25">
        <v>420525</v>
      </c>
      <c r="G25" t="s">
        <v>316</v>
      </c>
      <c r="H25" s="36">
        <v>8</v>
      </c>
      <c r="I25" s="36">
        <v>8</v>
      </c>
      <c r="J25" t="s">
        <v>366</v>
      </c>
      <c r="K25">
        <v>72</v>
      </c>
      <c r="L25">
        <v>8.0000000000000002E-3</v>
      </c>
      <c r="M25">
        <v>8</v>
      </c>
      <c r="AH25" t="s">
        <v>369</v>
      </c>
      <c r="AW25" s="59" t="s">
        <v>370</v>
      </c>
    </row>
    <row r="26" spans="4:49" x14ac:dyDescent="0.2">
      <c r="D26">
        <v>22</v>
      </c>
      <c r="E26" t="s">
        <v>343</v>
      </c>
      <c r="F26">
        <v>420625</v>
      </c>
      <c r="G26" t="s">
        <v>323</v>
      </c>
      <c r="H26" s="36">
        <v>8</v>
      </c>
      <c r="I26" s="36">
        <v>8</v>
      </c>
      <c r="J26" t="s">
        <v>366</v>
      </c>
      <c r="K26">
        <v>287</v>
      </c>
      <c r="L26">
        <v>3.3000000000000002E-2</v>
      </c>
      <c r="M26">
        <v>8</v>
      </c>
      <c r="AH26" t="s">
        <v>371</v>
      </c>
      <c r="AW26" s="59" t="s">
        <v>372</v>
      </c>
    </row>
    <row r="27" spans="4:49" x14ac:dyDescent="0.2">
      <c r="D27">
        <v>23</v>
      </c>
      <c r="E27" t="s">
        <v>343</v>
      </c>
      <c r="F27" s="156" t="s">
        <v>373</v>
      </c>
      <c r="G27" t="s">
        <v>105</v>
      </c>
      <c r="H27" s="36">
        <v>2</v>
      </c>
      <c r="I27" s="36">
        <v>2</v>
      </c>
      <c r="J27" t="s">
        <v>374</v>
      </c>
      <c r="K27">
        <v>15</v>
      </c>
      <c r="L27">
        <v>2E-3</v>
      </c>
      <c r="AH27" t="s">
        <v>375</v>
      </c>
      <c r="AW27" s="59" t="s">
        <v>376</v>
      </c>
    </row>
    <row r="28" spans="4:49" x14ac:dyDescent="0.2">
      <c r="D28">
        <v>24</v>
      </c>
      <c r="E28" t="s">
        <v>343</v>
      </c>
      <c r="F28" s="156" t="s">
        <v>377</v>
      </c>
      <c r="G28" t="s">
        <v>331</v>
      </c>
      <c r="H28" s="36">
        <v>14</v>
      </c>
      <c r="I28" s="36">
        <v>14</v>
      </c>
      <c r="J28" t="s">
        <v>374</v>
      </c>
      <c r="K28">
        <v>115</v>
      </c>
      <c r="L28">
        <v>1.2999999999999999E-2</v>
      </c>
      <c r="AH28" t="s">
        <v>378</v>
      </c>
      <c r="AW28" s="59" t="s">
        <v>379</v>
      </c>
    </row>
    <row r="29" spans="4:49" x14ac:dyDescent="0.2">
      <c r="D29">
        <v>25</v>
      </c>
      <c r="E29" t="s">
        <v>343</v>
      </c>
      <c r="F29" s="156" t="s">
        <v>380</v>
      </c>
      <c r="G29" t="s">
        <v>334</v>
      </c>
      <c r="H29" s="36">
        <v>113</v>
      </c>
      <c r="I29" s="36">
        <v>113</v>
      </c>
      <c r="J29" t="s">
        <v>381</v>
      </c>
      <c r="K29">
        <v>943</v>
      </c>
      <c r="L29">
        <v>0.13700000000000001</v>
      </c>
      <c r="AH29" t="s">
        <v>382</v>
      </c>
      <c r="AW29" s="59" t="s">
        <v>383</v>
      </c>
    </row>
    <row r="30" spans="4:49" x14ac:dyDescent="0.2">
      <c r="D30">
        <v>26</v>
      </c>
      <c r="E30" t="s">
        <v>343</v>
      </c>
      <c r="F30" s="156" t="s">
        <v>384</v>
      </c>
      <c r="G30" t="s">
        <v>338</v>
      </c>
      <c r="H30" s="36">
        <v>157</v>
      </c>
      <c r="I30" s="36">
        <v>157</v>
      </c>
      <c r="J30" t="s">
        <v>381</v>
      </c>
      <c r="K30">
        <v>2307</v>
      </c>
      <c r="L30">
        <v>0.309</v>
      </c>
      <c r="AH30" t="s">
        <v>385</v>
      </c>
      <c r="AW30" s="59" t="s">
        <v>146</v>
      </c>
    </row>
    <row r="31" spans="4:49" x14ac:dyDescent="0.2">
      <c r="D31">
        <v>27</v>
      </c>
      <c r="E31" t="s">
        <v>343</v>
      </c>
      <c r="F31">
        <v>124997</v>
      </c>
      <c r="G31" t="s">
        <v>103</v>
      </c>
      <c r="H31" s="36">
        <v>44</v>
      </c>
      <c r="I31" s="36">
        <v>44</v>
      </c>
      <c r="J31" t="s">
        <v>386</v>
      </c>
      <c r="K31">
        <v>217.2</v>
      </c>
      <c r="L31">
        <v>3.5000000000000003E-2</v>
      </c>
      <c r="M31">
        <v>30</v>
      </c>
      <c r="AH31" t="s">
        <v>387</v>
      </c>
      <c r="AW31" s="59" t="s">
        <v>388</v>
      </c>
    </row>
    <row r="32" spans="4:49" x14ac:dyDescent="0.2">
      <c r="D32">
        <v>28</v>
      </c>
      <c r="E32" t="s">
        <v>343</v>
      </c>
      <c r="F32">
        <v>125097</v>
      </c>
      <c r="G32" t="s">
        <v>346</v>
      </c>
      <c r="H32" s="36">
        <v>57</v>
      </c>
      <c r="I32" s="36">
        <v>57</v>
      </c>
      <c r="J32" t="s">
        <v>386</v>
      </c>
      <c r="K32">
        <v>310.60000000000002</v>
      </c>
      <c r="L32">
        <v>0.05</v>
      </c>
      <c r="M32">
        <v>40</v>
      </c>
      <c r="AH32" t="s">
        <v>389</v>
      </c>
      <c r="AW32" s="59" t="s">
        <v>390</v>
      </c>
    </row>
    <row r="33" spans="4:49" x14ac:dyDescent="0.2">
      <c r="D33">
        <v>29</v>
      </c>
      <c r="E33" t="s">
        <v>391</v>
      </c>
      <c r="F33">
        <v>322930</v>
      </c>
      <c r="G33" t="s">
        <v>232</v>
      </c>
      <c r="H33" s="36">
        <v>250</v>
      </c>
      <c r="I33" s="36">
        <v>250</v>
      </c>
      <c r="J33" t="s">
        <v>280</v>
      </c>
      <c r="K33">
        <v>2433.5</v>
      </c>
      <c r="L33">
        <v>0.46500000000000002</v>
      </c>
      <c r="M33">
        <v>250</v>
      </c>
      <c r="AH33" t="s">
        <v>392</v>
      </c>
      <c r="AW33" s="59" t="s">
        <v>393</v>
      </c>
    </row>
    <row r="34" spans="4:49" x14ac:dyDescent="0.2">
      <c r="D34">
        <v>30</v>
      </c>
      <c r="E34" t="s">
        <v>391</v>
      </c>
      <c r="F34">
        <v>323030</v>
      </c>
      <c r="G34" t="s">
        <v>110</v>
      </c>
      <c r="H34" s="36">
        <v>1865</v>
      </c>
      <c r="I34" s="36">
        <v>1865</v>
      </c>
      <c r="J34" t="s">
        <v>280</v>
      </c>
      <c r="K34">
        <v>43014.5</v>
      </c>
      <c r="L34">
        <v>8.25</v>
      </c>
      <c r="M34">
        <v>1865</v>
      </c>
      <c r="AH34" t="s">
        <v>394</v>
      </c>
      <c r="AW34" s="59" t="s">
        <v>395</v>
      </c>
    </row>
    <row r="35" spans="4:49" x14ac:dyDescent="0.2">
      <c r="D35">
        <v>31</v>
      </c>
      <c r="E35" t="s">
        <v>391</v>
      </c>
      <c r="F35">
        <v>323130</v>
      </c>
      <c r="G35" t="s">
        <v>262</v>
      </c>
      <c r="H35" s="36">
        <v>230</v>
      </c>
      <c r="I35" s="36">
        <v>230</v>
      </c>
      <c r="J35" t="s">
        <v>280</v>
      </c>
      <c r="K35">
        <v>1987.5</v>
      </c>
      <c r="L35">
        <v>0.38</v>
      </c>
      <c r="M35">
        <v>230</v>
      </c>
      <c r="AH35" t="s">
        <v>396</v>
      </c>
      <c r="AW35" s="59" t="s">
        <v>148</v>
      </c>
    </row>
    <row r="36" spans="4:49" x14ac:dyDescent="0.2">
      <c r="D36">
        <v>32</v>
      </c>
      <c r="E36" t="s">
        <v>391</v>
      </c>
      <c r="F36">
        <v>323230</v>
      </c>
      <c r="G36" t="s">
        <v>109</v>
      </c>
      <c r="H36" s="36">
        <v>45</v>
      </c>
      <c r="I36" s="36">
        <v>45</v>
      </c>
      <c r="J36" t="s">
        <v>397</v>
      </c>
      <c r="K36">
        <v>758</v>
      </c>
      <c r="L36">
        <v>0.15</v>
      </c>
      <c r="M36">
        <v>45</v>
      </c>
      <c r="AH36" t="s">
        <v>398</v>
      </c>
      <c r="AW36" s="59" t="s">
        <v>399</v>
      </c>
    </row>
    <row r="37" spans="4:49" x14ac:dyDescent="0.2">
      <c r="D37">
        <v>33</v>
      </c>
      <c r="E37" t="s">
        <v>391</v>
      </c>
      <c r="F37">
        <v>321115</v>
      </c>
      <c r="G37" t="s">
        <v>290</v>
      </c>
      <c r="H37" s="36">
        <v>600</v>
      </c>
      <c r="I37" s="36">
        <v>600</v>
      </c>
      <c r="J37" t="s">
        <v>400</v>
      </c>
      <c r="K37">
        <v>4845</v>
      </c>
      <c r="L37">
        <v>0.63400000000000001</v>
      </c>
      <c r="M37">
        <v>600</v>
      </c>
      <c r="AW37" s="59" t="s">
        <v>401</v>
      </c>
    </row>
    <row r="38" spans="4:49" x14ac:dyDescent="0.2">
      <c r="D38">
        <v>34</v>
      </c>
      <c r="E38" t="s">
        <v>391</v>
      </c>
      <c r="F38">
        <v>321030</v>
      </c>
      <c r="G38" t="s">
        <v>299</v>
      </c>
      <c r="H38" s="36">
        <v>600</v>
      </c>
      <c r="I38" s="36">
        <v>600</v>
      </c>
      <c r="J38" t="s">
        <v>280</v>
      </c>
      <c r="K38" s="108">
        <v>7622.3</v>
      </c>
      <c r="L38">
        <v>0.97199999999999998</v>
      </c>
      <c r="M38">
        <v>600</v>
      </c>
      <c r="AW38" s="59" t="s">
        <v>402</v>
      </c>
    </row>
    <row r="39" spans="4:49" x14ac:dyDescent="0.2">
      <c r="D39">
        <v>35</v>
      </c>
      <c r="E39" t="s">
        <v>391</v>
      </c>
      <c r="F39">
        <v>522730</v>
      </c>
      <c r="G39" t="s">
        <v>310</v>
      </c>
      <c r="H39" s="36">
        <v>35</v>
      </c>
      <c r="I39" s="36">
        <v>35</v>
      </c>
      <c r="J39" t="s">
        <v>280</v>
      </c>
      <c r="K39">
        <v>993</v>
      </c>
      <c r="L39">
        <v>0.125</v>
      </c>
      <c r="M39">
        <v>35</v>
      </c>
      <c r="AW39" s="59" t="s">
        <v>403</v>
      </c>
    </row>
    <row r="40" spans="4:49" x14ac:dyDescent="0.2">
      <c r="D40">
        <v>36</v>
      </c>
      <c r="E40" t="s">
        <v>404</v>
      </c>
      <c r="F40">
        <v>991298</v>
      </c>
      <c r="G40" t="s">
        <v>224</v>
      </c>
      <c r="H40" s="36">
        <v>1.5</v>
      </c>
      <c r="I40" s="36">
        <v>1.5</v>
      </c>
      <c r="J40" t="s">
        <v>405</v>
      </c>
      <c r="K40">
        <v>10.24</v>
      </c>
      <c r="L40">
        <f t="shared" ref="L40:L48" si="2">K40/1000</f>
        <v>1.0240000000000001E-2</v>
      </c>
      <c r="AW40" s="59" t="s">
        <v>406</v>
      </c>
    </row>
    <row r="41" spans="4:49" x14ac:dyDescent="0.2">
      <c r="D41">
        <v>37</v>
      </c>
      <c r="E41" t="s">
        <v>404</v>
      </c>
      <c r="F41">
        <v>991299</v>
      </c>
      <c r="G41" t="s">
        <v>235</v>
      </c>
      <c r="H41" s="36">
        <v>1.5</v>
      </c>
      <c r="I41" s="36">
        <v>1.5</v>
      </c>
      <c r="J41" t="s">
        <v>405</v>
      </c>
      <c r="K41">
        <v>12.32</v>
      </c>
      <c r="L41">
        <f t="shared" si="2"/>
        <v>1.2320000000000001E-2</v>
      </c>
      <c r="AW41" s="59" t="s">
        <v>407</v>
      </c>
    </row>
    <row r="42" spans="4:49" x14ac:dyDescent="0.2">
      <c r="D42">
        <v>38</v>
      </c>
      <c r="E42" t="s">
        <v>404</v>
      </c>
      <c r="F42">
        <v>991300</v>
      </c>
      <c r="G42" t="s">
        <v>252</v>
      </c>
      <c r="H42" s="36">
        <v>1.5</v>
      </c>
      <c r="I42" s="36">
        <v>1.5</v>
      </c>
      <c r="J42" t="s">
        <v>405</v>
      </c>
      <c r="K42">
        <v>17.079999999999998</v>
      </c>
      <c r="L42">
        <f t="shared" si="2"/>
        <v>1.7079999999999998E-2</v>
      </c>
    </row>
    <row r="43" spans="4:49" x14ac:dyDescent="0.2">
      <c r="D43">
        <v>39</v>
      </c>
      <c r="E43" t="s">
        <v>404</v>
      </c>
      <c r="F43">
        <v>991292</v>
      </c>
      <c r="G43" t="s">
        <v>268</v>
      </c>
      <c r="H43" s="36">
        <v>0.3</v>
      </c>
      <c r="I43" s="36">
        <v>0.3</v>
      </c>
      <c r="J43" t="s">
        <v>405</v>
      </c>
      <c r="K43">
        <v>3.08</v>
      </c>
      <c r="L43">
        <f t="shared" si="2"/>
        <v>3.0800000000000003E-3</v>
      </c>
    </row>
    <row r="44" spans="4:49" x14ac:dyDescent="0.2">
      <c r="D44">
        <v>40</v>
      </c>
      <c r="E44" t="s">
        <v>404</v>
      </c>
      <c r="F44">
        <v>991293</v>
      </c>
      <c r="G44" t="s">
        <v>281</v>
      </c>
      <c r="H44" s="36">
        <v>0.3</v>
      </c>
      <c r="I44" s="36">
        <v>0.3</v>
      </c>
      <c r="J44" t="s">
        <v>405</v>
      </c>
      <c r="K44">
        <v>6.13</v>
      </c>
      <c r="L44">
        <f t="shared" si="2"/>
        <v>6.13E-3</v>
      </c>
    </row>
    <row r="45" spans="4:49" x14ac:dyDescent="0.2">
      <c r="D45">
        <v>41</v>
      </c>
      <c r="E45" t="s">
        <v>404</v>
      </c>
      <c r="F45">
        <v>991294</v>
      </c>
      <c r="G45" t="s">
        <v>293</v>
      </c>
      <c r="H45" s="36">
        <v>0.3</v>
      </c>
      <c r="I45" s="36">
        <v>0.3</v>
      </c>
      <c r="J45" t="s">
        <v>405</v>
      </c>
      <c r="K45">
        <v>1.68</v>
      </c>
      <c r="L45">
        <f t="shared" si="2"/>
        <v>1.6799999999999999E-3</v>
      </c>
    </row>
    <row r="46" spans="4:49" x14ac:dyDescent="0.2">
      <c r="D46">
        <v>42</v>
      </c>
      <c r="E46" t="s">
        <v>404</v>
      </c>
      <c r="F46">
        <v>991295</v>
      </c>
      <c r="G46" t="s">
        <v>303</v>
      </c>
      <c r="H46" s="36">
        <v>0.5</v>
      </c>
      <c r="I46" s="36">
        <v>0.5</v>
      </c>
      <c r="J46" t="s">
        <v>405</v>
      </c>
      <c r="K46">
        <v>5.04</v>
      </c>
      <c r="L46">
        <f t="shared" si="2"/>
        <v>5.0400000000000002E-3</v>
      </c>
    </row>
    <row r="47" spans="4:49" x14ac:dyDescent="0.2">
      <c r="D47">
        <v>43</v>
      </c>
      <c r="E47" t="s">
        <v>404</v>
      </c>
      <c r="F47">
        <v>991296</v>
      </c>
      <c r="G47" t="s">
        <v>312</v>
      </c>
      <c r="H47" s="36">
        <v>0.5</v>
      </c>
      <c r="I47" s="36">
        <v>0.5</v>
      </c>
      <c r="J47" t="s">
        <v>405</v>
      </c>
      <c r="K47">
        <v>7.76</v>
      </c>
      <c r="L47">
        <f t="shared" si="2"/>
        <v>7.7599999999999995E-3</v>
      </c>
    </row>
    <row r="48" spans="4:49" x14ac:dyDescent="0.2">
      <c r="D48">
        <v>44</v>
      </c>
      <c r="E48" t="s">
        <v>404</v>
      </c>
      <c r="F48">
        <v>991297</v>
      </c>
      <c r="G48" t="s">
        <v>319</v>
      </c>
      <c r="H48" s="36">
        <v>0.5</v>
      </c>
      <c r="I48" s="36">
        <v>0.5</v>
      </c>
      <c r="J48" t="s">
        <v>405</v>
      </c>
      <c r="K48">
        <v>5.81</v>
      </c>
      <c r="L48">
        <f t="shared" si="2"/>
        <v>5.8099999999999992E-3</v>
      </c>
    </row>
    <row r="49" spans="4:13" x14ac:dyDescent="0.2">
      <c r="D49">
        <v>45</v>
      </c>
      <c r="E49" t="s">
        <v>124</v>
      </c>
      <c r="F49">
        <v>991301</v>
      </c>
      <c r="G49" t="s">
        <v>336</v>
      </c>
      <c r="H49" s="36">
        <v>0.5</v>
      </c>
      <c r="I49" s="36">
        <v>0.5</v>
      </c>
      <c r="J49" t="s">
        <v>405</v>
      </c>
      <c r="K49" s="42">
        <v>3.4</v>
      </c>
      <c r="L49">
        <v>2.0000000000000001E-4</v>
      </c>
    </row>
    <row r="50" spans="4:13" x14ac:dyDescent="0.2">
      <c r="D50">
        <v>46</v>
      </c>
      <c r="E50" t="s">
        <v>124</v>
      </c>
      <c r="F50">
        <v>991302</v>
      </c>
      <c r="G50" t="s">
        <v>340</v>
      </c>
      <c r="H50" s="36">
        <v>0.5</v>
      </c>
      <c r="I50" s="36">
        <v>0.5</v>
      </c>
      <c r="J50" t="s">
        <v>405</v>
      </c>
      <c r="K50">
        <v>4.16</v>
      </c>
      <c r="L50">
        <v>4.0000000000000002E-4</v>
      </c>
    </row>
    <row r="51" spans="4:13" x14ac:dyDescent="0.2">
      <c r="D51">
        <v>47</v>
      </c>
      <c r="E51" t="s">
        <v>124</v>
      </c>
      <c r="F51">
        <v>991303</v>
      </c>
      <c r="G51" t="s">
        <v>344</v>
      </c>
      <c r="H51" s="36">
        <v>0.5</v>
      </c>
      <c r="I51" s="36">
        <v>0.5</v>
      </c>
      <c r="J51" t="s">
        <v>405</v>
      </c>
      <c r="K51">
        <v>4.67</v>
      </c>
      <c r="L51">
        <v>5.0000000000000001E-4</v>
      </c>
    </row>
    <row r="52" spans="4:13" x14ac:dyDescent="0.2">
      <c r="D52">
        <v>48</v>
      </c>
      <c r="E52" t="s">
        <v>124</v>
      </c>
      <c r="F52">
        <v>991304</v>
      </c>
      <c r="G52" t="s">
        <v>349</v>
      </c>
      <c r="H52" s="36">
        <v>0.5</v>
      </c>
      <c r="I52" s="36">
        <v>0.5</v>
      </c>
      <c r="J52" t="s">
        <v>405</v>
      </c>
      <c r="K52">
        <v>3.98</v>
      </c>
      <c r="L52">
        <v>2.9999999999999997E-4</v>
      </c>
    </row>
    <row r="53" spans="4:13" x14ac:dyDescent="0.2">
      <c r="D53">
        <v>49</v>
      </c>
      <c r="E53" t="s">
        <v>124</v>
      </c>
      <c r="F53">
        <v>991305</v>
      </c>
      <c r="G53" t="s">
        <v>353</v>
      </c>
      <c r="H53" s="36">
        <v>0.5</v>
      </c>
      <c r="I53" s="36">
        <v>0.5</v>
      </c>
      <c r="J53" t="s">
        <v>405</v>
      </c>
      <c r="K53">
        <v>3.11</v>
      </c>
      <c r="L53">
        <v>2.0000000000000001E-4</v>
      </c>
    </row>
    <row r="54" spans="4:13" x14ac:dyDescent="0.2">
      <c r="D54">
        <v>50</v>
      </c>
      <c r="E54" t="s">
        <v>124</v>
      </c>
      <c r="F54">
        <v>991306</v>
      </c>
      <c r="G54" t="s">
        <v>357</v>
      </c>
      <c r="H54" s="36">
        <v>0.5</v>
      </c>
      <c r="I54" s="36">
        <v>0.5</v>
      </c>
      <c r="J54" t="s">
        <v>405</v>
      </c>
      <c r="K54">
        <v>3.83</v>
      </c>
      <c r="L54">
        <v>4.0000000000000002E-4</v>
      </c>
    </row>
    <row r="55" spans="4:13" x14ac:dyDescent="0.2">
      <c r="D55">
        <v>51</v>
      </c>
      <c r="E55" t="s">
        <v>124</v>
      </c>
      <c r="F55">
        <v>991307</v>
      </c>
      <c r="G55" t="s">
        <v>360</v>
      </c>
      <c r="H55" s="36">
        <v>0.5</v>
      </c>
      <c r="I55" s="36">
        <v>0.5</v>
      </c>
      <c r="J55" t="s">
        <v>405</v>
      </c>
      <c r="K55">
        <v>4.32</v>
      </c>
      <c r="L55">
        <v>5.0000000000000001E-4</v>
      </c>
    </row>
    <row r="56" spans="4:13" x14ac:dyDescent="0.2">
      <c r="D56">
        <v>52</v>
      </c>
      <c r="E56" t="s">
        <v>124</v>
      </c>
      <c r="F56">
        <v>991308</v>
      </c>
      <c r="G56" t="s">
        <v>363</v>
      </c>
      <c r="H56" s="36">
        <v>0.5</v>
      </c>
      <c r="I56" s="36">
        <v>0.5</v>
      </c>
      <c r="J56" t="s">
        <v>405</v>
      </c>
      <c r="K56">
        <v>4.32</v>
      </c>
      <c r="L56">
        <v>5.0000000000000001E-4</v>
      </c>
    </row>
    <row r="57" spans="4:13" x14ac:dyDescent="0.2">
      <c r="D57">
        <v>53</v>
      </c>
      <c r="E57" t="s">
        <v>408</v>
      </c>
      <c r="F57">
        <v>933415</v>
      </c>
      <c r="G57" t="s">
        <v>128</v>
      </c>
      <c r="H57" s="36">
        <v>22</v>
      </c>
      <c r="I57" s="36">
        <v>22</v>
      </c>
      <c r="J57" t="s">
        <v>280</v>
      </c>
      <c r="K57">
        <v>256</v>
      </c>
      <c r="L57">
        <v>1.2999999999999999E-2</v>
      </c>
      <c r="M57">
        <v>22</v>
      </c>
    </row>
    <row r="58" spans="4:13" x14ac:dyDescent="0.2">
      <c r="D58">
        <v>54</v>
      </c>
      <c r="E58" t="s">
        <v>408</v>
      </c>
      <c r="F58">
        <v>921530</v>
      </c>
      <c r="G58" t="s">
        <v>127</v>
      </c>
      <c r="H58" s="36">
        <v>8</v>
      </c>
      <c r="I58" s="36">
        <v>8</v>
      </c>
      <c r="J58" t="s">
        <v>280</v>
      </c>
      <c r="K58">
        <v>61.2</v>
      </c>
      <c r="L58">
        <v>0</v>
      </c>
      <c r="M58">
        <v>8</v>
      </c>
    </row>
    <row r="59" spans="4:13" x14ac:dyDescent="0.2">
      <c r="D59">
        <v>55</v>
      </c>
      <c r="E59" t="s">
        <v>408</v>
      </c>
      <c r="F59">
        <v>522630</v>
      </c>
      <c r="G59" t="s">
        <v>263</v>
      </c>
      <c r="H59" s="36">
        <v>6</v>
      </c>
      <c r="I59" s="36">
        <v>6</v>
      </c>
      <c r="J59" t="s">
        <v>280</v>
      </c>
      <c r="K59">
        <v>563.29999999999995</v>
      </c>
      <c r="L59">
        <v>0.12</v>
      </c>
      <c r="M59">
        <v>6</v>
      </c>
    </row>
    <row r="60" spans="4:13" x14ac:dyDescent="0.2">
      <c r="D60">
        <v>56</v>
      </c>
      <c r="E60" t="s">
        <v>408</v>
      </c>
      <c r="F60">
        <v>520830</v>
      </c>
      <c r="G60" t="s">
        <v>277</v>
      </c>
      <c r="H60" s="36">
        <v>7</v>
      </c>
      <c r="I60" s="36">
        <v>7</v>
      </c>
      <c r="J60" t="s">
        <v>280</v>
      </c>
      <c r="K60">
        <v>48.7</v>
      </c>
      <c r="L60">
        <v>2.16</v>
      </c>
      <c r="M60">
        <v>7</v>
      </c>
    </row>
    <row r="61" spans="4:13" x14ac:dyDescent="0.2">
      <c r="D61">
        <v>57</v>
      </c>
      <c r="E61" t="s">
        <v>409</v>
      </c>
      <c r="F61">
        <v>203930</v>
      </c>
      <c r="G61" t="s">
        <v>233</v>
      </c>
      <c r="H61" s="36"/>
      <c r="I61" s="36"/>
    </row>
    <row r="62" spans="4:13" x14ac:dyDescent="0.2">
      <c r="D62">
        <v>58</v>
      </c>
      <c r="E62" t="s">
        <v>409</v>
      </c>
      <c r="F62">
        <v>204030</v>
      </c>
      <c r="G62" t="s">
        <v>248</v>
      </c>
      <c r="H62" s="36"/>
      <c r="I62" s="36"/>
    </row>
    <row r="63" spans="4:13" x14ac:dyDescent="0.2">
      <c r="D63">
        <v>59</v>
      </c>
      <c r="E63" t="s">
        <v>409</v>
      </c>
      <c r="F63">
        <v>204130</v>
      </c>
      <c r="G63" t="s">
        <v>265</v>
      </c>
      <c r="H63" s="36"/>
      <c r="I63" s="36"/>
    </row>
    <row r="64" spans="4:13" x14ac:dyDescent="0.2">
      <c r="D64">
        <v>60</v>
      </c>
      <c r="E64" t="s">
        <v>409</v>
      </c>
      <c r="F64">
        <v>204230</v>
      </c>
      <c r="G64" t="s">
        <v>278</v>
      </c>
      <c r="H64" s="36"/>
      <c r="I64" s="36"/>
    </row>
    <row r="65" spans="4:9" x14ac:dyDescent="0.2">
      <c r="D65">
        <v>61</v>
      </c>
      <c r="E65" t="s">
        <v>409</v>
      </c>
      <c r="F65">
        <v>604330</v>
      </c>
      <c r="G65" t="s">
        <v>143</v>
      </c>
      <c r="H65" s="36"/>
      <c r="I65" s="36"/>
    </row>
    <row r="66" spans="4:9" x14ac:dyDescent="0.2">
      <c r="D66">
        <v>62</v>
      </c>
      <c r="E66" t="s">
        <v>409</v>
      </c>
      <c r="F66">
        <v>604430</v>
      </c>
      <c r="G66" t="s">
        <v>300</v>
      </c>
      <c r="H66" s="36"/>
      <c r="I66" s="36"/>
    </row>
    <row r="67" spans="4:9" x14ac:dyDescent="0.2">
      <c r="D67">
        <v>63</v>
      </c>
      <c r="E67" t="s">
        <v>409</v>
      </c>
      <c r="F67">
        <v>204530</v>
      </c>
      <c r="G67" t="s">
        <v>311</v>
      </c>
      <c r="H67" s="36"/>
      <c r="I67" s="36"/>
    </row>
    <row r="68" spans="4:9" x14ac:dyDescent="0.2">
      <c r="D68">
        <v>64</v>
      </c>
      <c r="E68" t="s">
        <v>409</v>
      </c>
      <c r="F68">
        <v>204630</v>
      </c>
      <c r="G68" t="s">
        <v>317</v>
      </c>
      <c r="H68" s="36"/>
      <c r="I68" s="36"/>
    </row>
    <row r="69" spans="4:9" x14ac:dyDescent="0.2">
      <c r="D69">
        <v>65</v>
      </c>
      <c r="E69" t="s">
        <v>409</v>
      </c>
      <c r="F69">
        <v>204730</v>
      </c>
      <c r="G69" t="s">
        <v>324</v>
      </c>
      <c r="H69" s="36"/>
      <c r="I69" s="36"/>
    </row>
    <row r="70" spans="4:9" x14ac:dyDescent="0.2">
      <c r="D70">
        <v>66</v>
      </c>
      <c r="E70" t="s">
        <v>409</v>
      </c>
      <c r="F70">
        <v>204830</v>
      </c>
      <c r="G70" t="s">
        <v>327</v>
      </c>
      <c r="H70" s="36"/>
      <c r="I70" s="36"/>
    </row>
    <row r="71" spans="4:9" x14ac:dyDescent="0.2">
      <c r="D71">
        <v>67</v>
      </c>
      <c r="E71" t="s">
        <v>409</v>
      </c>
      <c r="F71">
        <v>204930</v>
      </c>
      <c r="G71" t="s">
        <v>332</v>
      </c>
      <c r="H71" s="36"/>
      <c r="I71" s="36"/>
    </row>
    <row r="72" spans="4:9" x14ac:dyDescent="0.2">
      <c r="D72">
        <v>68</v>
      </c>
      <c r="E72" t="s">
        <v>409</v>
      </c>
      <c r="F72">
        <v>205030</v>
      </c>
      <c r="G72" t="s">
        <v>335</v>
      </c>
      <c r="H72" s="36"/>
      <c r="I72" s="36"/>
    </row>
    <row r="73" spans="4:9" x14ac:dyDescent="0.2">
      <c r="D73">
        <v>69</v>
      </c>
      <c r="E73" t="s">
        <v>409</v>
      </c>
      <c r="F73">
        <v>205130</v>
      </c>
      <c r="G73" t="s">
        <v>339</v>
      </c>
      <c r="H73" s="36"/>
      <c r="I73" s="36"/>
    </row>
    <row r="74" spans="4:9" x14ac:dyDescent="0.2">
      <c r="D74">
        <v>70</v>
      </c>
      <c r="E74" t="s">
        <v>409</v>
      </c>
      <c r="F74">
        <v>205230</v>
      </c>
      <c r="G74" t="s">
        <v>342</v>
      </c>
      <c r="H74" s="36"/>
      <c r="I74" s="36"/>
    </row>
    <row r="75" spans="4:9" x14ac:dyDescent="0.2">
      <c r="D75">
        <v>71</v>
      </c>
      <c r="E75" t="s">
        <v>409</v>
      </c>
      <c r="F75">
        <v>205330</v>
      </c>
      <c r="G75" t="s">
        <v>347</v>
      </c>
      <c r="H75" s="36"/>
      <c r="I75" s="36"/>
    </row>
    <row r="76" spans="4:9" x14ac:dyDescent="0.2">
      <c r="D76">
        <v>72</v>
      </c>
      <c r="E76" t="s">
        <v>409</v>
      </c>
      <c r="F76">
        <v>205430</v>
      </c>
      <c r="G76" t="s">
        <v>351</v>
      </c>
      <c r="H76" s="36"/>
      <c r="I76" s="36"/>
    </row>
    <row r="77" spans="4:9" x14ac:dyDescent="0.2">
      <c r="D77">
        <v>73</v>
      </c>
      <c r="E77" t="s">
        <v>409</v>
      </c>
      <c r="F77">
        <v>205530</v>
      </c>
      <c r="G77" t="s">
        <v>355</v>
      </c>
      <c r="H77" s="36"/>
      <c r="I77" s="36"/>
    </row>
    <row r="78" spans="4:9" x14ac:dyDescent="0.2">
      <c r="D78">
        <v>74</v>
      </c>
      <c r="E78" t="s">
        <v>409</v>
      </c>
      <c r="F78">
        <v>205630</v>
      </c>
      <c r="G78" t="s">
        <v>359</v>
      </c>
      <c r="H78" s="36"/>
      <c r="I78" s="36"/>
    </row>
    <row r="79" spans="4:9" x14ac:dyDescent="0.2">
      <c r="D79">
        <v>75</v>
      </c>
      <c r="E79" t="s">
        <v>409</v>
      </c>
      <c r="F79">
        <v>205730</v>
      </c>
      <c r="G79" t="s">
        <v>362</v>
      </c>
      <c r="H79" s="36"/>
      <c r="I79" s="36"/>
    </row>
    <row r="80" spans="4:9" x14ac:dyDescent="0.2">
      <c r="D80">
        <v>76</v>
      </c>
      <c r="E80" t="s">
        <v>409</v>
      </c>
      <c r="F80">
        <v>915830</v>
      </c>
      <c r="G80" t="s">
        <v>365</v>
      </c>
      <c r="H80" s="36"/>
      <c r="I80" s="36"/>
    </row>
    <row r="81" spans="4:9" x14ac:dyDescent="0.2">
      <c r="D81">
        <v>77</v>
      </c>
      <c r="E81" t="s">
        <v>409</v>
      </c>
      <c r="F81">
        <v>915930</v>
      </c>
      <c r="G81" t="s">
        <v>368</v>
      </c>
      <c r="H81" s="36"/>
      <c r="I81" s="36"/>
    </row>
    <row r="82" spans="4:9" x14ac:dyDescent="0.2">
      <c r="D82">
        <v>78</v>
      </c>
      <c r="E82" t="s">
        <v>409</v>
      </c>
      <c r="F82">
        <v>916030</v>
      </c>
      <c r="G82" t="s">
        <v>370</v>
      </c>
      <c r="H82" s="36"/>
      <c r="I82" s="36"/>
    </row>
    <row r="83" spans="4:9" x14ac:dyDescent="0.2">
      <c r="D83">
        <v>79</v>
      </c>
      <c r="E83" t="s">
        <v>409</v>
      </c>
      <c r="F83">
        <v>706130</v>
      </c>
      <c r="G83" t="s">
        <v>372</v>
      </c>
      <c r="H83" s="36"/>
      <c r="I83" s="36"/>
    </row>
    <row r="84" spans="4:9" x14ac:dyDescent="0.2">
      <c r="D84">
        <v>80</v>
      </c>
      <c r="E84" t="s">
        <v>409</v>
      </c>
      <c r="F84">
        <v>706230</v>
      </c>
      <c r="G84" t="s">
        <v>376</v>
      </c>
      <c r="H84" s="36"/>
      <c r="I84" s="36"/>
    </row>
    <row r="85" spans="4:9" x14ac:dyDescent="0.2">
      <c r="D85">
        <v>81</v>
      </c>
      <c r="E85" t="s">
        <v>409</v>
      </c>
      <c r="F85">
        <v>206330</v>
      </c>
      <c r="G85" t="s">
        <v>379</v>
      </c>
      <c r="H85" s="36"/>
      <c r="I85" s="36"/>
    </row>
    <row r="86" spans="4:9" x14ac:dyDescent="0.2">
      <c r="D86">
        <v>82</v>
      </c>
      <c r="E86" t="s">
        <v>409</v>
      </c>
      <c r="F86">
        <v>206425</v>
      </c>
      <c r="G86" t="s">
        <v>383</v>
      </c>
      <c r="H86" s="36"/>
      <c r="I86" s="36"/>
    </row>
    <row r="87" spans="4:9" x14ac:dyDescent="0.2">
      <c r="D87">
        <v>83</v>
      </c>
      <c r="E87" t="s">
        <v>409</v>
      </c>
      <c r="F87">
        <v>206530</v>
      </c>
      <c r="G87" t="s">
        <v>146</v>
      </c>
      <c r="H87" s="36"/>
      <c r="I87" s="36"/>
    </row>
    <row r="88" spans="4:9" x14ac:dyDescent="0.2">
      <c r="D88">
        <v>84</v>
      </c>
      <c r="E88" t="s">
        <v>409</v>
      </c>
      <c r="F88">
        <v>206630</v>
      </c>
      <c r="G88" t="s">
        <v>388</v>
      </c>
      <c r="H88" s="36"/>
      <c r="I88" s="36"/>
    </row>
    <row r="89" spans="4:9" x14ac:dyDescent="0.2">
      <c r="D89">
        <v>85</v>
      </c>
      <c r="E89" t="s">
        <v>409</v>
      </c>
      <c r="F89">
        <v>206730</v>
      </c>
      <c r="G89" t="s">
        <v>390</v>
      </c>
      <c r="H89" s="36"/>
      <c r="I89" s="36"/>
    </row>
    <row r="90" spans="4:9" x14ac:dyDescent="0.2">
      <c r="D90">
        <v>86</v>
      </c>
      <c r="E90" t="s">
        <v>409</v>
      </c>
      <c r="F90">
        <v>206830</v>
      </c>
      <c r="G90" t="s">
        <v>393</v>
      </c>
      <c r="H90" s="36"/>
      <c r="I90" s="36"/>
    </row>
    <row r="91" spans="4:9" x14ac:dyDescent="0.2">
      <c r="D91">
        <v>87</v>
      </c>
      <c r="E91" t="s">
        <v>409</v>
      </c>
      <c r="F91">
        <v>906930</v>
      </c>
      <c r="G91" t="s">
        <v>395</v>
      </c>
      <c r="H91" s="36"/>
      <c r="I91" s="36"/>
    </row>
    <row r="92" spans="4:9" x14ac:dyDescent="0.2">
      <c r="D92">
        <v>88</v>
      </c>
      <c r="E92" t="s">
        <v>409</v>
      </c>
      <c r="F92">
        <v>206930</v>
      </c>
      <c r="G92" t="s">
        <v>148</v>
      </c>
      <c r="H92" s="36"/>
      <c r="I92" s="36"/>
    </row>
    <row r="93" spans="4:9" x14ac:dyDescent="0.2">
      <c r="D93">
        <v>89</v>
      </c>
      <c r="E93" t="s">
        <v>409</v>
      </c>
      <c r="F93">
        <v>207030</v>
      </c>
      <c r="G93" t="s">
        <v>399</v>
      </c>
      <c r="H93" s="36"/>
      <c r="I93" s="36"/>
    </row>
    <row r="94" spans="4:9" x14ac:dyDescent="0.2">
      <c r="D94">
        <v>90</v>
      </c>
      <c r="E94" t="s">
        <v>409</v>
      </c>
      <c r="F94">
        <v>207130</v>
      </c>
      <c r="G94" t="s">
        <v>401</v>
      </c>
      <c r="H94" s="36"/>
      <c r="I94" s="36"/>
    </row>
    <row r="95" spans="4:9" x14ac:dyDescent="0.2">
      <c r="D95">
        <v>91</v>
      </c>
      <c r="E95" t="s">
        <v>409</v>
      </c>
      <c r="F95">
        <v>210130</v>
      </c>
      <c r="G95" t="s">
        <v>402</v>
      </c>
      <c r="H95" s="36"/>
      <c r="I95" s="36"/>
    </row>
    <row r="96" spans="4:9" x14ac:dyDescent="0.2">
      <c r="D96">
        <v>92</v>
      </c>
      <c r="E96" t="s">
        <v>409</v>
      </c>
      <c r="F96">
        <v>210230</v>
      </c>
      <c r="G96" t="s">
        <v>403</v>
      </c>
      <c r="H96" s="36"/>
      <c r="I96" s="36"/>
    </row>
    <row r="97" spans="4:21" x14ac:dyDescent="0.2">
      <c r="D97">
        <v>93</v>
      </c>
      <c r="E97" t="s">
        <v>409</v>
      </c>
      <c r="F97">
        <v>210330</v>
      </c>
      <c r="G97" t="s">
        <v>406</v>
      </c>
      <c r="H97" s="36"/>
      <c r="I97" s="36"/>
    </row>
    <row r="98" spans="4:21" x14ac:dyDescent="0.2">
      <c r="D98">
        <v>94</v>
      </c>
      <c r="E98" t="s">
        <v>409</v>
      </c>
      <c r="F98">
        <v>907330</v>
      </c>
      <c r="G98" t="s">
        <v>407</v>
      </c>
      <c r="H98" s="36"/>
      <c r="I98" s="36"/>
    </row>
    <row r="99" spans="4:21" x14ac:dyDescent="0.2">
      <c r="H99" s="36"/>
      <c r="I99" s="36"/>
    </row>
    <row r="101" spans="4:21" ht="15.75" thickBot="1" x14ac:dyDescent="0.3">
      <c r="K101" s="157" t="s">
        <v>410</v>
      </c>
      <c r="P101" s="158"/>
      <c r="Q101" s="158"/>
      <c r="R101" s="158"/>
      <c r="S101" s="158"/>
      <c r="T101" s="158"/>
      <c r="U101" s="158"/>
    </row>
    <row r="102" spans="4:21" ht="30.75" thickBot="1" x14ac:dyDescent="0.3">
      <c r="K102" s="159" t="s">
        <v>54</v>
      </c>
      <c r="L102" s="160" t="s">
        <v>411</v>
      </c>
      <c r="M102" s="160" t="s">
        <v>412</v>
      </c>
      <c r="N102" s="160" t="s">
        <v>413</v>
      </c>
      <c r="O102" s="211"/>
      <c r="P102" s="158"/>
      <c r="Q102" s="158"/>
      <c r="R102" s="158"/>
      <c r="S102" s="158"/>
      <c r="T102" s="158"/>
      <c r="U102" s="158"/>
    </row>
    <row r="103" spans="4:21" ht="15.75" thickBot="1" x14ac:dyDescent="0.3">
      <c r="K103" s="161" t="s">
        <v>414</v>
      </c>
      <c r="L103" s="162">
        <v>2375</v>
      </c>
      <c r="M103" s="163">
        <v>272</v>
      </c>
      <c r="N103" s="163">
        <v>0.78</v>
      </c>
      <c r="O103" s="16"/>
      <c r="P103" s="158"/>
      <c r="Q103" s="158"/>
      <c r="R103" s="158"/>
      <c r="S103" s="158"/>
      <c r="T103" s="158"/>
      <c r="U103" s="158"/>
    </row>
    <row r="104" spans="4:21" ht="15.75" thickBot="1" x14ac:dyDescent="0.3">
      <c r="K104" s="161" t="s">
        <v>415</v>
      </c>
      <c r="L104" s="162">
        <v>1526</v>
      </c>
      <c r="M104" s="163">
        <v>153</v>
      </c>
      <c r="N104" s="164">
        <v>0.9</v>
      </c>
      <c r="O104" s="212"/>
      <c r="P104" s="158"/>
      <c r="Q104" s="158"/>
      <c r="R104" s="158"/>
      <c r="S104" s="158"/>
      <c r="T104" s="158"/>
      <c r="U104" s="158"/>
    </row>
    <row r="105" spans="4:21" ht="15.75" thickBot="1" x14ac:dyDescent="0.3">
      <c r="K105" s="161" t="s">
        <v>74</v>
      </c>
      <c r="L105" s="162">
        <v>1989</v>
      </c>
      <c r="M105" s="163">
        <v>115</v>
      </c>
      <c r="N105" s="163">
        <v>0.85</v>
      </c>
      <c r="O105" s="16"/>
      <c r="P105" s="158"/>
      <c r="Q105" s="158"/>
      <c r="R105" s="158"/>
      <c r="S105" s="158"/>
      <c r="T105" s="158"/>
      <c r="U105" s="158"/>
    </row>
    <row r="106" spans="4:21" ht="15.75" thickBot="1" x14ac:dyDescent="0.3">
      <c r="K106" s="161" t="s">
        <v>416</v>
      </c>
      <c r="L106" s="162">
        <v>1483</v>
      </c>
      <c r="M106" s="163">
        <v>392</v>
      </c>
      <c r="N106" s="163">
        <v>0.84</v>
      </c>
      <c r="O106" s="16"/>
      <c r="P106" s="158"/>
      <c r="Q106" s="158"/>
      <c r="R106" s="158"/>
      <c r="S106" s="158"/>
      <c r="T106" s="158"/>
      <c r="U106" s="158"/>
    </row>
    <row r="107" spans="4:21" ht="15.75" thickBot="1" x14ac:dyDescent="0.3">
      <c r="K107" s="161" t="s">
        <v>417</v>
      </c>
      <c r="L107" s="162">
        <v>2095</v>
      </c>
      <c r="M107" s="163">
        <v>409</v>
      </c>
      <c r="N107" s="163">
        <v>0.77</v>
      </c>
      <c r="O107" s="16"/>
      <c r="P107" s="158"/>
      <c r="Q107" s="158"/>
      <c r="R107" s="158"/>
      <c r="S107" s="158"/>
      <c r="T107" s="158"/>
      <c r="U107" s="158"/>
    </row>
    <row r="108" spans="4:21" ht="15.75" thickBot="1" x14ac:dyDescent="0.3">
      <c r="K108" s="161" t="s">
        <v>418</v>
      </c>
      <c r="L108" s="162">
        <v>1997</v>
      </c>
      <c r="M108" s="163">
        <v>166</v>
      </c>
      <c r="N108" s="163">
        <v>0.85</v>
      </c>
      <c r="O108" s="16"/>
      <c r="P108" s="158"/>
      <c r="Q108" s="158"/>
      <c r="R108" s="158"/>
      <c r="S108" s="158"/>
      <c r="T108" s="158"/>
      <c r="U108" s="158"/>
    </row>
    <row r="109" spans="4:21" ht="15.75" thickBot="1" x14ac:dyDescent="0.3">
      <c r="K109" s="161" t="s">
        <v>419</v>
      </c>
      <c r="L109" s="162">
        <v>3191</v>
      </c>
      <c r="M109" s="163">
        <v>513</v>
      </c>
      <c r="N109" s="163">
        <v>0.88</v>
      </c>
      <c r="O109" s="16"/>
      <c r="P109" s="158"/>
      <c r="Q109" s="158"/>
      <c r="R109" s="158"/>
      <c r="S109" s="158"/>
      <c r="T109" s="158"/>
      <c r="U109" s="158"/>
    </row>
    <row r="110" spans="4:21" ht="15.75" thickBot="1" x14ac:dyDescent="0.3">
      <c r="K110" s="161" t="s">
        <v>420</v>
      </c>
      <c r="L110" s="162">
        <v>2329</v>
      </c>
      <c r="M110" s="163">
        <v>140</v>
      </c>
      <c r="N110" s="163">
        <v>0.71</v>
      </c>
      <c r="O110" s="16"/>
      <c r="P110" s="158"/>
      <c r="Q110" s="158"/>
      <c r="R110" s="158"/>
      <c r="S110" s="158"/>
      <c r="T110" s="158"/>
      <c r="U110" s="158"/>
    </row>
    <row r="111" spans="4:21" ht="15.75" thickBot="1" x14ac:dyDescent="0.3">
      <c r="K111" s="161" t="s">
        <v>421</v>
      </c>
      <c r="L111" s="162">
        <v>2060</v>
      </c>
      <c r="M111" s="163">
        <v>255</v>
      </c>
      <c r="N111" s="163">
        <v>0.84</v>
      </c>
      <c r="O111" s="16"/>
      <c r="P111" s="158"/>
      <c r="Q111" s="158"/>
      <c r="R111" s="158"/>
      <c r="S111" s="158"/>
      <c r="T111" s="158"/>
      <c r="U111" s="158"/>
    </row>
    <row r="112" spans="4:21" ht="15.75" thickBot="1" x14ac:dyDescent="0.3">
      <c r="K112" s="161" t="s">
        <v>422</v>
      </c>
      <c r="L112" s="162">
        <v>1510</v>
      </c>
      <c r="M112" s="163">
        <v>604</v>
      </c>
      <c r="N112" s="163">
        <v>0.84</v>
      </c>
      <c r="O112" s="16"/>
      <c r="P112" s="158"/>
      <c r="Q112" s="158"/>
      <c r="R112" s="158"/>
      <c r="S112" s="158"/>
      <c r="T112" s="158"/>
      <c r="U112" s="158"/>
    </row>
    <row r="113" spans="11:21" ht="15" x14ac:dyDescent="0.25">
      <c r="K113" s="158"/>
      <c r="L113" s="158"/>
      <c r="M113" s="158"/>
      <c r="N113" s="158"/>
      <c r="O113" s="158"/>
      <c r="P113" s="158"/>
      <c r="Q113" s="158"/>
      <c r="R113" s="158"/>
      <c r="S113" s="158"/>
      <c r="T113" s="158"/>
      <c r="U113" s="158"/>
    </row>
    <row r="114" spans="11:21" ht="15" x14ac:dyDescent="0.25">
      <c r="L114" s="165" t="s">
        <v>423</v>
      </c>
      <c r="M114" s="165"/>
      <c r="N114" s="165"/>
      <c r="O114" s="165"/>
      <c r="P114" s="165" t="s">
        <v>424</v>
      </c>
      <c r="Q114" s="165"/>
      <c r="R114" s="165"/>
      <c r="S114" s="166" t="s">
        <v>425</v>
      </c>
      <c r="T114" s="167"/>
      <c r="U114" s="158"/>
    </row>
    <row r="115" spans="11:21" ht="15" x14ac:dyDescent="0.25">
      <c r="K115" s="168" t="s">
        <v>426</v>
      </c>
      <c r="L115" s="168" t="s">
        <v>427</v>
      </c>
      <c r="M115" s="168" t="s">
        <v>428</v>
      </c>
      <c r="N115" s="168" t="s">
        <v>429</v>
      </c>
      <c r="O115" s="168"/>
      <c r="P115" s="168" t="s">
        <v>427</v>
      </c>
      <c r="Q115" s="168" t="s">
        <v>428</v>
      </c>
      <c r="R115" s="168" t="s">
        <v>429</v>
      </c>
      <c r="S115" s="169" t="s">
        <v>430</v>
      </c>
      <c r="T115" s="169" t="s">
        <v>431</v>
      </c>
      <c r="U115" s="158"/>
    </row>
    <row r="116" spans="11:21" ht="15" x14ac:dyDescent="0.25">
      <c r="K116" s="172" t="s">
        <v>432</v>
      </c>
      <c r="L116" s="170">
        <v>11.8</v>
      </c>
      <c r="M116" s="170">
        <v>13.4</v>
      </c>
      <c r="N116" s="5"/>
      <c r="O116" s="5"/>
      <c r="P116" s="170">
        <v>12.3</v>
      </c>
      <c r="Q116" s="171">
        <v>14.5</v>
      </c>
      <c r="R116" s="5"/>
      <c r="S116" s="170">
        <v>0</v>
      </c>
      <c r="T116" s="170">
        <v>5.4199900000000003</v>
      </c>
      <c r="U116" s="158"/>
    </row>
    <row r="117" spans="11:21" ht="15" x14ac:dyDescent="0.25">
      <c r="K117" s="170" t="s">
        <v>433</v>
      </c>
      <c r="L117" s="170">
        <v>11.1</v>
      </c>
      <c r="M117" s="170">
        <v>14.7</v>
      </c>
      <c r="N117" s="5"/>
      <c r="O117" s="5"/>
      <c r="P117" s="170">
        <v>12.2</v>
      </c>
      <c r="Q117" s="170">
        <v>14.8</v>
      </c>
      <c r="R117" s="5"/>
      <c r="S117" s="170">
        <v>5.42</v>
      </c>
      <c r="T117" s="170">
        <v>11.24</v>
      </c>
      <c r="U117" s="158"/>
    </row>
    <row r="118" spans="11:21" ht="15" x14ac:dyDescent="0.25">
      <c r="K118" s="170" t="s">
        <v>434</v>
      </c>
      <c r="L118" s="170">
        <v>10.9</v>
      </c>
      <c r="M118" s="170">
        <v>14.1</v>
      </c>
      <c r="N118" s="5"/>
      <c r="O118" s="5"/>
      <c r="P118" s="170">
        <v>12.2</v>
      </c>
      <c r="Q118" s="170">
        <v>14.8</v>
      </c>
      <c r="R118" s="5"/>
      <c r="S118" s="170">
        <v>11.25</v>
      </c>
      <c r="T118" s="170">
        <v>19.998999999999999</v>
      </c>
      <c r="U118" s="158"/>
    </row>
    <row r="119" spans="11:21" ht="15" x14ac:dyDescent="0.25">
      <c r="K119" s="172" t="s">
        <v>435</v>
      </c>
      <c r="L119" s="170">
        <v>9.9</v>
      </c>
      <c r="M119" s="170">
        <v>13.1</v>
      </c>
      <c r="N119" s="5"/>
      <c r="O119" s="5"/>
      <c r="P119" s="170">
        <v>10.8</v>
      </c>
      <c r="Q119" s="172">
        <v>13.5</v>
      </c>
      <c r="R119" s="5"/>
      <c r="S119" s="170">
        <v>20</v>
      </c>
      <c r="T119" s="173">
        <v>63.3</v>
      </c>
      <c r="U119" s="158"/>
    </row>
    <row r="120" spans="11:21" ht="15" x14ac:dyDescent="0.25">
      <c r="K120" s="174" t="s">
        <v>436</v>
      </c>
      <c r="L120" s="173">
        <v>9.6</v>
      </c>
      <c r="M120" s="173">
        <v>12.4</v>
      </c>
      <c r="N120" s="173"/>
      <c r="O120" s="173"/>
      <c r="P120" s="173">
        <v>10.4</v>
      </c>
      <c r="Q120" s="175">
        <v>13</v>
      </c>
      <c r="R120" s="173"/>
      <c r="S120" s="173">
        <v>63.4</v>
      </c>
      <c r="T120" s="170">
        <v>999999</v>
      </c>
      <c r="U120" s="158"/>
    </row>
    <row r="121" spans="11:21" ht="15" x14ac:dyDescent="0.25">
      <c r="K121" s="172" t="s">
        <v>437</v>
      </c>
      <c r="L121" s="176">
        <v>11.8</v>
      </c>
      <c r="M121" s="176">
        <v>13.4</v>
      </c>
      <c r="N121" s="176">
        <v>7.1</v>
      </c>
      <c r="O121" s="176"/>
      <c r="P121" s="176">
        <v>12.3</v>
      </c>
      <c r="Q121" s="177">
        <v>14.5</v>
      </c>
      <c r="R121" s="177">
        <v>8</v>
      </c>
      <c r="S121" s="170">
        <v>0</v>
      </c>
      <c r="T121" s="170">
        <v>5.4199900000000003</v>
      </c>
      <c r="U121" s="158"/>
    </row>
    <row r="122" spans="11:21" ht="15" x14ac:dyDescent="0.25">
      <c r="K122" s="172" t="s">
        <v>438</v>
      </c>
      <c r="L122" s="176">
        <f>AVERAGE(11,10.8)</f>
        <v>10.9</v>
      </c>
      <c r="M122" s="176">
        <v>14</v>
      </c>
      <c r="N122" s="176">
        <f>3.4*3.412</f>
        <v>11.6008</v>
      </c>
      <c r="O122" s="176"/>
      <c r="P122" s="176">
        <v>11.3</v>
      </c>
      <c r="Q122" s="177">
        <v>14.5</v>
      </c>
      <c r="R122" s="176">
        <v>12</v>
      </c>
      <c r="S122" s="170">
        <v>5.42</v>
      </c>
      <c r="T122" s="170">
        <v>11.24</v>
      </c>
      <c r="U122" s="158"/>
    </row>
    <row r="123" spans="11:21" ht="15" x14ac:dyDescent="0.25">
      <c r="K123" s="172" t="s">
        <v>439</v>
      </c>
      <c r="L123" s="176">
        <f>AVERAGE(10.6,10.4)</f>
        <v>10.5</v>
      </c>
      <c r="M123" s="176">
        <v>13.4</v>
      </c>
      <c r="N123" s="176">
        <f>3.3*3.412</f>
        <v>11.259599999999999</v>
      </c>
      <c r="O123" s="176"/>
      <c r="P123" s="176">
        <v>10.9</v>
      </c>
      <c r="Q123" s="177">
        <v>14</v>
      </c>
      <c r="R123" s="176">
        <v>12</v>
      </c>
      <c r="S123" s="170">
        <v>11.25</v>
      </c>
      <c r="T123" s="170">
        <v>19.9999</v>
      </c>
      <c r="U123" s="158"/>
    </row>
    <row r="124" spans="11:21" ht="15" x14ac:dyDescent="0.25">
      <c r="K124" s="172" t="s">
        <v>440</v>
      </c>
      <c r="L124" s="176">
        <f>AVERAGE(9.5,9.3)</f>
        <v>9.4</v>
      </c>
      <c r="M124" s="176">
        <v>12.4</v>
      </c>
      <c r="N124" s="176">
        <f>3.2*3.412</f>
        <v>10.9184</v>
      </c>
      <c r="O124" s="176"/>
      <c r="P124" s="176">
        <v>10.3</v>
      </c>
      <c r="Q124" s="177">
        <v>13</v>
      </c>
      <c r="R124" s="176">
        <v>12</v>
      </c>
      <c r="S124" s="170">
        <v>20</v>
      </c>
      <c r="T124" s="170">
        <v>999999</v>
      </c>
      <c r="U124" s="158"/>
    </row>
    <row r="125" spans="11:21" ht="15" x14ac:dyDescent="0.25">
      <c r="K125" s="158"/>
      <c r="L125" s="158"/>
      <c r="M125" s="158"/>
      <c r="N125" s="158"/>
      <c r="O125" s="158"/>
      <c r="P125" s="158"/>
      <c r="Q125" s="158"/>
      <c r="R125" s="158"/>
      <c r="S125" s="158"/>
      <c r="T125" s="158"/>
      <c r="U125" s="158"/>
    </row>
    <row r="126" spans="11:21" ht="15.75" thickBot="1" x14ac:dyDescent="0.3">
      <c r="K126" s="157" t="s">
        <v>441</v>
      </c>
      <c r="N126" s="158"/>
      <c r="O126" s="158"/>
      <c r="P126" s="158"/>
      <c r="Q126" s="158"/>
      <c r="R126" s="158"/>
      <c r="S126" s="158"/>
      <c r="T126" s="158"/>
      <c r="U126" s="158"/>
    </row>
    <row r="127" spans="11:21" ht="15.75" thickBot="1" x14ac:dyDescent="0.3">
      <c r="K127" s="178" t="s">
        <v>54</v>
      </c>
      <c r="L127" s="179" t="s">
        <v>442</v>
      </c>
      <c r="M127" s="179" t="s">
        <v>443</v>
      </c>
      <c r="N127" s="158"/>
      <c r="O127" s="158"/>
      <c r="P127" s="158"/>
      <c r="Q127" s="158"/>
      <c r="R127" s="158"/>
      <c r="S127" s="158"/>
      <c r="T127" s="158"/>
      <c r="U127" s="158"/>
    </row>
    <row r="128" spans="11:21" ht="15.75" thickBot="1" x14ac:dyDescent="0.3">
      <c r="K128" s="180" t="s">
        <v>414</v>
      </c>
      <c r="L128" s="181">
        <v>432</v>
      </c>
      <c r="M128" s="181">
        <v>0.14199999999999999</v>
      </c>
      <c r="N128" s="158"/>
      <c r="O128" s="158"/>
      <c r="P128" s="158"/>
      <c r="Q128" s="158"/>
      <c r="R128" s="158"/>
      <c r="S128" s="158"/>
      <c r="T128" s="158"/>
      <c r="U128" s="158"/>
    </row>
    <row r="129" spans="11:21" ht="15.75" thickBot="1" x14ac:dyDescent="0.3">
      <c r="K129" s="180" t="s">
        <v>415</v>
      </c>
      <c r="L129" s="181">
        <v>278</v>
      </c>
      <c r="M129" s="181">
        <v>0.16400000000000001</v>
      </c>
      <c r="N129" s="158"/>
      <c r="O129" s="158"/>
      <c r="P129" s="158"/>
      <c r="Q129" s="158"/>
      <c r="R129" s="158"/>
      <c r="S129" s="158"/>
      <c r="T129" s="158"/>
      <c r="U129" s="158"/>
    </row>
    <row r="130" spans="11:21" ht="15.75" thickBot="1" x14ac:dyDescent="0.3">
      <c r="K130" s="180" t="s">
        <v>74</v>
      </c>
      <c r="L130" s="181">
        <v>362</v>
      </c>
      <c r="M130" s="181">
        <v>0.155</v>
      </c>
      <c r="N130" s="158"/>
      <c r="O130" s="158"/>
      <c r="P130" s="158"/>
      <c r="Q130" s="158"/>
      <c r="R130" s="158"/>
      <c r="S130" s="158"/>
      <c r="T130" s="158"/>
      <c r="U130" s="158"/>
    </row>
    <row r="131" spans="11:21" ht="15.75" thickBot="1" x14ac:dyDescent="0.3">
      <c r="K131" s="180" t="s">
        <v>416</v>
      </c>
      <c r="L131" s="181">
        <v>270</v>
      </c>
      <c r="M131" s="181">
        <v>0.153</v>
      </c>
      <c r="N131" s="158"/>
      <c r="O131" s="158"/>
      <c r="P131" s="158"/>
      <c r="Q131" s="158"/>
      <c r="R131" s="158"/>
      <c r="S131" s="158"/>
      <c r="T131" s="158"/>
      <c r="U131" s="158"/>
    </row>
    <row r="132" spans="11:21" ht="15.75" thickBot="1" x14ac:dyDescent="0.3">
      <c r="K132" s="180" t="s">
        <v>417</v>
      </c>
      <c r="L132" s="181">
        <v>381</v>
      </c>
      <c r="M132" s="181">
        <v>0.14000000000000001</v>
      </c>
      <c r="N132" s="158"/>
      <c r="O132" s="158"/>
      <c r="P132" s="158"/>
      <c r="Q132" s="158"/>
      <c r="R132" s="158"/>
      <c r="S132" s="158"/>
      <c r="T132" s="158"/>
      <c r="U132" s="158"/>
    </row>
    <row r="133" spans="11:21" ht="15.75" thickBot="1" x14ac:dyDescent="0.3">
      <c r="K133" s="180" t="s">
        <v>418</v>
      </c>
      <c r="L133" s="181">
        <v>363</v>
      </c>
      <c r="M133" s="181">
        <v>0.155</v>
      </c>
      <c r="N133" s="158"/>
      <c r="O133" s="158"/>
      <c r="P133" s="158"/>
      <c r="Q133" s="158"/>
      <c r="R133" s="158"/>
      <c r="S133" s="158"/>
      <c r="T133" s="158"/>
      <c r="U133" s="158"/>
    </row>
    <row r="134" spans="11:21" ht="15.75" thickBot="1" x14ac:dyDescent="0.3">
      <c r="K134" s="180" t="s">
        <v>419</v>
      </c>
      <c r="L134" s="181">
        <v>580</v>
      </c>
      <c r="M134" s="181">
        <v>0.16</v>
      </c>
      <c r="N134" s="158"/>
      <c r="O134" s="158"/>
      <c r="P134" s="158"/>
      <c r="Q134" s="158"/>
      <c r="R134" s="158"/>
      <c r="S134" s="158"/>
      <c r="T134" s="158"/>
      <c r="U134" s="158"/>
    </row>
    <row r="135" spans="11:21" ht="15.75" thickBot="1" x14ac:dyDescent="0.3">
      <c r="K135" s="180" t="s">
        <v>420</v>
      </c>
      <c r="L135" s="181">
        <v>424</v>
      </c>
      <c r="M135" s="181">
        <v>0.129</v>
      </c>
      <c r="N135" s="158"/>
      <c r="O135" s="158"/>
      <c r="P135" s="158"/>
      <c r="Q135" s="158"/>
      <c r="R135" s="158"/>
      <c r="S135" s="158"/>
      <c r="T135" s="158"/>
      <c r="U135" s="158"/>
    </row>
    <row r="136" spans="11:21" ht="15.75" thickBot="1" x14ac:dyDescent="0.3">
      <c r="K136" s="180" t="s">
        <v>421</v>
      </c>
      <c r="L136" s="181">
        <v>375</v>
      </c>
      <c r="M136" s="181">
        <v>0.153</v>
      </c>
      <c r="N136" s="158"/>
      <c r="O136" s="158"/>
      <c r="P136" s="158"/>
      <c r="Q136" s="158"/>
      <c r="R136" s="158"/>
      <c r="S136" s="158"/>
      <c r="T136" s="158"/>
      <c r="U136" s="158"/>
    </row>
    <row r="137" spans="11:21" ht="15.75" thickBot="1" x14ac:dyDescent="0.3">
      <c r="K137" s="180" t="s">
        <v>422</v>
      </c>
      <c r="L137" s="181">
        <v>275</v>
      </c>
      <c r="M137" s="181">
        <v>0.153</v>
      </c>
      <c r="N137" s="158"/>
      <c r="O137" s="158"/>
      <c r="P137" s="158"/>
      <c r="Q137" s="158"/>
      <c r="R137" s="158"/>
      <c r="S137" s="158"/>
      <c r="T137" s="158"/>
      <c r="U137" s="158"/>
    </row>
    <row r="138" spans="11:21" ht="15.75" thickBot="1" x14ac:dyDescent="0.3">
      <c r="K138" s="180" t="s">
        <v>239</v>
      </c>
      <c r="L138" s="181">
        <v>432</v>
      </c>
      <c r="M138" s="181">
        <v>0.14199999999999999</v>
      </c>
      <c r="N138" s="158"/>
      <c r="O138" s="158"/>
      <c r="P138" s="158"/>
      <c r="Q138" s="158"/>
      <c r="R138" s="158"/>
      <c r="S138" s="158"/>
      <c r="T138" s="158"/>
      <c r="U138" s="158"/>
    </row>
    <row r="139" spans="11:21" ht="15.75" thickBot="1" x14ac:dyDescent="0.3">
      <c r="K139" s="157" t="s">
        <v>444</v>
      </c>
      <c r="N139" s="158"/>
      <c r="O139" s="158"/>
      <c r="P139" s="158"/>
      <c r="Q139" s="158"/>
      <c r="R139" s="158"/>
      <c r="S139" s="158"/>
      <c r="T139" s="158"/>
      <c r="U139" s="158"/>
    </row>
    <row r="140" spans="11:21" ht="15.75" thickBot="1" x14ac:dyDescent="0.3">
      <c r="K140" s="178" t="s">
        <v>54</v>
      </c>
      <c r="L140" s="179" t="s">
        <v>442</v>
      </c>
      <c r="M140" s="179" t="s">
        <v>443</v>
      </c>
      <c r="N140" s="158"/>
      <c r="O140" s="158"/>
      <c r="P140" s="158"/>
      <c r="Q140" s="158"/>
      <c r="R140" s="158"/>
      <c r="S140" s="158"/>
      <c r="T140" s="158"/>
      <c r="U140" s="158"/>
    </row>
    <row r="141" spans="11:21" ht="15.75" thickBot="1" x14ac:dyDescent="0.3">
      <c r="K141" s="180" t="s">
        <v>414</v>
      </c>
      <c r="L141" s="181">
        <v>507</v>
      </c>
      <c r="M141" s="181">
        <v>0.14199999999999999</v>
      </c>
      <c r="N141" s="158"/>
      <c r="O141" s="158"/>
      <c r="P141" s="158"/>
      <c r="Q141" s="158"/>
      <c r="R141" s="158"/>
      <c r="S141" s="158"/>
      <c r="T141" s="158"/>
      <c r="U141" s="158"/>
    </row>
    <row r="142" spans="11:21" ht="15.75" thickBot="1" x14ac:dyDescent="0.3">
      <c r="K142" s="180" t="s">
        <v>415</v>
      </c>
      <c r="L142" s="181">
        <v>320</v>
      </c>
      <c r="M142" s="181">
        <v>0.16400000000000001</v>
      </c>
      <c r="N142" s="158"/>
      <c r="O142" s="158"/>
      <c r="P142" s="158"/>
      <c r="Q142" s="158"/>
      <c r="R142" s="158"/>
      <c r="S142" s="158"/>
      <c r="T142" s="158"/>
      <c r="U142" s="158"/>
    </row>
    <row r="143" spans="11:21" ht="15.75" thickBot="1" x14ac:dyDescent="0.3">
      <c r="K143" s="180" t="s">
        <v>74</v>
      </c>
      <c r="L143" s="181">
        <v>394</v>
      </c>
      <c r="M143" s="181">
        <v>0.155</v>
      </c>
      <c r="N143" s="158"/>
      <c r="O143" s="158"/>
      <c r="P143" s="158"/>
      <c r="Q143" s="158"/>
      <c r="R143" s="158"/>
      <c r="S143" s="158"/>
      <c r="T143" s="158"/>
      <c r="U143" s="158"/>
    </row>
    <row r="144" spans="11:21" ht="15.75" thickBot="1" x14ac:dyDescent="0.3">
      <c r="K144" s="180" t="s">
        <v>416</v>
      </c>
      <c r="L144" s="181">
        <v>378</v>
      </c>
      <c r="M144" s="181">
        <v>0.153</v>
      </c>
      <c r="N144" s="158"/>
      <c r="O144" s="158"/>
      <c r="P144" s="158"/>
      <c r="Q144" s="158"/>
      <c r="R144" s="158"/>
      <c r="S144" s="158"/>
      <c r="T144" s="158"/>
      <c r="U144" s="158"/>
    </row>
    <row r="145" spans="11:24" ht="15.75" thickBot="1" x14ac:dyDescent="0.3">
      <c r="K145" s="180" t="s">
        <v>417</v>
      </c>
      <c r="L145" s="181">
        <v>494</v>
      </c>
      <c r="M145" s="181">
        <v>0.14000000000000001</v>
      </c>
      <c r="N145" s="158"/>
      <c r="O145" s="158"/>
      <c r="P145" s="158"/>
      <c r="Q145" s="158"/>
      <c r="R145" s="158"/>
      <c r="S145" s="158"/>
      <c r="T145" s="158"/>
      <c r="U145" s="158"/>
    </row>
    <row r="146" spans="11:24" ht="15.75" thickBot="1" x14ac:dyDescent="0.3">
      <c r="K146" s="180" t="s">
        <v>418</v>
      </c>
      <c r="L146" s="181">
        <v>409</v>
      </c>
      <c r="M146" s="181">
        <v>0.155</v>
      </c>
      <c r="N146" s="158"/>
      <c r="O146" s="158"/>
      <c r="P146" s="158"/>
      <c r="Q146" s="158"/>
      <c r="R146" s="158"/>
      <c r="S146" s="158"/>
      <c r="T146" s="158"/>
      <c r="U146" s="158"/>
    </row>
    <row r="147" spans="11:24" ht="15.75" thickBot="1" x14ac:dyDescent="0.3">
      <c r="K147" s="180" t="s">
        <v>419</v>
      </c>
      <c r="L147" s="181">
        <v>722</v>
      </c>
      <c r="M147" s="181">
        <v>0.16</v>
      </c>
      <c r="N147" s="158"/>
      <c r="O147" s="158"/>
      <c r="P147" s="158"/>
      <c r="Q147" s="158"/>
      <c r="R147" s="158"/>
      <c r="S147" s="158"/>
      <c r="T147" s="158"/>
      <c r="U147" s="158"/>
    </row>
    <row r="148" spans="11:24" ht="15.75" thickBot="1" x14ac:dyDescent="0.3">
      <c r="K148" s="180" t="s">
        <v>420</v>
      </c>
      <c r="L148" s="181">
        <v>462</v>
      </c>
      <c r="M148" s="181">
        <v>0.129</v>
      </c>
      <c r="N148" s="158"/>
      <c r="O148" s="158"/>
      <c r="P148" s="158"/>
      <c r="Q148" s="158"/>
      <c r="R148" s="158"/>
      <c r="S148" s="158"/>
      <c r="T148" s="158"/>
      <c r="U148" s="158"/>
    </row>
    <row r="149" spans="11:24" ht="15.75" thickBot="1" x14ac:dyDescent="0.3">
      <c r="K149" s="180" t="s">
        <v>421</v>
      </c>
      <c r="L149" s="181">
        <v>445</v>
      </c>
      <c r="M149" s="181">
        <v>0.153</v>
      </c>
      <c r="N149" s="158"/>
      <c r="O149" s="158"/>
      <c r="P149" s="158"/>
      <c r="Q149" s="158"/>
      <c r="R149" s="158"/>
      <c r="S149" s="158"/>
      <c r="T149" s="158"/>
      <c r="U149" s="158"/>
    </row>
    <row r="150" spans="11:24" ht="15.75" thickBot="1" x14ac:dyDescent="0.3">
      <c r="K150" s="180" t="s">
        <v>422</v>
      </c>
      <c r="L150" s="181">
        <v>442</v>
      </c>
      <c r="M150" s="181">
        <v>0.153</v>
      </c>
      <c r="N150" s="158"/>
      <c r="O150" s="158"/>
      <c r="P150" s="158"/>
      <c r="Q150" s="158"/>
      <c r="R150" s="158"/>
      <c r="S150" s="158"/>
      <c r="T150" s="158"/>
      <c r="U150" s="158"/>
    </row>
    <row r="151" spans="11:24" ht="15.75" thickBot="1" x14ac:dyDescent="0.3">
      <c r="K151" s="180" t="s">
        <v>239</v>
      </c>
      <c r="L151" s="181">
        <v>507</v>
      </c>
      <c r="M151" s="181">
        <v>0.14199999999999999</v>
      </c>
      <c r="N151" s="158"/>
      <c r="O151" s="158"/>
      <c r="P151" s="158"/>
      <c r="Q151" s="158"/>
      <c r="R151" s="158"/>
      <c r="S151" s="158"/>
      <c r="T151" s="158"/>
      <c r="U151" s="158"/>
    </row>
    <row r="152" spans="11:24" ht="15" x14ac:dyDescent="0.25">
      <c r="K152" s="158"/>
      <c r="L152" s="158"/>
      <c r="M152" s="158"/>
      <c r="N152" s="158"/>
      <c r="O152" s="158"/>
      <c r="P152" s="158"/>
      <c r="Q152" s="158"/>
      <c r="R152" s="158"/>
      <c r="S152" s="158"/>
      <c r="T152" s="158"/>
      <c r="U152" s="158"/>
    </row>
    <row r="153" spans="11:24" ht="15.75" thickBot="1" x14ac:dyDescent="0.3">
      <c r="K153" s="157" t="s">
        <v>445</v>
      </c>
      <c r="M153" s="4" t="s">
        <v>446</v>
      </c>
      <c r="N153" s="4" t="s">
        <v>447</v>
      </c>
      <c r="O153" s="4"/>
      <c r="P153" s="158"/>
      <c r="Q153" s="4" t="s">
        <v>446</v>
      </c>
      <c r="R153" s="4" t="s">
        <v>447</v>
      </c>
      <c r="S153" s="158"/>
      <c r="T153" s="158"/>
      <c r="U153" s="158"/>
    </row>
    <row r="154" spans="11:24" ht="15.75" thickBot="1" x14ac:dyDescent="0.25">
      <c r="K154" s="341" t="s">
        <v>54</v>
      </c>
      <c r="L154" s="343" t="s">
        <v>448</v>
      </c>
      <c r="M154" s="345" t="s">
        <v>449</v>
      </c>
      <c r="N154" s="346"/>
      <c r="O154" s="346"/>
      <c r="P154" s="346"/>
      <c r="Q154" s="346"/>
      <c r="R154" s="346"/>
      <c r="S154" s="347"/>
      <c r="T154" s="351" t="s">
        <v>450</v>
      </c>
      <c r="U154" s="352"/>
      <c r="V154" s="352"/>
      <c r="W154" s="352"/>
      <c r="X154" s="353"/>
    </row>
    <row r="155" spans="11:24" ht="15.75" thickBot="1" x14ac:dyDescent="0.25">
      <c r="K155" s="342"/>
      <c r="L155" s="344"/>
      <c r="M155" s="348" t="s">
        <v>451</v>
      </c>
      <c r="N155" s="349"/>
      <c r="O155" s="349"/>
      <c r="P155" s="350"/>
      <c r="Q155" s="348" t="s">
        <v>452</v>
      </c>
      <c r="R155" s="349"/>
      <c r="S155" s="349"/>
      <c r="T155" s="246" t="s">
        <v>451</v>
      </c>
      <c r="U155" s="247" t="s">
        <v>452</v>
      </c>
      <c r="V155" s="248"/>
      <c r="W155" s="247" t="s">
        <v>451</v>
      </c>
      <c r="X155" s="249" t="s">
        <v>452</v>
      </c>
    </row>
    <row r="156" spans="11:24" ht="15.75" thickBot="1" x14ac:dyDescent="0.3">
      <c r="K156" s="182" t="s">
        <v>414</v>
      </c>
      <c r="L156" s="183" t="s">
        <v>446</v>
      </c>
      <c r="M156" s="184">
        <v>408</v>
      </c>
      <c r="N156" s="185">
        <v>403</v>
      </c>
      <c r="O156" s="185"/>
      <c r="P156" s="243">
        <f>AVERAGE(M156:N156)</f>
        <v>405.5</v>
      </c>
      <c r="Q156" s="184">
        <v>0.16900000000000001</v>
      </c>
      <c r="R156" s="185">
        <v>0.17699999999999999</v>
      </c>
      <c r="S156" s="186">
        <f>AVERAGE(Q156:R156)</f>
        <v>0.17299999999999999</v>
      </c>
      <c r="T156" s="250">
        <v>658</v>
      </c>
      <c r="U156" s="251">
        <v>0.11</v>
      </c>
      <c r="V156" s="252"/>
      <c r="W156" s="266">
        <f>AVERAGE(T156:T157)</f>
        <v>650</v>
      </c>
      <c r="X156" s="267">
        <f>AVERAGE(U156:U157)</f>
        <v>0.11</v>
      </c>
    </row>
    <row r="157" spans="11:24" ht="15.75" thickBot="1" x14ac:dyDescent="0.3">
      <c r="K157" s="187"/>
      <c r="L157" s="183" t="s">
        <v>447</v>
      </c>
      <c r="M157" s="188"/>
      <c r="N157" s="173"/>
      <c r="O157" s="173"/>
      <c r="P157" s="244"/>
      <c r="Q157" s="188"/>
      <c r="R157" s="173"/>
      <c r="S157" s="190"/>
      <c r="T157" s="253">
        <v>642</v>
      </c>
      <c r="U157" s="241">
        <v>0.11</v>
      </c>
      <c r="V157" s="5"/>
      <c r="W157" s="268"/>
      <c r="X157" s="269"/>
    </row>
    <row r="158" spans="11:24" ht="15.75" thickBot="1" x14ac:dyDescent="0.3">
      <c r="K158" s="182" t="s">
        <v>415</v>
      </c>
      <c r="L158" s="183" t="s">
        <v>446</v>
      </c>
      <c r="M158" s="191">
        <v>262</v>
      </c>
      <c r="N158" s="17">
        <v>259</v>
      </c>
      <c r="O158" s="17"/>
      <c r="P158" s="244">
        <f t="shared" ref="P158:P174" si="3">AVERAGE(M158:N158)</f>
        <v>260.5</v>
      </c>
      <c r="Q158" s="191">
        <v>0.19500000000000001</v>
      </c>
      <c r="R158" s="17">
        <v>0.20399999999999999</v>
      </c>
      <c r="S158" s="190">
        <f t="shared" ref="S158:S174" si="4">AVERAGE(Q158:R158)</f>
        <v>0.19950000000000001</v>
      </c>
      <c r="T158" s="253">
        <v>423</v>
      </c>
      <c r="U158" s="241">
        <v>0.127</v>
      </c>
      <c r="V158" s="5"/>
      <c r="W158" s="268">
        <f>AVERAGE(T158:T159)</f>
        <v>418</v>
      </c>
      <c r="X158" s="269">
        <f t="shared" ref="X158:X174" si="5">AVERAGE(U158:U159)</f>
        <v>0.127</v>
      </c>
    </row>
    <row r="159" spans="11:24" ht="15.75" thickBot="1" x14ac:dyDescent="0.3">
      <c r="K159" s="187"/>
      <c r="L159" s="183" t="s">
        <v>447</v>
      </c>
      <c r="M159" s="188"/>
      <c r="N159" s="173"/>
      <c r="O159" s="173"/>
      <c r="P159" s="244"/>
      <c r="Q159" s="188"/>
      <c r="R159" s="173"/>
      <c r="S159" s="190"/>
      <c r="T159" s="253">
        <v>413</v>
      </c>
      <c r="U159" s="241">
        <v>0.127</v>
      </c>
      <c r="V159" s="5"/>
      <c r="W159" s="268"/>
      <c r="X159" s="269"/>
    </row>
    <row r="160" spans="11:24" ht="15.75" thickBot="1" x14ac:dyDescent="0.3">
      <c r="K160" s="182" t="s">
        <v>74</v>
      </c>
      <c r="L160" s="183" t="s">
        <v>446</v>
      </c>
      <c r="M160" s="191">
        <v>341</v>
      </c>
      <c r="N160" s="17">
        <v>338</v>
      </c>
      <c r="O160" s="17"/>
      <c r="P160" s="244">
        <f t="shared" si="3"/>
        <v>339.5</v>
      </c>
      <c r="Q160" s="191">
        <v>0.184</v>
      </c>
      <c r="R160" s="17">
        <v>0.192</v>
      </c>
      <c r="S160" s="190">
        <f t="shared" si="4"/>
        <v>0.188</v>
      </c>
      <c r="T160" s="253">
        <v>551</v>
      </c>
      <c r="U160" s="241">
        <v>0.12</v>
      </c>
      <c r="V160" s="5"/>
      <c r="W160" s="268">
        <f t="shared" ref="W160:W174" si="6">AVERAGE(T160:T161)</f>
        <v>544.5</v>
      </c>
      <c r="X160" s="269">
        <f t="shared" si="5"/>
        <v>0.12</v>
      </c>
    </row>
    <row r="161" spans="11:24" ht="15.75" thickBot="1" x14ac:dyDescent="0.3">
      <c r="K161" s="187"/>
      <c r="L161" s="183" t="s">
        <v>447</v>
      </c>
      <c r="M161" s="188"/>
      <c r="N161" s="173"/>
      <c r="O161" s="173"/>
      <c r="P161" s="244"/>
      <c r="Q161" s="188"/>
      <c r="R161" s="173"/>
      <c r="S161" s="190"/>
      <c r="T161" s="253">
        <v>538</v>
      </c>
      <c r="U161" s="241">
        <v>0.12</v>
      </c>
      <c r="V161" s="5"/>
      <c r="W161" s="268"/>
      <c r="X161" s="269"/>
    </row>
    <row r="162" spans="11:24" ht="15.75" thickBot="1" x14ac:dyDescent="0.3">
      <c r="K162" s="182" t="s">
        <v>416</v>
      </c>
      <c r="L162" s="183" t="s">
        <v>446</v>
      </c>
      <c r="M162" s="191">
        <v>255</v>
      </c>
      <c r="N162" s="17">
        <v>252</v>
      </c>
      <c r="O162" s="17"/>
      <c r="P162" s="244">
        <f t="shared" si="3"/>
        <v>253.5</v>
      </c>
      <c r="Q162" s="191">
        <v>0.182</v>
      </c>
      <c r="R162" s="17">
        <v>0.19</v>
      </c>
      <c r="S162" s="190">
        <f t="shared" si="4"/>
        <v>0.186</v>
      </c>
      <c r="T162" s="253">
        <v>411</v>
      </c>
      <c r="U162" s="241">
        <v>0.11899999999999999</v>
      </c>
      <c r="V162" s="5"/>
      <c r="W162" s="268">
        <f t="shared" si="6"/>
        <v>406</v>
      </c>
      <c r="X162" s="269">
        <f t="shared" si="5"/>
        <v>0.11899999999999999</v>
      </c>
    </row>
    <row r="163" spans="11:24" ht="15.75" thickBot="1" x14ac:dyDescent="0.3">
      <c r="K163" s="187"/>
      <c r="L163" s="183" t="s">
        <v>447</v>
      </c>
      <c r="M163" s="188"/>
      <c r="N163" s="173"/>
      <c r="O163" s="173"/>
      <c r="P163" s="244"/>
      <c r="Q163" s="188"/>
      <c r="R163" s="173"/>
      <c r="S163" s="190"/>
      <c r="T163" s="253">
        <v>401</v>
      </c>
      <c r="U163" s="241">
        <v>0.11899999999999999</v>
      </c>
      <c r="V163" s="5"/>
      <c r="W163" s="268"/>
      <c r="X163" s="269"/>
    </row>
    <row r="164" spans="11:24" ht="15.75" thickBot="1" x14ac:dyDescent="0.3">
      <c r="K164" s="182" t="s">
        <v>417</v>
      </c>
      <c r="L164" s="183" t="s">
        <v>446</v>
      </c>
      <c r="M164" s="191">
        <v>360</v>
      </c>
      <c r="N164" s="17">
        <v>356</v>
      </c>
      <c r="O164" s="17"/>
      <c r="P164" s="244">
        <f t="shared" si="3"/>
        <v>358</v>
      </c>
      <c r="Q164" s="191">
        <v>0.16700000000000001</v>
      </c>
      <c r="R164" s="17">
        <v>0.17399999999999999</v>
      </c>
      <c r="S164" s="190">
        <f t="shared" si="4"/>
        <v>0.17049999999999998</v>
      </c>
      <c r="T164" s="253">
        <v>580</v>
      </c>
      <c r="U164" s="241">
        <v>0.109</v>
      </c>
      <c r="V164" s="5"/>
      <c r="W164" s="268">
        <f t="shared" si="6"/>
        <v>573</v>
      </c>
      <c r="X164" s="269">
        <f t="shared" si="5"/>
        <v>0.109</v>
      </c>
    </row>
    <row r="165" spans="11:24" ht="15.75" thickBot="1" x14ac:dyDescent="0.3">
      <c r="K165" s="187"/>
      <c r="L165" s="183" t="s">
        <v>447</v>
      </c>
      <c r="M165" s="188"/>
      <c r="N165" s="173"/>
      <c r="O165" s="173"/>
      <c r="P165" s="244"/>
      <c r="Q165" s="188"/>
      <c r="R165" s="173"/>
      <c r="S165" s="190"/>
      <c r="T165" s="253">
        <v>566</v>
      </c>
      <c r="U165" s="241">
        <v>0.109</v>
      </c>
      <c r="V165" s="5"/>
      <c r="W165" s="268"/>
      <c r="X165" s="269"/>
    </row>
    <row r="166" spans="11:24" ht="15.75" thickBot="1" x14ac:dyDescent="0.3">
      <c r="K166" s="182" t="s">
        <v>418</v>
      </c>
      <c r="L166" s="183" t="s">
        <v>446</v>
      </c>
      <c r="M166" s="191">
        <v>343</v>
      </c>
      <c r="N166" s="17">
        <v>339</v>
      </c>
      <c r="O166" s="17"/>
      <c r="P166" s="244">
        <f t="shared" si="3"/>
        <v>341</v>
      </c>
      <c r="Q166" s="191">
        <v>0.184</v>
      </c>
      <c r="R166" s="17">
        <v>0.192</v>
      </c>
      <c r="S166" s="190">
        <f t="shared" si="4"/>
        <v>0.188</v>
      </c>
      <c r="T166" s="253">
        <v>553</v>
      </c>
      <c r="U166" s="241">
        <v>0.12</v>
      </c>
      <c r="V166" s="5"/>
      <c r="W166" s="268">
        <f t="shared" si="6"/>
        <v>546.5</v>
      </c>
      <c r="X166" s="269">
        <f t="shared" si="5"/>
        <v>0.12</v>
      </c>
    </row>
    <row r="167" spans="11:24" ht="15.75" thickBot="1" x14ac:dyDescent="0.3">
      <c r="K167" s="187"/>
      <c r="L167" s="183" t="s">
        <v>447</v>
      </c>
      <c r="M167" s="188"/>
      <c r="N167" s="173"/>
      <c r="O167" s="173"/>
      <c r="P167" s="244"/>
      <c r="Q167" s="188"/>
      <c r="R167" s="173"/>
      <c r="S167" s="190"/>
      <c r="T167" s="253">
        <v>540</v>
      </c>
      <c r="U167" s="241">
        <v>0.12</v>
      </c>
      <c r="V167" s="5"/>
      <c r="W167" s="268"/>
      <c r="X167" s="269"/>
    </row>
    <row r="168" spans="11:24" ht="15.75" thickBot="1" x14ac:dyDescent="0.3">
      <c r="K168" s="182" t="s">
        <v>419</v>
      </c>
      <c r="L168" s="183" t="s">
        <v>446</v>
      </c>
      <c r="M168" s="191">
        <v>548</v>
      </c>
      <c r="N168" s="17">
        <v>542</v>
      </c>
      <c r="O168" s="17"/>
      <c r="P168" s="244">
        <f t="shared" si="3"/>
        <v>545</v>
      </c>
      <c r="Q168" s="191">
        <v>0.191</v>
      </c>
      <c r="R168" s="17">
        <v>0.19900000000000001</v>
      </c>
      <c r="S168" s="190">
        <f t="shared" si="4"/>
        <v>0.19500000000000001</v>
      </c>
      <c r="T168" s="253">
        <v>884</v>
      </c>
      <c r="U168" s="241">
        <v>0.125</v>
      </c>
      <c r="V168" s="5"/>
      <c r="W168" s="268">
        <f t="shared" si="6"/>
        <v>873.5</v>
      </c>
      <c r="X168" s="269">
        <f t="shared" si="5"/>
        <v>0.125</v>
      </c>
    </row>
    <row r="169" spans="11:24" ht="15.75" thickBot="1" x14ac:dyDescent="0.3">
      <c r="K169" s="187"/>
      <c r="L169" s="183" t="s">
        <v>447</v>
      </c>
      <c r="M169" s="188"/>
      <c r="N169" s="173"/>
      <c r="O169" s="173"/>
      <c r="P169" s="244"/>
      <c r="Q169" s="188"/>
      <c r="R169" s="173"/>
      <c r="S169" s="190"/>
      <c r="T169" s="253">
        <v>863</v>
      </c>
      <c r="U169" s="241">
        <v>0.125</v>
      </c>
      <c r="V169" s="5"/>
      <c r="W169" s="268"/>
      <c r="X169" s="269"/>
    </row>
    <row r="170" spans="11:24" ht="15.75" thickBot="1" x14ac:dyDescent="0.3">
      <c r="K170" s="182" t="s">
        <v>420</v>
      </c>
      <c r="L170" s="183" t="s">
        <v>446</v>
      </c>
      <c r="M170" s="191">
        <v>400</v>
      </c>
      <c r="N170" s="17">
        <v>395</v>
      </c>
      <c r="O170" s="17"/>
      <c r="P170" s="244">
        <f>AVERAGE(M170:N170)</f>
        <v>397.5</v>
      </c>
      <c r="Q170" s="191">
        <v>0.154</v>
      </c>
      <c r="R170" s="17">
        <v>0.161</v>
      </c>
      <c r="S170" s="190">
        <f t="shared" si="4"/>
        <v>0.1575</v>
      </c>
      <c r="T170" s="253">
        <v>645</v>
      </c>
      <c r="U170" s="241">
        <v>0.10100000000000001</v>
      </c>
      <c r="V170" s="5"/>
      <c r="W170" s="268">
        <f t="shared" si="6"/>
        <v>637.5</v>
      </c>
      <c r="X170" s="269">
        <f t="shared" si="5"/>
        <v>0.10100000000000001</v>
      </c>
    </row>
    <row r="171" spans="11:24" ht="15.75" thickBot="1" x14ac:dyDescent="0.3">
      <c r="K171" s="187"/>
      <c r="L171" s="183" t="s">
        <v>447</v>
      </c>
      <c r="M171" s="188"/>
      <c r="N171" s="173"/>
      <c r="O171" s="173"/>
      <c r="P171" s="244"/>
      <c r="Q171" s="188"/>
      <c r="R171" s="173"/>
      <c r="S171" s="190"/>
      <c r="T171" s="253">
        <v>630</v>
      </c>
      <c r="U171" s="241">
        <v>0.10100000000000001</v>
      </c>
      <c r="V171" s="5"/>
      <c r="W171" s="268"/>
      <c r="X171" s="269"/>
    </row>
    <row r="172" spans="11:24" ht="15.75" thickBot="1" x14ac:dyDescent="0.3">
      <c r="K172" s="182" t="s">
        <v>421</v>
      </c>
      <c r="L172" s="183" t="s">
        <v>446</v>
      </c>
      <c r="M172" s="191">
        <v>354</v>
      </c>
      <c r="N172" s="17">
        <v>350</v>
      </c>
      <c r="O172" s="17"/>
      <c r="P172" s="244">
        <f t="shared" si="3"/>
        <v>352</v>
      </c>
      <c r="Q172" s="191">
        <v>0.182</v>
      </c>
      <c r="R172" s="17">
        <v>0.19</v>
      </c>
      <c r="S172" s="190">
        <f t="shared" si="4"/>
        <v>0.186</v>
      </c>
      <c r="T172" s="253">
        <v>570</v>
      </c>
      <c r="U172" s="241">
        <v>0.11899999999999999</v>
      </c>
      <c r="V172" s="5"/>
      <c r="W172" s="268">
        <f t="shared" si="6"/>
        <v>563.5</v>
      </c>
      <c r="X172" s="269">
        <f t="shared" si="5"/>
        <v>0.11899999999999999</v>
      </c>
    </row>
    <row r="173" spans="11:24" ht="15.75" thickBot="1" x14ac:dyDescent="0.3">
      <c r="K173" s="187"/>
      <c r="L173" s="183" t="s">
        <v>447</v>
      </c>
      <c r="M173" s="188"/>
      <c r="N173" s="173"/>
      <c r="O173" s="173"/>
      <c r="P173" s="244"/>
      <c r="Q173" s="188"/>
      <c r="R173" s="173"/>
      <c r="S173" s="190"/>
      <c r="T173" s="253">
        <v>557</v>
      </c>
      <c r="U173" s="241">
        <v>0.11899999999999999</v>
      </c>
      <c r="V173" s="5"/>
      <c r="W173" s="268"/>
      <c r="X173" s="269"/>
    </row>
    <row r="174" spans="11:24" ht="15.75" thickBot="1" x14ac:dyDescent="0.3">
      <c r="K174" s="182" t="s">
        <v>422</v>
      </c>
      <c r="L174" s="183" t="s">
        <v>446</v>
      </c>
      <c r="M174" s="191">
        <v>259</v>
      </c>
      <c r="N174" s="17">
        <v>256</v>
      </c>
      <c r="O174" s="17"/>
      <c r="P174" s="244">
        <f t="shared" si="3"/>
        <v>257.5</v>
      </c>
      <c r="Q174" s="191">
        <v>0.182</v>
      </c>
      <c r="R174" s="17">
        <v>0.19</v>
      </c>
      <c r="S174" s="190">
        <f t="shared" si="4"/>
        <v>0.186</v>
      </c>
      <c r="T174" s="253">
        <v>418</v>
      </c>
      <c r="U174" s="241">
        <v>0.11899999999999999</v>
      </c>
      <c r="V174" s="5"/>
      <c r="W174" s="268">
        <f t="shared" si="6"/>
        <v>413</v>
      </c>
      <c r="X174" s="269">
        <f t="shared" si="5"/>
        <v>0.11899999999999999</v>
      </c>
    </row>
    <row r="175" spans="11:24" ht="15.75" thickBot="1" x14ac:dyDescent="0.3">
      <c r="K175" s="192"/>
      <c r="L175" s="193" t="s">
        <v>447</v>
      </c>
      <c r="M175" s="194"/>
      <c r="N175" s="195"/>
      <c r="O175" s="195"/>
      <c r="P175" s="245"/>
      <c r="Q175" s="194"/>
      <c r="R175" s="195"/>
      <c r="S175" s="196"/>
      <c r="T175" s="254">
        <v>408</v>
      </c>
      <c r="U175" s="242">
        <v>0.11899999999999999</v>
      </c>
      <c r="V175" s="255"/>
      <c r="W175" s="255"/>
      <c r="X175" s="256"/>
    </row>
    <row r="176" spans="11:24" ht="15.75" thickBot="1" x14ac:dyDescent="0.3">
      <c r="K176" t="s">
        <v>453</v>
      </c>
      <c r="R176" s="158"/>
      <c r="S176" s="158"/>
      <c r="T176" s="158"/>
      <c r="U176" s="158"/>
    </row>
    <row r="177" spans="11:21" ht="15.75" thickBot="1" x14ac:dyDescent="0.25">
      <c r="K177" s="354" t="s">
        <v>54</v>
      </c>
      <c r="L177" s="356" t="s">
        <v>448</v>
      </c>
      <c r="M177" s="345" t="s">
        <v>449</v>
      </c>
      <c r="N177" s="346"/>
      <c r="O177" s="346"/>
      <c r="P177" s="346"/>
      <c r="Q177" s="347"/>
      <c r="R177" s="351" t="s">
        <v>450</v>
      </c>
      <c r="S177" s="352"/>
      <c r="T177" s="352"/>
      <c r="U177" s="353"/>
    </row>
    <row r="178" spans="11:21" ht="30.75" thickBot="1" x14ac:dyDescent="0.25">
      <c r="K178" s="355"/>
      <c r="L178" s="357"/>
      <c r="M178" s="348" t="s">
        <v>451</v>
      </c>
      <c r="N178" s="350"/>
      <c r="O178" s="213"/>
      <c r="P178" s="348" t="s">
        <v>452</v>
      </c>
      <c r="Q178" s="349"/>
      <c r="R178" s="261" t="s">
        <v>451</v>
      </c>
      <c r="S178" s="262" t="s">
        <v>452</v>
      </c>
      <c r="T178" s="262" t="s">
        <v>451</v>
      </c>
      <c r="U178" s="263" t="s">
        <v>452</v>
      </c>
    </row>
    <row r="179" spans="11:21" ht="15.75" thickBot="1" x14ac:dyDescent="0.3">
      <c r="K179" s="197" t="s">
        <v>414</v>
      </c>
      <c r="L179" s="183" t="s">
        <v>454</v>
      </c>
      <c r="M179" s="184">
        <v>214</v>
      </c>
      <c r="N179" s="198">
        <f>AVERAGE(M179:M182)</f>
        <v>223.25</v>
      </c>
      <c r="O179" s="198"/>
      <c r="P179" s="185">
        <v>9.1999999999999998E-2</v>
      </c>
      <c r="Q179" s="257">
        <f>AVERAGE(P179:P182)</f>
        <v>8.4250000000000005E-2</v>
      </c>
      <c r="R179" s="184">
        <v>356</v>
      </c>
      <c r="S179" s="185">
        <v>7.5999999999999998E-2</v>
      </c>
      <c r="T179" s="198">
        <f>AVERAGE(R179:R182)</f>
        <v>340.25</v>
      </c>
      <c r="U179" s="199">
        <f>AVERAGE(S179:S182)</f>
        <v>7.7249999999999999E-2</v>
      </c>
    </row>
    <row r="180" spans="11:21" ht="15.75" thickBot="1" x14ac:dyDescent="0.3">
      <c r="K180" s="200"/>
      <c r="L180" s="183" t="s">
        <v>455</v>
      </c>
      <c r="M180" s="191">
        <v>264</v>
      </c>
      <c r="N180" s="173"/>
      <c r="O180" s="173"/>
      <c r="P180" s="17">
        <v>9.9000000000000005E-2</v>
      </c>
      <c r="Q180" s="258"/>
      <c r="R180" s="191">
        <v>344</v>
      </c>
      <c r="S180" s="17">
        <v>0.09</v>
      </c>
      <c r="T180" s="203"/>
      <c r="U180" s="204"/>
    </row>
    <row r="181" spans="11:21" ht="15.75" thickBot="1" x14ac:dyDescent="0.3">
      <c r="K181" s="200"/>
      <c r="L181" s="183" t="s">
        <v>456</v>
      </c>
      <c r="M181" s="191">
        <v>223</v>
      </c>
      <c r="N181" s="173"/>
      <c r="O181" s="173"/>
      <c r="P181" s="17">
        <v>7.2999999999999995E-2</v>
      </c>
      <c r="Q181" s="258"/>
      <c r="R181" s="191">
        <v>342</v>
      </c>
      <c r="S181" s="17">
        <v>8.3000000000000004E-2</v>
      </c>
      <c r="T181" s="203"/>
      <c r="U181" s="204"/>
    </row>
    <row r="182" spans="11:21" ht="15.75" thickBot="1" x14ac:dyDescent="0.3">
      <c r="K182" s="202"/>
      <c r="L182" s="183" t="s">
        <v>457</v>
      </c>
      <c r="M182" s="191">
        <v>192</v>
      </c>
      <c r="N182" s="173"/>
      <c r="O182" s="173"/>
      <c r="P182" s="17">
        <v>7.2999999999999995E-2</v>
      </c>
      <c r="Q182" s="258"/>
      <c r="R182" s="191">
        <v>319</v>
      </c>
      <c r="S182" s="17">
        <v>0.06</v>
      </c>
      <c r="T182" s="203"/>
      <c r="U182" s="204"/>
    </row>
    <row r="183" spans="11:21" ht="15.75" thickBot="1" x14ac:dyDescent="0.3">
      <c r="K183" s="197" t="s">
        <v>415</v>
      </c>
      <c r="L183" s="183" t="s">
        <v>454</v>
      </c>
      <c r="M183" s="191">
        <v>137</v>
      </c>
      <c r="N183" s="203">
        <f>AVERAGE(M183:M186)</f>
        <v>143.25</v>
      </c>
      <c r="O183" s="203"/>
      <c r="P183" s="17">
        <v>0.106</v>
      </c>
      <c r="Q183" s="259">
        <f>AVERAGE(P183:P186)</f>
        <v>9.7250000000000003E-2</v>
      </c>
      <c r="R183" s="191">
        <v>229</v>
      </c>
      <c r="S183" s="17">
        <v>8.7999999999999995E-2</v>
      </c>
      <c r="T183" s="203">
        <f t="shared" ref="T183:U183" si="7">AVERAGE(R183:R186)</f>
        <v>218.75</v>
      </c>
      <c r="U183" s="204">
        <f t="shared" si="7"/>
        <v>8.900000000000001E-2</v>
      </c>
    </row>
    <row r="184" spans="11:21" ht="15.75" thickBot="1" x14ac:dyDescent="0.3">
      <c r="K184" s="200"/>
      <c r="L184" s="183" t="s">
        <v>455</v>
      </c>
      <c r="M184" s="191">
        <v>169</v>
      </c>
      <c r="N184" s="173"/>
      <c r="O184" s="173"/>
      <c r="P184" s="17">
        <v>0.114</v>
      </c>
      <c r="Q184" s="258"/>
      <c r="R184" s="191">
        <v>221</v>
      </c>
      <c r="S184" s="17">
        <v>0.104</v>
      </c>
      <c r="T184" s="203"/>
      <c r="U184" s="204"/>
    </row>
    <row r="185" spans="11:21" ht="15.75" thickBot="1" x14ac:dyDescent="0.3">
      <c r="K185" s="200"/>
      <c r="L185" s="183" t="s">
        <v>456</v>
      </c>
      <c r="M185" s="191">
        <v>143</v>
      </c>
      <c r="N185" s="173"/>
      <c r="O185" s="173"/>
      <c r="P185" s="17">
        <v>8.5000000000000006E-2</v>
      </c>
      <c r="Q185" s="258"/>
      <c r="R185" s="191">
        <v>220</v>
      </c>
      <c r="S185" s="17">
        <v>9.5000000000000001E-2</v>
      </c>
      <c r="T185" s="203"/>
      <c r="U185" s="204"/>
    </row>
    <row r="186" spans="11:21" ht="15.75" thickBot="1" x14ac:dyDescent="0.3">
      <c r="K186" s="202"/>
      <c r="L186" s="183" t="s">
        <v>457</v>
      </c>
      <c r="M186" s="191">
        <v>124</v>
      </c>
      <c r="N186" s="173"/>
      <c r="O186" s="173"/>
      <c r="P186" s="17">
        <v>8.4000000000000005E-2</v>
      </c>
      <c r="Q186" s="258"/>
      <c r="R186" s="191">
        <v>205</v>
      </c>
      <c r="S186" s="17">
        <v>6.9000000000000006E-2</v>
      </c>
      <c r="T186" s="203"/>
      <c r="U186" s="204"/>
    </row>
    <row r="187" spans="11:21" ht="15.75" thickBot="1" x14ac:dyDescent="0.3">
      <c r="K187" s="197" t="s">
        <v>74</v>
      </c>
      <c r="L187" s="183" t="s">
        <v>454</v>
      </c>
      <c r="M187" s="191">
        <v>179</v>
      </c>
      <c r="N187" s="203">
        <f>AVERAGE(M187:M190)</f>
        <v>187</v>
      </c>
      <c r="O187" s="203"/>
      <c r="P187" s="17">
        <v>0.1</v>
      </c>
      <c r="Q187" s="259">
        <f>AVERAGE(P187:P190)</f>
        <v>9.1750000000000012E-2</v>
      </c>
      <c r="R187" s="191">
        <v>298</v>
      </c>
      <c r="S187" s="17">
        <v>8.3000000000000004E-2</v>
      </c>
      <c r="T187" s="203">
        <f t="shared" ref="T187:U187" si="8">AVERAGE(R187:R190)</f>
        <v>285</v>
      </c>
      <c r="U187" s="204">
        <f t="shared" si="8"/>
        <v>8.4000000000000005E-2</v>
      </c>
    </row>
    <row r="188" spans="11:21" ht="15.75" thickBot="1" x14ac:dyDescent="0.3">
      <c r="K188" s="200"/>
      <c r="L188" s="183" t="s">
        <v>455</v>
      </c>
      <c r="M188" s="191">
        <v>221</v>
      </c>
      <c r="N188" s="173"/>
      <c r="O188" s="173"/>
      <c r="P188" s="17">
        <v>0.108</v>
      </c>
      <c r="Q188" s="258"/>
      <c r="R188" s="191">
        <v>288</v>
      </c>
      <c r="S188" s="17">
        <v>9.8000000000000004E-2</v>
      </c>
      <c r="T188" s="203"/>
      <c r="U188" s="204"/>
    </row>
    <row r="189" spans="11:21" ht="15.75" thickBot="1" x14ac:dyDescent="0.3">
      <c r="K189" s="200"/>
      <c r="L189" s="183" t="s">
        <v>456</v>
      </c>
      <c r="M189" s="191">
        <v>187</v>
      </c>
      <c r="N189" s="173"/>
      <c r="O189" s="173"/>
      <c r="P189" s="17">
        <v>0.08</v>
      </c>
      <c r="Q189" s="258"/>
      <c r="R189" s="191">
        <v>286</v>
      </c>
      <c r="S189" s="17">
        <v>0.09</v>
      </c>
      <c r="T189" s="203"/>
      <c r="U189" s="204"/>
    </row>
    <row r="190" spans="11:21" ht="15.75" thickBot="1" x14ac:dyDescent="0.3">
      <c r="K190" s="202"/>
      <c r="L190" s="183" t="s">
        <v>457</v>
      </c>
      <c r="M190" s="191">
        <v>161</v>
      </c>
      <c r="N190" s="173"/>
      <c r="O190" s="173"/>
      <c r="P190" s="17">
        <v>7.9000000000000001E-2</v>
      </c>
      <c r="Q190" s="258"/>
      <c r="R190" s="191">
        <v>268</v>
      </c>
      <c r="S190" s="17">
        <v>6.5000000000000002E-2</v>
      </c>
      <c r="T190" s="203"/>
      <c r="U190" s="204"/>
    </row>
    <row r="191" spans="11:21" ht="15.75" thickBot="1" x14ac:dyDescent="0.3">
      <c r="K191" s="197" t="s">
        <v>416</v>
      </c>
      <c r="L191" s="183" t="s">
        <v>454</v>
      </c>
      <c r="M191" s="191">
        <v>133</v>
      </c>
      <c r="N191" s="203">
        <f>AVERAGE(M191:M194)</f>
        <v>139.25</v>
      </c>
      <c r="O191" s="203"/>
      <c r="P191" s="17">
        <v>9.9000000000000005E-2</v>
      </c>
      <c r="Q191" s="259">
        <f>AVERAGE(P191:P194)</f>
        <v>9.1000000000000011E-2</v>
      </c>
      <c r="R191" s="191">
        <v>222</v>
      </c>
      <c r="S191" s="17">
        <v>8.2000000000000003E-2</v>
      </c>
      <c r="T191" s="203">
        <f t="shared" ref="T191:U191" si="9">AVERAGE(R191:R194)</f>
        <v>212.5</v>
      </c>
      <c r="U191" s="204">
        <f t="shared" si="9"/>
        <v>8.3000000000000004E-2</v>
      </c>
    </row>
    <row r="192" spans="11:21" ht="15.75" thickBot="1" x14ac:dyDescent="0.3">
      <c r="K192" s="200"/>
      <c r="L192" s="183" t="s">
        <v>455</v>
      </c>
      <c r="M192" s="191">
        <v>165</v>
      </c>
      <c r="N192" s="173"/>
      <c r="O192" s="173"/>
      <c r="P192" s="17">
        <v>0.107</v>
      </c>
      <c r="Q192" s="258"/>
      <c r="R192" s="191">
        <v>215</v>
      </c>
      <c r="S192" s="17">
        <v>9.7000000000000003E-2</v>
      </c>
      <c r="T192" s="203"/>
      <c r="U192" s="204"/>
    </row>
    <row r="193" spans="11:21" ht="15.75" thickBot="1" x14ac:dyDescent="0.3">
      <c r="K193" s="200"/>
      <c r="L193" s="183" t="s">
        <v>456</v>
      </c>
      <c r="M193" s="191">
        <v>139</v>
      </c>
      <c r="N193" s="173"/>
      <c r="O193" s="173"/>
      <c r="P193" s="17">
        <v>7.9000000000000001E-2</v>
      </c>
      <c r="Q193" s="258"/>
      <c r="R193" s="191">
        <v>214</v>
      </c>
      <c r="S193" s="17">
        <v>8.8999999999999996E-2</v>
      </c>
      <c r="T193" s="203"/>
      <c r="U193" s="204"/>
    </row>
    <row r="194" spans="11:21" ht="15.75" thickBot="1" x14ac:dyDescent="0.3">
      <c r="K194" s="202"/>
      <c r="L194" s="183" t="s">
        <v>457</v>
      </c>
      <c r="M194" s="191">
        <v>120</v>
      </c>
      <c r="N194" s="173"/>
      <c r="O194" s="173"/>
      <c r="P194" s="17">
        <v>7.9000000000000001E-2</v>
      </c>
      <c r="Q194" s="258"/>
      <c r="R194" s="191">
        <v>199</v>
      </c>
      <c r="S194" s="17">
        <v>6.4000000000000001E-2</v>
      </c>
      <c r="T194" s="203"/>
      <c r="U194" s="204"/>
    </row>
    <row r="195" spans="11:21" ht="15.75" thickBot="1" x14ac:dyDescent="0.3">
      <c r="K195" s="197" t="s">
        <v>417</v>
      </c>
      <c r="L195" s="183" t="s">
        <v>454</v>
      </c>
      <c r="M195" s="191">
        <v>189</v>
      </c>
      <c r="N195" s="203">
        <f>AVERAGE(M195:M198)</f>
        <v>197.25</v>
      </c>
      <c r="O195" s="203"/>
      <c r="P195" s="17">
        <v>9.0999999999999998E-2</v>
      </c>
      <c r="Q195" s="259">
        <f>AVERAGE(P195:P198)</f>
        <v>8.3250000000000005E-2</v>
      </c>
      <c r="R195" s="191">
        <v>314</v>
      </c>
      <c r="S195" s="17">
        <v>7.4999999999999997E-2</v>
      </c>
      <c r="T195" s="203">
        <f t="shared" ref="T195:U195" si="10">AVERAGE(R195:R198)</f>
        <v>300.5</v>
      </c>
      <c r="U195" s="204">
        <f t="shared" si="10"/>
        <v>7.6249999999999998E-2</v>
      </c>
    </row>
    <row r="196" spans="11:21" ht="15.75" thickBot="1" x14ac:dyDescent="0.3">
      <c r="K196" s="200"/>
      <c r="L196" s="183" t="s">
        <v>455</v>
      </c>
      <c r="M196" s="191">
        <v>233</v>
      </c>
      <c r="N196" s="173"/>
      <c r="O196" s="173"/>
      <c r="P196" s="17">
        <v>9.8000000000000004E-2</v>
      </c>
      <c r="Q196" s="258"/>
      <c r="R196" s="191">
        <v>304</v>
      </c>
      <c r="S196" s="17">
        <v>8.8999999999999996E-2</v>
      </c>
      <c r="T196" s="203"/>
      <c r="U196" s="204"/>
    </row>
    <row r="197" spans="11:21" ht="15.75" thickBot="1" x14ac:dyDescent="0.3">
      <c r="K197" s="200"/>
      <c r="L197" s="183" t="s">
        <v>456</v>
      </c>
      <c r="M197" s="191">
        <v>197</v>
      </c>
      <c r="N197" s="173"/>
      <c r="O197" s="173"/>
      <c r="P197" s="17">
        <v>7.1999999999999995E-2</v>
      </c>
      <c r="Q197" s="258"/>
      <c r="R197" s="191">
        <v>302</v>
      </c>
      <c r="S197" s="17">
        <v>8.2000000000000003E-2</v>
      </c>
      <c r="T197" s="203"/>
      <c r="U197" s="204"/>
    </row>
    <row r="198" spans="11:21" ht="15.75" thickBot="1" x14ac:dyDescent="0.3">
      <c r="K198" s="202"/>
      <c r="L198" s="183" t="s">
        <v>457</v>
      </c>
      <c r="M198" s="191">
        <v>170</v>
      </c>
      <c r="N198" s="173"/>
      <c r="O198" s="173"/>
      <c r="P198" s="17">
        <v>7.1999999999999995E-2</v>
      </c>
      <c r="Q198" s="258"/>
      <c r="R198" s="191">
        <v>282</v>
      </c>
      <c r="S198" s="17">
        <v>5.8999999999999997E-2</v>
      </c>
      <c r="T198" s="203"/>
      <c r="U198" s="204"/>
    </row>
    <row r="199" spans="11:21" ht="15.75" thickBot="1" x14ac:dyDescent="0.3">
      <c r="K199" s="197" t="s">
        <v>418</v>
      </c>
      <c r="L199" s="183" t="s">
        <v>454</v>
      </c>
      <c r="M199" s="191">
        <v>180</v>
      </c>
      <c r="N199" s="203">
        <f>AVERAGE(M199:M202)</f>
        <v>188</v>
      </c>
      <c r="O199" s="203"/>
      <c r="P199" s="17">
        <v>0.1</v>
      </c>
      <c r="Q199" s="259">
        <f>AVERAGE(P199:P202)</f>
        <v>9.1750000000000012E-2</v>
      </c>
      <c r="R199" s="191">
        <v>300</v>
      </c>
      <c r="S199" s="17">
        <v>8.3000000000000004E-2</v>
      </c>
      <c r="T199" s="203">
        <f t="shared" ref="T199:U199" si="11">AVERAGE(R199:R202)</f>
        <v>286.75</v>
      </c>
      <c r="U199" s="204">
        <f t="shared" si="11"/>
        <v>8.4000000000000005E-2</v>
      </c>
    </row>
    <row r="200" spans="11:21" ht="15.75" thickBot="1" x14ac:dyDescent="0.3">
      <c r="K200" s="200"/>
      <c r="L200" s="183" t="s">
        <v>455</v>
      </c>
      <c r="M200" s="191">
        <v>222</v>
      </c>
      <c r="N200" s="173"/>
      <c r="O200" s="173"/>
      <c r="P200" s="17">
        <v>0.108</v>
      </c>
      <c r="Q200" s="258"/>
      <c r="R200" s="191">
        <v>290</v>
      </c>
      <c r="S200" s="17">
        <v>9.8000000000000004E-2</v>
      </c>
      <c r="T200" s="203"/>
      <c r="U200" s="204"/>
    </row>
    <row r="201" spans="11:21" ht="15.75" thickBot="1" x14ac:dyDescent="0.3">
      <c r="K201" s="200"/>
      <c r="L201" s="183" t="s">
        <v>456</v>
      </c>
      <c r="M201" s="191">
        <v>188</v>
      </c>
      <c r="N201" s="173"/>
      <c r="O201" s="173"/>
      <c r="P201" s="17">
        <v>0.08</v>
      </c>
      <c r="Q201" s="258"/>
      <c r="R201" s="191">
        <v>288</v>
      </c>
      <c r="S201" s="17">
        <v>0.09</v>
      </c>
      <c r="T201" s="203"/>
      <c r="U201" s="204"/>
    </row>
    <row r="202" spans="11:21" ht="15.75" thickBot="1" x14ac:dyDescent="0.3">
      <c r="K202" s="202"/>
      <c r="L202" s="183" t="s">
        <v>457</v>
      </c>
      <c r="M202" s="191">
        <v>162</v>
      </c>
      <c r="N202" s="173"/>
      <c r="O202" s="173"/>
      <c r="P202" s="17">
        <v>7.9000000000000001E-2</v>
      </c>
      <c r="Q202" s="258"/>
      <c r="R202" s="191">
        <v>269</v>
      </c>
      <c r="S202" s="17">
        <v>6.5000000000000002E-2</v>
      </c>
      <c r="T202" s="203"/>
      <c r="U202" s="204"/>
    </row>
    <row r="203" spans="11:21" ht="15.75" thickBot="1" x14ac:dyDescent="0.3">
      <c r="K203" s="197" t="s">
        <v>419</v>
      </c>
      <c r="L203" s="183" t="s">
        <v>454</v>
      </c>
      <c r="M203" s="191">
        <v>287</v>
      </c>
      <c r="N203" s="203">
        <f>AVERAGE(M203:M206)</f>
        <v>299.75</v>
      </c>
      <c r="O203" s="203"/>
      <c r="P203" s="17">
        <v>0.10299999999999999</v>
      </c>
      <c r="Q203" s="259">
        <f>AVERAGE(P203:P206)</f>
        <v>9.5000000000000001E-2</v>
      </c>
      <c r="R203" s="191">
        <v>479</v>
      </c>
      <c r="S203" s="17">
        <v>8.5999999999999993E-2</v>
      </c>
      <c r="T203" s="203">
        <f t="shared" ref="T203:U203" si="12">AVERAGE(R203:R206)</f>
        <v>457.75</v>
      </c>
      <c r="U203" s="204">
        <f t="shared" si="12"/>
        <v>8.6750000000000008E-2</v>
      </c>
    </row>
    <row r="204" spans="11:21" ht="15.75" thickBot="1" x14ac:dyDescent="0.3">
      <c r="K204" s="200"/>
      <c r="L204" s="183" t="s">
        <v>455</v>
      </c>
      <c r="M204" s="191">
        <v>354</v>
      </c>
      <c r="N204" s="173"/>
      <c r="O204" s="173"/>
      <c r="P204" s="17">
        <v>0.112</v>
      </c>
      <c r="Q204" s="258"/>
      <c r="R204" s="191">
        <v>463</v>
      </c>
      <c r="S204" s="17">
        <v>0.10100000000000001</v>
      </c>
      <c r="T204" s="203"/>
      <c r="U204" s="204"/>
    </row>
    <row r="205" spans="11:21" ht="15.75" thickBot="1" x14ac:dyDescent="0.3">
      <c r="K205" s="200"/>
      <c r="L205" s="183" t="s">
        <v>456</v>
      </c>
      <c r="M205" s="191">
        <v>300</v>
      </c>
      <c r="N205" s="173"/>
      <c r="O205" s="173"/>
      <c r="P205" s="17">
        <v>8.3000000000000004E-2</v>
      </c>
      <c r="Q205" s="258"/>
      <c r="R205" s="191">
        <v>460</v>
      </c>
      <c r="S205" s="17">
        <v>9.2999999999999999E-2</v>
      </c>
      <c r="T205" s="203"/>
      <c r="U205" s="204"/>
    </row>
    <row r="206" spans="11:21" ht="15.75" thickBot="1" x14ac:dyDescent="0.3">
      <c r="K206" s="202"/>
      <c r="L206" s="183" t="s">
        <v>457</v>
      </c>
      <c r="M206" s="191">
        <v>258</v>
      </c>
      <c r="N206" s="173"/>
      <c r="O206" s="173"/>
      <c r="P206" s="17">
        <v>8.2000000000000003E-2</v>
      </c>
      <c r="Q206" s="258"/>
      <c r="R206" s="191">
        <v>429</v>
      </c>
      <c r="S206" s="17">
        <v>6.7000000000000004E-2</v>
      </c>
      <c r="T206" s="203"/>
      <c r="U206" s="204"/>
    </row>
    <row r="207" spans="11:21" ht="15.75" thickBot="1" x14ac:dyDescent="0.3">
      <c r="K207" s="197" t="s">
        <v>420</v>
      </c>
      <c r="L207" s="183" t="s">
        <v>454</v>
      </c>
      <c r="M207" s="191">
        <v>210</v>
      </c>
      <c r="N207" s="203">
        <f>AVERAGE(M207:M210)</f>
        <v>219.25</v>
      </c>
      <c r="O207" s="203"/>
      <c r="P207" s="17">
        <v>8.3000000000000004E-2</v>
      </c>
      <c r="Q207" s="259">
        <f>AVERAGE(P207:P210)</f>
        <v>7.6499999999999999E-2</v>
      </c>
      <c r="R207" s="191">
        <v>349</v>
      </c>
      <c r="S207" s="17">
        <v>7.0000000000000007E-2</v>
      </c>
      <c r="T207" s="203">
        <f t="shared" ref="T207:U207" si="13">AVERAGE(R207:R210)</f>
        <v>333.75</v>
      </c>
      <c r="U207" s="204">
        <f t="shared" si="13"/>
        <v>7.0250000000000007E-2</v>
      </c>
    </row>
    <row r="208" spans="11:21" ht="15.75" thickBot="1" x14ac:dyDescent="0.3">
      <c r="K208" s="200"/>
      <c r="L208" s="183" t="s">
        <v>455</v>
      </c>
      <c r="M208" s="191">
        <v>259</v>
      </c>
      <c r="N208" s="173"/>
      <c r="O208" s="173"/>
      <c r="P208" s="17">
        <v>0.09</v>
      </c>
      <c r="Q208" s="258"/>
      <c r="R208" s="191">
        <v>338</v>
      </c>
      <c r="S208" s="17">
        <v>8.2000000000000003E-2</v>
      </c>
      <c r="T208" s="203"/>
      <c r="U208" s="204"/>
    </row>
    <row r="209" spans="11:21" ht="15.75" thickBot="1" x14ac:dyDescent="0.3">
      <c r="K209" s="200"/>
      <c r="L209" s="183" t="s">
        <v>456</v>
      </c>
      <c r="M209" s="191">
        <v>219</v>
      </c>
      <c r="N209" s="173"/>
      <c r="O209" s="173"/>
      <c r="P209" s="17">
        <v>6.7000000000000004E-2</v>
      </c>
      <c r="Q209" s="258"/>
      <c r="R209" s="191">
        <v>335</v>
      </c>
      <c r="S209" s="17">
        <v>7.4999999999999997E-2</v>
      </c>
      <c r="T209" s="203"/>
      <c r="U209" s="204"/>
    </row>
    <row r="210" spans="11:21" ht="15.75" thickBot="1" x14ac:dyDescent="0.3">
      <c r="K210" s="202"/>
      <c r="L210" s="183" t="s">
        <v>457</v>
      </c>
      <c r="M210" s="191">
        <v>189</v>
      </c>
      <c r="N210" s="173"/>
      <c r="O210" s="173"/>
      <c r="P210" s="17">
        <v>6.6000000000000003E-2</v>
      </c>
      <c r="Q210" s="258"/>
      <c r="R210" s="191">
        <v>313</v>
      </c>
      <c r="S210" s="17">
        <v>5.3999999999999999E-2</v>
      </c>
      <c r="T210" s="203"/>
      <c r="U210" s="204"/>
    </row>
    <row r="211" spans="11:21" ht="15.75" thickBot="1" x14ac:dyDescent="0.3">
      <c r="K211" s="197" t="s">
        <v>421</v>
      </c>
      <c r="L211" s="183" t="s">
        <v>454</v>
      </c>
      <c r="M211" s="191">
        <v>185</v>
      </c>
      <c r="N211" s="203">
        <f>AVERAGE(M211:M214)</f>
        <v>193.75</v>
      </c>
      <c r="O211" s="203"/>
      <c r="P211" s="17">
        <v>9.9000000000000005E-2</v>
      </c>
      <c r="Q211" s="259">
        <f>AVERAGE(P211:P214)</f>
        <v>9.1000000000000011E-2</v>
      </c>
      <c r="R211" s="191">
        <v>309</v>
      </c>
      <c r="S211" s="17">
        <v>8.2000000000000003E-2</v>
      </c>
      <c r="T211" s="203">
        <f t="shared" ref="T211:U211" si="14">AVERAGE(R211:R214)</f>
        <v>295.5</v>
      </c>
      <c r="U211" s="204">
        <f t="shared" si="14"/>
        <v>8.3000000000000004E-2</v>
      </c>
    </row>
    <row r="212" spans="11:21" ht="15.75" thickBot="1" x14ac:dyDescent="0.3">
      <c r="K212" s="200"/>
      <c r="L212" s="183" t="s">
        <v>455</v>
      </c>
      <c r="M212" s="191">
        <v>229</v>
      </c>
      <c r="N212" s="173"/>
      <c r="O212" s="173"/>
      <c r="P212" s="17">
        <v>0.107</v>
      </c>
      <c r="Q212" s="258"/>
      <c r="R212" s="191">
        <v>299</v>
      </c>
      <c r="S212" s="17">
        <v>9.7000000000000003E-2</v>
      </c>
      <c r="T212" s="203"/>
      <c r="U212" s="204"/>
    </row>
    <row r="213" spans="11:21" ht="15.75" thickBot="1" x14ac:dyDescent="0.3">
      <c r="K213" s="200"/>
      <c r="L213" s="183" t="s">
        <v>456</v>
      </c>
      <c r="M213" s="191">
        <v>194</v>
      </c>
      <c r="N213" s="173"/>
      <c r="O213" s="173"/>
      <c r="P213" s="17">
        <v>7.9000000000000001E-2</v>
      </c>
      <c r="Q213" s="258"/>
      <c r="R213" s="191">
        <v>297</v>
      </c>
      <c r="S213" s="17">
        <v>8.8999999999999996E-2</v>
      </c>
      <c r="T213" s="203"/>
      <c r="U213" s="204"/>
    </row>
    <row r="214" spans="11:21" ht="15.75" thickBot="1" x14ac:dyDescent="0.3">
      <c r="K214" s="202"/>
      <c r="L214" s="183" t="s">
        <v>457</v>
      </c>
      <c r="M214" s="191">
        <v>167</v>
      </c>
      <c r="N214" s="173"/>
      <c r="O214" s="173"/>
      <c r="P214" s="17">
        <v>7.9000000000000001E-2</v>
      </c>
      <c r="Q214" s="258"/>
      <c r="R214" s="191">
        <v>277</v>
      </c>
      <c r="S214" s="17">
        <v>6.4000000000000001E-2</v>
      </c>
      <c r="T214" s="203"/>
      <c r="U214" s="204"/>
    </row>
    <row r="215" spans="11:21" ht="15.75" thickBot="1" x14ac:dyDescent="0.3">
      <c r="K215" s="197" t="s">
        <v>422</v>
      </c>
      <c r="L215" s="183" t="s">
        <v>454</v>
      </c>
      <c r="M215" s="191">
        <v>136</v>
      </c>
      <c r="N215" s="203">
        <f>AVERAGE(M215:M218)</f>
        <v>142</v>
      </c>
      <c r="O215" s="203"/>
      <c r="P215" s="17">
        <v>9.9000000000000005E-2</v>
      </c>
      <c r="Q215" s="259">
        <f>AVERAGE(P215:P218)</f>
        <v>9.1000000000000011E-2</v>
      </c>
      <c r="R215" s="191">
        <v>227</v>
      </c>
      <c r="S215" s="17">
        <v>8.2000000000000003E-2</v>
      </c>
      <c r="T215" s="203">
        <f t="shared" ref="T215:U215" si="15">AVERAGE(R215:R218)</f>
        <v>216.5</v>
      </c>
      <c r="U215" s="204">
        <f t="shared" si="15"/>
        <v>8.3000000000000004E-2</v>
      </c>
    </row>
    <row r="216" spans="11:21" ht="15.75" thickBot="1" x14ac:dyDescent="0.3">
      <c r="K216" s="200"/>
      <c r="L216" s="183" t="s">
        <v>455</v>
      </c>
      <c r="M216" s="191">
        <v>168</v>
      </c>
      <c r="N216" s="173"/>
      <c r="O216" s="173"/>
      <c r="P216" s="17">
        <v>0.107</v>
      </c>
      <c r="Q216" s="258"/>
      <c r="R216" s="191">
        <v>219</v>
      </c>
      <c r="S216" s="17">
        <v>9.7000000000000003E-2</v>
      </c>
      <c r="T216" s="264"/>
      <c r="U216" s="201"/>
    </row>
    <row r="217" spans="11:21" ht="15.75" thickBot="1" x14ac:dyDescent="0.3">
      <c r="K217" s="200"/>
      <c r="L217" s="183" t="s">
        <v>456</v>
      </c>
      <c r="M217" s="191">
        <v>142</v>
      </c>
      <c r="N217" s="173"/>
      <c r="O217" s="173"/>
      <c r="P217" s="17">
        <v>7.9000000000000001E-2</v>
      </c>
      <c r="Q217" s="258"/>
      <c r="R217" s="191">
        <v>217</v>
      </c>
      <c r="S217" s="17">
        <v>8.8999999999999996E-2</v>
      </c>
      <c r="T217" s="264"/>
      <c r="U217" s="201"/>
    </row>
    <row r="218" spans="11:21" ht="15.75" thickBot="1" x14ac:dyDescent="0.3">
      <c r="K218" s="202"/>
      <c r="L218" s="205" t="s">
        <v>457</v>
      </c>
      <c r="M218" s="207">
        <v>122</v>
      </c>
      <c r="N218" s="195"/>
      <c r="O218" s="195"/>
      <c r="P218" s="208">
        <v>7.9000000000000001E-2</v>
      </c>
      <c r="Q218" s="260"/>
      <c r="R218" s="207">
        <v>203</v>
      </c>
      <c r="S218" s="208">
        <v>6.4000000000000001E-2</v>
      </c>
      <c r="T218" s="265"/>
      <c r="U218" s="206"/>
    </row>
    <row r="219" spans="11:21" ht="15.75" thickBot="1" x14ac:dyDescent="0.3">
      <c r="K219" s="157" t="s">
        <v>458</v>
      </c>
      <c r="R219" s="158"/>
      <c r="S219" s="158"/>
      <c r="T219" s="158"/>
      <c r="U219" s="158"/>
    </row>
    <row r="220" spans="11:21" ht="15.75" thickBot="1" x14ac:dyDescent="0.25">
      <c r="K220" s="354" t="s">
        <v>54</v>
      </c>
      <c r="L220" s="356" t="s">
        <v>459</v>
      </c>
      <c r="M220" s="345" t="s">
        <v>449</v>
      </c>
      <c r="N220" s="346"/>
      <c r="O220" s="346"/>
      <c r="P220" s="346"/>
      <c r="Q220" s="347"/>
      <c r="R220" s="351" t="s">
        <v>450</v>
      </c>
      <c r="S220" s="352"/>
      <c r="T220" s="352"/>
      <c r="U220" s="353"/>
    </row>
    <row r="221" spans="11:21" ht="30.75" thickBot="1" x14ac:dyDescent="0.25">
      <c r="K221" s="355"/>
      <c r="L221" s="357"/>
      <c r="M221" s="348" t="s">
        <v>451</v>
      </c>
      <c r="N221" s="350"/>
      <c r="O221" s="213"/>
      <c r="P221" s="348" t="s">
        <v>452</v>
      </c>
      <c r="Q221" s="349"/>
      <c r="R221" s="261" t="s">
        <v>451</v>
      </c>
      <c r="S221" s="262" t="s">
        <v>452</v>
      </c>
      <c r="T221" s="262" t="s">
        <v>451</v>
      </c>
      <c r="U221" s="263" t="s">
        <v>452</v>
      </c>
    </row>
    <row r="222" spans="11:21" ht="15.75" thickBot="1" x14ac:dyDescent="0.3">
      <c r="K222" s="197" t="s">
        <v>414</v>
      </c>
      <c r="L222" s="183" t="s">
        <v>460</v>
      </c>
      <c r="M222" s="184">
        <v>240</v>
      </c>
      <c r="N222" s="198">
        <f>AVERAGE(M222:M224)</f>
        <v>221.66666666666666</v>
      </c>
      <c r="O222" s="198"/>
      <c r="P222" s="185">
        <v>6.6000000000000003E-2</v>
      </c>
      <c r="Q222" s="257">
        <f>AVERAGE(P222:P224)</f>
        <v>5.7666666666666665E-2</v>
      </c>
      <c r="R222" s="184">
        <v>171</v>
      </c>
      <c r="S222" s="185">
        <v>3.2000000000000001E-2</v>
      </c>
      <c r="T222" s="198">
        <f>AVERAGE(R222:R224)</f>
        <v>145.33333333333334</v>
      </c>
      <c r="U222" s="199">
        <f>AVERAGE(S222:S224)</f>
        <v>4.5333333333333337E-2</v>
      </c>
    </row>
    <row r="223" spans="11:21" ht="15.75" thickBot="1" x14ac:dyDescent="0.3">
      <c r="K223" s="200"/>
      <c r="L223" s="183" t="s">
        <v>461</v>
      </c>
      <c r="M223" s="191">
        <v>214</v>
      </c>
      <c r="N223" s="189"/>
      <c r="O223" s="189"/>
      <c r="P223" s="17">
        <v>5.6000000000000001E-2</v>
      </c>
      <c r="Q223" s="259"/>
      <c r="R223" s="191">
        <v>127</v>
      </c>
      <c r="S223" s="17">
        <v>5.3999999999999999E-2</v>
      </c>
      <c r="T223" s="203"/>
      <c r="U223" s="204"/>
    </row>
    <row r="224" spans="11:21" ht="15.75" thickBot="1" x14ac:dyDescent="0.3">
      <c r="K224" s="202"/>
      <c r="L224" s="183" t="s">
        <v>462</v>
      </c>
      <c r="M224" s="191">
        <v>211</v>
      </c>
      <c r="N224" s="189"/>
      <c r="O224" s="189"/>
      <c r="P224" s="17">
        <v>5.0999999999999997E-2</v>
      </c>
      <c r="Q224" s="259"/>
      <c r="R224" s="191">
        <v>138</v>
      </c>
      <c r="S224" s="17">
        <v>0.05</v>
      </c>
      <c r="T224" s="203"/>
      <c r="U224" s="204"/>
    </row>
    <row r="225" spans="11:21" ht="15.75" thickBot="1" x14ac:dyDescent="0.3">
      <c r="K225" s="197" t="s">
        <v>415</v>
      </c>
      <c r="L225" s="183" t="s">
        <v>460</v>
      </c>
      <c r="M225" s="191">
        <v>154</v>
      </c>
      <c r="N225" s="203">
        <f>AVERAGE(M225:M227)</f>
        <v>142.33333333333334</v>
      </c>
      <c r="O225" s="203"/>
      <c r="P225" s="17">
        <v>7.6999999999999999E-2</v>
      </c>
      <c r="Q225" s="259">
        <f>AVERAGE(P225:P227)</f>
        <v>6.7000000000000004E-2</v>
      </c>
      <c r="R225" s="191">
        <v>110</v>
      </c>
      <c r="S225" s="17">
        <v>3.5999999999999997E-2</v>
      </c>
      <c r="T225" s="203">
        <f t="shared" ref="T225:U225" si="16">AVERAGE(R225:R227)</f>
        <v>93.666666666666671</v>
      </c>
      <c r="U225" s="204">
        <f t="shared" si="16"/>
        <v>5.1666666666666666E-2</v>
      </c>
    </row>
    <row r="226" spans="11:21" ht="15.75" thickBot="1" x14ac:dyDescent="0.3">
      <c r="K226" s="200"/>
      <c r="L226" s="183" t="s">
        <v>461</v>
      </c>
      <c r="M226" s="191">
        <v>137</v>
      </c>
      <c r="N226" s="189"/>
      <c r="O226" s="189"/>
      <c r="P226" s="17">
        <v>6.5000000000000002E-2</v>
      </c>
      <c r="Q226" s="259"/>
      <c r="R226" s="191">
        <v>82</v>
      </c>
      <c r="S226" s="17">
        <v>6.2E-2</v>
      </c>
      <c r="T226" s="203"/>
      <c r="U226" s="204"/>
    </row>
    <row r="227" spans="11:21" ht="15.75" thickBot="1" x14ac:dyDescent="0.3">
      <c r="K227" s="202"/>
      <c r="L227" s="183" t="s">
        <v>462</v>
      </c>
      <c r="M227" s="191">
        <v>136</v>
      </c>
      <c r="N227" s="189"/>
      <c r="O227" s="189"/>
      <c r="P227" s="17">
        <v>5.8999999999999997E-2</v>
      </c>
      <c r="Q227" s="259"/>
      <c r="R227" s="191">
        <v>89</v>
      </c>
      <c r="S227" s="17">
        <v>5.7000000000000002E-2</v>
      </c>
      <c r="T227" s="203"/>
      <c r="U227" s="204"/>
    </row>
    <row r="228" spans="11:21" ht="15.75" thickBot="1" x14ac:dyDescent="0.3">
      <c r="K228" s="197" t="s">
        <v>74</v>
      </c>
      <c r="L228" s="183" t="s">
        <v>460</v>
      </c>
      <c r="M228" s="191">
        <v>201</v>
      </c>
      <c r="N228" s="203">
        <f>AVERAGE(M228:M230)</f>
        <v>185.66666666666666</v>
      </c>
      <c r="O228" s="203"/>
      <c r="P228" s="17">
        <v>7.1999999999999995E-2</v>
      </c>
      <c r="Q228" s="259">
        <f>AVERAGE(P228:P230)</f>
        <v>6.3E-2</v>
      </c>
      <c r="R228" s="191">
        <v>143</v>
      </c>
      <c r="S228" s="17">
        <v>3.4000000000000002E-2</v>
      </c>
      <c r="T228" s="203">
        <f t="shared" ref="T228:U228" si="17">AVERAGE(R228:R230)</f>
        <v>121.33333333333333</v>
      </c>
      <c r="U228" s="204">
        <f t="shared" si="17"/>
        <v>4.8999999999999995E-2</v>
      </c>
    </row>
    <row r="229" spans="11:21" ht="15.75" thickBot="1" x14ac:dyDescent="0.3">
      <c r="K229" s="200"/>
      <c r="L229" s="183" t="s">
        <v>461</v>
      </c>
      <c r="M229" s="191">
        <v>179</v>
      </c>
      <c r="N229" s="189"/>
      <c r="O229" s="189"/>
      <c r="P229" s="17">
        <v>6.0999999999999999E-2</v>
      </c>
      <c r="Q229" s="259"/>
      <c r="R229" s="191">
        <v>106</v>
      </c>
      <c r="S229" s="17">
        <v>5.8999999999999997E-2</v>
      </c>
      <c r="T229" s="203"/>
      <c r="U229" s="204"/>
    </row>
    <row r="230" spans="11:21" ht="15.75" thickBot="1" x14ac:dyDescent="0.3">
      <c r="K230" s="202"/>
      <c r="L230" s="183" t="s">
        <v>462</v>
      </c>
      <c r="M230" s="191">
        <v>177</v>
      </c>
      <c r="N230" s="189"/>
      <c r="O230" s="189"/>
      <c r="P230" s="17">
        <v>5.6000000000000001E-2</v>
      </c>
      <c r="Q230" s="259"/>
      <c r="R230" s="191">
        <v>115</v>
      </c>
      <c r="S230" s="17">
        <v>5.3999999999999999E-2</v>
      </c>
      <c r="T230" s="203"/>
      <c r="U230" s="204"/>
    </row>
    <row r="231" spans="11:21" ht="15.75" thickBot="1" x14ac:dyDescent="0.3">
      <c r="K231" s="197" t="s">
        <v>416</v>
      </c>
      <c r="L231" s="183" t="s">
        <v>460</v>
      </c>
      <c r="M231" s="191">
        <v>150</v>
      </c>
      <c r="N231" s="203">
        <f>AVERAGE(M231:M233)</f>
        <v>138.33333333333334</v>
      </c>
      <c r="O231" s="203"/>
      <c r="P231" s="17">
        <v>7.0999999999999994E-2</v>
      </c>
      <c r="Q231" s="259">
        <f>AVERAGE(P231:P233)</f>
        <v>6.2E-2</v>
      </c>
      <c r="R231" s="191">
        <v>107</v>
      </c>
      <c r="S231" s="17">
        <v>3.4000000000000002E-2</v>
      </c>
      <c r="T231" s="203">
        <f t="shared" ref="T231:U231" si="18">AVERAGE(R231:R233)</f>
        <v>90.666666666666671</v>
      </c>
      <c r="U231" s="204">
        <f t="shared" si="18"/>
        <v>4.8333333333333332E-2</v>
      </c>
    </row>
    <row r="232" spans="11:21" ht="15.75" thickBot="1" x14ac:dyDescent="0.3">
      <c r="K232" s="200"/>
      <c r="L232" s="183" t="s">
        <v>461</v>
      </c>
      <c r="M232" s="191">
        <v>133</v>
      </c>
      <c r="N232" s="189"/>
      <c r="O232" s="189"/>
      <c r="P232" s="17">
        <v>0.06</v>
      </c>
      <c r="Q232" s="259"/>
      <c r="R232" s="191">
        <v>79</v>
      </c>
      <c r="S232" s="17">
        <v>5.8000000000000003E-2</v>
      </c>
      <c r="T232" s="203"/>
      <c r="U232" s="204"/>
    </row>
    <row r="233" spans="11:21" ht="15.75" thickBot="1" x14ac:dyDescent="0.3">
      <c r="K233" s="202"/>
      <c r="L233" s="183" t="s">
        <v>462</v>
      </c>
      <c r="M233" s="191">
        <v>132</v>
      </c>
      <c r="N233" s="189"/>
      <c r="O233" s="189"/>
      <c r="P233" s="17">
        <v>5.5E-2</v>
      </c>
      <c r="Q233" s="259"/>
      <c r="R233" s="191">
        <v>86</v>
      </c>
      <c r="S233" s="17">
        <v>5.2999999999999999E-2</v>
      </c>
      <c r="T233" s="203"/>
      <c r="U233" s="204"/>
    </row>
    <row r="234" spans="11:21" ht="15.75" thickBot="1" x14ac:dyDescent="0.3">
      <c r="K234" s="197" t="s">
        <v>417</v>
      </c>
      <c r="L234" s="183" t="s">
        <v>460</v>
      </c>
      <c r="M234" s="191">
        <v>212</v>
      </c>
      <c r="N234" s="203">
        <f>AVERAGE(M234:M236)</f>
        <v>195.66666666666666</v>
      </c>
      <c r="O234" s="203"/>
      <c r="P234" s="17">
        <v>6.5000000000000002E-2</v>
      </c>
      <c r="Q234" s="259">
        <f>AVERAGE(P234:P236)</f>
        <v>5.6999999999999995E-2</v>
      </c>
      <c r="R234" s="191">
        <v>151</v>
      </c>
      <c r="S234" s="17">
        <v>3.1E-2</v>
      </c>
      <c r="T234" s="203">
        <f t="shared" ref="T234:U234" si="19">AVERAGE(R234:R236)</f>
        <v>128.33333333333334</v>
      </c>
      <c r="U234" s="204">
        <f t="shared" si="19"/>
        <v>4.4333333333333336E-2</v>
      </c>
    </row>
    <row r="235" spans="11:21" ht="15.75" thickBot="1" x14ac:dyDescent="0.3">
      <c r="K235" s="200"/>
      <c r="L235" s="183" t="s">
        <v>461</v>
      </c>
      <c r="M235" s="191">
        <v>189</v>
      </c>
      <c r="N235" s="189"/>
      <c r="O235" s="189"/>
      <c r="P235" s="17">
        <v>5.5E-2</v>
      </c>
      <c r="Q235" s="259"/>
      <c r="R235" s="191">
        <v>112</v>
      </c>
      <c r="S235" s="17">
        <v>5.2999999999999999E-2</v>
      </c>
      <c r="T235" s="203"/>
      <c r="U235" s="204"/>
    </row>
    <row r="236" spans="11:21" ht="15.75" thickBot="1" x14ac:dyDescent="0.3">
      <c r="K236" s="202"/>
      <c r="L236" s="183" t="s">
        <v>462</v>
      </c>
      <c r="M236" s="191">
        <v>186</v>
      </c>
      <c r="N236" s="189"/>
      <c r="O236" s="189"/>
      <c r="P236" s="17">
        <v>5.0999999999999997E-2</v>
      </c>
      <c r="Q236" s="259"/>
      <c r="R236" s="191">
        <v>122</v>
      </c>
      <c r="S236" s="17">
        <v>4.9000000000000002E-2</v>
      </c>
      <c r="T236" s="203"/>
      <c r="U236" s="204"/>
    </row>
    <row r="237" spans="11:21" ht="15.75" thickBot="1" x14ac:dyDescent="0.3">
      <c r="K237" s="197" t="s">
        <v>418</v>
      </c>
      <c r="L237" s="183" t="s">
        <v>460</v>
      </c>
      <c r="M237" s="191">
        <v>202</v>
      </c>
      <c r="N237" s="203">
        <f>AVERAGE(M237:M239)</f>
        <v>186.66666666666666</v>
      </c>
      <c r="O237" s="203"/>
      <c r="P237" s="17">
        <v>7.1999999999999995E-2</v>
      </c>
      <c r="Q237" s="259">
        <f>AVERAGE(P237:P239)</f>
        <v>6.3E-2</v>
      </c>
      <c r="R237" s="191">
        <v>144</v>
      </c>
      <c r="S237" s="17">
        <v>3.4000000000000002E-2</v>
      </c>
      <c r="T237" s="203">
        <f t="shared" ref="T237:U237" si="20">AVERAGE(R237:R239)</f>
        <v>122.33333333333333</v>
      </c>
      <c r="U237" s="204">
        <f t="shared" si="20"/>
        <v>4.8999999999999995E-2</v>
      </c>
    </row>
    <row r="238" spans="11:21" ht="15.75" thickBot="1" x14ac:dyDescent="0.3">
      <c r="K238" s="200"/>
      <c r="L238" s="183" t="s">
        <v>461</v>
      </c>
      <c r="M238" s="191">
        <v>180</v>
      </c>
      <c r="N238" s="189"/>
      <c r="O238" s="189"/>
      <c r="P238" s="17">
        <v>6.0999999999999999E-2</v>
      </c>
      <c r="Q238" s="259"/>
      <c r="R238" s="191">
        <v>107</v>
      </c>
      <c r="S238" s="17">
        <v>5.8999999999999997E-2</v>
      </c>
      <c r="T238" s="203"/>
      <c r="U238" s="204"/>
    </row>
    <row r="239" spans="11:21" ht="15.75" thickBot="1" x14ac:dyDescent="0.3">
      <c r="K239" s="202"/>
      <c r="L239" s="183" t="s">
        <v>462</v>
      </c>
      <c r="M239" s="191">
        <v>178</v>
      </c>
      <c r="N239" s="189"/>
      <c r="O239" s="189"/>
      <c r="P239" s="17">
        <v>5.6000000000000001E-2</v>
      </c>
      <c r="Q239" s="259"/>
      <c r="R239" s="191">
        <v>116</v>
      </c>
      <c r="S239" s="17">
        <v>5.3999999999999999E-2</v>
      </c>
      <c r="T239" s="203"/>
      <c r="U239" s="204"/>
    </row>
    <row r="240" spans="11:21" ht="15.75" thickBot="1" x14ac:dyDescent="0.3">
      <c r="K240" s="197" t="s">
        <v>419</v>
      </c>
      <c r="L240" s="183" t="s">
        <v>460</v>
      </c>
      <c r="M240" s="191">
        <v>322</v>
      </c>
      <c r="N240" s="203">
        <f>AVERAGE(M240:M242)</f>
        <v>297.66666666666669</v>
      </c>
      <c r="O240" s="203"/>
      <c r="P240" s="17">
        <v>7.4999999999999997E-2</v>
      </c>
      <c r="Q240" s="259">
        <f>AVERAGE(P240:P242)</f>
        <v>6.533333333333334E-2</v>
      </c>
      <c r="R240" s="191">
        <v>230</v>
      </c>
      <c r="S240" s="17">
        <v>3.5999999999999997E-2</v>
      </c>
      <c r="T240" s="203">
        <f t="shared" ref="T240:U240" si="21">AVERAGE(R240:R242)</f>
        <v>195.33333333333334</v>
      </c>
      <c r="U240" s="204">
        <f t="shared" si="21"/>
        <v>5.0999999999999997E-2</v>
      </c>
    </row>
    <row r="241" spans="11:21" ht="15.75" thickBot="1" x14ac:dyDescent="0.3">
      <c r="K241" s="200"/>
      <c r="L241" s="183" t="s">
        <v>461</v>
      </c>
      <c r="M241" s="191">
        <v>287</v>
      </c>
      <c r="N241" s="189"/>
      <c r="O241" s="189"/>
      <c r="P241" s="17">
        <v>6.3E-2</v>
      </c>
      <c r="Q241" s="259"/>
      <c r="R241" s="191">
        <v>171</v>
      </c>
      <c r="S241" s="17">
        <v>6.0999999999999999E-2</v>
      </c>
      <c r="T241" s="203"/>
      <c r="U241" s="204"/>
    </row>
    <row r="242" spans="11:21" ht="15.75" thickBot="1" x14ac:dyDescent="0.3">
      <c r="K242" s="202"/>
      <c r="L242" s="183" t="s">
        <v>462</v>
      </c>
      <c r="M242" s="191">
        <v>284</v>
      </c>
      <c r="N242" s="189"/>
      <c r="O242" s="189"/>
      <c r="P242" s="17">
        <v>5.8000000000000003E-2</v>
      </c>
      <c r="Q242" s="259"/>
      <c r="R242" s="191">
        <v>185</v>
      </c>
      <c r="S242" s="17">
        <v>5.6000000000000001E-2</v>
      </c>
      <c r="T242" s="203"/>
      <c r="U242" s="204"/>
    </row>
    <row r="243" spans="11:21" ht="15.75" thickBot="1" x14ac:dyDescent="0.3">
      <c r="K243" s="197" t="s">
        <v>420</v>
      </c>
      <c r="L243" s="183" t="s">
        <v>460</v>
      </c>
      <c r="M243" s="191">
        <v>235</v>
      </c>
      <c r="N243" s="203">
        <f>AVERAGE(M243:M245)</f>
        <v>217.33333333333334</v>
      </c>
      <c r="O243" s="203"/>
      <c r="P243" s="17">
        <v>0.06</v>
      </c>
      <c r="Q243" s="259">
        <f>AVERAGE(P243:P245)</f>
        <v>5.266666666666666E-2</v>
      </c>
      <c r="R243" s="191">
        <v>168</v>
      </c>
      <c r="S243" s="17">
        <v>2.9000000000000001E-2</v>
      </c>
      <c r="T243" s="203">
        <f t="shared" ref="T243:U243" si="22">AVERAGE(R243:R245)</f>
        <v>142.66666666666666</v>
      </c>
      <c r="U243" s="204">
        <f t="shared" si="22"/>
        <v>4.1000000000000002E-2</v>
      </c>
    </row>
    <row r="244" spans="11:21" ht="15.75" thickBot="1" x14ac:dyDescent="0.3">
      <c r="K244" s="200"/>
      <c r="L244" s="183" t="s">
        <v>461</v>
      </c>
      <c r="M244" s="191">
        <v>210</v>
      </c>
      <c r="N244" s="189"/>
      <c r="O244" s="189"/>
      <c r="P244" s="17">
        <v>5.0999999999999997E-2</v>
      </c>
      <c r="Q244" s="259"/>
      <c r="R244" s="191">
        <v>125</v>
      </c>
      <c r="S244" s="17">
        <v>4.9000000000000002E-2</v>
      </c>
      <c r="T244" s="203"/>
      <c r="U244" s="204"/>
    </row>
    <row r="245" spans="11:21" ht="15.75" thickBot="1" x14ac:dyDescent="0.3">
      <c r="K245" s="202"/>
      <c r="L245" s="183" t="s">
        <v>462</v>
      </c>
      <c r="M245" s="191">
        <v>207</v>
      </c>
      <c r="N245" s="189"/>
      <c r="O245" s="189"/>
      <c r="P245" s="17">
        <v>4.7E-2</v>
      </c>
      <c r="Q245" s="259"/>
      <c r="R245" s="191">
        <v>135</v>
      </c>
      <c r="S245" s="17">
        <v>4.4999999999999998E-2</v>
      </c>
      <c r="T245" s="203"/>
      <c r="U245" s="204"/>
    </row>
    <row r="246" spans="11:21" ht="15.75" thickBot="1" x14ac:dyDescent="0.3">
      <c r="K246" s="197" t="s">
        <v>421</v>
      </c>
      <c r="L246" s="183" t="s">
        <v>460</v>
      </c>
      <c r="M246" s="191">
        <v>208</v>
      </c>
      <c r="N246" s="203">
        <f>AVERAGE(M246:M248)</f>
        <v>192</v>
      </c>
      <c r="O246" s="203"/>
      <c r="P246" s="17">
        <v>7.0999999999999994E-2</v>
      </c>
      <c r="Q246" s="259">
        <f>AVERAGE(P246:P248)</f>
        <v>6.2E-2</v>
      </c>
      <c r="R246" s="191">
        <v>148</v>
      </c>
      <c r="S246" s="17">
        <v>3.4000000000000002E-2</v>
      </c>
      <c r="T246" s="203">
        <f t="shared" ref="T246:U246" si="23">AVERAGE(R246:R248)</f>
        <v>125.66666666666667</v>
      </c>
      <c r="U246" s="204">
        <f t="shared" si="23"/>
        <v>4.8333333333333332E-2</v>
      </c>
    </row>
    <row r="247" spans="11:21" ht="15.75" thickBot="1" x14ac:dyDescent="0.3">
      <c r="K247" s="200"/>
      <c r="L247" s="183" t="s">
        <v>461</v>
      </c>
      <c r="M247" s="191">
        <v>185</v>
      </c>
      <c r="N247" s="189"/>
      <c r="O247" s="189"/>
      <c r="P247" s="17">
        <v>0.06</v>
      </c>
      <c r="Q247" s="259"/>
      <c r="R247" s="191">
        <v>110</v>
      </c>
      <c r="S247" s="17">
        <v>5.8000000000000003E-2</v>
      </c>
      <c r="T247" s="203"/>
      <c r="U247" s="204"/>
    </row>
    <row r="248" spans="11:21" ht="15.75" thickBot="1" x14ac:dyDescent="0.3">
      <c r="K248" s="202"/>
      <c r="L248" s="183" t="s">
        <v>462</v>
      </c>
      <c r="M248" s="191">
        <v>183</v>
      </c>
      <c r="N248" s="189"/>
      <c r="O248" s="189"/>
      <c r="P248" s="17">
        <v>5.5E-2</v>
      </c>
      <c r="Q248" s="259"/>
      <c r="R248" s="191">
        <v>119</v>
      </c>
      <c r="S248" s="17">
        <v>5.2999999999999999E-2</v>
      </c>
      <c r="T248" s="203"/>
      <c r="U248" s="204"/>
    </row>
    <row r="249" spans="11:21" ht="15.75" thickBot="1" x14ac:dyDescent="0.3">
      <c r="K249" s="197" t="s">
        <v>422</v>
      </c>
      <c r="L249" s="183" t="s">
        <v>460</v>
      </c>
      <c r="M249" s="191">
        <v>153</v>
      </c>
      <c r="N249" s="203">
        <f>AVERAGE(M249:M251)</f>
        <v>141</v>
      </c>
      <c r="O249" s="203"/>
      <c r="P249" s="17">
        <v>7.0999999999999994E-2</v>
      </c>
      <c r="Q249" s="259">
        <f>AVERAGE(P249:P251)</f>
        <v>6.2E-2</v>
      </c>
      <c r="R249" s="191">
        <v>109</v>
      </c>
      <c r="S249" s="17">
        <v>3.4000000000000002E-2</v>
      </c>
      <c r="T249" s="203">
        <f t="shared" ref="T249:U249" si="24">AVERAGE(R249:R251)</f>
        <v>92.666666666666671</v>
      </c>
      <c r="U249" s="204">
        <f t="shared" si="24"/>
        <v>4.8333333333333332E-2</v>
      </c>
    </row>
    <row r="250" spans="11:21" ht="15.75" thickBot="1" x14ac:dyDescent="0.3">
      <c r="K250" s="200"/>
      <c r="L250" s="183" t="s">
        <v>461</v>
      </c>
      <c r="M250" s="191">
        <v>136</v>
      </c>
      <c r="N250" s="173"/>
      <c r="O250" s="173"/>
      <c r="P250" s="17">
        <v>0.06</v>
      </c>
      <c r="Q250" s="270"/>
      <c r="R250" s="191">
        <v>81</v>
      </c>
      <c r="S250" s="17">
        <v>5.8000000000000003E-2</v>
      </c>
      <c r="T250" s="264"/>
      <c r="U250" s="201"/>
    </row>
    <row r="251" spans="11:21" ht="15.75" thickBot="1" x14ac:dyDescent="0.3">
      <c r="K251" s="202"/>
      <c r="L251" s="183" t="s">
        <v>462</v>
      </c>
      <c r="M251" s="207">
        <v>134</v>
      </c>
      <c r="N251" s="195"/>
      <c r="O251" s="195"/>
      <c r="P251" s="208">
        <v>5.5E-2</v>
      </c>
      <c r="Q251" s="245"/>
      <c r="R251" s="207">
        <v>88</v>
      </c>
      <c r="S251" s="208">
        <v>5.2999999999999999E-2</v>
      </c>
      <c r="T251" s="265"/>
      <c r="U251" s="206"/>
    </row>
  </sheetData>
  <mergeCells count="19">
    <mergeCell ref="T154:X154"/>
    <mergeCell ref="R177:U177"/>
    <mergeCell ref="R220:U220"/>
    <mergeCell ref="K220:K221"/>
    <mergeCell ref="L220:L221"/>
    <mergeCell ref="M220:Q220"/>
    <mergeCell ref="M221:N221"/>
    <mergeCell ref="P221:Q221"/>
    <mergeCell ref="K177:K178"/>
    <mergeCell ref="L177:L178"/>
    <mergeCell ref="M177:Q177"/>
    <mergeCell ref="M178:N178"/>
    <mergeCell ref="P178:Q178"/>
    <mergeCell ref="D2:G2"/>
    <mergeCell ref="K154:K155"/>
    <mergeCell ref="L154:L155"/>
    <mergeCell ref="M154:S154"/>
    <mergeCell ref="M155:P155"/>
    <mergeCell ref="Q155:S155"/>
  </mergeCells>
  <phoneticPr fontId="11" type="noConversion"/>
  <pageMargins left="0.7" right="0.7" top="0.75" bottom="0.75" header="0.3" footer="0.3"/>
  <pageSetup orientation="portrait" horizontalDpi="0" verticalDpi="0" r:id="rId1"/>
  <legacyDrawing r:id="rId2"/>
  <tableParts count="4">
    <tablePart r:id="rId3"/>
    <tablePart r:id="rId4"/>
    <tablePart r:id="rId5"/>
    <tablePart r:id="rId6"/>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E09ED-3D5E-402C-B5CF-36BC9D5EB55E}">
  <sheetPr>
    <tabColor rgb="FFFF0000"/>
  </sheetPr>
  <dimension ref="A2:I52"/>
  <sheetViews>
    <sheetView workbookViewId="0">
      <selection activeCell="E27" sqref="E27"/>
    </sheetView>
  </sheetViews>
  <sheetFormatPr defaultRowHeight="12.75" x14ac:dyDescent="0.2"/>
  <cols>
    <col min="2" max="2" width="19.28515625" bestFit="1" customWidth="1"/>
    <col min="3" max="3" width="27" bestFit="1" customWidth="1"/>
    <col min="4" max="4" width="25.85546875" bestFit="1" customWidth="1"/>
    <col min="5" max="5" width="33.42578125" bestFit="1" customWidth="1"/>
    <col min="6" max="6" width="28.42578125" bestFit="1" customWidth="1"/>
    <col min="8" max="8" width="13.85546875" bestFit="1" customWidth="1"/>
    <col min="9" max="9" width="12.42578125" bestFit="1" customWidth="1"/>
  </cols>
  <sheetData>
    <row r="2" spans="1:9" ht="15" x14ac:dyDescent="0.25">
      <c r="B2" s="214" t="s">
        <v>463</v>
      </c>
      <c r="C2" s="214" t="s">
        <v>464</v>
      </c>
      <c r="D2" s="214" t="s">
        <v>465</v>
      </c>
      <c r="E2" s="214" t="s">
        <v>466</v>
      </c>
      <c r="F2" s="214" t="s">
        <v>467</v>
      </c>
      <c r="H2" s="214" t="s">
        <v>468</v>
      </c>
      <c r="I2" s="214" t="s">
        <v>469</v>
      </c>
    </row>
    <row r="3" spans="1:9" ht="15" x14ac:dyDescent="0.25">
      <c r="A3">
        <v>1</v>
      </c>
      <c r="B3" s="158" t="b">
        <f>IF('Input HVAC Measures'!$E5="High Eff. AC Unit",IF('Input HVAC Measures'!$G5&lt;References!$T$116,References!$L$116,IF(AND('Input HVAC Measures'!$G5&lt;References!$T$117,'Input HVAC Measures'!$G5&gt;References!$S$117),References!$L$117,IF(AND('Input HVAC Measures'!$G5&lt;References!$T$118,'Input HVAC Measures'!$G5&gt;References!$S$118),References!$L$118,IF(AND('Input HVAC Measures'!$G5&lt;References!$T$119,'Input HVAC Measures'!$G5&gt;References!$S$119),References!$L$119,IF('Input HVAC Measures'!$G5&gt;References!$S$120,References!$L$120,""))))))</f>
        <v>0</v>
      </c>
      <c r="C3" s="158" t="b">
        <f>IF('Input HVAC Measures'!$E5="High Eff. Heat Pump Unit",IF('Input HVAC Measures'!$G5&lt;References!$T$121,References!$L$121,IF(AND('Input HVAC Measures'!$G5&lt;References!$T$122,'Input HVAC Measures'!$G5&gt;References!$S$122),References!$L$122,IF(AND('Input HVAC Measures'!$G5&lt;References!$T$123,'Input HVAC Measures'!$G5&gt;References!$S$123),References!$L$123,IF('Input HVAC Measures'!$G5&gt;References!$S$124,References!$L$124,"")))))</f>
        <v>0</v>
      </c>
      <c r="D3" s="158" t="b">
        <f>IF('Input HVAC Measures'!$E5="High Eff. AC Unit",IF('Input HVAC Measures'!$G5&lt;References!$T$116,References!$M$116,IF(AND('Input HVAC Measures'!$G5&lt;References!$T$117,'Input HVAC Measures'!$G5&gt;References!$S$117),References!$M$117,IF(AND('Input HVAC Measures'!$G5&lt;References!$T$118,'Input HVAC Measures'!$G5&gt;References!$S$118),References!$M$118,IF(AND('Input HVAC Measures'!$G5&lt;References!$T$119,'Input HVAC Measures'!$G5&gt;References!$S$119),References!$M$119,IF('Input HVAC Measures'!$G5&gt;References!$S$120,References!$M$120,""))))))</f>
        <v>0</v>
      </c>
      <c r="E3" s="158" t="b">
        <f>IF('Input HVAC Measures'!$E5="High Eff. Heat Pump Unit",IF('Input HVAC Measures'!$G5&lt;References!$T$121,References!$M$121,IF(AND('Input HVAC Measures'!$G5&lt;References!$T$122,'Input HVAC Measures'!$G5&gt;References!$S$122),References!$M$122,IF(AND('Input HVAC Measures'!$G5&lt;References!$T$123,'Input HVAC Measures'!$G5&gt;References!$S$123),References!$M$123,IF('Input HVAC Measures'!$G5&gt;References!$S$124,References!$M$124,"")))))</f>
        <v>0</v>
      </c>
      <c r="F3" s="158" t="b">
        <f>IF('Input HVAC Measures'!$E5="High Eff. Heat Pump Unit",IF('Input HVAC Measures'!$G5&lt;References!$T$121,References!$N$121,IF(AND('Input HVAC Measures'!$G5&lt;References!$T$122,'Input HVAC Measures'!$G5&gt;References!$S$122),References!$N$122,IF(AND('Input HVAC Measures'!$G5&lt;References!$T$123,'Input HVAC Measures'!$G5&gt;References!$S$123),References!$N$123,IF('Input HVAC Measures'!$G5&gt;References!$S$124,References!$N$124,"")))))</f>
        <v>0</v>
      </c>
      <c r="H3" s="209">
        <f>IF('Input HVAC Measures'!$E5="High Eff. AC Unit",'Input HVAC Measures'!$H5*12000/1000*References!$K$4*((1/'HVAC Calcs'!$D3)-(1/'Input HVAC Measures'!$K5)),IF('Input HVAC Measures'!$E5="High Eff. Heat Pump Unit",'Input HVAC Measures'!$H5*12000/1000*References!$K$5*((1/'HVAC Calcs'!$E3)-(1/'Input HVAC Measures'!$K5))+'Input HVAC Measures'!$H5*12000/1000*References!$N$5*((1/'HVAC Calcs'!$F3)-(1/'Input HVAC Measures'!$L5)),0))</f>
        <v>0</v>
      </c>
      <c r="I3" s="210" t="b">
        <f>IF('Input HVAC Measures'!$E5="High Eff. AC Unit",'Input HVAC Measures'!$H5*12000/1000*References!$L$4*((1/'HVAC Calcs'!$B3)-(1/'Input HVAC Measures'!$J5)),IF('Input HVAC Measures'!$E5="High Eff. Heat Pump Unit",'Input HVAC Measures'!$H5*12000/1000*References!$L$5*((1/'HVAC Calcs'!$C3)-(1/'Input HVAC Measures'!$J5))))</f>
        <v>0</v>
      </c>
    </row>
    <row r="4" spans="1:9" ht="15" x14ac:dyDescent="0.25">
      <c r="A4">
        <v>2</v>
      </c>
      <c r="B4" s="158" t="b">
        <f>IF('Input HVAC Measures'!$E6="High Eff. AC Unit",IF('Input HVAC Measures'!$G6&lt;References!$T$116,References!$L$116,IF(AND('Input HVAC Measures'!$G6&lt;References!$T$117,'Input HVAC Measures'!$G6&gt;References!$S$117),References!$L$117,IF(AND('Input HVAC Measures'!$G6&lt;References!$T$118,'Input HVAC Measures'!$G6&gt;References!$S$118),References!$L$118,IF(AND('Input HVAC Measures'!$G6&lt;References!$T$119,'Input HVAC Measures'!$G6&gt;References!$S$119),References!$L$119,IF('Input HVAC Measures'!$G6&gt;References!$S$120,References!$L$120,""))))))</f>
        <v>0</v>
      </c>
      <c r="C4" s="158" t="b">
        <f>IF('Input HVAC Measures'!$E6="High Eff. Heat Pump Unit",IF('Input HVAC Measures'!$G6&lt;References!$T$121,References!$L$121,IF(AND('Input HVAC Measures'!$G6&lt;References!$T$122,'Input HVAC Measures'!$G6&gt;References!$S$122),References!$L$122,IF(AND('Input HVAC Measures'!$G6&lt;References!$T$123,'Input HVAC Measures'!$G6&gt;References!$S$123),References!$L$123,IF('Input HVAC Measures'!$G6&gt;References!$S$124,References!$L$124,"")))))</f>
        <v>0</v>
      </c>
      <c r="D4" s="158" t="b">
        <f>IF('Input HVAC Measures'!$E6="High Eff. AC Unit",IF('Input HVAC Measures'!$G6&lt;References!$T$116,References!$M$116,IF(AND('Input HVAC Measures'!$G6&lt;References!$T$117,'Input HVAC Measures'!$G6&gt;References!$S$117),References!$M$117,IF(AND('Input HVAC Measures'!$G6&lt;References!$T$118,'Input HVAC Measures'!$G6&gt;References!$S$118),References!$M$118,IF(AND('Input HVAC Measures'!$G6&lt;References!$T$119,'Input HVAC Measures'!$G6&gt;References!$S$119),References!$M$119,IF('Input HVAC Measures'!$G6&gt;References!$S$120,References!$M$120,""))))))</f>
        <v>0</v>
      </c>
      <c r="E4" s="158" t="b">
        <f>IF('Input HVAC Measures'!$E6="High Eff. Heat Pump Unit",IF('Input HVAC Measures'!$G6&lt;References!$T$121,References!$M$121,IF(AND('Input HVAC Measures'!$G6&lt;References!$T$122,'Input HVAC Measures'!$G6&gt;References!$S$122),References!$M$122,IF(AND('Input HVAC Measures'!$G6&lt;References!$T$123,'Input HVAC Measures'!$G6&gt;References!$S$123),References!$M$123,IF('Input HVAC Measures'!$G6&gt;References!$S$124,References!$M$124,"")))))</f>
        <v>0</v>
      </c>
      <c r="F4" s="158" t="b">
        <f>IF('Input HVAC Measures'!$E6="High Eff. Heat Pump Unit",IF('Input HVAC Measures'!$G6&lt;References!$T$121,References!$N$121,IF(AND('Input HVAC Measures'!$G6&lt;References!$T$122,'Input HVAC Measures'!$G6&gt;References!$S$122),References!$N$122,IF(AND('Input HVAC Measures'!$G6&lt;References!$T$123,'Input HVAC Measures'!$G6&gt;References!$S$123),References!$N$123,IF('Input HVAC Measures'!$G6&gt;References!$S$124,References!$N$124,"")))))</f>
        <v>0</v>
      </c>
      <c r="H4" s="209">
        <f>IF('Input HVAC Measures'!$E6="High Eff. AC Unit",'Input HVAC Measures'!$H6*12000/1000*References!$K$4*((1/'HVAC Calcs'!$D4)-(1/'Input HVAC Measures'!$K6)),IF('Input HVAC Measures'!$E6="High Eff. Heat Pump Unit",'Input HVAC Measures'!$H6*12000/1000*References!$K$5*((1/'HVAC Calcs'!$E4)-(1/'Input HVAC Measures'!$K6))+'Input HVAC Measures'!$H6*12000/1000*References!$N$5*((1/'HVAC Calcs'!$F4)-(1/'Input HVAC Measures'!$L6)),0))</f>
        <v>0</v>
      </c>
      <c r="I4" s="210" t="b">
        <f>IF('Input HVAC Measures'!$E6="High Eff. AC Unit",'Input HVAC Measures'!$H6*12000/1000*References!$L$4*((1/'HVAC Calcs'!$B4)-(1/'Input HVAC Measures'!$J6)),IF('Input HVAC Measures'!$E6="High Eff. Heat Pump Unit",'Input HVAC Measures'!$H6*12000/1000*References!$L$5*((1/'HVAC Calcs'!$C4)-(1/'Input HVAC Measures'!$J6))))</f>
        <v>0</v>
      </c>
    </row>
    <row r="5" spans="1:9" ht="15" x14ac:dyDescent="0.25">
      <c r="A5">
        <v>3</v>
      </c>
      <c r="B5" s="158" t="b">
        <f>IF('Input HVAC Measures'!$E7="High Eff. AC Unit",IF('Input HVAC Measures'!$G7&lt;References!$T$116,References!$L$116,IF(AND('Input HVAC Measures'!$G7&lt;References!$T$117,'Input HVAC Measures'!$G7&gt;References!$S$117),References!$L$117,IF(AND('Input HVAC Measures'!$G7&lt;References!$T$118,'Input HVAC Measures'!$G7&gt;References!$S$118),References!$L$118,IF(AND('Input HVAC Measures'!$G7&lt;References!$T$119,'Input HVAC Measures'!$G7&gt;References!$S$119),References!$L$119,IF('Input HVAC Measures'!$G7&gt;References!$S$120,References!$L$120,""))))))</f>
        <v>0</v>
      </c>
      <c r="C5" s="158" t="b">
        <f>IF('Input HVAC Measures'!$E7="High Eff. Heat Pump Unit",IF('Input HVAC Measures'!$G7&lt;References!$T$121,References!$L$121,IF(AND('Input HVAC Measures'!$G7&lt;References!$T$122,'Input HVAC Measures'!$G7&gt;References!$S$122),References!$L$122,IF(AND('Input HVAC Measures'!$G7&lt;References!$T$123,'Input HVAC Measures'!$G7&gt;References!$S$123),References!$L$123,IF('Input HVAC Measures'!$G7&gt;References!$S$124,References!$L$124,"")))))</f>
        <v>0</v>
      </c>
      <c r="D5" s="158" t="b">
        <f>IF('Input HVAC Measures'!$E7="High Eff. AC Unit",IF('Input HVAC Measures'!$G7&lt;References!$T$116,References!$M$116,IF(AND('Input HVAC Measures'!$G7&lt;References!$T$117,'Input HVAC Measures'!$G7&gt;References!$S$117),References!$M$117,IF(AND('Input HVAC Measures'!$G7&lt;References!$T$118,'Input HVAC Measures'!$G7&gt;References!$S$118),References!$M$118,IF(AND('Input HVAC Measures'!$G7&lt;References!$T$119,'Input HVAC Measures'!$G7&gt;References!$S$119),References!$M$119,IF('Input HVAC Measures'!$G7&gt;References!$S$120,References!$M$120,""))))))</f>
        <v>0</v>
      </c>
      <c r="E5" s="158" t="b">
        <f>IF('Input HVAC Measures'!$E7="High Eff. Heat Pump Unit",IF('Input HVAC Measures'!$G7&lt;References!$T$121,References!$M$121,IF(AND('Input HVAC Measures'!$G7&lt;References!$T$122,'Input HVAC Measures'!$G7&gt;References!$S$122),References!$M$122,IF(AND('Input HVAC Measures'!$G7&lt;References!$T$123,'Input HVAC Measures'!$G7&gt;References!$S$123),References!$M$123,IF('Input HVAC Measures'!$G7&gt;References!$S$124,References!$M$124,"")))))</f>
        <v>0</v>
      </c>
      <c r="F5" s="158" t="b">
        <f>IF('Input HVAC Measures'!$E7="High Eff. Heat Pump Unit",IF('Input HVAC Measures'!$G7&lt;References!$T$121,References!$N$121,IF(AND('Input HVAC Measures'!$G7&lt;References!$T$122,'Input HVAC Measures'!$G7&gt;References!$S$122),References!$N$122,IF(AND('Input HVAC Measures'!$G7&lt;References!$T$123,'Input HVAC Measures'!$G7&gt;References!$S$123),References!$N$123,IF('Input HVAC Measures'!$G7&gt;References!$S$124,References!$N$124,"")))))</f>
        <v>0</v>
      </c>
      <c r="H5" s="209">
        <f>IF('Input HVAC Measures'!$E7="High Eff. AC Unit",'Input HVAC Measures'!$H7*12000/1000*References!$K$4*((1/'HVAC Calcs'!$D5)-(1/'Input HVAC Measures'!$K7)),IF('Input HVAC Measures'!$E7="High Eff. Heat Pump Unit",'Input HVAC Measures'!$H7*12000/1000*References!$K$5*((1/'HVAC Calcs'!$E5)-(1/'Input HVAC Measures'!$K7))+'Input HVAC Measures'!$H7*12000/1000*References!$N$5*((1/'HVAC Calcs'!$F5)-(1/'Input HVAC Measures'!$L7)),0))</f>
        <v>0</v>
      </c>
      <c r="I5" s="210" t="b">
        <f>IF('Input HVAC Measures'!$E7="High Eff. AC Unit",'Input HVAC Measures'!$H7*12000/1000*References!$L$4*((1/'HVAC Calcs'!$B5)-(1/'Input HVAC Measures'!$J7)),IF('Input HVAC Measures'!$E7="High Eff. Heat Pump Unit",'Input HVAC Measures'!$H7*12000/1000*References!$L$5*((1/'HVAC Calcs'!$C5)-(1/'Input HVAC Measures'!$J7))))</f>
        <v>0</v>
      </c>
    </row>
    <row r="6" spans="1:9" ht="15" x14ac:dyDescent="0.25">
      <c r="A6">
        <v>4</v>
      </c>
      <c r="B6" s="158" t="b">
        <f>IF('Input HVAC Measures'!$E8="High Eff. AC Unit",IF('Input HVAC Measures'!$G8&lt;References!$T$116,References!$L$116,IF(AND('Input HVAC Measures'!$G8&lt;References!$T$117,'Input HVAC Measures'!$G8&gt;References!$S$117),References!$L$117,IF(AND('Input HVAC Measures'!$G8&lt;References!$T$118,'Input HVAC Measures'!$G8&gt;References!$S$118),References!$L$118,IF(AND('Input HVAC Measures'!$G8&lt;References!$T$119,'Input HVAC Measures'!$G8&gt;References!$S$119),References!$L$119,IF('Input HVAC Measures'!$G8&gt;References!$S$120,References!$L$120,""))))))</f>
        <v>0</v>
      </c>
      <c r="C6" s="158" t="b">
        <f>IF('Input HVAC Measures'!$E8="High Eff. Heat Pump Unit",IF('Input HVAC Measures'!$G8&lt;References!$T$121,References!$L$121,IF(AND('Input HVAC Measures'!$G8&lt;References!$T$122,'Input HVAC Measures'!$G8&gt;References!$S$122),References!$L$122,IF(AND('Input HVAC Measures'!$G8&lt;References!$T$123,'Input HVAC Measures'!$G8&gt;References!$S$123),References!$L$123,IF('Input HVAC Measures'!$G8&gt;References!$S$124,References!$L$124,"")))))</f>
        <v>0</v>
      </c>
      <c r="D6" s="158" t="b">
        <f>IF('Input HVAC Measures'!$E8="High Eff. AC Unit",IF('Input HVAC Measures'!$G8&lt;References!$T$116,References!$M$116,IF(AND('Input HVAC Measures'!$G8&lt;References!$T$117,'Input HVAC Measures'!$G8&gt;References!$S$117),References!$M$117,IF(AND('Input HVAC Measures'!$G8&lt;References!$T$118,'Input HVAC Measures'!$G8&gt;References!$S$118),References!$M$118,IF(AND('Input HVAC Measures'!$G8&lt;References!$T$119,'Input HVAC Measures'!$G8&gt;References!$S$119),References!$M$119,IF('Input HVAC Measures'!$G8&gt;References!$S$120,References!$M$120,""))))))</f>
        <v>0</v>
      </c>
      <c r="E6" s="158" t="b">
        <f>IF('Input HVAC Measures'!$E8="High Eff. Heat Pump Unit",IF('Input HVAC Measures'!$G8&lt;References!$T$121,References!$M$121,IF(AND('Input HVAC Measures'!$G8&lt;References!$T$122,'Input HVAC Measures'!$G8&gt;References!$S$122),References!$M$122,IF(AND('Input HVAC Measures'!$G8&lt;References!$T$123,'Input HVAC Measures'!$G8&gt;References!$S$123),References!$M$123,IF('Input HVAC Measures'!$G8&gt;References!$S$124,References!$M$124,"")))))</f>
        <v>0</v>
      </c>
      <c r="F6" s="158" t="b">
        <f>IF('Input HVAC Measures'!$E8="High Eff. Heat Pump Unit",IF('Input HVAC Measures'!$G8&lt;References!$T$121,References!$N$121,IF(AND('Input HVAC Measures'!$G8&lt;References!$T$122,'Input HVAC Measures'!$G8&gt;References!$S$122),References!$N$122,IF(AND('Input HVAC Measures'!$G8&lt;References!$T$123,'Input HVAC Measures'!$G8&gt;References!$S$123),References!$N$123,IF('Input HVAC Measures'!$G8&gt;References!$S$124,References!$N$124,"")))))</f>
        <v>0</v>
      </c>
      <c r="H6" s="209">
        <f>IF('Input HVAC Measures'!$E8="High Eff. AC Unit",'Input HVAC Measures'!$H8*12000/1000*References!$K$4*((1/'HVAC Calcs'!$D6)-(1/'Input HVAC Measures'!$K8)),IF('Input HVAC Measures'!$E8="High Eff. Heat Pump Unit",'Input HVAC Measures'!$H8*12000/1000*References!$K$5*((1/'HVAC Calcs'!$E6)-(1/'Input HVAC Measures'!$K8))+'Input HVAC Measures'!$H8*12000/1000*References!$N$5*((1/'HVAC Calcs'!$F6)-(1/'Input HVAC Measures'!$L8)),0))</f>
        <v>0</v>
      </c>
      <c r="I6" s="210" t="b">
        <f>IF('Input HVAC Measures'!$E8="High Eff. AC Unit",'Input HVAC Measures'!$H8*12000/1000*References!$L$4*((1/'HVAC Calcs'!$B6)-(1/'Input HVAC Measures'!$J8)),IF('Input HVAC Measures'!$E8="High Eff. Heat Pump Unit",'Input HVAC Measures'!$H8*12000/1000*References!$L$5*((1/'HVAC Calcs'!$C6)-(1/'Input HVAC Measures'!$J8))))</f>
        <v>0</v>
      </c>
    </row>
    <row r="7" spans="1:9" ht="15" x14ac:dyDescent="0.25">
      <c r="A7">
        <v>5</v>
      </c>
      <c r="B7" s="158" t="b">
        <f>IF('Input HVAC Measures'!$E9="High Eff. AC Unit",IF('Input HVAC Measures'!$G9&lt;References!$T$116,References!$L$116,IF(AND('Input HVAC Measures'!$G9&lt;References!$T$117,'Input HVAC Measures'!$G9&gt;References!$S$117),References!$L$117,IF(AND('Input HVAC Measures'!$G9&lt;References!$T$118,'Input HVAC Measures'!$G9&gt;References!$S$118),References!$L$118,IF(AND('Input HVAC Measures'!$G9&lt;References!$T$119,'Input HVAC Measures'!$G9&gt;References!$S$119),References!$L$119,IF('Input HVAC Measures'!$G9&gt;References!$S$120,References!$L$120,""))))))</f>
        <v>0</v>
      </c>
      <c r="C7" s="158" t="b">
        <f>IF('Input HVAC Measures'!$E9="High Eff. Heat Pump Unit",IF('Input HVAC Measures'!$G9&lt;References!$T$121,References!$L$121,IF(AND('Input HVAC Measures'!$G9&lt;References!$T$122,'Input HVAC Measures'!$G9&gt;References!$S$122),References!$L$122,IF(AND('Input HVAC Measures'!$G9&lt;References!$T$123,'Input HVAC Measures'!$G9&gt;References!$S$123),References!$L$123,IF('Input HVAC Measures'!$G9&gt;References!$S$124,References!$L$124,"")))))</f>
        <v>0</v>
      </c>
      <c r="D7" s="158" t="b">
        <f>IF('Input HVAC Measures'!$E9="High Eff. AC Unit",IF('Input HVAC Measures'!$G9&lt;References!$T$116,References!$M$116,IF(AND('Input HVAC Measures'!$G9&lt;References!$T$117,'Input HVAC Measures'!$G9&gt;References!$S$117),References!$M$117,IF(AND('Input HVAC Measures'!$G9&lt;References!$T$118,'Input HVAC Measures'!$G9&gt;References!$S$118),References!$M$118,IF(AND('Input HVAC Measures'!$G9&lt;References!$T$119,'Input HVAC Measures'!$G9&gt;References!$S$119),References!$M$119,IF('Input HVAC Measures'!$G9&gt;References!$S$120,References!$M$120,""))))))</f>
        <v>0</v>
      </c>
      <c r="E7" s="158" t="b">
        <f>IF('Input HVAC Measures'!$E9="High Eff. Heat Pump Unit",IF('Input HVAC Measures'!$G9&lt;References!$T$121,References!$M$121,IF(AND('Input HVAC Measures'!$G9&lt;References!$T$122,'Input HVAC Measures'!$G9&gt;References!$S$122),References!$M$122,IF(AND('Input HVAC Measures'!$G9&lt;References!$T$123,'Input HVAC Measures'!$G9&gt;References!$S$123),References!$M$123,IF('Input HVAC Measures'!$G9&gt;References!$S$124,References!$M$124,"")))))</f>
        <v>0</v>
      </c>
      <c r="F7" s="158" t="b">
        <f>IF('Input HVAC Measures'!$E9="High Eff. Heat Pump Unit",IF('Input HVAC Measures'!$G9&lt;References!$T$121,References!$N$121,IF(AND('Input HVAC Measures'!$G9&lt;References!$T$122,'Input HVAC Measures'!$G9&gt;References!$S$122),References!$N$122,IF(AND('Input HVAC Measures'!$G9&lt;References!$T$123,'Input HVAC Measures'!$G9&gt;References!$S$123),References!$N$123,IF('Input HVAC Measures'!$G9&gt;References!$S$124,References!$N$124,"")))))</f>
        <v>0</v>
      </c>
      <c r="H7" s="209">
        <f>IF('Input HVAC Measures'!$E9="High Eff. AC Unit",'Input HVAC Measures'!$H9*12000/1000*References!$K$4*((1/'HVAC Calcs'!$D7)-(1/'Input HVAC Measures'!$K9)),IF('Input HVAC Measures'!$E9="High Eff. Heat Pump Unit",'Input HVAC Measures'!$H9*12000/1000*References!$K$5*((1/'HVAC Calcs'!$E7)-(1/'Input HVAC Measures'!$K9))+'Input HVAC Measures'!$H9*12000/1000*References!$N$5*((1/'HVAC Calcs'!$F7)-(1/'Input HVAC Measures'!$L9)),0))</f>
        <v>0</v>
      </c>
      <c r="I7" s="210" t="b">
        <f>IF('Input HVAC Measures'!$E9="High Eff. AC Unit",'Input HVAC Measures'!$H9*12000/1000*References!$L$4*((1/'HVAC Calcs'!$B7)-(1/'Input HVAC Measures'!$J9)),IF('Input HVAC Measures'!$E9="High Eff. Heat Pump Unit",'Input HVAC Measures'!$H9*12000/1000*References!$L$5*((1/'HVAC Calcs'!$C7)-(1/'Input HVAC Measures'!$J9))))</f>
        <v>0</v>
      </c>
    </row>
    <row r="8" spans="1:9" ht="15" x14ac:dyDescent="0.25">
      <c r="A8">
        <v>6</v>
      </c>
      <c r="B8" s="158" t="b">
        <f>IF('Input HVAC Measures'!$E10="High Eff. AC Unit",IF('Input HVAC Measures'!$G10&lt;References!$T$116,References!$L$116,IF(AND('Input HVAC Measures'!$G10&lt;References!$T$117,'Input HVAC Measures'!$G10&gt;References!$S$117),References!$L$117,IF(AND('Input HVAC Measures'!$G10&lt;References!$T$118,'Input HVAC Measures'!$G10&gt;References!$S$118),References!$L$118,IF(AND('Input HVAC Measures'!$G10&lt;References!$T$119,'Input HVAC Measures'!$G10&gt;References!$S$119),References!$L$119,IF('Input HVAC Measures'!$G10&gt;References!$S$120,References!$L$120,""))))))</f>
        <v>0</v>
      </c>
      <c r="C8" s="158" t="b">
        <f>IF('Input HVAC Measures'!$E10="High Eff. Heat Pump Unit",IF('Input HVAC Measures'!$G10&lt;References!$T$121,References!$L$121,IF(AND('Input HVAC Measures'!$G10&lt;References!$T$122,'Input HVAC Measures'!$G10&gt;References!$S$122),References!$L$122,IF(AND('Input HVAC Measures'!$G10&lt;References!$T$123,'Input HVAC Measures'!$G10&gt;References!$S$123),References!$L$123,IF('Input HVAC Measures'!$G10&gt;References!$S$124,References!$L$124,"")))))</f>
        <v>0</v>
      </c>
      <c r="D8" s="158" t="b">
        <f>IF('Input HVAC Measures'!$E10="High Eff. AC Unit",IF('Input HVAC Measures'!$G10&lt;References!$T$116,References!$M$116,IF(AND('Input HVAC Measures'!$G10&lt;References!$T$117,'Input HVAC Measures'!$G10&gt;References!$S$117),References!$M$117,IF(AND('Input HVAC Measures'!$G10&lt;References!$T$118,'Input HVAC Measures'!$G10&gt;References!$S$118),References!$M$118,IF(AND('Input HVAC Measures'!$G10&lt;References!$T$119,'Input HVAC Measures'!$G10&gt;References!$S$119),References!$M$119,IF('Input HVAC Measures'!$G10&gt;References!$S$120,References!$M$120,""))))))</f>
        <v>0</v>
      </c>
      <c r="E8" s="158" t="b">
        <f>IF('Input HVAC Measures'!$E10="High Eff. Heat Pump Unit",IF('Input HVAC Measures'!$G10&lt;References!$T$121,References!$M$121,IF(AND('Input HVAC Measures'!$G10&lt;References!$T$122,'Input HVAC Measures'!$G10&gt;References!$S$122),References!$M$122,IF(AND('Input HVAC Measures'!$G10&lt;References!$T$123,'Input HVAC Measures'!$G10&gt;References!$S$123),References!$M$123,IF('Input HVAC Measures'!$G10&gt;References!$S$124,References!$M$124,"")))))</f>
        <v>0</v>
      </c>
      <c r="F8" s="158" t="b">
        <f>IF('Input HVAC Measures'!$E10="High Eff. Heat Pump Unit",IF('Input HVAC Measures'!$G10&lt;References!$T$121,References!$N$121,IF(AND('Input HVAC Measures'!$G10&lt;References!$T$122,'Input HVAC Measures'!$G10&gt;References!$S$122),References!$N$122,IF(AND('Input HVAC Measures'!$G10&lt;References!$T$123,'Input HVAC Measures'!$G10&gt;References!$S$123),References!$N$123,IF('Input HVAC Measures'!$G10&gt;References!$S$124,References!$N$124,"")))))</f>
        <v>0</v>
      </c>
      <c r="H8" s="209">
        <f>IF('Input HVAC Measures'!$E10="High Eff. AC Unit",'Input HVAC Measures'!$H10*12000/1000*References!$K$4*((1/'HVAC Calcs'!$D8)-(1/'Input HVAC Measures'!$K10)),IF('Input HVAC Measures'!$E10="High Eff. Heat Pump Unit",'Input HVAC Measures'!$H10*12000/1000*References!$K$5*((1/'HVAC Calcs'!$E8)-(1/'Input HVAC Measures'!$K10))+'Input HVAC Measures'!$H10*12000/1000*References!$N$5*((1/'HVAC Calcs'!$F8)-(1/'Input HVAC Measures'!$L10)),0))</f>
        <v>0</v>
      </c>
      <c r="I8" s="210" t="b">
        <f>IF('Input HVAC Measures'!$E10="High Eff. AC Unit",'Input HVAC Measures'!$H10*12000/1000*References!$L$4*((1/'HVAC Calcs'!$B8)-(1/'Input HVAC Measures'!$J10)),IF('Input HVAC Measures'!$E10="High Eff. Heat Pump Unit",'Input HVAC Measures'!$H10*12000/1000*References!$L$5*((1/'HVAC Calcs'!$C8)-(1/'Input HVAC Measures'!$J10))))</f>
        <v>0</v>
      </c>
    </row>
    <row r="9" spans="1:9" ht="15" x14ac:dyDescent="0.25">
      <c r="A9">
        <v>7</v>
      </c>
      <c r="B9" s="158" t="b">
        <f>IF('Input HVAC Measures'!$E11="High Eff. AC Unit",IF('Input HVAC Measures'!$G11&lt;References!$T$116,References!$L$116,IF(AND('Input HVAC Measures'!$G11&lt;References!$T$117,'Input HVAC Measures'!$G11&gt;References!$S$117),References!$L$117,IF(AND('Input HVAC Measures'!$G11&lt;References!$T$118,'Input HVAC Measures'!$G11&gt;References!$S$118),References!$L$118,IF(AND('Input HVAC Measures'!$G11&lt;References!$T$119,'Input HVAC Measures'!$G11&gt;References!$S$119),References!$L$119,IF('Input HVAC Measures'!$G11&gt;References!$S$120,References!$L$120,""))))))</f>
        <v>0</v>
      </c>
      <c r="C9" s="158" t="b">
        <f>IF('Input HVAC Measures'!$E11="High Eff. Heat Pump Unit",IF('Input HVAC Measures'!$G11&lt;References!$T$121,References!$L$121,IF(AND('Input HVAC Measures'!$G11&lt;References!$T$122,'Input HVAC Measures'!$G11&gt;References!$S$122),References!$L$122,IF(AND('Input HVAC Measures'!$G11&lt;References!$T$123,'Input HVAC Measures'!$G11&gt;References!$S$123),References!$L$123,IF('Input HVAC Measures'!$G11&gt;References!$S$124,References!$L$124,"")))))</f>
        <v>0</v>
      </c>
      <c r="D9" s="158" t="b">
        <f>IF('Input HVAC Measures'!$E11="High Eff. AC Unit",IF('Input HVAC Measures'!$G11&lt;References!$T$116,References!$M$116,IF(AND('Input HVAC Measures'!$G11&lt;References!$T$117,'Input HVAC Measures'!$G11&gt;References!$S$117),References!$M$117,IF(AND('Input HVAC Measures'!$G11&lt;References!$T$118,'Input HVAC Measures'!$G11&gt;References!$S$118),References!$M$118,IF(AND('Input HVAC Measures'!$G11&lt;References!$T$119,'Input HVAC Measures'!$G11&gt;References!$S$119),References!$M$119,IF('Input HVAC Measures'!$G11&gt;References!$S$120,References!$M$120,""))))))</f>
        <v>0</v>
      </c>
      <c r="E9" s="158" t="b">
        <f>IF('Input HVAC Measures'!$E11="High Eff. Heat Pump Unit",IF('Input HVAC Measures'!$G11&lt;References!$T$121,References!$M$121,IF(AND('Input HVAC Measures'!$G11&lt;References!$T$122,'Input HVAC Measures'!$G11&gt;References!$S$122),References!$M$122,IF(AND('Input HVAC Measures'!$G11&lt;References!$T$123,'Input HVAC Measures'!$G11&gt;References!$S$123),References!$M$123,IF('Input HVAC Measures'!$G11&gt;References!$S$124,References!$M$124,"")))))</f>
        <v>0</v>
      </c>
      <c r="F9" s="158" t="b">
        <f>IF('Input HVAC Measures'!$E11="High Eff. Heat Pump Unit",IF('Input HVAC Measures'!$G11&lt;References!$T$121,References!$N$121,IF(AND('Input HVAC Measures'!$G11&lt;References!$T$122,'Input HVAC Measures'!$G11&gt;References!$S$122),References!$N$122,IF(AND('Input HVAC Measures'!$G11&lt;References!$T$123,'Input HVAC Measures'!$G11&gt;References!$S$123),References!$N$123,IF('Input HVAC Measures'!$G11&gt;References!$S$124,References!$N$124,"")))))</f>
        <v>0</v>
      </c>
      <c r="H9" s="209">
        <f>IF('Input HVAC Measures'!$E11="High Eff. AC Unit",'Input HVAC Measures'!$H11*12000/1000*References!$K$4*((1/'HVAC Calcs'!$D9)-(1/'Input HVAC Measures'!$K11)),IF('Input HVAC Measures'!$E11="High Eff. Heat Pump Unit",'Input HVAC Measures'!$H11*12000/1000*References!$K$5*((1/'HVAC Calcs'!$E9)-(1/'Input HVAC Measures'!$K11))+'Input HVAC Measures'!$H11*12000/1000*References!$N$5*((1/'HVAC Calcs'!$F9)-(1/'Input HVAC Measures'!$L11)),0))</f>
        <v>0</v>
      </c>
      <c r="I9" s="210" t="b">
        <f>IF('Input HVAC Measures'!$E11="High Eff. AC Unit",'Input HVAC Measures'!$H11*12000/1000*References!$L$4*((1/'HVAC Calcs'!$B9)-(1/'Input HVAC Measures'!$J11)),IF('Input HVAC Measures'!$E11="High Eff. Heat Pump Unit",'Input HVAC Measures'!$H11*12000/1000*References!$L$5*((1/'HVAC Calcs'!$C9)-(1/'Input HVAC Measures'!$J11))))</f>
        <v>0</v>
      </c>
    </row>
    <row r="10" spans="1:9" ht="15" x14ac:dyDescent="0.25">
      <c r="A10">
        <v>8</v>
      </c>
      <c r="B10" s="158" t="b">
        <f>IF('Input HVAC Measures'!$E12="High Eff. AC Unit",IF('Input HVAC Measures'!$G12&lt;References!$T$116,References!$L$116,IF(AND('Input HVAC Measures'!$G12&lt;References!$T$117,'Input HVAC Measures'!$G12&gt;References!$S$117),References!$L$117,IF(AND('Input HVAC Measures'!$G12&lt;References!$T$118,'Input HVAC Measures'!$G12&gt;References!$S$118),References!$L$118,IF(AND('Input HVAC Measures'!$G12&lt;References!$T$119,'Input HVAC Measures'!$G12&gt;References!$S$119),References!$L$119,IF('Input HVAC Measures'!$G12&gt;References!$S$120,References!$L$120,""))))))</f>
        <v>0</v>
      </c>
      <c r="C10" s="158" t="b">
        <f>IF('Input HVAC Measures'!$E12="High Eff. Heat Pump Unit",IF('Input HVAC Measures'!$G12&lt;References!$T$121,References!$L$121,IF(AND('Input HVAC Measures'!$G12&lt;References!$T$122,'Input HVAC Measures'!$G12&gt;References!$S$122),References!$L$122,IF(AND('Input HVAC Measures'!$G12&lt;References!$T$123,'Input HVAC Measures'!$G12&gt;References!$S$123),References!$L$123,IF('Input HVAC Measures'!$G12&gt;References!$S$124,References!$L$124,"")))))</f>
        <v>0</v>
      </c>
      <c r="D10" s="158" t="b">
        <f>IF('Input HVAC Measures'!$E12="High Eff. AC Unit",IF('Input HVAC Measures'!$G12&lt;References!$T$116,References!$M$116,IF(AND('Input HVAC Measures'!$G12&lt;References!$T$117,'Input HVAC Measures'!$G12&gt;References!$S$117),References!$M$117,IF(AND('Input HVAC Measures'!$G12&lt;References!$T$118,'Input HVAC Measures'!$G12&gt;References!$S$118),References!$M$118,IF(AND('Input HVAC Measures'!$G12&lt;References!$T$119,'Input HVAC Measures'!$G12&gt;References!$S$119),References!$M$119,IF('Input HVAC Measures'!$G12&gt;References!$S$120,References!$M$120,""))))))</f>
        <v>0</v>
      </c>
      <c r="E10" s="158" t="b">
        <f>IF('Input HVAC Measures'!$E12="High Eff. Heat Pump Unit",IF('Input HVAC Measures'!$G12&lt;References!$T$121,References!$M$121,IF(AND('Input HVAC Measures'!$G12&lt;References!$T$122,'Input HVAC Measures'!$G12&gt;References!$S$122),References!$M$122,IF(AND('Input HVAC Measures'!$G12&lt;References!$T$123,'Input HVAC Measures'!$G12&gt;References!$S$123),References!$M$123,IF('Input HVAC Measures'!$G12&gt;References!$S$124,References!$M$124,"")))))</f>
        <v>0</v>
      </c>
      <c r="F10" s="158" t="b">
        <f>IF('Input HVAC Measures'!$E12="High Eff. Heat Pump Unit",IF('Input HVAC Measures'!$G12&lt;References!$T$121,References!$N$121,IF(AND('Input HVAC Measures'!$G12&lt;References!$T$122,'Input HVAC Measures'!$G12&gt;References!$S$122),References!$N$122,IF(AND('Input HVAC Measures'!$G12&lt;References!$T$123,'Input HVAC Measures'!$G12&gt;References!$S$123),References!$N$123,IF('Input HVAC Measures'!$G12&gt;References!$S$124,References!$N$124,"")))))</f>
        <v>0</v>
      </c>
      <c r="H10" s="209">
        <f>IF('Input HVAC Measures'!$E12="High Eff. AC Unit",'Input HVAC Measures'!$H12*12000/1000*References!$K$4*((1/'HVAC Calcs'!$D10)-(1/'Input HVAC Measures'!$K12)),IF('Input HVAC Measures'!$E12="High Eff. Heat Pump Unit",'Input HVAC Measures'!$H12*12000/1000*References!$K$5*((1/'HVAC Calcs'!$E10)-(1/'Input HVAC Measures'!$K12))+'Input HVAC Measures'!$H12*12000/1000*References!$N$5*((1/'HVAC Calcs'!$F10)-(1/'Input HVAC Measures'!$L12)),0))</f>
        <v>0</v>
      </c>
      <c r="I10" s="210" t="b">
        <f>IF('Input HVAC Measures'!$E12="High Eff. AC Unit",'Input HVAC Measures'!$H12*12000/1000*References!$L$4*((1/'HVAC Calcs'!$B10)-(1/'Input HVAC Measures'!$J12)),IF('Input HVAC Measures'!$E12="High Eff. Heat Pump Unit",'Input HVAC Measures'!$H12*12000/1000*References!$L$5*((1/'HVAC Calcs'!$C10)-(1/'Input HVAC Measures'!$J12))))</f>
        <v>0</v>
      </c>
    </row>
    <row r="11" spans="1:9" ht="15" x14ac:dyDescent="0.25">
      <c r="A11">
        <v>9</v>
      </c>
      <c r="B11" s="158" t="b">
        <f>IF('Input HVAC Measures'!$E13="High Eff. AC Unit",IF('Input HVAC Measures'!$G13&lt;References!$T$116,References!$L$116,IF(AND('Input HVAC Measures'!$G13&lt;References!$T$117,'Input HVAC Measures'!$G13&gt;References!$S$117),References!$L$117,IF(AND('Input HVAC Measures'!$G13&lt;References!$T$118,'Input HVAC Measures'!$G13&gt;References!$S$118),References!$L$118,IF(AND('Input HVAC Measures'!$G13&lt;References!$T$119,'Input HVAC Measures'!$G13&gt;References!$S$119),References!$L$119,IF('Input HVAC Measures'!$G13&gt;References!$S$120,References!$L$120,""))))))</f>
        <v>0</v>
      </c>
      <c r="C11" s="158" t="b">
        <f>IF('Input HVAC Measures'!$E13="High Eff. Heat Pump Unit",IF('Input HVAC Measures'!$G13&lt;References!$T$121,References!$L$121,IF(AND('Input HVAC Measures'!$G13&lt;References!$T$122,'Input HVAC Measures'!$G13&gt;References!$S$122),References!$L$122,IF(AND('Input HVAC Measures'!$G13&lt;References!$T$123,'Input HVAC Measures'!$G13&gt;References!$S$123),References!$L$123,IF('Input HVAC Measures'!$G13&gt;References!$S$124,References!$L$124,"")))))</f>
        <v>0</v>
      </c>
      <c r="D11" s="158" t="b">
        <f>IF('Input HVAC Measures'!$E13="High Eff. AC Unit",IF('Input HVAC Measures'!$G13&lt;References!$T$116,References!$M$116,IF(AND('Input HVAC Measures'!$G13&lt;References!$T$117,'Input HVAC Measures'!$G13&gt;References!$S$117),References!$M$117,IF(AND('Input HVAC Measures'!$G13&lt;References!$T$118,'Input HVAC Measures'!$G13&gt;References!$S$118),References!$M$118,IF(AND('Input HVAC Measures'!$G13&lt;References!$T$119,'Input HVAC Measures'!$G13&gt;References!$S$119),References!$M$119,IF('Input HVAC Measures'!$G13&gt;References!$S$120,References!$M$120,""))))))</f>
        <v>0</v>
      </c>
      <c r="E11" s="158" t="b">
        <f>IF('Input HVAC Measures'!$E13="High Eff. Heat Pump Unit",IF('Input HVAC Measures'!$G13&lt;References!$T$121,References!$M$121,IF(AND('Input HVAC Measures'!$G13&lt;References!$T$122,'Input HVAC Measures'!$G13&gt;References!$S$122),References!$M$122,IF(AND('Input HVAC Measures'!$G13&lt;References!$T$123,'Input HVAC Measures'!$G13&gt;References!$S$123),References!$M$123,IF('Input HVAC Measures'!$G13&gt;References!$S$124,References!$M$124,"")))))</f>
        <v>0</v>
      </c>
      <c r="F11" s="158" t="b">
        <f>IF('Input HVAC Measures'!$E13="High Eff. Heat Pump Unit",IF('Input HVAC Measures'!$G13&lt;References!$T$121,References!$N$121,IF(AND('Input HVAC Measures'!$G13&lt;References!$T$122,'Input HVAC Measures'!$G13&gt;References!$S$122),References!$N$122,IF(AND('Input HVAC Measures'!$G13&lt;References!$T$123,'Input HVAC Measures'!$G13&gt;References!$S$123),References!$N$123,IF('Input HVAC Measures'!$G13&gt;References!$S$124,References!$N$124,"")))))</f>
        <v>0</v>
      </c>
      <c r="H11" s="209">
        <f>IF('Input HVAC Measures'!$E13="High Eff. AC Unit",'Input HVAC Measures'!$H13*12000/1000*References!$K$4*((1/'HVAC Calcs'!$D11)-(1/'Input HVAC Measures'!$K13)),IF('Input HVAC Measures'!$E13="High Eff. Heat Pump Unit",'Input HVAC Measures'!$H13*12000/1000*References!$K$5*((1/'HVAC Calcs'!$E11)-(1/'Input HVAC Measures'!$K13))+'Input HVAC Measures'!$H13*12000/1000*References!$N$5*((1/'HVAC Calcs'!$F11)-(1/'Input HVAC Measures'!$L13)),0))</f>
        <v>0</v>
      </c>
      <c r="I11" s="210" t="b">
        <f>IF('Input HVAC Measures'!$E13="High Eff. AC Unit",'Input HVAC Measures'!$H13*12000/1000*References!$L$4*((1/'HVAC Calcs'!$B11)-(1/'Input HVAC Measures'!$J13)),IF('Input HVAC Measures'!$E13="High Eff. Heat Pump Unit",'Input HVAC Measures'!$H13*12000/1000*References!$L$5*((1/'HVAC Calcs'!$C11)-(1/'Input HVAC Measures'!$J13))))</f>
        <v>0</v>
      </c>
    </row>
    <row r="12" spans="1:9" ht="15" x14ac:dyDescent="0.25">
      <c r="A12">
        <v>10</v>
      </c>
      <c r="B12" s="158" t="b">
        <f>IF('Input HVAC Measures'!$E14="High Eff. AC Unit",IF('Input HVAC Measures'!$G14&lt;References!$T$116,References!$L$116,IF(AND('Input HVAC Measures'!$G14&lt;References!$T$117,'Input HVAC Measures'!$G14&gt;References!$S$117),References!$L$117,IF(AND('Input HVAC Measures'!$G14&lt;References!$T$118,'Input HVAC Measures'!$G14&gt;References!$S$118),References!$L$118,IF(AND('Input HVAC Measures'!$G14&lt;References!$T$119,'Input HVAC Measures'!$G14&gt;References!$S$119),References!$L$119,IF('Input HVAC Measures'!$G14&gt;References!$S$120,References!$L$120,""))))))</f>
        <v>0</v>
      </c>
      <c r="C12" s="158" t="b">
        <f>IF('Input HVAC Measures'!$E14="High Eff. Heat Pump Unit",IF('Input HVAC Measures'!$G14&lt;References!$T$121,References!$L$121,IF(AND('Input HVAC Measures'!$G14&lt;References!$T$122,'Input HVAC Measures'!$G14&gt;References!$S$122),References!$L$122,IF(AND('Input HVAC Measures'!$G14&lt;References!$T$123,'Input HVAC Measures'!$G14&gt;References!$S$123),References!$L$123,IF('Input HVAC Measures'!$G14&gt;References!$S$124,References!$L$124,"")))))</f>
        <v>0</v>
      </c>
      <c r="D12" s="158" t="b">
        <f>IF('Input HVAC Measures'!$E14="High Eff. AC Unit",IF('Input HVAC Measures'!$G14&lt;References!$T$116,References!$M$116,IF(AND('Input HVAC Measures'!$G14&lt;References!$T$117,'Input HVAC Measures'!$G14&gt;References!$S$117),References!$M$117,IF(AND('Input HVAC Measures'!$G14&lt;References!$T$118,'Input HVAC Measures'!$G14&gt;References!$S$118),References!$M$118,IF(AND('Input HVAC Measures'!$G14&lt;References!$T$119,'Input HVAC Measures'!$G14&gt;References!$S$119),References!$M$119,IF('Input HVAC Measures'!$G14&gt;References!$S$120,References!$M$120,""))))))</f>
        <v>0</v>
      </c>
      <c r="E12" s="158" t="b">
        <f>IF('Input HVAC Measures'!$E14="High Eff. Heat Pump Unit",IF('Input HVAC Measures'!$G14&lt;References!$T$121,References!$M$121,IF(AND('Input HVAC Measures'!$G14&lt;References!$T$122,'Input HVAC Measures'!$G14&gt;References!$S$122),References!$M$122,IF(AND('Input HVAC Measures'!$G14&lt;References!$T$123,'Input HVAC Measures'!$G14&gt;References!$S$123),References!$M$123,IF('Input HVAC Measures'!$G14&gt;References!$S$124,References!$M$124,"")))))</f>
        <v>0</v>
      </c>
      <c r="F12" s="158" t="b">
        <f>IF('Input HVAC Measures'!$E14="High Eff. Heat Pump Unit",IF('Input HVAC Measures'!$G14&lt;References!$T$121,References!$N$121,IF(AND('Input HVAC Measures'!$G14&lt;References!$T$122,'Input HVAC Measures'!$G14&gt;References!$S$122),References!$N$122,IF(AND('Input HVAC Measures'!$G14&lt;References!$T$123,'Input HVAC Measures'!$G14&gt;References!$S$123),References!$N$123,IF('Input HVAC Measures'!$G14&gt;References!$S$124,References!$N$124,"")))))</f>
        <v>0</v>
      </c>
      <c r="H12" s="209">
        <f>IF('Input HVAC Measures'!$E14="High Eff. AC Unit",'Input HVAC Measures'!$H14*12000/1000*References!$K$4*((1/'HVAC Calcs'!$D12)-(1/'Input HVAC Measures'!$K14)),IF('Input HVAC Measures'!$E14="High Eff. Heat Pump Unit",'Input HVAC Measures'!$H14*12000/1000*References!$K$5*((1/'HVAC Calcs'!$E12)-(1/'Input HVAC Measures'!$K14))+'Input HVAC Measures'!$H14*12000/1000*References!$N$5*((1/'HVAC Calcs'!$F12)-(1/'Input HVAC Measures'!$L14)),0))</f>
        <v>0</v>
      </c>
      <c r="I12" s="210" t="b">
        <f>IF('Input HVAC Measures'!$E14="High Eff. AC Unit",'Input HVAC Measures'!$H14*12000/1000*References!$L$4*((1/'HVAC Calcs'!$B12)-(1/'Input HVAC Measures'!$J14)),IF('Input HVAC Measures'!$E14="High Eff. Heat Pump Unit",'Input HVAC Measures'!$H14*12000/1000*References!$L$5*((1/'HVAC Calcs'!$C12)-(1/'Input HVAC Measures'!$J14))))</f>
        <v>0</v>
      </c>
    </row>
    <row r="13" spans="1:9" ht="15" x14ac:dyDescent="0.25">
      <c r="A13">
        <v>11</v>
      </c>
      <c r="B13" s="158" t="b">
        <f>IF('Input HVAC Measures'!$E15="High Eff. AC Unit",IF('Input HVAC Measures'!$G15&lt;References!$T$116,References!$L$116,IF(AND('Input HVAC Measures'!$G15&lt;References!$T$117,'Input HVAC Measures'!$G15&gt;References!$S$117),References!$L$117,IF(AND('Input HVAC Measures'!$G15&lt;References!$T$118,'Input HVAC Measures'!$G15&gt;References!$S$118),References!$L$118,IF(AND('Input HVAC Measures'!$G15&lt;References!$T$119,'Input HVAC Measures'!$G15&gt;References!$S$119),References!$L$119,IF('Input HVAC Measures'!$G15&gt;References!$S$120,References!$L$120,""))))))</f>
        <v>0</v>
      </c>
      <c r="C13" s="158" t="b">
        <f>IF('Input HVAC Measures'!$E15="High Eff. Heat Pump Unit",IF('Input HVAC Measures'!$G15&lt;References!$T$121,References!$L$121,IF(AND('Input HVAC Measures'!$G15&lt;References!$T$122,'Input HVAC Measures'!$G15&gt;References!$S$122),References!$L$122,IF(AND('Input HVAC Measures'!$G15&lt;References!$T$123,'Input HVAC Measures'!$G15&gt;References!$S$123),References!$L$123,IF('Input HVAC Measures'!$G15&gt;References!$S$124,References!$L$124,"")))))</f>
        <v>0</v>
      </c>
      <c r="D13" s="158" t="b">
        <f>IF('Input HVAC Measures'!$E15="High Eff. AC Unit",IF('Input HVAC Measures'!$G15&lt;References!$T$116,References!$M$116,IF(AND('Input HVAC Measures'!$G15&lt;References!$T$117,'Input HVAC Measures'!$G15&gt;References!$S$117),References!$M$117,IF(AND('Input HVAC Measures'!$G15&lt;References!$T$118,'Input HVAC Measures'!$G15&gt;References!$S$118),References!$M$118,IF(AND('Input HVAC Measures'!$G15&lt;References!$T$119,'Input HVAC Measures'!$G15&gt;References!$S$119),References!$M$119,IF('Input HVAC Measures'!$G15&gt;References!$S$120,References!$M$120,""))))))</f>
        <v>0</v>
      </c>
      <c r="E13" s="158" t="b">
        <f>IF('Input HVAC Measures'!$E15="High Eff. Heat Pump Unit",IF('Input HVAC Measures'!$G15&lt;References!$T$121,References!$M$121,IF(AND('Input HVAC Measures'!$G15&lt;References!$T$122,'Input HVAC Measures'!$G15&gt;References!$S$122),References!$M$122,IF(AND('Input HVAC Measures'!$G15&lt;References!$T$123,'Input HVAC Measures'!$G15&gt;References!$S$123),References!$M$123,IF('Input HVAC Measures'!$G15&gt;References!$S$124,References!$M$124,"")))))</f>
        <v>0</v>
      </c>
      <c r="F13" s="158" t="b">
        <f>IF('Input HVAC Measures'!$E15="High Eff. Heat Pump Unit",IF('Input HVAC Measures'!$G15&lt;References!$T$121,References!$N$121,IF(AND('Input HVAC Measures'!$G15&lt;References!$T$122,'Input HVAC Measures'!$G15&gt;References!$S$122),References!$N$122,IF(AND('Input HVAC Measures'!$G15&lt;References!$T$123,'Input HVAC Measures'!$G15&gt;References!$S$123),References!$N$123,IF('Input HVAC Measures'!$G15&gt;References!$S$124,References!$N$124,"")))))</f>
        <v>0</v>
      </c>
      <c r="H13" s="209">
        <f>IF('Input HVAC Measures'!$E15="High Eff. AC Unit",'Input HVAC Measures'!$H15*12000/1000*References!$K$4*((1/'HVAC Calcs'!$D13)-(1/'Input HVAC Measures'!$K15)),IF('Input HVAC Measures'!$E15="High Eff. Heat Pump Unit",'Input HVAC Measures'!$H15*12000/1000*References!$K$5*((1/'HVAC Calcs'!$E13)-(1/'Input HVAC Measures'!$K15))+'Input HVAC Measures'!$H15*12000/1000*References!$N$5*((1/'HVAC Calcs'!$F13)-(1/'Input HVAC Measures'!$L15)),0))</f>
        <v>0</v>
      </c>
      <c r="I13" s="210" t="b">
        <f>IF('Input HVAC Measures'!$E15="High Eff. AC Unit",'Input HVAC Measures'!$H15*12000/1000*References!$L$4*((1/'HVAC Calcs'!$B13)-(1/'Input HVAC Measures'!$J15)),IF('Input HVAC Measures'!$E15="High Eff. Heat Pump Unit",'Input HVAC Measures'!$H15*12000/1000*References!$L$5*((1/'HVAC Calcs'!$C13)-(1/'Input HVAC Measures'!$J15))))</f>
        <v>0</v>
      </c>
    </row>
    <row r="14" spans="1:9" ht="15" x14ac:dyDescent="0.25">
      <c r="A14">
        <v>12</v>
      </c>
      <c r="B14" s="158" t="b">
        <f>IF('Input HVAC Measures'!$E16="High Eff. AC Unit",IF('Input HVAC Measures'!$G16&lt;References!$T$116,References!$L$116,IF(AND('Input HVAC Measures'!$G16&lt;References!$T$117,'Input HVAC Measures'!$G16&gt;References!$S$117),References!$L$117,IF(AND('Input HVAC Measures'!$G16&lt;References!$T$118,'Input HVAC Measures'!$G16&gt;References!$S$118),References!$L$118,IF(AND('Input HVAC Measures'!$G16&lt;References!$T$119,'Input HVAC Measures'!$G16&gt;References!$S$119),References!$L$119,IF('Input HVAC Measures'!$G16&gt;References!$S$120,References!$L$120,""))))))</f>
        <v>0</v>
      </c>
      <c r="C14" s="158" t="b">
        <f>IF('Input HVAC Measures'!$E16="High Eff. Heat Pump Unit",IF('Input HVAC Measures'!$G16&lt;References!$T$121,References!$L$121,IF(AND('Input HVAC Measures'!$G16&lt;References!$T$122,'Input HVAC Measures'!$G16&gt;References!$S$122),References!$L$122,IF(AND('Input HVAC Measures'!$G16&lt;References!$T$123,'Input HVAC Measures'!$G16&gt;References!$S$123),References!$L$123,IF('Input HVAC Measures'!$G16&gt;References!$S$124,References!$L$124,"")))))</f>
        <v>0</v>
      </c>
      <c r="D14" s="158" t="b">
        <f>IF('Input HVAC Measures'!$E16="High Eff. AC Unit",IF('Input HVAC Measures'!$G16&lt;References!$T$116,References!$M$116,IF(AND('Input HVAC Measures'!$G16&lt;References!$T$117,'Input HVAC Measures'!$G16&gt;References!$S$117),References!$M$117,IF(AND('Input HVAC Measures'!$G16&lt;References!$T$118,'Input HVAC Measures'!$G16&gt;References!$S$118),References!$M$118,IF(AND('Input HVAC Measures'!$G16&lt;References!$T$119,'Input HVAC Measures'!$G16&gt;References!$S$119),References!$M$119,IF('Input HVAC Measures'!$G16&gt;References!$S$120,References!$M$120,""))))))</f>
        <v>0</v>
      </c>
      <c r="E14" s="158" t="b">
        <f>IF('Input HVAC Measures'!$E16="High Eff. Heat Pump Unit",IF('Input HVAC Measures'!$G16&lt;References!$T$121,References!$M$121,IF(AND('Input HVAC Measures'!$G16&lt;References!$T$122,'Input HVAC Measures'!$G16&gt;References!$S$122),References!$M$122,IF(AND('Input HVAC Measures'!$G16&lt;References!$T$123,'Input HVAC Measures'!$G16&gt;References!$S$123),References!$M$123,IF('Input HVAC Measures'!$G16&gt;References!$S$124,References!$M$124,"")))))</f>
        <v>0</v>
      </c>
      <c r="F14" s="158" t="b">
        <f>IF('Input HVAC Measures'!$E16="High Eff. Heat Pump Unit",IF('Input HVAC Measures'!$G16&lt;References!$T$121,References!$N$121,IF(AND('Input HVAC Measures'!$G16&lt;References!$T$122,'Input HVAC Measures'!$G16&gt;References!$S$122),References!$N$122,IF(AND('Input HVAC Measures'!$G16&lt;References!$T$123,'Input HVAC Measures'!$G16&gt;References!$S$123),References!$N$123,IF('Input HVAC Measures'!$G16&gt;References!$S$124,References!$N$124,"")))))</f>
        <v>0</v>
      </c>
      <c r="H14" s="209">
        <f>IF('Input HVAC Measures'!$E16="High Eff. AC Unit",'Input HVAC Measures'!$H16*12000/1000*References!$K$4*((1/'HVAC Calcs'!$D14)-(1/'Input HVAC Measures'!$K16)),IF('Input HVAC Measures'!$E16="High Eff. Heat Pump Unit",'Input HVAC Measures'!$H16*12000/1000*References!$K$5*((1/'HVAC Calcs'!$E14)-(1/'Input HVAC Measures'!$K16))+'Input HVAC Measures'!$H16*12000/1000*References!$N$5*((1/'HVAC Calcs'!$F14)-(1/'Input HVAC Measures'!$L16)),0))</f>
        <v>0</v>
      </c>
      <c r="I14" s="210" t="b">
        <f>IF('Input HVAC Measures'!$E16="High Eff. AC Unit",'Input HVAC Measures'!$H16*12000/1000*References!$L$4*((1/'HVAC Calcs'!$B14)-(1/'Input HVAC Measures'!$J16)),IF('Input HVAC Measures'!$E16="High Eff. Heat Pump Unit",'Input HVAC Measures'!$H16*12000/1000*References!$L$5*((1/'HVAC Calcs'!$C14)-(1/'Input HVAC Measures'!$J16))))</f>
        <v>0</v>
      </c>
    </row>
    <row r="15" spans="1:9" ht="15" x14ac:dyDescent="0.25">
      <c r="A15">
        <v>13</v>
      </c>
      <c r="B15" s="158" t="b">
        <f>IF('Input HVAC Measures'!$E17="High Eff. AC Unit",IF('Input HVAC Measures'!$G17&lt;References!$T$116,References!$L$116,IF(AND('Input HVAC Measures'!$G17&lt;References!$T$117,'Input HVAC Measures'!$G17&gt;References!$S$117),References!$L$117,IF(AND('Input HVAC Measures'!$G17&lt;References!$T$118,'Input HVAC Measures'!$G17&gt;References!$S$118),References!$L$118,IF(AND('Input HVAC Measures'!$G17&lt;References!$T$119,'Input HVAC Measures'!$G17&gt;References!$S$119),References!$L$119,IF('Input HVAC Measures'!$G17&gt;References!$S$120,References!$L$120,""))))))</f>
        <v>0</v>
      </c>
      <c r="C15" s="158" t="b">
        <f>IF('Input HVAC Measures'!$E17="High Eff. Heat Pump Unit",IF('Input HVAC Measures'!$G17&lt;References!$T$121,References!$L$121,IF(AND('Input HVAC Measures'!$G17&lt;References!$T$122,'Input HVAC Measures'!$G17&gt;References!$S$122),References!$L$122,IF(AND('Input HVAC Measures'!$G17&lt;References!$T$123,'Input HVAC Measures'!$G17&gt;References!$S$123),References!$L$123,IF('Input HVAC Measures'!$G17&gt;References!$S$124,References!$L$124,"")))))</f>
        <v>0</v>
      </c>
      <c r="D15" s="158" t="b">
        <f>IF('Input HVAC Measures'!$E17="High Eff. AC Unit",IF('Input HVAC Measures'!$G17&lt;References!$T$116,References!$M$116,IF(AND('Input HVAC Measures'!$G17&lt;References!$T$117,'Input HVAC Measures'!$G17&gt;References!$S$117),References!$M$117,IF(AND('Input HVAC Measures'!$G17&lt;References!$T$118,'Input HVAC Measures'!$G17&gt;References!$S$118),References!$M$118,IF(AND('Input HVAC Measures'!$G17&lt;References!$T$119,'Input HVAC Measures'!$G17&gt;References!$S$119),References!$M$119,IF('Input HVAC Measures'!$G17&gt;References!$S$120,References!$M$120,""))))))</f>
        <v>0</v>
      </c>
      <c r="E15" s="158" t="b">
        <f>IF('Input HVAC Measures'!$E17="High Eff. Heat Pump Unit",IF('Input HVAC Measures'!$G17&lt;References!$T$121,References!$M$121,IF(AND('Input HVAC Measures'!$G17&lt;References!$T$122,'Input HVAC Measures'!$G17&gt;References!$S$122),References!$M$122,IF(AND('Input HVAC Measures'!$G17&lt;References!$T$123,'Input HVAC Measures'!$G17&gt;References!$S$123),References!$M$123,IF('Input HVAC Measures'!$G17&gt;References!$S$124,References!$M$124,"")))))</f>
        <v>0</v>
      </c>
      <c r="F15" s="158" t="b">
        <f>IF('Input HVAC Measures'!$E17="High Eff. Heat Pump Unit",IF('Input HVAC Measures'!$G17&lt;References!$T$121,References!$N$121,IF(AND('Input HVAC Measures'!$G17&lt;References!$T$122,'Input HVAC Measures'!$G17&gt;References!$S$122),References!$N$122,IF(AND('Input HVAC Measures'!$G17&lt;References!$T$123,'Input HVAC Measures'!$G17&gt;References!$S$123),References!$N$123,IF('Input HVAC Measures'!$G17&gt;References!$S$124,References!$N$124,"")))))</f>
        <v>0</v>
      </c>
      <c r="H15" s="209">
        <f>IF('Input HVAC Measures'!$E17="High Eff. AC Unit",'Input HVAC Measures'!$H17*12000/1000*References!$K$4*((1/'HVAC Calcs'!$D15)-(1/'Input HVAC Measures'!$K17)),IF('Input HVAC Measures'!$E17="High Eff. Heat Pump Unit",'Input HVAC Measures'!$H17*12000/1000*References!$K$5*((1/'HVAC Calcs'!$E15)-(1/'Input HVAC Measures'!$K17))+'Input HVAC Measures'!$H17*12000/1000*References!$N$5*((1/'HVAC Calcs'!$F15)-(1/'Input HVAC Measures'!$L17)),0))</f>
        <v>0</v>
      </c>
      <c r="I15" s="210" t="b">
        <f>IF('Input HVAC Measures'!$E17="High Eff. AC Unit",'Input HVAC Measures'!$H17*12000/1000*References!$L$4*((1/'HVAC Calcs'!$B15)-(1/'Input HVAC Measures'!$J17)),IF('Input HVAC Measures'!$E17="High Eff. Heat Pump Unit",'Input HVAC Measures'!$H17*12000/1000*References!$L$5*((1/'HVAC Calcs'!$C15)-(1/'Input HVAC Measures'!$J17))))</f>
        <v>0</v>
      </c>
    </row>
    <row r="16" spans="1:9" ht="15" x14ac:dyDescent="0.25">
      <c r="A16">
        <v>14</v>
      </c>
      <c r="B16" s="158" t="b">
        <f>IF('Input HVAC Measures'!$E18="High Eff. AC Unit",IF('Input HVAC Measures'!$G18&lt;References!$T$116,References!$L$116,IF(AND('Input HVAC Measures'!$G18&lt;References!$T$117,'Input HVAC Measures'!$G18&gt;References!$S$117),References!$L$117,IF(AND('Input HVAC Measures'!$G18&lt;References!$T$118,'Input HVAC Measures'!$G18&gt;References!$S$118),References!$L$118,IF(AND('Input HVAC Measures'!$G18&lt;References!$T$119,'Input HVAC Measures'!$G18&gt;References!$S$119),References!$L$119,IF('Input HVAC Measures'!$G18&gt;References!$S$120,References!$L$120,""))))))</f>
        <v>0</v>
      </c>
      <c r="C16" s="158" t="b">
        <f>IF('Input HVAC Measures'!$E18="High Eff. Heat Pump Unit",IF('Input HVAC Measures'!$G18&lt;References!$T$121,References!$L$121,IF(AND('Input HVAC Measures'!$G18&lt;References!$T$122,'Input HVAC Measures'!$G18&gt;References!$S$122),References!$L$122,IF(AND('Input HVAC Measures'!$G18&lt;References!$T$123,'Input HVAC Measures'!$G18&gt;References!$S$123),References!$L$123,IF('Input HVAC Measures'!$G18&gt;References!$S$124,References!$L$124,"")))))</f>
        <v>0</v>
      </c>
      <c r="D16" s="158" t="b">
        <f>IF('Input HVAC Measures'!$E18="High Eff. AC Unit",IF('Input HVAC Measures'!$G18&lt;References!$T$116,References!$M$116,IF(AND('Input HVAC Measures'!$G18&lt;References!$T$117,'Input HVAC Measures'!$G18&gt;References!$S$117),References!$M$117,IF(AND('Input HVAC Measures'!$G18&lt;References!$T$118,'Input HVAC Measures'!$G18&gt;References!$S$118),References!$M$118,IF(AND('Input HVAC Measures'!$G18&lt;References!$T$119,'Input HVAC Measures'!$G18&gt;References!$S$119),References!$M$119,IF('Input HVAC Measures'!$G18&gt;References!$S$120,References!$M$120,""))))))</f>
        <v>0</v>
      </c>
      <c r="E16" s="158" t="b">
        <f>IF('Input HVAC Measures'!$E18="High Eff. Heat Pump Unit",IF('Input HVAC Measures'!$G18&lt;References!$T$121,References!$M$121,IF(AND('Input HVAC Measures'!$G18&lt;References!$T$122,'Input HVAC Measures'!$G18&gt;References!$S$122),References!$M$122,IF(AND('Input HVAC Measures'!$G18&lt;References!$T$123,'Input HVAC Measures'!$G18&gt;References!$S$123),References!$M$123,IF('Input HVAC Measures'!$G18&gt;References!$S$124,References!$M$124,"")))))</f>
        <v>0</v>
      </c>
      <c r="F16" s="158" t="b">
        <f>IF('Input HVAC Measures'!$E18="High Eff. Heat Pump Unit",IF('Input HVAC Measures'!$G18&lt;References!$T$121,References!$N$121,IF(AND('Input HVAC Measures'!$G18&lt;References!$T$122,'Input HVAC Measures'!$G18&gt;References!$S$122),References!$N$122,IF(AND('Input HVAC Measures'!$G18&lt;References!$T$123,'Input HVAC Measures'!$G18&gt;References!$S$123),References!$N$123,IF('Input HVAC Measures'!$G18&gt;References!$S$124,References!$N$124,"")))))</f>
        <v>0</v>
      </c>
      <c r="H16" s="209">
        <f>IF('Input HVAC Measures'!$E18="High Eff. AC Unit",'Input HVAC Measures'!$H18*12000/1000*References!$K$4*((1/'HVAC Calcs'!$D16)-(1/'Input HVAC Measures'!$K18)),IF('Input HVAC Measures'!$E18="High Eff. Heat Pump Unit",'Input HVAC Measures'!$H18*12000/1000*References!$K$5*((1/'HVAC Calcs'!$E16)-(1/'Input HVAC Measures'!$K18))+'Input HVAC Measures'!$H18*12000/1000*References!$N$5*((1/'HVAC Calcs'!$F16)-(1/'Input HVAC Measures'!$L18)),0))</f>
        <v>0</v>
      </c>
      <c r="I16" s="210" t="b">
        <f>IF('Input HVAC Measures'!$E18="High Eff. AC Unit",'Input HVAC Measures'!$H18*12000/1000*References!$L$4*((1/'HVAC Calcs'!$B16)-(1/'Input HVAC Measures'!$J18)),IF('Input HVAC Measures'!$E18="High Eff. Heat Pump Unit",'Input HVAC Measures'!$H18*12000/1000*References!$L$5*((1/'HVAC Calcs'!$C16)-(1/'Input HVAC Measures'!$J18))))</f>
        <v>0</v>
      </c>
    </row>
    <row r="17" spans="1:9" ht="15" x14ac:dyDescent="0.25">
      <c r="A17">
        <v>15</v>
      </c>
      <c r="B17" s="158" t="b">
        <f>IF('Input HVAC Measures'!$E19="High Eff. AC Unit",IF('Input HVAC Measures'!$G19&lt;References!$T$116,References!$L$116,IF(AND('Input HVAC Measures'!$G19&lt;References!$T$117,'Input HVAC Measures'!$G19&gt;References!$S$117),References!$L$117,IF(AND('Input HVAC Measures'!$G19&lt;References!$T$118,'Input HVAC Measures'!$G19&gt;References!$S$118),References!$L$118,IF(AND('Input HVAC Measures'!$G19&lt;References!$T$119,'Input HVAC Measures'!$G19&gt;References!$S$119),References!$L$119,IF('Input HVAC Measures'!$G19&gt;References!$S$120,References!$L$120,""))))))</f>
        <v>0</v>
      </c>
      <c r="C17" s="158" t="b">
        <f>IF('Input HVAC Measures'!$E19="High Eff. Heat Pump Unit",IF('Input HVAC Measures'!$G19&lt;References!$T$121,References!$L$121,IF(AND('Input HVAC Measures'!$G19&lt;References!$T$122,'Input HVAC Measures'!$G19&gt;References!$S$122),References!$L$122,IF(AND('Input HVAC Measures'!$G19&lt;References!$T$123,'Input HVAC Measures'!$G19&gt;References!$S$123),References!$L$123,IF('Input HVAC Measures'!$G19&gt;References!$S$124,References!$L$124,"")))))</f>
        <v>0</v>
      </c>
      <c r="D17" s="158" t="b">
        <f>IF('Input HVAC Measures'!$E19="High Eff. AC Unit",IF('Input HVAC Measures'!$G19&lt;References!$T$116,References!$M$116,IF(AND('Input HVAC Measures'!$G19&lt;References!$T$117,'Input HVAC Measures'!$G19&gt;References!$S$117),References!$M$117,IF(AND('Input HVAC Measures'!$G19&lt;References!$T$118,'Input HVAC Measures'!$G19&gt;References!$S$118),References!$M$118,IF(AND('Input HVAC Measures'!$G19&lt;References!$T$119,'Input HVAC Measures'!$G19&gt;References!$S$119),References!$M$119,IF('Input HVAC Measures'!$G19&gt;References!$S$120,References!$M$120,""))))))</f>
        <v>0</v>
      </c>
      <c r="E17" s="158" t="b">
        <f>IF('Input HVAC Measures'!$E19="High Eff. Heat Pump Unit",IF('Input HVAC Measures'!$G19&lt;References!$T$121,References!$M$121,IF(AND('Input HVAC Measures'!$G19&lt;References!$T$122,'Input HVAC Measures'!$G19&gt;References!$S$122),References!$M$122,IF(AND('Input HVAC Measures'!$G19&lt;References!$T$123,'Input HVAC Measures'!$G19&gt;References!$S$123),References!$M$123,IF('Input HVAC Measures'!$G19&gt;References!$S$124,References!$M$124,"")))))</f>
        <v>0</v>
      </c>
      <c r="F17" s="158" t="b">
        <f>IF('Input HVAC Measures'!$E19="High Eff. Heat Pump Unit",IF('Input HVAC Measures'!$G19&lt;References!$T$121,References!$N$121,IF(AND('Input HVAC Measures'!$G19&lt;References!$T$122,'Input HVAC Measures'!$G19&gt;References!$S$122),References!$N$122,IF(AND('Input HVAC Measures'!$G19&lt;References!$T$123,'Input HVAC Measures'!$G19&gt;References!$S$123),References!$N$123,IF('Input HVAC Measures'!$G19&gt;References!$S$124,References!$N$124,"")))))</f>
        <v>0</v>
      </c>
      <c r="H17" s="209">
        <f>IF('Input HVAC Measures'!$E19="High Eff. AC Unit",'Input HVAC Measures'!$H19*12000/1000*References!$K$4*((1/'HVAC Calcs'!$D17)-(1/'Input HVAC Measures'!$K19)),IF('Input HVAC Measures'!$E19="High Eff. Heat Pump Unit",'Input HVAC Measures'!$H19*12000/1000*References!$K$5*((1/'HVAC Calcs'!$E17)-(1/'Input HVAC Measures'!$K19))+'Input HVAC Measures'!$H19*12000/1000*References!$N$5*((1/'HVAC Calcs'!$F17)-(1/'Input HVAC Measures'!$L19)),0))</f>
        <v>0</v>
      </c>
      <c r="I17" s="210" t="b">
        <f>IF('Input HVAC Measures'!$E19="High Eff. AC Unit",'Input HVAC Measures'!$H19*12000/1000*References!$L$4*((1/'HVAC Calcs'!$B17)-(1/'Input HVAC Measures'!$J19)),IF('Input HVAC Measures'!$E19="High Eff. Heat Pump Unit",'Input HVAC Measures'!$H19*12000/1000*References!$L$5*((1/'HVAC Calcs'!$C17)-(1/'Input HVAC Measures'!$J19))))</f>
        <v>0</v>
      </c>
    </row>
    <row r="18" spans="1:9" ht="15" x14ac:dyDescent="0.25">
      <c r="A18">
        <v>16</v>
      </c>
      <c r="B18" s="158" t="b">
        <f>IF('Input HVAC Measures'!$E20="High Eff. AC Unit",IF('Input HVAC Measures'!$G20&lt;References!$T$116,References!$L$116,IF(AND('Input HVAC Measures'!$G20&lt;References!$T$117,'Input HVAC Measures'!$G20&gt;References!$S$117),References!$L$117,IF(AND('Input HVAC Measures'!$G20&lt;References!$T$118,'Input HVAC Measures'!$G20&gt;References!$S$118),References!$L$118,IF(AND('Input HVAC Measures'!$G20&lt;References!$T$119,'Input HVAC Measures'!$G20&gt;References!$S$119),References!$L$119,IF('Input HVAC Measures'!$G20&gt;References!$S$120,References!$L$120,""))))))</f>
        <v>0</v>
      </c>
      <c r="C18" s="158" t="b">
        <f>IF('Input HVAC Measures'!$E20="High Eff. Heat Pump Unit",IF('Input HVAC Measures'!$G20&lt;References!$T$121,References!$L$121,IF(AND('Input HVAC Measures'!$G20&lt;References!$T$122,'Input HVAC Measures'!$G20&gt;References!$S$122),References!$L$122,IF(AND('Input HVAC Measures'!$G20&lt;References!$T$123,'Input HVAC Measures'!$G20&gt;References!$S$123),References!$L$123,IF('Input HVAC Measures'!$G20&gt;References!$S$124,References!$L$124,"")))))</f>
        <v>0</v>
      </c>
      <c r="D18" s="158" t="b">
        <f>IF('Input HVAC Measures'!$E20="High Eff. AC Unit",IF('Input HVAC Measures'!$G20&lt;References!$T$116,References!$M$116,IF(AND('Input HVAC Measures'!$G20&lt;References!$T$117,'Input HVAC Measures'!$G20&gt;References!$S$117),References!$M$117,IF(AND('Input HVAC Measures'!$G20&lt;References!$T$118,'Input HVAC Measures'!$G20&gt;References!$S$118),References!$M$118,IF(AND('Input HVAC Measures'!$G20&lt;References!$T$119,'Input HVAC Measures'!$G20&gt;References!$S$119),References!$M$119,IF('Input HVAC Measures'!$G20&gt;References!$S$120,References!$M$120,""))))))</f>
        <v>0</v>
      </c>
      <c r="E18" s="158" t="b">
        <f>IF('Input HVAC Measures'!$E20="High Eff. Heat Pump Unit",IF('Input HVAC Measures'!$G20&lt;References!$T$121,References!$M$121,IF(AND('Input HVAC Measures'!$G20&lt;References!$T$122,'Input HVAC Measures'!$G20&gt;References!$S$122),References!$M$122,IF(AND('Input HVAC Measures'!$G20&lt;References!$T$123,'Input HVAC Measures'!$G20&gt;References!$S$123),References!$M$123,IF('Input HVAC Measures'!$G20&gt;References!$S$124,References!$M$124,"")))))</f>
        <v>0</v>
      </c>
      <c r="F18" s="158" t="b">
        <f>IF('Input HVAC Measures'!$E20="High Eff. Heat Pump Unit",IF('Input HVAC Measures'!$G20&lt;References!$T$121,References!$N$121,IF(AND('Input HVAC Measures'!$G20&lt;References!$T$122,'Input HVAC Measures'!$G20&gt;References!$S$122),References!$N$122,IF(AND('Input HVAC Measures'!$G20&lt;References!$T$123,'Input HVAC Measures'!$G20&gt;References!$S$123),References!$N$123,IF('Input HVAC Measures'!$G20&gt;References!$S$124,References!$N$124,"")))))</f>
        <v>0</v>
      </c>
      <c r="H18" s="209">
        <f>IF('Input HVAC Measures'!$E20="High Eff. AC Unit",'Input HVAC Measures'!$H20*12000/1000*References!$K$4*((1/'HVAC Calcs'!$D18)-(1/'Input HVAC Measures'!$K20)),IF('Input HVAC Measures'!$E20="High Eff. Heat Pump Unit",'Input HVAC Measures'!$H20*12000/1000*References!$K$5*((1/'HVAC Calcs'!$E18)-(1/'Input HVAC Measures'!$K20))+'Input HVAC Measures'!$H20*12000/1000*References!$N$5*((1/'HVAC Calcs'!$F18)-(1/'Input HVAC Measures'!$L20)),0))</f>
        <v>0</v>
      </c>
      <c r="I18" s="210" t="b">
        <f>IF('Input HVAC Measures'!$E20="High Eff. AC Unit",'Input HVAC Measures'!$H20*12000/1000*References!$L$4*((1/'HVAC Calcs'!$B18)-(1/'Input HVAC Measures'!$J20)),IF('Input HVAC Measures'!$E20="High Eff. Heat Pump Unit",'Input HVAC Measures'!$H20*12000/1000*References!$L$5*((1/'HVAC Calcs'!$C18)-(1/'Input HVAC Measures'!$J20))))</f>
        <v>0</v>
      </c>
    </row>
    <row r="19" spans="1:9" ht="15" x14ac:dyDescent="0.25">
      <c r="A19">
        <v>17</v>
      </c>
      <c r="B19" s="158" t="b">
        <f>IF('Input HVAC Measures'!$E21="High Eff. AC Unit",IF('Input HVAC Measures'!$G21&lt;References!$T$116,References!$L$116,IF(AND('Input HVAC Measures'!$G21&lt;References!$T$117,'Input HVAC Measures'!$G21&gt;References!$S$117),References!$L$117,IF(AND('Input HVAC Measures'!$G21&lt;References!$T$118,'Input HVAC Measures'!$G21&gt;References!$S$118),References!$L$118,IF(AND('Input HVAC Measures'!$G21&lt;References!$T$119,'Input HVAC Measures'!$G21&gt;References!$S$119),References!$L$119,IF('Input HVAC Measures'!$G21&gt;References!$S$120,References!$L$120,""))))))</f>
        <v>0</v>
      </c>
      <c r="C19" s="158" t="b">
        <f>IF('Input HVAC Measures'!$E21="High Eff. Heat Pump Unit",IF('Input HVAC Measures'!$G21&lt;References!$T$121,References!$L$121,IF(AND('Input HVAC Measures'!$G21&lt;References!$T$122,'Input HVAC Measures'!$G21&gt;References!$S$122),References!$L$122,IF(AND('Input HVAC Measures'!$G21&lt;References!$T$123,'Input HVAC Measures'!$G21&gt;References!$S$123),References!$L$123,IF('Input HVAC Measures'!$G21&gt;References!$S$124,References!$L$124,"")))))</f>
        <v>0</v>
      </c>
      <c r="D19" s="158" t="b">
        <f>IF('Input HVAC Measures'!$E21="High Eff. AC Unit",IF('Input HVAC Measures'!$G21&lt;References!$T$116,References!$M$116,IF(AND('Input HVAC Measures'!$G21&lt;References!$T$117,'Input HVAC Measures'!$G21&gt;References!$S$117),References!$M$117,IF(AND('Input HVAC Measures'!$G21&lt;References!$T$118,'Input HVAC Measures'!$G21&gt;References!$S$118),References!$M$118,IF(AND('Input HVAC Measures'!$G21&lt;References!$T$119,'Input HVAC Measures'!$G21&gt;References!$S$119),References!$M$119,IF('Input HVAC Measures'!$G21&gt;References!$S$120,References!$M$120,""))))))</f>
        <v>0</v>
      </c>
      <c r="E19" s="158" t="b">
        <f>IF('Input HVAC Measures'!$E21="High Eff. Heat Pump Unit",IF('Input HVAC Measures'!$G21&lt;References!$T$121,References!$M$121,IF(AND('Input HVAC Measures'!$G21&lt;References!$T$122,'Input HVAC Measures'!$G21&gt;References!$S$122),References!$M$122,IF(AND('Input HVAC Measures'!$G21&lt;References!$T$123,'Input HVAC Measures'!$G21&gt;References!$S$123),References!$M$123,IF('Input HVAC Measures'!$G21&gt;References!$S$124,References!$M$124,"")))))</f>
        <v>0</v>
      </c>
      <c r="F19" s="158" t="b">
        <f>IF('Input HVAC Measures'!$E21="High Eff. Heat Pump Unit",IF('Input HVAC Measures'!$G21&lt;References!$T$121,References!$N$121,IF(AND('Input HVAC Measures'!$G21&lt;References!$T$122,'Input HVAC Measures'!$G21&gt;References!$S$122),References!$N$122,IF(AND('Input HVAC Measures'!$G21&lt;References!$T$123,'Input HVAC Measures'!$G21&gt;References!$S$123),References!$N$123,IF('Input HVAC Measures'!$G21&gt;References!$S$124,References!$N$124,"")))))</f>
        <v>0</v>
      </c>
      <c r="H19" s="209">
        <f>IF('Input HVAC Measures'!$E21="High Eff. AC Unit",'Input HVAC Measures'!$H21*12000/1000*References!$K$4*((1/'HVAC Calcs'!$D19)-(1/'Input HVAC Measures'!$K21)),IF('Input HVAC Measures'!$E21="High Eff. Heat Pump Unit",'Input HVAC Measures'!$H21*12000/1000*References!$K$5*((1/'HVAC Calcs'!$E19)-(1/'Input HVAC Measures'!$K21))+'Input HVAC Measures'!$H21*12000/1000*References!$N$5*((1/'HVAC Calcs'!$F19)-(1/'Input HVAC Measures'!$L21)),0))</f>
        <v>0</v>
      </c>
      <c r="I19" s="210" t="b">
        <f>IF('Input HVAC Measures'!$E21="High Eff. AC Unit",'Input HVAC Measures'!$H21*12000/1000*References!$L$4*((1/'HVAC Calcs'!$B19)-(1/'Input HVAC Measures'!$J21)),IF('Input HVAC Measures'!$E21="High Eff. Heat Pump Unit",'Input HVAC Measures'!$H21*12000/1000*References!$L$5*((1/'HVAC Calcs'!$C19)-(1/'Input HVAC Measures'!$J21))))</f>
        <v>0</v>
      </c>
    </row>
    <row r="20" spans="1:9" ht="15" x14ac:dyDescent="0.25">
      <c r="A20">
        <v>18</v>
      </c>
      <c r="B20" s="158" t="b">
        <f>IF('Input HVAC Measures'!$E22="High Eff. AC Unit",IF('Input HVAC Measures'!$G22&lt;References!$T$116,References!$L$116,IF(AND('Input HVAC Measures'!$G22&lt;References!$T$117,'Input HVAC Measures'!$G22&gt;References!$S$117),References!$L$117,IF(AND('Input HVAC Measures'!$G22&lt;References!$T$118,'Input HVAC Measures'!$G22&gt;References!$S$118),References!$L$118,IF(AND('Input HVAC Measures'!$G22&lt;References!$T$119,'Input HVAC Measures'!$G22&gt;References!$S$119),References!$L$119,IF('Input HVAC Measures'!$G22&gt;References!$S$120,References!$L$120,""))))))</f>
        <v>0</v>
      </c>
      <c r="C20" s="158" t="b">
        <f>IF('Input HVAC Measures'!$E22="High Eff. Heat Pump Unit",IF('Input HVAC Measures'!$G22&lt;References!$T$121,References!$L$121,IF(AND('Input HVAC Measures'!$G22&lt;References!$T$122,'Input HVAC Measures'!$G22&gt;References!$S$122),References!$L$122,IF(AND('Input HVAC Measures'!$G22&lt;References!$T$123,'Input HVAC Measures'!$G22&gt;References!$S$123),References!$L$123,IF('Input HVAC Measures'!$G22&gt;References!$S$124,References!$L$124,"")))))</f>
        <v>0</v>
      </c>
      <c r="D20" s="158" t="b">
        <f>IF('Input HVAC Measures'!$E22="High Eff. AC Unit",IF('Input HVAC Measures'!$G22&lt;References!$T$116,References!$M$116,IF(AND('Input HVAC Measures'!$G22&lt;References!$T$117,'Input HVAC Measures'!$G22&gt;References!$S$117),References!$M$117,IF(AND('Input HVAC Measures'!$G22&lt;References!$T$118,'Input HVAC Measures'!$G22&gt;References!$S$118),References!$M$118,IF(AND('Input HVAC Measures'!$G22&lt;References!$T$119,'Input HVAC Measures'!$G22&gt;References!$S$119),References!$M$119,IF('Input HVAC Measures'!$G22&gt;References!$S$120,References!$M$120,""))))))</f>
        <v>0</v>
      </c>
      <c r="E20" s="158" t="b">
        <f>IF('Input HVAC Measures'!$E22="High Eff. Heat Pump Unit",IF('Input HVAC Measures'!$G22&lt;References!$T$121,References!$M$121,IF(AND('Input HVAC Measures'!$G22&lt;References!$T$122,'Input HVAC Measures'!$G22&gt;References!$S$122),References!$M$122,IF(AND('Input HVAC Measures'!$G22&lt;References!$T$123,'Input HVAC Measures'!$G22&gt;References!$S$123),References!$M$123,IF('Input HVAC Measures'!$G22&gt;References!$S$124,References!$M$124,"")))))</f>
        <v>0</v>
      </c>
      <c r="F20" s="158" t="b">
        <f>IF('Input HVAC Measures'!$E22="High Eff. Heat Pump Unit",IF('Input HVAC Measures'!$G22&lt;References!$T$121,References!$N$121,IF(AND('Input HVAC Measures'!$G22&lt;References!$T$122,'Input HVAC Measures'!$G22&gt;References!$S$122),References!$N$122,IF(AND('Input HVAC Measures'!$G22&lt;References!$T$123,'Input HVAC Measures'!$G22&gt;References!$S$123),References!$N$123,IF('Input HVAC Measures'!$G22&gt;References!$S$124,References!$N$124,"")))))</f>
        <v>0</v>
      </c>
      <c r="H20" s="209">
        <f>IF('Input HVAC Measures'!$E22="High Eff. AC Unit",'Input HVAC Measures'!$H22*12000/1000*References!$K$4*((1/'HVAC Calcs'!$D20)-(1/'Input HVAC Measures'!$K22)),IF('Input HVAC Measures'!$E22="High Eff. Heat Pump Unit",'Input HVAC Measures'!$H22*12000/1000*References!$K$5*((1/'HVAC Calcs'!$E20)-(1/'Input HVAC Measures'!$K22))+'Input HVAC Measures'!$H22*12000/1000*References!$N$5*((1/'HVAC Calcs'!$F20)-(1/'Input HVAC Measures'!$L22)),0))</f>
        <v>0</v>
      </c>
      <c r="I20" s="210" t="b">
        <f>IF('Input HVAC Measures'!$E22="High Eff. AC Unit",'Input HVAC Measures'!$H22*12000/1000*References!$L$4*((1/'HVAC Calcs'!$B20)-(1/'Input HVAC Measures'!$J22)),IF('Input HVAC Measures'!$E22="High Eff. Heat Pump Unit",'Input HVAC Measures'!$H22*12000/1000*References!$L$5*((1/'HVAC Calcs'!$C20)-(1/'Input HVAC Measures'!$J22))))</f>
        <v>0</v>
      </c>
    </row>
    <row r="21" spans="1:9" ht="15" x14ac:dyDescent="0.25">
      <c r="A21">
        <v>19</v>
      </c>
      <c r="B21" s="158" t="b">
        <f>IF('Input HVAC Measures'!$E23="High Eff. AC Unit",IF('Input HVAC Measures'!$G23&lt;References!$T$116,References!$L$116,IF(AND('Input HVAC Measures'!$G23&lt;References!$T$117,'Input HVAC Measures'!$G23&gt;References!$S$117),References!$L$117,IF(AND('Input HVAC Measures'!$G23&lt;References!$T$118,'Input HVAC Measures'!$G23&gt;References!$S$118),References!$L$118,IF(AND('Input HVAC Measures'!$G23&lt;References!$T$119,'Input HVAC Measures'!$G23&gt;References!$S$119),References!$L$119,IF('Input HVAC Measures'!$G23&gt;References!$S$120,References!$L$120,""))))))</f>
        <v>0</v>
      </c>
      <c r="C21" s="158" t="b">
        <f>IF('Input HVAC Measures'!$E23="High Eff. Heat Pump Unit",IF('Input HVAC Measures'!$G23&lt;References!$T$121,References!$L$121,IF(AND('Input HVAC Measures'!$G23&lt;References!$T$122,'Input HVAC Measures'!$G23&gt;References!$S$122),References!$L$122,IF(AND('Input HVAC Measures'!$G23&lt;References!$T$123,'Input HVAC Measures'!$G23&gt;References!$S$123),References!$L$123,IF('Input HVAC Measures'!$G23&gt;References!$S$124,References!$L$124,"")))))</f>
        <v>0</v>
      </c>
      <c r="D21" s="158" t="b">
        <f>IF('Input HVAC Measures'!$E23="High Eff. AC Unit",IF('Input HVAC Measures'!$G23&lt;References!$T$116,References!$M$116,IF(AND('Input HVAC Measures'!$G23&lt;References!$T$117,'Input HVAC Measures'!$G23&gt;References!$S$117),References!$M$117,IF(AND('Input HVAC Measures'!$G23&lt;References!$T$118,'Input HVAC Measures'!$G23&gt;References!$S$118),References!$M$118,IF(AND('Input HVAC Measures'!$G23&lt;References!$T$119,'Input HVAC Measures'!$G23&gt;References!$S$119),References!$M$119,IF('Input HVAC Measures'!$G23&gt;References!$S$120,References!$M$120,""))))))</f>
        <v>0</v>
      </c>
      <c r="E21" s="158" t="b">
        <f>IF('Input HVAC Measures'!$E23="High Eff. Heat Pump Unit",IF('Input HVAC Measures'!$G23&lt;References!$T$121,References!$M$121,IF(AND('Input HVAC Measures'!$G23&lt;References!$T$122,'Input HVAC Measures'!$G23&gt;References!$S$122),References!$M$122,IF(AND('Input HVAC Measures'!$G23&lt;References!$T$123,'Input HVAC Measures'!$G23&gt;References!$S$123),References!$M$123,IF('Input HVAC Measures'!$G23&gt;References!$S$124,References!$M$124,"")))))</f>
        <v>0</v>
      </c>
      <c r="F21" s="158" t="b">
        <f>IF('Input HVAC Measures'!$E23="High Eff. Heat Pump Unit",IF('Input HVAC Measures'!$G23&lt;References!$T$121,References!$N$121,IF(AND('Input HVAC Measures'!$G23&lt;References!$T$122,'Input HVAC Measures'!$G23&gt;References!$S$122),References!$N$122,IF(AND('Input HVAC Measures'!$G23&lt;References!$T$123,'Input HVAC Measures'!$G23&gt;References!$S$123),References!$N$123,IF('Input HVAC Measures'!$G23&gt;References!$S$124,References!$N$124,"")))))</f>
        <v>0</v>
      </c>
      <c r="H21" s="209">
        <f>IF('Input HVAC Measures'!$E23="High Eff. AC Unit",'Input HVAC Measures'!$H23*12000/1000*References!$K$4*((1/'HVAC Calcs'!$D21)-(1/'Input HVAC Measures'!$K23)),IF('Input HVAC Measures'!$E23="High Eff. Heat Pump Unit",'Input HVAC Measures'!$H23*12000/1000*References!$K$5*((1/'HVAC Calcs'!$E21)-(1/'Input HVAC Measures'!$K23))+'Input HVAC Measures'!$H23*12000/1000*References!$N$5*((1/'HVAC Calcs'!$F21)-(1/'Input HVAC Measures'!$L23)),0))</f>
        <v>0</v>
      </c>
      <c r="I21" s="210" t="b">
        <f>IF('Input HVAC Measures'!$E23="High Eff. AC Unit",'Input HVAC Measures'!$H23*12000/1000*References!$L$4*((1/'HVAC Calcs'!$B21)-(1/'Input HVAC Measures'!$J23)),IF('Input HVAC Measures'!$E23="High Eff. Heat Pump Unit",'Input HVAC Measures'!$H23*12000/1000*References!$L$5*((1/'HVAC Calcs'!$C21)-(1/'Input HVAC Measures'!$J23))))</f>
        <v>0</v>
      </c>
    </row>
    <row r="22" spans="1:9" ht="15" x14ac:dyDescent="0.25">
      <c r="A22">
        <v>20</v>
      </c>
      <c r="B22" s="158" t="b">
        <f>IF('Input HVAC Measures'!$E24="High Eff. AC Unit",IF('Input HVAC Measures'!$G24&lt;References!$T$116,References!$L$116,IF(AND('Input HVAC Measures'!$G24&lt;References!$T$117,'Input HVAC Measures'!$G24&gt;References!$S$117),References!$L$117,IF(AND('Input HVAC Measures'!$G24&lt;References!$T$118,'Input HVAC Measures'!$G24&gt;References!$S$118),References!$L$118,IF(AND('Input HVAC Measures'!$G24&lt;References!$T$119,'Input HVAC Measures'!$G24&gt;References!$S$119),References!$L$119,IF('Input HVAC Measures'!$G24&gt;References!$S$120,References!$L$120,""))))))</f>
        <v>0</v>
      </c>
      <c r="C22" s="158" t="b">
        <f>IF('Input HVAC Measures'!$E24="High Eff. Heat Pump Unit",IF('Input HVAC Measures'!$G24&lt;References!$T$121,References!$L$121,IF(AND('Input HVAC Measures'!$G24&lt;References!$T$122,'Input HVAC Measures'!$G24&gt;References!$S$122),References!$L$122,IF(AND('Input HVAC Measures'!$G24&lt;References!$T$123,'Input HVAC Measures'!$G24&gt;References!$S$123),References!$L$123,IF('Input HVAC Measures'!$G24&gt;References!$S$124,References!$L$124,"")))))</f>
        <v>0</v>
      </c>
      <c r="D22" s="158" t="b">
        <f>IF('Input HVAC Measures'!$E24="High Eff. AC Unit",IF('Input HVAC Measures'!$G24&lt;References!$T$116,References!$M$116,IF(AND('Input HVAC Measures'!$G24&lt;References!$T$117,'Input HVAC Measures'!$G24&gt;References!$S$117),References!$M$117,IF(AND('Input HVAC Measures'!$G24&lt;References!$T$118,'Input HVAC Measures'!$G24&gt;References!$S$118),References!$M$118,IF(AND('Input HVAC Measures'!$G24&lt;References!$T$119,'Input HVAC Measures'!$G24&gt;References!$S$119),References!$M$119,IF('Input HVAC Measures'!$G24&gt;References!$S$120,References!$M$120,""))))))</f>
        <v>0</v>
      </c>
      <c r="E22" s="158" t="b">
        <f>IF('Input HVAC Measures'!$E24="High Eff. Heat Pump Unit",IF('Input HVAC Measures'!$G24&lt;References!$T$121,References!$M$121,IF(AND('Input HVAC Measures'!$G24&lt;References!$T$122,'Input HVAC Measures'!$G24&gt;References!$S$122),References!$M$122,IF(AND('Input HVAC Measures'!$G24&lt;References!$T$123,'Input HVAC Measures'!$G24&gt;References!$S$123),References!$M$123,IF('Input HVAC Measures'!$G24&gt;References!$S$124,References!$M$124,"")))))</f>
        <v>0</v>
      </c>
      <c r="F22" s="158" t="b">
        <f>IF('Input HVAC Measures'!$E24="High Eff. Heat Pump Unit",IF('Input HVAC Measures'!$G24&lt;References!$T$121,References!$N$121,IF(AND('Input HVAC Measures'!$G24&lt;References!$T$122,'Input HVAC Measures'!$G24&gt;References!$S$122),References!$N$122,IF(AND('Input HVAC Measures'!$G24&lt;References!$T$123,'Input HVAC Measures'!$G24&gt;References!$S$123),References!$N$123,IF('Input HVAC Measures'!$G24&gt;References!$S$124,References!$N$124,"")))))</f>
        <v>0</v>
      </c>
      <c r="H22" s="209">
        <f>IF('Input HVAC Measures'!$E24="High Eff. AC Unit",'Input HVAC Measures'!$H24*12000/1000*References!$K$4*((1/'HVAC Calcs'!$D22)-(1/'Input HVAC Measures'!$K24)),IF('Input HVAC Measures'!$E24="High Eff. Heat Pump Unit",'Input HVAC Measures'!$H24*12000/1000*References!$K$5*((1/'HVAC Calcs'!$E22)-(1/'Input HVAC Measures'!$K24))+'Input HVAC Measures'!$H24*12000/1000*References!$N$5*((1/'HVAC Calcs'!$F22)-(1/'Input HVAC Measures'!$L24)),0))</f>
        <v>0</v>
      </c>
      <c r="I22" s="210" t="b">
        <f>IF('Input HVAC Measures'!$E24="High Eff. AC Unit",'Input HVAC Measures'!$H24*12000/1000*References!$L$4*((1/'HVAC Calcs'!$B22)-(1/'Input HVAC Measures'!$J24)),IF('Input HVAC Measures'!$E24="High Eff. Heat Pump Unit",'Input HVAC Measures'!$H24*12000/1000*References!$L$5*((1/'HVAC Calcs'!$C22)-(1/'Input HVAC Measures'!$J24))))</f>
        <v>0</v>
      </c>
    </row>
    <row r="23" spans="1:9" ht="15" x14ac:dyDescent="0.25">
      <c r="A23">
        <v>21</v>
      </c>
      <c r="B23" s="158" t="b">
        <f>IF('Input HVAC Measures'!$E25="High Eff. AC Unit",IF('Input HVAC Measures'!$G25&lt;References!$T$116,References!$L$116,IF(AND('Input HVAC Measures'!$G25&lt;References!$T$117,'Input HVAC Measures'!$G25&gt;References!$S$117),References!$L$117,IF(AND('Input HVAC Measures'!$G25&lt;References!$T$118,'Input HVAC Measures'!$G25&gt;References!$S$118),References!$L$118,IF(AND('Input HVAC Measures'!$G25&lt;References!$T$119,'Input HVAC Measures'!$G25&gt;References!$S$119),References!$L$119,IF('Input HVAC Measures'!$G25&gt;References!$S$120,References!$L$120,""))))))</f>
        <v>0</v>
      </c>
      <c r="C23" s="158" t="b">
        <f>IF('Input HVAC Measures'!$E25="High Eff. Heat Pump Unit",IF('Input HVAC Measures'!$G25&lt;References!$T$121,References!$L$121,IF(AND('Input HVAC Measures'!$G25&lt;References!$T$122,'Input HVAC Measures'!$G25&gt;References!$S$122),References!$L$122,IF(AND('Input HVAC Measures'!$G25&lt;References!$T$123,'Input HVAC Measures'!$G25&gt;References!$S$123),References!$L$123,IF('Input HVAC Measures'!$G25&gt;References!$S$124,References!$L$124,"")))))</f>
        <v>0</v>
      </c>
      <c r="D23" s="158" t="b">
        <f>IF('Input HVAC Measures'!$E25="High Eff. AC Unit",IF('Input HVAC Measures'!$G25&lt;References!$T$116,References!$M$116,IF(AND('Input HVAC Measures'!$G25&lt;References!$T$117,'Input HVAC Measures'!$G25&gt;References!$S$117),References!$M$117,IF(AND('Input HVAC Measures'!$G25&lt;References!$T$118,'Input HVAC Measures'!$G25&gt;References!$S$118),References!$M$118,IF(AND('Input HVAC Measures'!$G25&lt;References!$T$119,'Input HVAC Measures'!$G25&gt;References!$S$119),References!$M$119,IF('Input HVAC Measures'!$G25&gt;References!$S$120,References!$M$120,""))))))</f>
        <v>0</v>
      </c>
      <c r="E23" s="158" t="b">
        <f>IF('Input HVAC Measures'!$E25="High Eff. Heat Pump Unit",IF('Input HVAC Measures'!$G25&lt;References!$T$121,References!$M$121,IF(AND('Input HVAC Measures'!$G25&lt;References!$T$122,'Input HVAC Measures'!$G25&gt;References!$S$122),References!$M$122,IF(AND('Input HVAC Measures'!$G25&lt;References!$T$123,'Input HVAC Measures'!$G25&gt;References!$S$123),References!$M$123,IF('Input HVAC Measures'!$G25&gt;References!$S$124,References!$M$124,"")))))</f>
        <v>0</v>
      </c>
      <c r="F23" s="158" t="b">
        <f>IF('Input HVAC Measures'!$E25="High Eff. Heat Pump Unit",IF('Input HVAC Measures'!$G25&lt;References!$T$121,References!$N$121,IF(AND('Input HVAC Measures'!$G25&lt;References!$T$122,'Input HVAC Measures'!$G25&gt;References!$S$122),References!$N$122,IF(AND('Input HVAC Measures'!$G25&lt;References!$T$123,'Input HVAC Measures'!$G25&gt;References!$S$123),References!$N$123,IF('Input HVAC Measures'!$G25&gt;References!$S$124,References!$N$124,"")))))</f>
        <v>0</v>
      </c>
      <c r="H23" s="209">
        <f>IF('Input HVAC Measures'!$E25="High Eff. AC Unit",'Input HVAC Measures'!$H25*12000/1000*References!$K$4*((1/'HVAC Calcs'!$D23)-(1/'Input HVAC Measures'!$K25)),IF('Input HVAC Measures'!$E25="High Eff. Heat Pump Unit",'Input HVAC Measures'!$H25*12000/1000*References!$K$5*((1/'HVAC Calcs'!$E23)-(1/'Input HVAC Measures'!$K25))+'Input HVAC Measures'!$H25*12000/1000*References!$N$5*((1/'HVAC Calcs'!$F23)-(1/'Input HVAC Measures'!$L25)),0))</f>
        <v>0</v>
      </c>
      <c r="I23" s="210" t="b">
        <f>IF('Input HVAC Measures'!$E25="High Eff. AC Unit",'Input HVAC Measures'!$H25*12000/1000*References!$L$4*((1/'HVAC Calcs'!$B23)-(1/'Input HVAC Measures'!$J25)),IF('Input HVAC Measures'!$E25="High Eff. Heat Pump Unit",'Input HVAC Measures'!$H25*12000/1000*References!$L$5*((1/'HVAC Calcs'!$C23)-(1/'Input HVAC Measures'!$J25))))</f>
        <v>0</v>
      </c>
    </row>
    <row r="24" spans="1:9" ht="15" x14ac:dyDescent="0.25">
      <c r="A24">
        <v>22</v>
      </c>
      <c r="B24" s="158" t="b">
        <f>IF('Input HVAC Measures'!$E26="High Eff. AC Unit",IF('Input HVAC Measures'!$G26&lt;References!$T$116,References!$L$116,IF(AND('Input HVAC Measures'!$G26&lt;References!$T$117,'Input HVAC Measures'!$G26&gt;References!$S$117),References!$L$117,IF(AND('Input HVAC Measures'!$G26&lt;References!$T$118,'Input HVAC Measures'!$G26&gt;References!$S$118),References!$L$118,IF(AND('Input HVAC Measures'!$G26&lt;References!$T$119,'Input HVAC Measures'!$G26&gt;References!$S$119),References!$L$119,IF('Input HVAC Measures'!$G26&gt;References!$S$120,References!$L$120,""))))))</f>
        <v>0</v>
      </c>
      <c r="C24" s="158" t="b">
        <f>IF('Input HVAC Measures'!$E26="High Eff. Heat Pump Unit",IF('Input HVAC Measures'!$G26&lt;References!$T$121,References!$L$121,IF(AND('Input HVAC Measures'!$G26&lt;References!$T$122,'Input HVAC Measures'!$G26&gt;References!$S$122),References!$L$122,IF(AND('Input HVAC Measures'!$G26&lt;References!$T$123,'Input HVAC Measures'!$G26&gt;References!$S$123),References!$L$123,IF('Input HVAC Measures'!$G26&gt;References!$S$124,References!$L$124,"")))))</f>
        <v>0</v>
      </c>
      <c r="D24" s="158" t="b">
        <f>IF('Input HVAC Measures'!$E26="High Eff. AC Unit",IF('Input HVAC Measures'!$G26&lt;References!$T$116,References!$M$116,IF(AND('Input HVAC Measures'!$G26&lt;References!$T$117,'Input HVAC Measures'!$G26&gt;References!$S$117),References!$M$117,IF(AND('Input HVAC Measures'!$G26&lt;References!$T$118,'Input HVAC Measures'!$G26&gt;References!$S$118),References!$M$118,IF(AND('Input HVAC Measures'!$G26&lt;References!$T$119,'Input HVAC Measures'!$G26&gt;References!$S$119),References!$M$119,IF('Input HVAC Measures'!$G26&gt;References!$S$120,References!$M$120,""))))))</f>
        <v>0</v>
      </c>
      <c r="E24" s="158" t="b">
        <f>IF('Input HVAC Measures'!$E26="High Eff. Heat Pump Unit",IF('Input HVAC Measures'!$G26&lt;References!$T$121,References!$M$121,IF(AND('Input HVAC Measures'!$G26&lt;References!$T$122,'Input HVAC Measures'!$G26&gt;References!$S$122),References!$M$122,IF(AND('Input HVAC Measures'!$G26&lt;References!$T$123,'Input HVAC Measures'!$G26&gt;References!$S$123),References!$M$123,IF('Input HVAC Measures'!$G26&gt;References!$S$124,References!$M$124,"")))))</f>
        <v>0</v>
      </c>
      <c r="F24" s="158" t="b">
        <f>IF('Input HVAC Measures'!$E26="High Eff. Heat Pump Unit",IF('Input HVAC Measures'!$G26&lt;References!$T$121,References!$N$121,IF(AND('Input HVAC Measures'!$G26&lt;References!$T$122,'Input HVAC Measures'!$G26&gt;References!$S$122),References!$N$122,IF(AND('Input HVAC Measures'!$G26&lt;References!$T$123,'Input HVAC Measures'!$G26&gt;References!$S$123),References!$N$123,IF('Input HVAC Measures'!$G26&gt;References!$S$124,References!$N$124,"")))))</f>
        <v>0</v>
      </c>
      <c r="H24" s="209">
        <f>IF('Input HVAC Measures'!$E26="High Eff. AC Unit",'Input HVAC Measures'!$H26*12000/1000*References!$K$4*((1/'HVAC Calcs'!$D24)-(1/'Input HVAC Measures'!$K26)),IF('Input HVAC Measures'!$E26="High Eff. Heat Pump Unit",'Input HVAC Measures'!$H26*12000/1000*References!$K$5*((1/'HVAC Calcs'!$E24)-(1/'Input HVAC Measures'!$K26))+'Input HVAC Measures'!$H26*12000/1000*References!$N$5*((1/'HVAC Calcs'!$F24)-(1/'Input HVAC Measures'!$L26)),0))</f>
        <v>0</v>
      </c>
      <c r="I24" s="210" t="b">
        <f>IF('Input HVAC Measures'!$E26="High Eff. AC Unit",'Input HVAC Measures'!$H26*12000/1000*References!$L$4*((1/'HVAC Calcs'!$B24)-(1/'Input HVAC Measures'!$J26)),IF('Input HVAC Measures'!$E26="High Eff. Heat Pump Unit",'Input HVAC Measures'!$H26*12000/1000*References!$L$5*((1/'HVAC Calcs'!$C24)-(1/'Input HVAC Measures'!$J26))))</f>
        <v>0</v>
      </c>
    </row>
    <row r="25" spans="1:9" ht="15" x14ac:dyDescent="0.25">
      <c r="A25">
        <v>23</v>
      </c>
      <c r="B25" s="158" t="b">
        <f>IF('Input HVAC Measures'!$E27="High Eff. AC Unit",IF('Input HVAC Measures'!$G27&lt;References!$T$116,References!$L$116,IF(AND('Input HVAC Measures'!$G27&lt;References!$T$117,'Input HVAC Measures'!$G27&gt;References!$S$117),References!$L$117,IF(AND('Input HVAC Measures'!$G27&lt;References!$T$118,'Input HVAC Measures'!$G27&gt;References!$S$118),References!$L$118,IF(AND('Input HVAC Measures'!$G27&lt;References!$T$119,'Input HVAC Measures'!$G27&gt;References!$S$119),References!$L$119,IF('Input HVAC Measures'!$G27&gt;References!$S$120,References!$L$120,""))))))</f>
        <v>0</v>
      </c>
      <c r="C25" s="158" t="b">
        <f>IF('Input HVAC Measures'!$E27="High Eff. Heat Pump Unit",IF('Input HVAC Measures'!$G27&lt;References!$T$121,References!$L$121,IF(AND('Input HVAC Measures'!$G27&lt;References!$T$122,'Input HVAC Measures'!$G27&gt;References!$S$122),References!$L$122,IF(AND('Input HVAC Measures'!$G27&lt;References!$T$123,'Input HVAC Measures'!$G27&gt;References!$S$123),References!$L$123,IF('Input HVAC Measures'!$G27&gt;References!$S$124,References!$L$124,"")))))</f>
        <v>0</v>
      </c>
      <c r="D25" s="158" t="b">
        <f>IF('Input HVAC Measures'!$E27="High Eff. AC Unit",IF('Input HVAC Measures'!$G27&lt;References!$T$116,References!$M$116,IF(AND('Input HVAC Measures'!$G27&lt;References!$T$117,'Input HVAC Measures'!$G27&gt;References!$S$117),References!$M$117,IF(AND('Input HVAC Measures'!$G27&lt;References!$T$118,'Input HVAC Measures'!$G27&gt;References!$S$118),References!$M$118,IF(AND('Input HVAC Measures'!$G27&lt;References!$T$119,'Input HVAC Measures'!$G27&gt;References!$S$119),References!$M$119,IF('Input HVAC Measures'!$G27&gt;References!$S$120,References!$M$120,""))))))</f>
        <v>0</v>
      </c>
      <c r="E25" s="158" t="b">
        <f>IF('Input HVAC Measures'!$E27="High Eff. Heat Pump Unit",IF('Input HVAC Measures'!$G27&lt;References!$T$121,References!$M$121,IF(AND('Input HVAC Measures'!$G27&lt;References!$T$122,'Input HVAC Measures'!$G27&gt;References!$S$122),References!$M$122,IF(AND('Input HVAC Measures'!$G27&lt;References!$T$123,'Input HVAC Measures'!$G27&gt;References!$S$123),References!$M$123,IF('Input HVAC Measures'!$G27&gt;References!$S$124,References!$M$124,"")))))</f>
        <v>0</v>
      </c>
      <c r="F25" s="158" t="b">
        <f>IF('Input HVAC Measures'!$E27="High Eff. Heat Pump Unit",IF('Input HVAC Measures'!$G27&lt;References!$T$121,References!$N$121,IF(AND('Input HVAC Measures'!$G27&lt;References!$T$122,'Input HVAC Measures'!$G27&gt;References!$S$122),References!$N$122,IF(AND('Input HVAC Measures'!$G27&lt;References!$T$123,'Input HVAC Measures'!$G27&gt;References!$S$123),References!$N$123,IF('Input HVAC Measures'!$G27&gt;References!$S$124,References!$N$124,"")))))</f>
        <v>0</v>
      </c>
      <c r="H25" s="209">
        <f>IF('Input HVAC Measures'!$E27="High Eff. AC Unit",'Input HVAC Measures'!$H27*12000/1000*References!$K$4*((1/'HVAC Calcs'!$D25)-(1/'Input HVAC Measures'!$K27)),IF('Input HVAC Measures'!$E27="High Eff. Heat Pump Unit",'Input HVAC Measures'!$H27*12000/1000*References!$K$5*((1/'HVAC Calcs'!$E25)-(1/'Input HVAC Measures'!$K27))+'Input HVAC Measures'!$H27*12000/1000*References!$N$5*((1/'HVAC Calcs'!$F25)-(1/'Input HVAC Measures'!$L27)),0))</f>
        <v>0</v>
      </c>
      <c r="I25" s="210" t="b">
        <f>IF('Input HVAC Measures'!$E27="High Eff. AC Unit",'Input HVAC Measures'!$H27*12000/1000*References!$L$4*((1/'HVAC Calcs'!$B25)-(1/'Input HVAC Measures'!$J27)),IF('Input HVAC Measures'!$E27="High Eff. Heat Pump Unit",'Input HVAC Measures'!$H27*12000/1000*References!$L$5*((1/'HVAC Calcs'!$C25)-(1/'Input HVAC Measures'!$J27))))</f>
        <v>0</v>
      </c>
    </row>
    <row r="26" spans="1:9" ht="15" x14ac:dyDescent="0.25">
      <c r="A26">
        <v>24</v>
      </c>
      <c r="B26" s="158" t="b">
        <f>IF('Input HVAC Measures'!$E28="High Eff. AC Unit",IF('Input HVAC Measures'!$G28&lt;References!$T$116,References!$L$116,IF(AND('Input HVAC Measures'!$G28&lt;References!$T$117,'Input HVAC Measures'!$G28&gt;References!$S$117),References!$L$117,IF(AND('Input HVAC Measures'!$G28&lt;References!$T$118,'Input HVAC Measures'!$G28&gt;References!$S$118),References!$L$118,IF(AND('Input HVAC Measures'!$G28&lt;References!$T$119,'Input HVAC Measures'!$G28&gt;References!$S$119),References!$L$119,IF('Input HVAC Measures'!$G28&gt;References!$S$120,References!$L$120,""))))))</f>
        <v>0</v>
      </c>
      <c r="C26" s="158" t="b">
        <f>IF('Input HVAC Measures'!$E28="High Eff. Heat Pump Unit",IF('Input HVAC Measures'!$G28&lt;References!$T$121,References!$L$121,IF(AND('Input HVAC Measures'!$G28&lt;References!$T$122,'Input HVAC Measures'!$G28&gt;References!$S$122),References!$L$122,IF(AND('Input HVAC Measures'!$G28&lt;References!$T$123,'Input HVAC Measures'!$G28&gt;References!$S$123),References!$L$123,IF('Input HVAC Measures'!$G28&gt;References!$S$124,References!$L$124,"")))))</f>
        <v>0</v>
      </c>
      <c r="D26" s="158" t="b">
        <f>IF('Input HVAC Measures'!$E28="High Eff. AC Unit",IF('Input HVAC Measures'!$G28&lt;References!$T$116,References!$M$116,IF(AND('Input HVAC Measures'!$G28&lt;References!$T$117,'Input HVAC Measures'!$G28&gt;References!$S$117),References!$M$117,IF(AND('Input HVAC Measures'!$G28&lt;References!$T$118,'Input HVAC Measures'!$G28&gt;References!$S$118),References!$M$118,IF(AND('Input HVAC Measures'!$G28&lt;References!$T$119,'Input HVAC Measures'!$G28&gt;References!$S$119),References!$M$119,IF('Input HVAC Measures'!$G28&gt;References!$S$120,References!$M$120,""))))))</f>
        <v>0</v>
      </c>
      <c r="E26" s="158" t="b">
        <f>IF('Input HVAC Measures'!$E28="High Eff. Heat Pump Unit",IF('Input HVAC Measures'!$G28&lt;References!$T$121,References!$M$121,IF(AND('Input HVAC Measures'!$G28&lt;References!$T$122,'Input HVAC Measures'!$G28&gt;References!$S$122),References!$M$122,IF(AND('Input HVAC Measures'!$G28&lt;References!$T$123,'Input HVAC Measures'!$G28&gt;References!$S$123),References!$M$123,IF('Input HVAC Measures'!$G28&gt;References!$S$124,References!$M$124,"")))))</f>
        <v>0</v>
      </c>
      <c r="F26" s="158" t="b">
        <f>IF('Input HVAC Measures'!$E28="High Eff. Heat Pump Unit",IF('Input HVAC Measures'!$G28&lt;References!$T$121,References!$N$121,IF(AND('Input HVAC Measures'!$G28&lt;References!$T$122,'Input HVAC Measures'!$G28&gt;References!$S$122),References!$N$122,IF(AND('Input HVAC Measures'!$G28&lt;References!$T$123,'Input HVAC Measures'!$G28&gt;References!$S$123),References!$N$123,IF('Input HVAC Measures'!$G28&gt;References!$S$124,References!$N$124,"")))))</f>
        <v>0</v>
      </c>
      <c r="H26" s="209">
        <f>IF('Input HVAC Measures'!$E28="High Eff. AC Unit",'Input HVAC Measures'!$H28*12000/1000*References!$K$4*((1/'HVAC Calcs'!$D26)-(1/'Input HVAC Measures'!$K28)),IF('Input HVAC Measures'!$E28="High Eff. Heat Pump Unit",'Input HVAC Measures'!$H28*12000/1000*References!$K$5*((1/'HVAC Calcs'!$E26)-(1/'Input HVAC Measures'!$K28))+'Input HVAC Measures'!$H28*12000/1000*References!$N$5*((1/'HVAC Calcs'!$F26)-(1/'Input HVAC Measures'!$L28)),0))</f>
        <v>0</v>
      </c>
      <c r="I26" s="210" t="b">
        <f>IF('Input HVAC Measures'!$E28="High Eff. AC Unit",'Input HVAC Measures'!$H28*12000/1000*References!$L$4*((1/'HVAC Calcs'!$B26)-(1/'Input HVAC Measures'!$J28)),IF('Input HVAC Measures'!$E28="High Eff. Heat Pump Unit",'Input HVAC Measures'!$H28*12000/1000*References!$L$5*((1/'HVAC Calcs'!$C26)-(1/'Input HVAC Measures'!$J28))))</f>
        <v>0</v>
      </c>
    </row>
    <row r="27" spans="1:9" ht="15" x14ac:dyDescent="0.25">
      <c r="A27">
        <v>25</v>
      </c>
      <c r="B27" s="158" t="b">
        <f>IF('Input HVAC Measures'!$E29="High Eff. AC Unit",IF('Input HVAC Measures'!$G29&lt;References!$T$116,References!$L$116,IF(AND('Input HVAC Measures'!$G29&lt;References!$T$117,'Input HVAC Measures'!$G29&gt;References!$S$117),References!$L$117,IF(AND('Input HVAC Measures'!$G29&lt;References!$T$118,'Input HVAC Measures'!$G29&gt;References!$S$118),References!$L$118,IF(AND('Input HVAC Measures'!$G29&lt;References!$T$119,'Input HVAC Measures'!$G29&gt;References!$S$119),References!$L$119,IF('Input HVAC Measures'!$G29&gt;References!$S$120,References!$L$120,""))))))</f>
        <v>0</v>
      </c>
      <c r="C27" s="158" t="b">
        <f>IF('Input HVAC Measures'!$E29="High Eff. Heat Pump Unit",IF('Input HVAC Measures'!$G29&lt;References!$T$121,References!$L$121,IF(AND('Input HVAC Measures'!$G29&lt;References!$T$122,'Input HVAC Measures'!$G29&gt;References!$S$122),References!$L$122,IF(AND('Input HVAC Measures'!$G29&lt;References!$T$123,'Input HVAC Measures'!$G29&gt;References!$S$123),References!$L$123,IF('Input HVAC Measures'!$G29&gt;References!$S$124,References!$L$124,"")))))</f>
        <v>0</v>
      </c>
      <c r="D27" s="158" t="b">
        <f>IF('Input HVAC Measures'!$E29="High Eff. AC Unit",IF('Input HVAC Measures'!$G29&lt;References!$T$116,References!$M$116,IF(AND('Input HVAC Measures'!$G29&lt;References!$T$117,'Input HVAC Measures'!$G29&gt;References!$S$117),References!$M$117,IF(AND('Input HVAC Measures'!$G29&lt;References!$T$118,'Input HVAC Measures'!$G29&gt;References!$S$118),References!$M$118,IF(AND('Input HVAC Measures'!$G29&lt;References!$T$119,'Input HVAC Measures'!$G29&gt;References!$S$119),References!$M$119,IF('Input HVAC Measures'!$G29&gt;References!$S$120,References!$M$120,""))))))</f>
        <v>0</v>
      </c>
      <c r="E27" s="158" t="b">
        <f>IF('Input HVAC Measures'!$E29="High Eff. Heat Pump Unit",IF('Input HVAC Measures'!$G29&lt;References!$T$121,References!$M$121,IF(AND('Input HVAC Measures'!$G29&lt;References!$T$122,'Input HVAC Measures'!$G29&gt;References!$S$122),References!$M$122,IF(AND('Input HVAC Measures'!$G29&lt;References!$T$123,'Input HVAC Measures'!$G29&gt;References!$S$123),References!$M$123,IF('Input HVAC Measures'!$G29&gt;References!$S$124,References!$M$124,"")))))</f>
        <v>0</v>
      </c>
      <c r="F27" s="158" t="b">
        <f>IF('Input HVAC Measures'!$E29="High Eff. Heat Pump Unit",IF('Input HVAC Measures'!$G29&lt;References!$T$121,References!$N$121,IF(AND('Input HVAC Measures'!$G29&lt;References!$T$122,'Input HVAC Measures'!$G29&gt;References!$S$122),References!$N$122,IF(AND('Input HVAC Measures'!$G29&lt;References!$T$123,'Input HVAC Measures'!$G29&gt;References!$S$123),References!$N$123,IF('Input HVAC Measures'!$G29&gt;References!$S$124,References!$N$124,"")))))</f>
        <v>0</v>
      </c>
      <c r="H27" s="209">
        <f>IF('Input HVAC Measures'!$E29="High Eff. AC Unit",'Input HVAC Measures'!$H29*12000/1000*References!$K$4*((1/'HVAC Calcs'!$D27)-(1/'Input HVAC Measures'!$K29)),IF('Input HVAC Measures'!$E29="High Eff. Heat Pump Unit",'Input HVAC Measures'!$H29*12000/1000*References!$K$5*((1/'HVAC Calcs'!$E27)-(1/'Input HVAC Measures'!$K29))+'Input HVAC Measures'!$H29*12000/1000*References!$N$5*((1/'HVAC Calcs'!$F27)-(1/'Input HVAC Measures'!$L29)),0))</f>
        <v>0</v>
      </c>
      <c r="I27" s="210" t="b">
        <f>IF('Input HVAC Measures'!$E29="High Eff. AC Unit",'Input HVAC Measures'!$H29*12000/1000*References!$L$4*((1/'HVAC Calcs'!$B27)-(1/'Input HVAC Measures'!$J29)),IF('Input HVAC Measures'!$E29="High Eff. Heat Pump Unit",'Input HVAC Measures'!$H29*12000/1000*References!$L$5*((1/'HVAC Calcs'!$C27)-(1/'Input HVAC Measures'!$J29))))</f>
        <v>0</v>
      </c>
    </row>
    <row r="28" spans="1:9" ht="15" x14ac:dyDescent="0.25">
      <c r="A28">
        <v>26</v>
      </c>
      <c r="B28" s="158" t="b">
        <f>IF('Input HVAC Measures'!$E30="High Eff. AC Unit",IF('Input HVAC Measures'!$G30&lt;References!$T$116,References!$L$116,IF(AND('Input HVAC Measures'!$G30&lt;References!$T$117,'Input HVAC Measures'!$G30&gt;References!$S$117),References!$L$117,IF(AND('Input HVAC Measures'!$G30&lt;References!$T$118,'Input HVAC Measures'!$G30&gt;References!$S$118),References!$L$118,IF(AND('Input HVAC Measures'!$G30&lt;References!$T$119,'Input HVAC Measures'!$G30&gt;References!$S$119),References!$L$119,IF('Input HVAC Measures'!$G30&gt;References!$S$120,References!$L$120,""))))))</f>
        <v>0</v>
      </c>
      <c r="C28" s="158" t="b">
        <f>IF('Input HVAC Measures'!$E30="High Eff. Heat Pump Unit",IF('Input HVAC Measures'!$G30&lt;References!$T$121,References!$L$121,IF(AND('Input HVAC Measures'!$G30&lt;References!$T$122,'Input HVAC Measures'!$G30&gt;References!$S$122),References!$L$122,IF(AND('Input HVAC Measures'!$G30&lt;References!$T$123,'Input HVAC Measures'!$G30&gt;References!$S$123),References!$L$123,IF('Input HVAC Measures'!$G30&gt;References!$S$124,References!$L$124,"")))))</f>
        <v>0</v>
      </c>
      <c r="D28" s="158" t="b">
        <f>IF('Input HVAC Measures'!$E30="High Eff. AC Unit",IF('Input HVAC Measures'!$G30&lt;References!$T$116,References!$M$116,IF(AND('Input HVAC Measures'!$G30&lt;References!$T$117,'Input HVAC Measures'!$G30&gt;References!$S$117),References!$M$117,IF(AND('Input HVAC Measures'!$G30&lt;References!$T$118,'Input HVAC Measures'!$G30&gt;References!$S$118),References!$M$118,IF(AND('Input HVAC Measures'!$G30&lt;References!$T$119,'Input HVAC Measures'!$G30&gt;References!$S$119),References!$M$119,IF('Input HVAC Measures'!$G30&gt;References!$S$120,References!$M$120,""))))))</f>
        <v>0</v>
      </c>
      <c r="E28" s="158" t="b">
        <f>IF('Input HVAC Measures'!$E30="High Eff. Heat Pump Unit",IF('Input HVAC Measures'!$G30&lt;References!$T$121,References!$M$121,IF(AND('Input HVAC Measures'!$G30&lt;References!$T$122,'Input HVAC Measures'!$G30&gt;References!$S$122),References!$M$122,IF(AND('Input HVAC Measures'!$G30&lt;References!$T$123,'Input HVAC Measures'!$G30&gt;References!$S$123),References!$M$123,IF('Input HVAC Measures'!$G30&gt;References!$S$124,References!$M$124,"")))))</f>
        <v>0</v>
      </c>
      <c r="F28" s="158" t="b">
        <f>IF('Input HVAC Measures'!$E30="High Eff. Heat Pump Unit",IF('Input HVAC Measures'!$G30&lt;References!$T$121,References!$N$121,IF(AND('Input HVAC Measures'!$G30&lt;References!$T$122,'Input HVAC Measures'!$G30&gt;References!$S$122),References!$N$122,IF(AND('Input HVAC Measures'!$G30&lt;References!$T$123,'Input HVAC Measures'!$G30&gt;References!$S$123),References!$N$123,IF('Input HVAC Measures'!$G30&gt;References!$S$124,References!$N$124,"")))))</f>
        <v>0</v>
      </c>
      <c r="H28" s="209">
        <f>IF('Input HVAC Measures'!$E30="High Eff. AC Unit",'Input HVAC Measures'!$H30*12000/1000*References!$K$4*((1/'HVAC Calcs'!$D28)-(1/'Input HVAC Measures'!$K30)),IF('Input HVAC Measures'!$E30="High Eff. Heat Pump Unit",'Input HVAC Measures'!$H30*12000/1000*References!$K$5*((1/'HVAC Calcs'!$E28)-(1/'Input HVAC Measures'!$K30))+'Input HVAC Measures'!$H30*12000/1000*References!$N$5*((1/'HVAC Calcs'!$F28)-(1/'Input HVAC Measures'!$L30)),0))</f>
        <v>0</v>
      </c>
      <c r="I28" s="210" t="b">
        <f>IF('Input HVAC Measures'!$E30="High Eff. AC Unit",'Input HVAC Measures'!$H30*12000/1000*References!$L$4*((1/'HVAC Calcs'!$B28)-(1/'Input HVAC Measures'!$J30)),IF('Input HVAC Measures'!$E30="High Eff. Heat Pump Unit",'Input HVAC Measures'!$H30*12000/1000*References!$L$5*((1/'HVAC Calcs'!$C28)-(1/'Input HVAC Measures'!$J30))))</f>
        <v>0</v>
      </c>
    </row>
    <row r="29" spans="1:9" ht="15" x14ac:dyDescent="0.25">
      <c r="A29">
        <v>27</v>
      </c>
      <c r="B29" s="158" t="b">
        <f>IF('Input HVAC Measures'!$E31="High Eff. AC Unit",IF('Input HVAC Measures'!$G31&lt;References!$T$116,References!$L$116,IF(AND('Input HVAC Measures'!$G31&lt;References!$T$117,'Input HVAC Measures'!$G31&gt;References!$S$117),References!$L$117,IF(AND('Input HVAC Measures'!$G31&lt;References!$T$118,'Input HVAC Measures'!$G31&gt;References!$S$118),References!$L$118,IF(AND('Input HVAC Measures'!$G31&lt;References!$T$119,'Input HVAC Measures'!$G31&gt;References!$S$119),References!$L$119,IF('Input HVAC Measures'!$G31&gt;References!$S$120,References!$L$120,""))))))</f>
        <v>0</v>
      </c>
      <c r="C29" s="158" t="b">
        <f>IF('Input HVAC Measures'!$E31="High Eff. Heat Pump Unit",IF('Input HVAC Measures'!$G31&lt;References!$T$121,References!$L$121,IF(AND('Input HVAC Measures'!$G31&lt;References!$T$122,'Input HVAC Measures'!$G31&gt;References!$S$122),References!$L$122,IF(AND('Input HVAC Measures'!$G31&lt;References!$T$123,'Input HVAC Measures'!$G31&gt;References!$S$123),References!$L$123,IF('Input HVAC Measures'!$G31&gt;References!$S$124,References!$L$124,"")))))</f>
        <v>0</v>
      </c>
      <c r="D29" s="158" t="b">
        <f>IF('Input HVAC Measures'!$E31="High Eff. AC Unit",IF('Input HVAC Measures'!$G31&lt;References!$T$116,References!$M$116,IF(AND('Input HVAC Measures'!$G31&lt;References!$T$117,'Input HVAC Measures'!$G31&gt;References!$S$117),References!$M$117,IF(AND('Input HVAC Measures'!$G31&lt;References!$T$118,'Input HVAC Measures'!$G31&gt;References!$S$118),References!$M$118,IF(AND('Input HVAC Measures'!$G31&lt;References!$T$119,'Input HVAC Measures'!$G31&gt;References!$S$119),References!$M$119,IF('Input HVAC Measures'!$G31&gt;References!$S$120,References!$M$120,""))))))</f>
        <v>0</v>
      </c>
      <c r="E29" s="158" t="b">
        <f>IF('Input HVAC Measures'!$E31="High Eff. Heat Pump Unit",IF('Input HVAC Measures'!$G31&lt;References!$T$121,References!$M$121,IF(AND('Input HVAC Measures'!$G31&lt;References!$T$122,'Input HVAC Measures'!$G31&gt;References!$S$122),References!$M$122,IF(AND('Input HVAC Measures'!$G31&lt;References!$T$123,'Input HVAC Measures'!$G31&gt;References!$S$123),References!$M$123,IF('Input HVAC Measures'!$G31&gt;References!$S$124,References!$M$124,"")))))</f>
        <v>0</v>
      </c>
      <c r="F29" s="158" t="b">
        <f>IF('Input HVAC Measures'!$E31="High Eff. Heat Pump Unit",IF('Input HVAC Measures'!$G31&lt;References!$T$121,References!$N$121,IF(AND('Input HVAC Measures'!$G31&lt;References!$T$122,'Input HVAC Measures'!$G31&gt;References!$S$122),References!$N$122,IF(AND('Input HVAC Measures'!$G31&lt;References!$T$123,'Input HVAC Measures'!$G31&gt;References!$S$123),References!$N$123,IF('Input HVAC Measures'!$G31&gt;References!$S$124,References!$N$124,"")))))</f>
        <v>0</v>
      </c>
      <c r="H29" s="209">
        <f>IF('Input HVAC Measures'!$E31="High Eff. AC Unit",'Input HVAC Measures'!$H31*12000/1000*References!$K$4*((1/'HVAC Calcs'!$D29)-(1/'Input HVAC Measures'!$K31)),IF('Input HVAC Measures'!$E31="High Eff. Heat Pump Unit",'Input HVAC Measures'!$H31*12000/1000*References!$K$5*((1/'HVAC Calcs'!$E29)-(1/'Input HVAC Measures'!$K31))+'Input HVAC Measures'!$H31*12000/1000*References!$N$5*((1/'HVAC Calcs'!$F29)-(1/'Input HVAC Measures'!$L31)),0))</f>
        <v>0</v>
      </c>
      <c r="I29" s="210" t="b">
        <f>IF('Input HVAC Measures'!$E31="High Eff. AC Unit",'Input HVAC Measures'!$H31*12000/1000*References!$L$4*((1/'HVAC Calcs'!$B29)-(1/'Input HVAC Measures'!$J31)),IF('Input HVAC Measures'!$E31="High Eff. Heat Pump Unit",'Input HVAC Measures'!$H31*12000/1000*References!$L$5*((1/'HVAC Calcs'!$C29)-(1/'Input HVAC Measures'!$J31))))</f>
        <v>0</v>
      </c>
    </row>
    <row r="30" spans="1:9" ht="15" x14ac:dyDescent="0.25">
      <c r="A30">
        <v>28</v>
      </c>
      <c r="B30" s="158" t="b">
        <f>IF('Input HVAC Measures'!$E32="High Eff. AC Unit",IF('Input HVAC Measures'!$G32&lt;References!$T$116,References!$L$116,IF(AND('Input HVAC Measures'!$G32&lt;References!$T$117,'Input HVAC Measures'!$G32&gt;References!$S$117),References!$L$117,IF(AND('Input HVAC Measures'!$G32&lt;References!$T$118,'Input HVAC Measures'!$G32&gt;References!$S$118),References!$L$118,IF(AND('Input HVAC Measures'!$G32&lt;References!$T$119,'Input HVAC Measures'!$G32&gt;References!$S$119),References!$L$119,IF('Input HVAC Measures'!$G32&gt;References!$S$120,References!$L$120,""))))))</f>
        <v>0</v>
      </c>
      <c r="C30" s="158" t="b">
        <f>IF('Input HVAC Measures'!$E32="High Eff. Heat Pump Unit",IF('Input HVAC Measures'!$G32&lt;References!$T$121,References!$L$121,IF(AND('Input HVAC Measures'!$G32&lt;References!$T$122,'Input HVAC Measures'!$G32&gt;References!$S$122),References!$L$122,IF(AND('Input HVAC Measures'!$G32&lt;References!$T$123,'Input HVAC Measures'!$G32&gt;References!$S$123),References!$L$123,IF('Input HVAC Measures'!$G32&gt;References!$S$124,References!$L$124,"")))))</f>
        <v>0</v>
      </c>
      <c r="D30" s="158" t="b">
        <f>IF('Input HVAC Measures'!$E32="High Eff. AC Unit",IF('Input HVAC Measures'!$G32&lt;References!$T$116,References!$M$116,IF(AND('Input HVAC Measures'!$G32&lt;References!$T$117,'Input HVAC Measures'!$G32&gt;References!$S$117),References!$M$117,IF(AND('Input HVAC Measures'!$G32&lt;References!$T$118,'Input HVAC Measures'!$G32&gt;References!$S$118),References!$M$118,IF(AND('Input HVAC Measures'!$G32&lt;References!$T$119,'Input HVAC Measures'!$G32&gt;References!$S$119),References!$M$119,IF('Input HVAC Measures'!$G32&gt;References!$S$120,References!$M$120,""))))))</f>
        <v>0</v>
      </c>
      <c r="E30" s="158" t="b">
        <f>IF('Input HVAC Measures'!$E32="High Eff. Heat Pump Unit",IF('Input HVAC Measures'!$G32&lt;References!$T$121,References!$M$121,IF(AND('Input HVAC Measures'!$G32&lt;References!$T$122,'Input HVAC Measures'!$G32&gt;References!$S$122),References!$M$122,IF(AND('Input HVAC Measures'!$G32&lt;References!$T$123,'Input HVAC Measures'!$G32&gt;References!$S$123),References!$M$123,IF('Input HVAC Measures'!$G32&gt;References!$S$124,References!$M$124,"")))))</f>
        <v>0</v>
      </c>
      <c r="F30" s="158" t="b">
        <f>IF('Input HVAC Measures'!$E32="High Eff. Heat Pump Unit",IF('Input HVAC Measures'!$G32&lt;References!$T$121,References!$N$121,IF(AND('Input HVAC Measures'!$G32&lt;References!$T$122,'Input HVAC Measures'!$G32&gt;References!$S$122),References!$N$122,IF(AND('Input HVAC Measures'!$G32&lt;References!$T$123,'Input HVAC Measures'!$G32&gt;References!$S$123),References!$N$123,IF('Input HVAC Measures'!$G32&gt;References!$S$124,References!$N$124,"")))))</f>
        <v>0</v>
      </c>
      <c r="H30" s="209">
        <f>IF('Input HVAC Measures'!$E32="High Eff. AC Unit",'Input HVAC Measures'!$H32*12000/1000*References!$K$4*((1/'HVAC Calcs'!$D30)-(1/'Input HVAC Measures'!$K32)),IF('Input HVAC Measures'!$E32="High Eff. Heat Pump Unit",'Input HVAC Measures'!$H32*12000/1000*References!$K$5*((1/'HVAC Calcs'!$E30)-(1/'Input HVAC Measures'!$K32))+'Input HVAC Measures'!$H32*12000/1000*References!$N$5*((1/'HVAC Calcs'!$F30)-(1/'Input HVAC Measures'!$L32)),0))</f>
        <v>0</v>
      </c>
      <c r="I30" s="210" t="b">
        <f>IF('Input HVAC Measures'!$E32="High Eff. AC Unit",'Input HVAC Measures'!$H32*12000/1000*References!$L$4*((1/'HVAC Calcs'!$B30)-(1/'Input HVAC Measures'!$J32)),IF('Input HVAC Measures'!$E32="High Eff. Heat Pump Unit",'Input HVAC Measures'!$H32*12000/1000*References!$L$5*((1/'HVAC Calcs'!$C30)-(1/'Input HVAC Measures'!$J32))))</f>
        <v>0</v>
      </c>
    </row>
    <row r="31" spans="1:9" ht="15" x14ac:dyDescent="0.25">
      <c r="A31">
        <v>29</v>
      </c>
      <c r="B31" s="158" t="b">
        <f>IF('Input HVAC Measures'!$E33="High Eff. AC Unit",IF('Input HVAC Measures'!$G33&lt;References!$T$116,References!$L$116,IF(AND('Input HVAC Measures'!$G33&lt;References!$T$117,'Input HVAC Measures'!$G33&gt;References!$S$117),References!$L$117,IF(AND('Input HVAC Measures'!$G33&lt;References!$T$118,'Input HVAC Measures'!$G33&gt;References!$S$118),References!$L$118,IF(AND('Input HVAC Measures'!$G33&lt;References!$T$119,'Input HVAC Measures'!$G33&gt;References!$S$119),References!$L$119,IF('Input HVAC Measures'!$G33&gt;References!$S$120,References!$L$120,""))))))</f>
        <v>0</v>
      </c>
      <c r="C31" s="158" t="b">
        <f>IF('Input HVAC Measures'!$E33="High Eff. Heat Pump Unit",IF('Input HVAC Measures'!$G33&lt;References!$T$121,References!$L$121,IF(AND('Input HVAC Measures'!$G33&lt;References!$T$122,'Input HVAC Measures'!$G33&gt;References!$S$122),References!$L$122,IF(AND('Input HVAC Measures'!$G33&lt;References!$T$123,'Input HVAC Measures'!$G33&gt;References!$S$123),References!$L$123,IF('Input HVAC Measures'!$G33&gt;References!$S$124,References!$L$124,"")))))</f>
        <v>0</v>
      </c>
      <c r="D31" s="158" t="b">
        <f>IF('Input HVAC Measures'!$E33="High Eff. AC Unit",IF('Input HVAC Measures'!$G33&lt;References!$T$116,References!$M$116,IF(AND('Input HVAC Measures'!$G33&lt;References!$T$117,'Input HVAC Measures'!$G33&gt;References!$S$117),References!$M$117,IF(AND('Input HVAC Measures'!$G33&lt;References!$T$118,'Input HVAC Measures'!$G33&gt;References!$S$118),References!$M$118,IF(AND('Input HVAC Measures'!$G33&lt;References!$T$119,'Input HVAC Measures'!$G33&gt;References!$S$119),References!$M$119,IF('Input HVAC Measures'!$G33&gt;References!$S$120,References!$M$120,""))))))</f>
        <v>0</v>
      </c>
      <c r="E31" s="158" t="b">
        <f>IF('Input HVAC Measures'!$E33="High Eff. Heat Pump Unit",IF('Input HVAC Measures'!$G33&lt;References!$T$121,References!$M$121,IF(AND('Input HVAC Measures'!$G33&lt;References!$T$122,'Input HVAC Measures'!$G33&gt;References!$S$122),References!$M$122,IF(AND('Input HVAC Measures'!$G33&lt;References!$T$123,'Input HVAC Measures'!$G33&gt;References!$S$123),References!$M$123,IF('Input HVAC Measures'!$G33&gt;References!$S$124,References!$M$124,"")))))</f>
        <v>0</v>
      </c>
      <c r="F31" s="158" t="b">
        <f>IF('Input HVAC Measures'!$E33="High Eff. Heat Pump Unit",IF('Input HVAC Measures'!$G33&lt;References!$T$121,References!$N$121,IF(AND('Input HVAC Measures'!$G33&lt;References!$T$122,'Input HVAC Measures'!$G33&gt;References!$S$122),References!$N$122,IF(AND('Input HVAC Measures'!$G33&lt;References!$T$123,'Input HVAC Measures'!$G33&gt;References!$S$123),References!$N$123,IF('Input HVAC Measures'!$G33&gt;References!$S$124,References!$N$124,"")))))</f>
        <v>0</v>
      </c>
      <c r="H31" s="209">
        <f>IF('Input HVAC Measures'!$E33="High Eff. AC Unit",'Input HVAC Measures'!$H33*12000/1000*References!$K$4*((1/'HVAC Calcs'!$D31)-(1/'Input HVAC Measures'!$K33)),IF('Input HVAC Measures'!$E33="High Eff. Heat Pump Unit",'Input HVAC Measures'!$H33*12000/1000*References!$K$5*((1/'HVAC Calcs'!$E31)-(1/'Input HVAC Measures'!$K33))+'Input HVAC Measures'!$H33*12000/1000*References!$N$5*((1/'HVAC Calcs'!$F31)-(1/'Input HVAC Measures'!$L33)),0))</f>
        <v>0</v>
      </c>
      <c r="I31" s="210" t="b">
        <f>IF('Input HVAC Measures'!$E33="High Eff. AC Unit",'Input HVAC Measures'!$H33*12000/1000*References!$L$4*((1/'HVAC Calcs'!$B31)-(1/'Input HVAC Measures'!$J33)),IF('Input HVAC Measures'!$E33="High Eff. Heat Pump Unit",'Input HVAC Measures'!$H33*12000/1000*References!$L$5*((1/'HVAC Calcs'!$C31)-(1/'Input HVAC Measures'!$J33))))</f>
        <v>0</v>
      </c>
    </row>
    <row r="32" spans="1:9" ht="15" x14ac:dyDescent="0.25">
      <c r="A32">
        <v>30</v>
      </c>
      <c r="B32" s="158" t="b">
        <f>IF('Input HVAC Measures'!$E34="High Eff. AC Unit",IF('Input HVAC Measures'!$G34&lt;References!$T$116,References!$L$116,IF(AND('Input HVAC Measures'!$G34&lt;References!$T$117,'Input HVAC Measures'!$G34&gt;References!$S$117),References!$L$117,IF(AND('Input HVAC Measures'!$G34&lt;References!$T$118,'Input HVAC Measures'!$G34&gt;References!$S$118),References!$L$118,IF(AND('Input HVAC Measures'!$G34&lt;References!$T$119,'Input HVAC Measures'!$G34&gt;References!$S$119),References!$L$119,IF('Input HVAC Measures'!$G34&gt;References!$S$120,References!$L$120,""))))))</f>
        <v>0</v>
      </c>
      <c r="C32" s="158" t="b">
        <f>IF('Input HVAC Measures'!$E34="High Eff. Heat Pump Unit",IF('Input HVAC Measures'!$G34&lt;References!$T$121,References!$L$121,IF(AND('Input HVAC Measures'!$G34&lt;References!$T$122,'Input HVAC Measures'!$G34&gt;References!$S$122),References!$L$122,IF(AND('Input HVAC Measures'!$G34&lt;References!$T$123,'Input HVAC Measures'!$G34&gt;References!$S$123),References!$L$123,IF('Input HVAC Measures'!$G34&gt;References!$S$124,References!$L$124,"")))))</f>
        <v>0</v>
      </c>
      <c r="D32" s="158" t="b">
        <f>IF('Input HVAC Measures'!$E34="High Eff. AC Unit",IF('Input HVAC Measures'!$G34&lt;References!$T$116,References!$M$116,IF(AND('Input HVAC Measures'!$G34&lt;References!$T$117,'Input HVAC Measures'!$G34&gt;References!$S$117),References!$M$117,IF(AND('Input HVAC Measures'!$G34&lt;References!$T$118,'Input HVAC Measures'!$G34&gt;References!$S$118),References!$M$118,IF(AND('Input HVAC Measures'!$G34&lt;References!$T$119,'Input HVAC Measures'!$G34&gt;References!$S$119),References!$M$119,IF('Input HVAC Measures'!$G34&gt;References!$S$120,References!$M$120,""))))))</f>
        <v>0</v>
      </c>
      <c r="E32" s="158" t="b">
        <f>IF('Input HVAC Measures'!$E34="High Eff. Heat Pump Unit",IF('Input HVAC Measures'!$G34&lt;References!$T$121,References!$M$121,IF(AND('Input HVAC Measures'!$G34&lt;References!$T$122,'Input HVAC Measures'!$G34&gt;References!$S$122),References!$M$122,IF(AND('Input HVAC Measures'!$G34&lt;References!$T$123,'Input HVAC Measures'!$G34&gt;References!$S$123),References!$M$123,IF('Input HVAC Measures'!$G34&gt;References!$S$124,References!$M$124,"")))))</f>
        <v>0</v>
      </c>
      <c r="F32" s="158" t="b">
        <f>IF('Input HVAC Measures'!$E34="High Eff. Heat Pump Unit",IF('Input HVAC Measures'!$G34&lt;References!$T$121,References!$N$121,IF(AND('Input HVAC Measures'!$G34&lt;References!$T$122,'Input HVAC Measures'!$G34&gt;References!$S$122),References!$N$122,IF(AND('Input HVAC Measures'!$G34&lt;References!$T$123,'Input HVAC Measures'!$G34&gt;References!$S$123),References!$N$123,IF('Input HVAC Measures'!$G34&gt;References!$S$124,References!$N$124,"")))))</f>
        <v>0</v>
      </c>
      <c r="H32" s="209">
        <f>IF('Input HVAC Measures'!$E34="High Eff. AC Unit",'Input HVAC Measures'!$H34*12000/1000*References!$K$4*((1/'HVAC Calcs'!$D32)-(1/'Input HVAC Measures'!$K34)),IF('Input HVAC Measures'!$E34="High Eff. Heat Pump Unit",'Input HVAC Measures'!$H34*12000/1000*References!$K$5*((1/'HVAC Calcs'!$E32)-(1/'Input HVAC Measures'!$K34))+'Input HVAC Measures'!$H34*12000/1000*References!$N$5*((1/'HVAC Calcs'!$F32)-(1/'Input HVAC Measures'!$L34)),0))</f>
        <v>0</v>
      </c>
      <c r="I32" s="210" t="b">
        <f>IF('Input HVAC Measures'!$E34="High Eff. AC Unit",'Input HVAC Measures'!$H34*12000/1000*References!$L$4*((1/'HVAC Calcs'!$B32)-(1/'Input HVAC Measures'!$J34)),IF('Input HVAC Measures'!$E34="High Eff. Heat Pump Unit",'Input HVAC Measures'!$H34*12000/1000*References!$L$5*((1/'HVAC Calcs'!$C32)-(1/'Input HVAC Measures'!$J34))))</f>
        <v>0</v>
      </c>
    </row>
    <row r="33" spans="1:9" ht="15" x14ac:dyDescent="0.25">
      <c r="A33">
        <v>31</v>
      </c>
      <c r="B33" s="158" t="b">
        <f>IF('Input HVAC Measures'!$E35="High Eff. AC Unit",IF('Input HVAC Measures'!$G35&lt;References!$T$116,References!$L$116,IF(AND('Input HVAC Measures'!$G35&lt;References!$T$117,'Input HVAC Measures'!$G35&gt;References!$S$117),References!$L$117,IF(AND('Input HVAC Measures'!$G35&lt;References!$T$118,'Input HVAC Measures'!$G35&gt;References!$S$118),References!$L$118,IF(AND('Input HVAC Measures'!$G35&lt;References!$T$119,'Input HVAC Measures'!$G35&gt;References!$S$119),References!$L$119,IF('Input HVAC Measures'!$G35&gt;References!$S$120,References!$L$120,""))))))</f>
        <v>0</v>
      </c>
      <c r="C33" s="158" t="b">
        <f>IF('Input HVAC Measures'!$E35="High Eff. Heat Pump Unit",IF('Input HVAC Measures'!$G35&lt;References!$T$121,References!$L$121,IF(AND('Input HVAC Measures'!$G35&lt;References!$T$122,'Input HVAC Measures'!$G35&gt;References!$S$122),References!$L$122,IF(AND('Input HVAC Measures'!$G35&lt;References!$T$123,'Input HVAC Measures'!$G35&gt;References!$S$123),References!$L$123,IF('Input HVAC Measures'!$G35&gt;References!$S$124,References!$L$124,"")))))</f>
        <v>0</v>
      </c>
      <c r="D33" s="158" t="b">
        <f>IF('Input HVAC Measures'!$E35="High Eff. AC Unit",IF('Input HVAC Measures'!$G35&lt;References!$T$116,References!$M$116,IF(AND('Input HVAC Measures'!$G35&lt;References!$T$117,'Input HVAC Measures'!$G35&gt;References!$S$117),References!$M$117,IF(AND('Input HVAC Measures'!$G35&lt;References!$T$118,'Input HVAC Measures'!$G35&gt;References!$S$118),References!$M$118,IF(AND('Input HVAC Measures'!$G35&lt;References!$T$119,'Input HVAC Measures'!$G35&gt;References!$S$119),References!$M$119,IF('Input HVAC Measures'!$G35&gt;References!$S$120,References!$M$120,""))))))</f>
        <v>0</v>
      </c>
      <c r="E33" s="158" t="b">
        <f>IF('Input HVAC Measures'!$E35="High Eff. Heat Pump Unit",IF('Input HVAC Measures'!$G35&lt;References!$T$121,References!$M$121,IF(AND('Input HVAC Measures'!$G35&lt;References!$T$122,'Input HVAC Measures'!$G35&gt;References!$S$122),References!$M$122,IF(AND('Input HVAC Measures'!$G35&lt;References!$T$123,'Input HVAC Measures'!$G35&gt;References!$S$123),References!$M$123,IF('Input HVAC Measures'!$G35&gt;References!$S$124,References!$M$124,"")))))</f>
        <v>0</v>
      </c>
      <c r="F33" s="158" t="b">
        <f>IF('Input HVAC Measures'!$E35="High Eff. Heat Pump Unit",IF('Input HVAC Measures'!$G35&lt;References!$T$121,References!$N$121,IF(AND('Input HVAC Measures'!$G35&lt;References!$T$122,'Input HVAC Measures'!$G35&gt;References!$S$122),References!$N$122,IF(AND('Input HVAC Measures'!$G35&lt;References!$T$123,'Input HVAC Measures'!$G35&gt;References!$S$123),References!$N$123,IF('Input HVAC Measures'!$G35&gt;References!$S$124,References!$N$124,"")))))</f>
        <v>0</v>
      </c>
      <c r="H33" s="209">
        <f>IF('Input HVAC Measures'!$E35="High Eff. AC Unit",'Input HVAC Measures'!$H35*12000/1000*References!$K$4*((1/'HVAC Calcs'!$D33)-(1/'Input HVAC Measures'!$K35)),IF('Input HVAC Measures'!$E35="High Eff. Heat Pump Unit",'Input HVAC Measures'!$H35*12000/1000*References!$K$5*((1/'HVAC Calcs'!$E33)-(1/'Input HVAC Measures'!$K35))+'Input HVAC Measures'!$H35*12000/1000*References!$N$5*((1/'HVAC Calcs'!$F33)-(1/'Input HVAC Measures'!$L35)),0))</f>
        <v>0</v>
      </c>
      <c r="I33" s="210" t="b">
        <f>IF('Input HVAC Measures'!$E35="High Eff. AC Unit",'Input HVAC Measures'!$H35*12000/1000*References!$L$4*((1/'HVAC Calcs'!$B33)-(1/'Input HVAC Measures'!$J35)),IF('Input HVAC Measures'!$E35="High Eff. Heat Pump Unit",'Input HVAC Measures'!$H35*12000/1000*References!$L$5*((1/'HVAC Calcs'!$C33)-(1/'Input HVAC Measures'!$J35))))</f>
        <v>0</v>
      </c>
    </row>
    <row r="34" spans="1:9" ht="15" x14ac:dyDescent="0.25">
      <c r="A34">
        <v>32</v>
      </c>
      <c r="B34" s="158" t="b">
        <f>IF('Input HVAC Measures'!$E36="High Eff. AC Unit",IF('Input HVAC Measures'!$G36&lt;References!$T$116,References!$L$116,IF(AND('Input HVAC Measures'!$G36&lt;References!$T$117,'Input HVAC Measures'!$G36&gt;References!$S$117),References!$L$117,IF(AND('Input HVAC Measures'!$G36&lt;References!$T$118,'Input HVAC Measures'!$G36&gt;References!$S$118),References!$L$118,IF(AND('Input HVAC Measures'!$G36&lt;References!$T$119,'Input HVAC Measures'!$G36&gt;References!$S$119),References!$L$119,IF('Input HVAC Measures'!$G36&gt;References!$S$120,References!$L$120,""))))))</f>
        <v>0</v>
      </c>
      <c r="C34" s="158" t="b">
        <f>IF('Input HVAC Measures'!$E36="High Eff. Heat Pump Unit",IF('Input HVAC Measures'!$G36&lt;References!$T$121,References!$L$121,IF(AND('Input HVAC Measures'!$G36&lt;References!$T$122,'Input HVAC Measures'!$G36&gt;References!$S$122),References!$L$122,IF(AND('Input HVAC Measures'!$G36&lt;References!$T$123,'Input HVAC Measures'!$G36&gt;References!$S$123),References!$L$123,IF('Input HVAC Measures'!$G36&gt;References!$S$124,References!$L$124,"")))))</f>
        <v>0</v>
      </c>
      <c r="D34" s="158" t="b">
        <f>IF('Input HVAC Measures'!$E36="High Eff. AC Unit",IF('Input HVAC Measures'!$G36&lt;References!$T$116,References!$M$116,IF(AND('Input HVAC Measures'!$G36&lt;References!$T$117,'Input HVAC Measures'!$G36&gt;References!$S$117),References!$M$117,IF(AND('Input HVAC Measures'!$G36&lt;References!$T$118,'Input HVAC Measures'!$G36&gt;References!$S$118),References!$M$118,IF(AND('Input HVAC Measures'!$G36&lt;References!$T$119,'Input HVAC Measures'!$G36&gt;References!$S$119),References!$M$119,IF('Input HVAC Measures'!$G36&gt;References!$S$120,References!$M$120,""))))))</f>
        <v>0</v>
      </c>
      <c r="E34" s="158" t="b">
        <f>IF('Input HVAC Measures'!$E36="High Eff. Heat Pump Unit",IF('Input HVAC Measures'!$G36&lt;References!$T$121,References!$M$121,IF(AND('Input HVAC Measures'!$G36&lt;References!$T$122,'Input HVAC Measures'!$G36&gt;References!$S$122),References!$M$122,IF(AND('Input HVAC Measures'!$G36&lt;References!$T$123,'Input HVAC Measures'!$G36&gt;References!$S$123),References!$M$123,IF('Input HVAC Measures'!$G36&gt;References!$S$124,References!$M$124,"")))))</f>
        <v>0</v>
      </c>
      <c r="F34" s="158" t="b">
        <f>IF('Input HVAC Measures'!$E36="High Eff. Heat Pump Unit",IF('Input HVAC Measures'!$G36&lt;References!$T$121,References!$N$121,IF(AND('Input HVAC Measures'!$G36&lt;References!$T$122,'Input HVAC Measures'!$G36&gt;References!$S$122),References!$N$122,IF(AND('Input HVAC Measures'!$G36&lt;References!$T$123,'Input HVAC Measures'!$G36&gt;References!$S$123),References!$N$123,IF('Input HVAC Measures'!$G36&gt;References!$S$124,References!$N$124,"")))))</f>
        <v>0</v>
      </c>
      <c r="H34" s="209">
        <f>IF('Input HVAC Measures'!$E36="High Eff. AC Unit",'Input HVAC Measures'!$H36*12000/1000*References!$K$4*((1/'HVAC Calcs'!$D34)-(1/'Input HVAC Measures'!$K36)),IF('Input HVAC Measures'!$E36="High Eff. Heat Pump Unit",'Input HVAC Measures'!$H36*12000/1000*References!$K$5*((1/'HVAC Calcs'!$E34)-(1/'Input HVAC Measures'!$K36))+'Input HVAC Measures'!$H36*12000/1000*References!$N$5*((1/'HVAC Calcs'!$F34)-(1/'Input HVAC Measures'!$L36)),0))</f>
        <v>0</v>
      </c>
      <c r="I34" s="210" t="b">
        <f>IF('Input HVAC Measures'!$E36="High Eff. AC Unit",'Input HVAC Measures'!$H36*12000/1000*References!$L$4*((1/'HVAC Calcs'!$B34)-(1/'Input HVAC Measures'!$J36)),IF('Input HVAC Measures'!$E36="High Eff. Heat Pump Unit",'Input HVAC Measures'!$H36*12000/1000*References!$L$5*((1/'HVAC Calcs'!$C34)-(1/'Input HVAC Measures'!$J36))))</f>
        <v>0</v>
      </c>
    </row>
    <row r="35" spans="1:9" ht="15" x14ac:dyDescent="0.25">
      <c r="A35">
        <v>33</v>
      </c>
      <c r="B35" s="158" t="b">
        <f>IF('Input HVAC Measures'!$E37="High Eff. AC Unit",IF('Input HVAC Measures'!$G37&lt;References!$T$116,References!$L$116,IF(AND('Input HVAC Measures'!$G37&lt;References!$T$117,'Input HVAC Measures'!$G37&gt;References!$S$117),References!$L$117,IF(AND('Input HVAC Measures'!$G37&lt;References!$T$118,'Input HVAC Measures'!$G37&gt;References!$S$118),References!$L$118,IF(AND('Input HVAC Measures'!$G37&lt;References!$T$119,'Input HVAC Measures'!$G37&gt;References!$S$119),References!$L$119,IF('Input HVAC Measures'!$G37&gt;References!$S$120,References!$L$120,""))))))</f>
        <v>0</v>
      </c>
      <c r="C35" s="158" t="b">
        <f>IF('Input HVAC Measures'!$E37="High Eff. Heat Pump Unit",IF('Input HVAC Measures'!$G37&lt;References!$T$121,References!$L$121,IF(AND('Input HVAC Measures'!$G37&lt;References!$T$122,'Input HVAC Measures'!$G37&gt;References!$S$122),References!$L$122,IF(AND('Input HVAC Measures'!$G37&lt;References!$T$123,'Input HVAC Measures'!$G37&gt;References!$S$123),References!$L$123,IF('Input HVAC Measures'!$G37&gt;References!$S$124,References!$L$124,"")))))</f>
        <v>0</v>
      </c>
      <c r="D35" s="158" t="b">
        <f>IF('Input HVAC Measures'!$E37="High Eff. AC Unit",IF('Input HVAC Measures'!$G37&lt;References!$T$116,References!$M$116,IF(AND('Input HVAC Measures'!$G37&lt;References!$T$117,'Input HVAC Measures'!$G37&gt;References!$S$117),References!$M$117,IF(AND('Input HVAC Measures'!$G37&lt;References!$T$118,'Input HVAC Measures'!$G37&gt;References!$S$118),References!$M$118,IF(AND('Input HVAC Measures'!$G37&lt;References!$T$119,'Input HVAC Measures'!$G37&gt;References!$S$119),References!$M$119,IF('Input HVAC Measures'!$G37&gt;References!$S$120,References!$M$120,""))))))</f>
        <v>0</v>
      </c>
      <c r="E35" s="158" t="b">
        <f>IF('Input HVAC Measures'!$E37="High Eff. Heat Pump Unit",IF('Input HVAC Measures'!$G37&lt;References!$T$121,References!$M$121,IF(AND('Input HVAC Measures'!$G37&lt;References!$T$122,'Input HVAC Measures'!$G37&gt;References!$S$122),References!$M$122,IF(AND('Input HVAC Measures'!$G37&lt;References!$T$123,'Input HVAC Measures'!$G37&gt;References!$S$123),References!$M$123,IF('Input HVAC Measures'!$G37&gt;References!$S$124,References!$M$124,"")))))</f>
        <v>0</v>
      </c>
      <c r="F35" s="158" t="b">
        <f>IF('Input HVAC Measures'!$E37="High Eff. Heat Pump Unit",IF('Input HVAC Measures'!$G37&lt;References!$T$121,References!$N$121,IF(AND('Input HVAC Measures'!$G37&lt;References!$T$122,'Input HVAC Measures'!$G37&gt;References!$S$122),References!$N$122,IF(AND('Input HVAC Measures'!$G37&lt;References!$T$123,'Input HVAC Measures'!$G37&gt;References!$S$123),References!$N$123,IF('Input HVAC Measures'!$G37&gt;References!$S$124,References!$N$124,"")))))</f>
        <v>0</v>
      </c>
      <c r="H35" s="209">
        <f>IF('Input HVAC Measures'!$E37="High Eff. AC Unit",'Input HVAC Measures'!$H37*12000/1000*References!$K$4*((1/'HVAC Calcs'!$D35)-(1/'Input HVAC Measures'!$K37)),IF('Input HVAC Measures'!$E37="High Eff. Heat Pump Unit",'Input HVAC Measures'!$H37*12000/1000*References!$K$5*((1/'HVAC Calcs'!$E35)-(1/'Input HVAC Measures'!$K37))+'Input HVAC Measures'!$H37*12000/1000*References!$N$5*((1/'HVAC Calcs'!$F35)-(1/'Input HVAC Measures'!$L37)),0))</f>
        <v>0</v>
      </c>
      <c r="I35" s="210" t="b">
        <f>IF('Input HVAC Measures'!$E37="High Eff. AC Unit",'Input HVAC Measures'!$H37*12000/1000*References!$L$4*((1/'HVAC Calcs'!$B35)-(1/'Input HVAC Measures'!$J37)),IF('Input HVAC Measures'!$E37="High Eff. Heat Pump Unit",'Input HVAC Measures'!$H37*12000/1000*References!$L$5*((1/'HVAC Calcs'!$C35)-(1/'Input HVAC Measures'!$J37))))</f>
        <v>0</v>
      </c>
    </row>
    <row r="36" spans="1:9" ht="15" x14ac:dyDescent="0.25">
      <c r="A36">
        <v>34</v>
      </c>
      <c r="B36" s="158" t="b">
        <f>IF('Input HVAC Measures'!$E38="High Eff. AC Unit",IF('Input HVAC Measures'!$G38&lt;References!$T$116,References!$L$116,IF(AND('Input HVAC Measures'!$G38&lt;References!$T$117,'Input HVAC Measures'!$G38&gt;References!$S$117),References!$L$117,IF(AND('Input HVAC Measures'!$G38&lt;References!$T$118,'Input HVAC Measures'!$G38&gt;References!$S$118),References!$L$118,IF(AND('Input HVAC Measures'!$G38&lt;References!$T$119,'Input HVAC Measures'!$G38&gt;References!$S$119),References!$L$119,IF('Input HVAC Measures'!$G38&gt;References!$S$120,References!$L$120,""))))))</f>
        <v>0</v>
      </c>
      <c r="C36" s="158" t="b">
        <f>IF('Input HVAC Measures'!$E38="High Eff. Heat Pump Unit",IF('Input HVAC Measures'!$G38&lt;References!$T$121,References!$L$121,IF(AND('Input HVAC Measures'!$G38&lt;References!$T$122,'Input HVAC Measures'!$G38&gt;References!$S$122),References!$L$122,IF(AND('Input HVAC Measures'!$G38&lt;References!$T$123,'Input HVAC Measures'!$G38&gt;References!$S$123),References!$L$123,IF('Input HVAC Measures'!$G38&gt;References!$S$124,References!$L$124,"")))))</f>
        <v>0</v>
      </c>
      <c r="D36" s="158" t="b">
        <f>IF('Input HVAC Measures'!$E38="High Eff. AC Unit",IF('Input HVAC Measures'!$G38&lt;References!$T$116,References!$M$116,IF(AND('Input HVAC Measures'!$G38&lt;References!$T$117,'Input HVAC Measures'!$G38&gt;References!$S$117),References!$M$117,IF(AND('Input HVAC Measures'!$G38&lt;References!$T$118,'Input HVAC Measures'!$G38&gt;References!$S$118),References!$M$118,IF(AND('Input HVAC Measures'!$G38&lt;References!$T$119,'Input HVAC Measures'!$G38&gt;References!$S$119),References!$M$119,IF('Input HVAC Measures'!$G38&gt;References!$S$120,References!$M$120,""))))))</f>
        <v>0</v>
      </c>
      <c r="E36" s="158" t="b">
        <f>IF('Input HVAC Measures'!$E38="High Eff. Heat Pump Unit",IF('Input HVAC Measures'!$G38&lt;References!$T$121,References!$M$121,IF(AND('Input HVAC Measures'!$G38&lt;References!$T$122,'Input HVAC Measures'!$G38&gt;References!$S$122),References!$M$122,IF(AND('Input HVAC Measures'!$G38&lt;References!$T$123,'Input HVAC Measures'!$G38&gt;References!$S$123),References!$M$123,IF('Input HVAC Measures'!$G38&gt;References!$S$124,References!$M$124,"")))))</f>
        <v>0</v>
      </c>
      <c r="F36" s="158" t="b">
        <f>IF('Input HVAC Measures'!$E38="High Eff. Heat Pump Unit",IF('Input HVAC Measures'!$G38&lt;References!$T$121,References!$N$121,IF(AND('Input HVAC Measures'!$G38&lt;References!$T$122,'Input HVAC Measures'!$G38&gt;References!$S$122),References!$N$122,IF(AND('Input HVAC Measures'!$G38&lt;References!$T$123,'Input HVAC Measures'!$G38&gt;References!$S$123),References!$N$123,IF('Input HVAC Measures'!$G38&gt;References!$S$124,References!$N$124,"")))))</f>
        <v>0</v>
      </c>
      <c r="H36" s="209">
        <f>IF('Input HVAC Measures'!$E38="High Eff. AC Unit",'Input HVAC Measures'!$H38*12000/1000*References!$K$4*((1/'HVAC Calcs'!$D36)-(1/'Input HVAC Measures'!$K38)),IF('Input HVAC Measures'!$E38="High Eff. Heat Pump Unit",'Input HVAC Measures'!$H38*12000/1000*References!$K$5*((1/'HVAC Calcs'!$E36)-(1/'Input HVAC Measures'!$K38))+'Input HVAC Measures'!$H38*12000/1000*References!$N$5*((1/'HVAC Calcs'!$F36)-(1/'Input HVAC Measures'!$L38)),0))</f>
        <v>0</v>
      </c>
      <c r="I36" s="210" t="b">
        <f>IF('Input HVAC Measures'!$E38="High Eff. AC Unit",'Input HVAC Measures'!$H38*12000/1000*References!$L$4*((1/'HVAC Calcs'!$B36)-(1/'Input HVAC Measures'!$J38)),IF('Input HVAC Measures'!$E38="High Eff. Heat Pump Unit",'Input HVAC Measures'!$H38*12000/1000*References!$L$5*((1/'HVAC Calcs'!$C36)-(1/'Input HVAC Measures'!$J38))))</f>
        <v>0</v>
      </c>
    </row>
    <row r="37" spans="1:9" ht="15" x14ac:dyDescent="0.25">
      <c r="A37">
        <v>35</v>
      </c>
      <c r="B37" s="158" t="b">
        <f>IF('Input HVAC Measures'!$E39="High Eff. AC Unit",IF('Input HVAC Measures'!$G39&lt;References!$T$116,References!$L$116,IF(AND('Input HVAC Measures'!$G39&lt;References!$T$117,'Input HVAC Measures'!$G39&gt;References!$S$117),References!$L$117,IF(AND('Input HVAC Measures'!$G39&lt;References!$T$118,'Input HVAC Measures'!$G39&gt;References!$S$118),References!$L$118,IF(AND('Input HVAC Measures'!$G39&lt;References!$T$119,'Input HVAC Measures'!$G39&gt;References!$S$119),References!$L$119,IF('Input HVAC Measures'!$G39&gt;References!$S$120,References!$L$120,""))))))</f>
        <v>0</v>
      </c>
      <c r="C37" s="158" t="b">
        <f>IF('Input HVAC Measures'!$E39="High Eff. Heat Pump Unit",IF('Input HVAC Measures'!$G39&lt;References!$T$121,References!$L$121,IF(AND('Input HVAC Measures'!$G39&lt;References!$T$122,'Input HVAC Measures'!$G39&gt;References!$S$122),References!$L$122,IF(AND('Input HVAC Measures'!$G39&lt;References!$T$123,'Input HVAC Measures'!$G39&gt;References!$S$123),References!$L$123,IF('Input HVAC Measures'!$G39&gt;References!$S$124,References!$L$124,"")))))</f>
        <v>0</v>
      </c>
      <c r="D37" s="158" t="b">
        <f>IF('Input HVAC Measures'!$E39="High Eff. AC Unit",IF('Input HVAC Measures'!$G39&lt;References!$T$116,References!$M$116,IF(AND('Input HVAC Measures'!$G39&lt;References!$T$117,'Input HVAC Measures'!$G39&gt;References!$S$117),References!$M$117,IF(AND('Input HVAC Measures'!$G39&lt;References!$T$118,'Input HVAC Measures'!$G39&gt;References!$S$118),References!$M$118,IF(AND('Input HVAC Measures'!$G39&lt;References!$T$119,'Input HVAC Measures'!$G39&gt;References!$S$119),References!$M$119,IF('Input HVAC Measures'!$G39&gt;References!$S$120,References!$M$120,""))))))</f>
        <v>0</v>
      </c>
      <c r="E37" s="158" t="b">
        <f>IF('Input HVAC Measures'!$E39="High Eff. Heat Pump Unit",IF('Input HVAC Measures'!$G39&lt;References!$T$121,References!$M$121,IF(AND('Input HVAC Measures'!$G39&lt;References!$T$122,'Input HVAC Measures'!$G39&gt;References!$S$122),References!$M$122,IF(AND('Input HVAC Measures'!$G39&lt;References!$T$123,'Input HVAC Measures'!$G39&gt;References!$S$123),References!$M$123,IF('Input HVAC Measures'!$G39&gt;References!$S$124,References!$M$124,"")))))</f>
        <v>0</v>
      </c>
      <c r="F37" s="158" t="b">
        <f>IF('Input HVAC Measures'!$E39="High Eff. Heat Pump Unit",IF('Input HVAC Measures'!$G39&lt;References!$T$121,References!$N$121,IF(AND('Input HVAC Measures'!$G39&lt;References!$T$122,'Input HVAC Measures'!$G39&gt;References!$S$122),References!$N$122,IF(AND('Input HVAC Measures'!$G39&lt;References!$T$123,'Input HVAC Measures'!$G39&gt;References!$S$123),References!$N$123,IF('Input HVAC Measures'!$G39&gt;References!$S$124,References!$N$124,"")))))</f>
        <v>0</v>
      </c>
      <c r="H37" s="209">
        <f>IF('Input HVAC Measures'!$E39="High Eff. AC Unit",'Input HVAC Measures'!$H39*12000/1000*References!$K$4*((1/'HVAC Calcs'!$D37)-(1/'Input HVAC Measures'!$K39)),IF('Input HVAC Measures'!$E39="High Eff. Heat Pump Unit",'Input HVAC Measures'!$H39*12000/1000*References!$K$5*((1/'HVAC Calcs'!$E37)-(1/'Input HVAC Measures'!$K39))+'Input HVAC Measures'!$H39*12000/1000*References!$N$5*((1/'HVAC Calcs'!$F37)-(1/'Input HVAC Measures'!$L39)),0))</f>
        <v>0</v>
      </c>
      <c r="I37" s="210" t="b">
        <f>IF('Input HVAC Measures'!$E39="High Eff. AC Unit",'Input HVAC Measures'!$H39*12000/1000*References!$L$4*((1/'HVAC Calcs'!$B37)-(1/'Input HVAC Measures'!$J39)),IF('Input HVAC Measures'!$E39="High Eff. Heat Pump Unit",'Input HVAC Measures'!$H39*12000/1000*References!$L$5*((1/'HVAC Calcs'!$C37)-(1/'Input HVAC Measures'!$J39))))</f>
        <v>0</v>
      </c>
    </row>
    <row r="38" spans="1:9" ht="15" x14ac:dyDescent="0.25">
      <c r="A38">
        <v>36</v>
      </c>
      <c r="B38" s="158" t="b">
        <f>IF('Input HVAC Measures'!$E40="High Eff. AC Unit",IF('Input HVAC Measures'!$G40&lt;References!$T$116,References!$L$116,IF(AND('Input HVAC Measures'!$G40&lt;References!$T$117,'Input HVAC Measures'!$G40&gt;References!$S$117),References!$L$117,IF(AND('Input HVAC Measures'!$G40&lt;References!$T$118,'Input HVAC Measures'!$G40&gt;References!$S$118),References!$L$118,IF(AND('Input HVAC Measures'!$G40&lt;References!$T$119,'Input HVAC Measures'!$G40&gt;References!$S$119),References!$L$119,IF('Input HVAC Measures'!$G40&gt;References!$S$120,References!$L$120,""))))))</f>
        <v>0</v>
      </c>
      <c r="C38" s="158" t="b">
        <f>IF('Input HVAC Measures'!$E40="High Eff. Heat Pump Unit",IF('Input HVAC Measures'!$G40&lt;References!$T$121,References!$L$121,IF(AND('Input HVAC Measures'!$G40&lt;References!$T$122,'Input HVAC Measures'!$G40&gt;References!$S$122),References!$L$122,IF(AND('Input HVAC Measures'!$G40&lt;References!$T$123,'Input HVAC Measures'!$G40&gt;References!$S$123),References!$L$123,IF('Input HVAC Measures'!$G40&gt;References!$S$124,References!$L$124,"")))))</f>
        <v>0</v>
      </c>
      <c r="D38" s="158" t="b">
        <f>IF('Input HVAC Measures'!$E40="High Eff. AC Unit",IF('Input HVAC Measures'!$G40&lt;References!$T$116,References!$M$116,IF(AND('Input HVAC Measures'!$G40&lt;References!$T$117,'Input HVAC Measures'!$G40&gt;References!$S$117),References!$M$117,IF(AND('Input HVAC Measures'!$G40&lt;References!$T$118,'Input HVAC Measures'!$G40&gt;References!$S$118),References!$M$118,IF(AND('Input HVAC Measures'!$G40&lt;References!$T$119,'Input HVAC Measures'!$G40&gt;References!$S$119),References!$M$119,IF('Input HVAC Measures'!$G40&gt;References!$S$120,References!$M$120,""))))))</f>
        <v>0</v>
      </c>
      <c r="E38" s="158" t="b">
        <f>IF('Input HVAC Measures'!$E40="High Eff. Heat Pump Unit",IF('Input HVAC Measures'!$G40&lt;References!$T$121,References!$M$121,IF(AND('Input HVAC Measures'!$G40&lt;References!$T$122,'Input HVAC Measures'!$G40&gt;References!$S$122),References!$M$122,IF(AND('Input HVAC Measures'!$G40&lt;References!$T$123,'Input HVAC Measures'!$G40&gt;References!$S$123),References!$M$123,IF('Input HVAC Measures'!$G40&gt;References!$S$124,References!$M$124,"")))))</f>
        <v>0</v>
      </c>
      <c r="F38" s="158" t="b">
        <f>IF('Input HVAC Measures'!$E40="High Eff. Heat Pump Unit",IF('Input HVAC Measures'!$G40&lt;References!$T$121,References!$N$121,IF(AND('Input HVAC Measures'!$G40&lt;References!$T$122,'Input HVAC Measures'!$G40&gt;References!$S$122),References!$N$122,IF(AND('Input HVAC Measures'!$G40&lt;References!$T$123,'Input HVAC Measures'!$G40&gt;References!$S$123),References!$N$123,IF('Input HVAC Measures'!$G40&gt;References!$S$124,References!$N$124,"")))))</f>
        <v>0</v>
      </c>
      <c r="H38" s="209">
        <f>IF('Input HVAC Measures'!$E40="High Eff. AC Unit",'Input HVAC Measures'!$H40*12000/1000*References!$K$4*((1/'HVAC Calcs'!$D38)-(1/'Input HVAC Measures'!$K40)),IF('Input HVAC Measures'!$E40="High Eff. Heat Pump Unit",'Input HVAC Measures'!$H40*12000/1000*References!$K$5*((1/'HVAC Calcs'!$E38)-(1/'Input HVAC Measures'!$K40))+'Input HVAC Measures'!$H40*12000/1000*References!$N$5*((1/'HVAC Calcs'!$F38)-(1/'Input HVAC Measures'!$L40)),0))</f>
        <v>0</v>
      </c>
      <c r="I38" s="210" t="b">
        <f>IF('Input HVAC Measures'!$E40="High Eff. AC Unit",'Input HVAC Measures'!$H40*12000/1000*References!$L$4*((1/'HVAC Calcs'!$B38)-(1/'Input HVAC Measures'!$J40)),IF('Input HVAC Measures'!$E40="High Eff. Heat Pump Unit",'Input HVAC Measures'!$H40*12000/1000*References!$L$5*((1/'HVAC Calcs'!$C38)-(1/'Input HVAC Measures'!$J40))))</f>
        <v>0</v>
      </c>
    </row>
    <row r="39" spans="1:9" ht="15" x14ac:dyDescent="0.25">
      <c r="A39">
        <v>37</v>
      </c>
      <c r="B39" s="158" t="b">
        <f>IF('Input HVAC Measures'!$E41="High Eff. AC Unit",IF('Input HVAC Measures'!$G41&lt;References!$T$116,References!$L$116,IF(AND('Input HVAC Measures'!$G41&lt;References!$T$117,'Input HVAC Measures'!$G41&gt;References!$S$117),References!$L$117,IF(AND('Input HVAC Measures'!$G41&lt;References!$T$118,'Input HVAC Measures'!$G41&gt;References!$S$118),References!$L$118,IF(AND('Input HVAC Measures'!$G41&lt;References!$T$119,'Input HVAC Measures'!$G41&gt;References!$S$119),References!$L$119,IF('Input HVAC Measures'!$G41&gt;References!$S$120,References!$L$120,""))))))</f>
        <v>0</v>
      </c>
      <c r="C39" s="158" t="b">
        <f>IF('Input HVAC Measures'!$E41="High Eff. Heat Pump Unit",IF('Input HVAC Measures'!$G41&lt;References!$T$121,References!$L$121,IF(AND('Input HVAC Measures'!$G41&lt;References!$T$122,'Input HVAC Measures'!$G41&gt;References!$S$122),References!$L$122,IF(AND('Input HVAC Measures'!$G41&lt;References!$T$123,'Input HVAC Measures'!$G41&gt;References!$S$123),References!$L$123,IF('Input HVAC Measures'!$G41&gt;References!$S$124,References!$L$124,"")))))</f>
        <v>0</v>
      </c>
      <c r="D39" s="158" t="b">
        <f>IF('Input HVAC Measures'!$E41="High Eff. AC Unit",IF('Input HVAC Measures'!$G41&lt;References!$T$116,References!$M$116,IF(AND('Input HVAC Measures'!$G41&lt;References!$T$117,'Input HVAC Measures'!$G41&gt;References!$S$117),References!$M$117,IF(AND('Input HVAC Measures'!$G41&lt;References!$T$118,'Input HVAC Measures'!$G41&gt;References!$S$118),References!$M$118,IF(AND('Input HVAC Measures'!$G41&lt;References!$T$119,'Input HVAC Measures'!$G41&gt;References!$S$119),References!$M$119,IF('Input HVAC Measures'!$G41&gt;References!$S$120,References!$M$120,""))))))</f>
        <v>0</v>
      </c>
      <c r="E39" s="158" t="b">
        <f>IF('Input HVAC Measures'!$E41="High Eff. Heat Pump Unit",IF('Input HVAC Measures'!$G41&lt;References!$T$121,References!$M$121,IF(AND('Input HVAC Measures'!$G41&lt;References!$T$122,'Input HVAC Measures'!$G41&gt;References!$S$122),References!$M$122,IF(AND('Input HVAC Measures'!$G41&lt;References!$T$123,'Input HVAC Measures'!$G41&gt;References!$S$123),References!$M$123,IF('Input HVAC Measures'!$G41&gt;References!$S$124,References!$M$124,"")))))</f>
        <v>0</v>
      </c>
      <c r="F39" s="158" t="b">
        <f>IF('Input HVAC Measures'!$E41="High Eff. Heat Pump Unit",IF('Input HVAC Measures'!$G41&lt;References!$T$121,References!$N$121,IF(AND('Input HVAC Measures'!$G41&lt;References!$T$122,'Input HVAC Measures'!$G41&gt;References!$S$122),References!$N$122,IF(AND('Input HVAC Measures'!$G41&lt;References!$T$123,'Input HVAC Measures'!$G41&gt;References!$S$123),References!$N$123,IF('Input HVAC Measures'!$G41&gt;References!$S$124,References!$N$124,"")))))</f>
        <v>0</v>
      </c>
      <c r="H39" s="209">
        <f>IF('Input HVAC Measures'!$E41="High Eff. AC Unit",'Input HVAC Measures'!$H41*12000/1000*References!$K$4*((1/'HVAC Calcs'!$D39)-(1/'Input HVAC Measures'!$K41)),IF('Input HVAC Measures'!$E41="High Eff. Heat Pump Unit",'Input HVAC Measures'!$H41*12000/1000*References!$K$5*((1/'HVAC Calcs'!$E39)-(1/'Input HVAC Measures'!$K41))+'Input HVAC Measures'!$H41*12000/1000*References!$N$5*((1/'HVAC Calcs'!$F39)-(1/'Input HVAC Measures'!$L41)),0))</f>
        <v>0</v>
      </c>
      <c r="I39" s="210" t="b">
        <f>IF('Input HVAC Measures'!$E41="High Eff. AC Unit",'Input HVAC Measures'!$H41*12000/1000*References!$L$4*((1/'HVAC Calcs'!$B39)-(1/'Input HVAC Measures'!$J41)),IF('Input HVAC Measures'!$E41="High Eff. Heat Pump Unit",'Input HVAC Measures'!$H41*12000/1000*References!$L$5*((1/'HVAC Calcs'!$C39)-(1/'Input HVAC Measures'!$J41))))</f>
        <v>0</v>
      </c>
    </row>
    <row r="40" spans="1:9" ht="15" x14ac:dyDescent="0.25">
      <c r="A40">
        <v>38</v>
      </c>
      <c r="B40" s="158" t="b">
        <f>IF('Input HVAC Measures'!$E42="High Eff. AC Unit",IF('Input HVAC Measures'!$G42&lt;References!$T$116,References!$L$116,IF(AND('Input HVAC Measures'!$G42&lt;References!$T$117,'Input HVAC Measures'!$G42&gt;References!$S$117),References!$L$117,IF(AND('Input HVAC Measures'!$G42&lt;References!$T$118,'Input HVAC Measures'!$G42&gt;References!$S$118),References!$L$118,IF(AND('Input HVAC Measures'!$G42&lt;References!$T$119,'Input HVAC Measures'!$G42&gt;References!$S$119),References!$L$119,IF('Input HVAC Measures'!$G42&gt;References!$S$120,References!$L$120,""))))))</f>
        <v>0</v>
      </c>
      <c r="C40" s="158" t="b">
        <f>IF('Input HVAC Measures'!$E42="High Eff. Heat Pump Unit",IF('Input HVAC Measures'!$G42&lt;References!$T$121,References!$L$121,IF(AND('Input HVAC Measures'!$G42&lt;References!$T$122,'Input HVAC Measures'!$G42&gt;References!$S$122),References!$L$122,IF(AND('Input HVAC Measures'!$G42&lt;References!$T$123,'Input HVAC Measures'!$G42&gt;References!$S$123),References!$L$123,IF('Input HVAC Measures'!$G42&gt;References!$S$124,References!$L$124,"")))))</f>
        <v>0</v>
      </c>
      <c r="D40" s="158" t="b">
        <f>IF('Input HVAC Measures'!$E42="High Eff. AC Unit",IF('Input HVAC Measures'!$G42&lt;References!$T$116,References!$M$116,IF(AND('Input HVAC Measures'!$G42&lt;References!$T$117,'Input HVAC Measures'!$G42&gt;References!$S$117),References!$M$117,IF(AND('Input HVAC Measures'!$G42&lt;References!$T$118,'Input HVAC Measures'!$G42&gt;References!$S$118),References!$M$118,IF(AND('Input HVAC Measures'!$G42&lt;References!$T$119,'Input HVAC Measures'!$G42&gt;References!$S$119),References!$M$119,IF('Input HVAC Measures'!$G42&gt;References!$S$120,References!$M$120,""))))))</f>
        <v>0</v>
      </c>
      <c r="E40" s="158" t="b">
        <f>IF('Input HVAC Measures'!$E42="High Eff. Heat Pump Unit",IF('Input HVAC Measures'!$G42&lt;References!$T$121,References!$M$121,IF(AND('Input HVAC Measures'!$G42&lt;References!$T$122,'Input HVAC Measures'!$G42&gt;References!$S$122),References!$M$122,IF(AND('Input HVAC Measures'!$G42&lt;References!$T$123,'Input HVAC Measures'!$G42&gt;References!$S$123),References!$M$123,IF('Input HVAC Measures'!$G42&gt;References!$S$124,References!$M$124,"")))))</f>
        <v>0</v>
      </c>
      <c r="F40" s="158" t="b">
        <f>IF('Input HVAC Measures'!$E42="High Eff. Heat Pump Unit",IF('Input HVAC Measures'!$G42&lt;References!$T$121,References!$N$121,IF(AND('Input HVAC Measures'!$G42&lt;References!$T$122,'Input HVAC Measures'!$G42&gt;References!$S$122),References!$N$122,IF(AND('Input HVAC Measures'!$G42&lt;References!$T$123,'Input HVAC Measures'!$G42&gt;References!$S$123),References!$N$123,IF('Input HVAC Measures'!$G42&gt;References!$S$124,References!$N$124,"")))))</f>
        <v>0</v>
      </c>
      <c r="H40" s="209">
        <f>IF('Input HVAC Measures'!$E42="High Eff. AC Unit",'Input HVAC Measures'!$H42*12000/1000*References!$K$4*((1/'HVAC Calcs'!$D40)-(1/'Input HVAC Measures'!$K42)),IF('Input HVAC Measures'!$E42="High Eff. Heat Pump Unit",'Input HVAC Measures'!$H42*12000/1000*References!$K$5*((1/'HVAC Calcs'!$E40)-(1/'Input HVAC Measures'!$K42))+'Input HVAC Measures'!$H42*12000/1000*References!$N$5*((1/'HVAC Calcs'!$F40)-(1/'Input HVAC Measures'!$L42)),0))</f>
        <v>0</v>
      </c>
      <c r="I40" s="210" t="b">
        <f>IF('Input HVAC Measures'!$E42="High Eff. AC Unit",'Input HVAC Measures'!$H42*12000/1000*References!$L$4*((1/'HVAC Calcs'!$B40)-(1/'Input HVAC Measures'!$J42)),IF('Input HVAC Measures'!$E42="High Eff. Heat Pump Unit",'Input HVAC Measures'!$H42*12000/1000*References!$L$5*((1/'HVAC Calcs'!$C40)-(1/'Input HVAC Measures'!$J42))))</f>
        <v>0</v>
      </c>
    </row>
    <row r="41" spans="1:9" ht="15" x14ac:dyDescent="0.25">
      <c r="A41">
        <v>39</v>
      </c>
      <c r="B41" s="158" t="b">
        <f>IF('Input HVAC Measures'!$E43="High Eff. AC Unit",IF('Input HVAC Measures'!$G43&lt;References!$T$116,References!$L$116,IF(AND('Input HVAC Measures'!$G43&lt;References!$T$117,'Input HVAC Measures'!$G43&gt;References!$S$117),References!$L$117,IF(AND('Input HVAC Measures'!$G43&lt;References!$T$118,'Input HVAC Measures'!$G43&gt;References!$S$118),References!$L$118,IF(AND('Input HVAC Measures'!$G43&lt;References!$T$119,'Input HVAC Measures'!$G43&gt;References!$S$119),References!$L$119,IF('Input HVAC Measures'!$G43&gt;References!$S$120,References!$L$120,""))))))</f>
        <v>0</v>
      </c>
      <c r="C41" s="158" t="b">
        <f>IF('Input HVAC Measures'!$E43="High Eff. Heat Pump Unit",IF('Input HVAC Measures'!$G43&lt;References!$T$121,References!$L$121,IF(AND('Input HVAC Measures'!$G43&lt;References!$T$122,'Input HVAC Measures'!$G43&gt;References!$S$122),References!$L$122,IF(AND('Input HVAC Measures'!$G43&lt;References!$T$123,'Input HVAC Measures'!$G43&gt;References!$S$123),References!$L$123,IF('Input HVAC Measures'!$G43&gt;References!$S$124,References!$L$124,"")))))</f>
        <v>0</v>
      </c>
      <c r="D41" s="158" t="b">
        <f>IF('Input HVAC Measures'!$E43="High Eff. AC Unit",IF('Input HVAC Measures'!$G43&lt;References!$T$116,References!$M$116,IF(AND('Input HVAC Measures'!$G43&lt;References!$T$117,'Input HVAC Measures'!$G43&gt;References!$S$117),References!$M$117,IF(AND('Input HVAC Measures'!$G43&lt;References!$T$118,'Input HVAC Measures'!$G43&gt;References!$S$118),References!$M$118,IF(AND('Input HVAC Measures'!$G43&lt;References!$T$119,'Input HVAC Measures'!$G43&gt;References!$S$119),References!$M$119,IF('Input HVAC Measures'!$G43&gt;References!$S$120,References!$M$120,""))))))</f>
        <v>0</v>
      </c>
      <c r="E41" s="158" t="b">
        <f>IF('Input HVAC Measures'!$E43="High Eff. Heat Pump Unit",IF('Input HVAC Measures'!$G43&lt;References!$T$121,References!$M$121,IF(AND('Input HVAC Measures'!$G43&lt;References!$T$122,'Input HVAC Measures'!$G43&gt;References!$S$122),References!$M$122,IF(AND('Input HVAC Measures'!$G43&lt;References!$T$123,'Input HVAC Measures'!$G43&gt;References!$S$123),References!$M$123,IF('Input HVAC Measures'!$G43&gt;References!$S$124,References!$M$124,"")))))</f>
        <v>0</v>
      </c>
      <c r="F41" s="158" t="b">
        <f>IF('Input HVAC Measures'!$E43="High Eff. Heat Pump Unit",IF('Input HVAC Measures'!$G43&lt;References!$T$121,References!$N$121,IF(AND('Input HVAC Measures'!$G43&lt;References!$T$122,'Input HVAC Measures'!$G43&gt;References!$S$122),References!$N$122,IF(AND('Input HVAC Measures'!$G43&lt;References!$T$123,'Input HVAC Measures'!$G43&gt;References!$S$123),References!$N$123,IF('Input HVAC Measures'!$G43&gt;References!$S$124,References!$N$124,"")))))</f>
        <v>0</v>
      </c>
      <c r="H41" s="209">
        <f>IF('Input HVAC Measures'!$E43="High Eff. AC Unit",'Input HVAC Measures'!$H43*12000/1000*References!$K$4*((1/'HVAC Calcs'!$D41)-(1/'Input HVAC Measures'!$K43)),IF('Input HVAC Measures'!$E43="High Eff. Heat Pump Unit",'Input HVAC Measures'!$H43*12000/1000*References!$K$5*((1/'HVAC Calcs'!$E41)-(1/'Input HVAC Measures'!$K43))+'Input HVAC Measures'!$H43*12000/1000*References!$N$5*((1/'HVAC Calcs'!$F41)-(1/'Input HVAC Measures'!$L43)),0))</f>
        <v>0</v>
      </c>
      <c r="I41" s="210" t="b">
        <f>IF('Input HVAC Measures'!$E43="High Eff. AC Unit",'Input HVAC Measures'!$H43*12000/1000*References!$L$4*((1/'HVAC Calcs'!$B41)-(1/'Input HVAC Measures'!$J43)),IF('Input HVAC Measures'!$E43="High Eff. Heat Pump Unit",'Input HVAC Measures'!$H43*12000/1000*References!$L$5*((1/'HVAC Calcs'!$C41)-(1/'Input HVAC Measures'!$J43))))</f>
        <v>0</v>
      </c>
    </row>
    <row r="42" spans="1:9" ht="15" x14ac:dyDescent="0.25">
      <c r="A42">
        <v>40</v>
      </c>
      <c r="B42" s="158" t="b">
        <f>IF('Input HVAC Measures'!$E44="High Eff. AC Unit",IF('Input HVAC Measures'!$G44&lt;References!$T$116,References!$L$116,IF(AND('Input HVAC Measures'!$G44&lt;References!$T$117,'Input HVAC Measures'!$G44&gt;References!$S$117),References!$L$117,IF(AND('Input HVAC Measures'!$G44&lt;References!$T$118,'Input HVAC Measures'!$G44&gt;References!$S$118),References!$L$118,IF(AND('Input HVAC Measures'!$G44&lt;References!$T$119,'Input HVAC Measures'!$G44&gt;References!$S$119),References!$L$119,IF('Input HVAC Measures'!$G44&gt;References!$S$120,References!$L$120,""))))))</f>
        <v>0</v>
      </c>
      <c r="C42" s="158" t="b">
        <f>IF('Input HVAC Measures'!$E44="High Eff. Heat Pump Unit",IF('Input HVAC Measures'!$G44&lt;References!$T$121,References!$L$121,IF(AND('Input HVAC Measures'!$G44&lt;References!$T$122,'Input HVAC Measures'!$G44&gt;References!$S$122),References!$L$122,IF(AND('Input HVAC Measures'!$G44&lt;References!$T$123,'Input HVAC Measures'!$G44&gt;References!$S$123),References!$L$123,IF('Input HVAC Measures'!$G44&gt;References!$S$124,References!$L$124,"")))))</f>
        <v>0</v>
      </c>
      <c r="D42" s="158" t="b">
        <f>IF('Input HVAC Measures'!$E44="High Eff. AC Unit",IF('Input HVAC Measures'!$G44&lt;References!$T$116,References!$M$116,IF(AND('Input HVAC Measures'!$G44&lt;References!$T$117,'Input HVAC Measures'!$G44&gt;References!$S$117),References!$M$117,IF(AND('Input HVAC Measures'!$G44&lt;References!$T$118,'Input HVAC Measures'!$G44&gt;References!$S$118),References!$M$118,IF(AND('Input HVAC Measures'!$G44&lt;References!$T$119,'Input HVAC Measures'!$G44&gt;References!$S$119),References!$M$119,IF('Input HVAC Measures'!$G44&gt;References!$S$120,References!$M$120,""))))))</f>
        <v>0</v>
      </c>
      <c r="E42" s="158" t="b">
        <f>IF('Input HVAC Measures'!$E44="High Eff. Heat Pump Unit",IF('Input HVAC Measures'!$G44&lt;References!$T$121,References!$M$121,IF(AND('Input HVAC Measures'!$G44&lt;References!$T$122,'Input HVAC Measures'!$G44&gt;References!$S$122),References!$M$122,IF(AND('Input HVAC Measures'!$G44&lt;References!$T$123,'Input HVAC Measures'!$G44&gt;References!$S$123),References!$M$123,IF('Input HVAC Measures'!$G44&gt;References!$S$124,References!$M$124,"")))))</f>
        <v>0</v>
      </c>
      <c r="F42" s="158" t="b">
        <f>IF('Input HVAC Measures'!$E44="High Eff. Heat Pump Unit",IF('Input HVAC Measures'!$G44&lt;References!$T$121,References!$N$121,IF(AND('Input HVAC Measures'!$G44&lt;References!$T$122,'Input HVAC Measures'!$G44&gt;References!$S$122),References!$N$122,IF(AND('Input HVAC Measures'!$G44&lt;References!$T$123,'Input HVAC Measures'!$G44&gt;References!$S$123),References!$N$123,IF('Input HVAC Measures'!$G44&gt;References!$S$124,References!$N$124,"")))))</f>
        <v>0</v>
      </c>
      <c r="H42" s="209">
        <f>IF('Input HVAC Measures'!$E44="High Eff. AC Unit",'Input HVAC Measures'!$H44*12000/1000*References!$K$4*((1/'HVAC Calcs'!$D42)-(1/'Input HVAC Measures'!$K44)),IF('Input HVAC Measures'!$E44="High Eff. Heat Pump Unit",'Input HVAC Measures'!$H44*12000/1000*References!$K$5*((1/'HVAC Calcs'!$E42)-(1/'Input HVAC Measures'!$K44))+'Input HVAC Measures'!$H44*12000/1000*References!$N$5*((1/'HVAC Calcs'!$F42)-(1/'Input HVAC Measures'!$L44)),0))</f>
        <v>0</v>
      </c>
      <c r="I42" s="210" t="b">
        <f>IF('Input HVAC Measures'!$E44="High Eff. AC Unit",'Input HVAC Measures'!$H44*12000/1000*References!$L$4*((1/'HVAC Calcs'!$B42)-(1/'Input HVAC Measures'!$J44)),IF('Input HVAC Measures'!$E44="High Eff. Heat Pump Unit",'Input HVAC Measures'!$H44*12000/1000*References!$L$5*((1/'HVAC Calcs'!$C42)-(1/'Input HVAC Measures'!$J44))))</f>
        <v>0</v>
      </c>
    </row>
    <row r="43" spans="1:9" ht="15" x14ac:dyDescent="0.25">
      <c r="A43">
        <v>41</v>
      </c>
      <c r="B43" s="158" t="b">
        <f>IF('Input HVAC Measures'!$E45="High Eff. AC Unit",IF('Input HVAC Measures'!$G45&lt;References!$T$116,References!$L$116,IF(AND('Input HVAC Measures'!$G45&lt;References!$T$117,'Input HVAC Measures'!$G45&gt;References!$S$117),References!$L$117,IF(AND('Input HVAC Measures'!$G45&lt;References!$T$118,'Input HVAC Measures'!$G45&gt;References!$S$118),References!$L$118,IF(AND('Input HVAC Measures'!$G45&lt;References!$T$119,'Input HVAC Measures'!$G45&gt;References!$S$119),References!$L$119,IF('Input HVAC Measures'!$G45&gt;References!$S$120,References!$L$120,""))))))</f>
        <v>0</v>
      </c>
      <c r="C43" s="158" t="b">
        <f>IF('Input HVAC Measures'!$E45="High Eff. Heat Pump Unit",IF('Input HVAC Measures'!$G45&lt;References!$T$121,References!$L$121,IF(AND('Input HVAC Measures'!$G45&lt;References!$T$122,'Input HVAC Measures'!$G45&gt;References!$S$122),References!$L$122,IF(AND('Input HVAC Measures'!$G45&lt;References!$T$123,'Input HVAC Measures'!$G45&gt;References!$S$123),References!$L$123,IF('Input HVAC Measures'!$G45&gt;References!$S$124,References!$L$124,"")))))</f>
        <v>0</v>
      </c>
      <c r="D43" s="158" t="b">
        <f>IF('Input HVAC Measures'!$E45="High Eff. AC Unit",IF('Input HVAC Measures'!$G45&lt;References!$T$116,References!$M$116,IF(AND('Input HVAC Measures'!$G45&lt;References!$T$117,'Input HVAC Measures'!$G45&gt;References!$S$117),References!$M$117,IF(AND('Input HVAC Measures'!$G45&lt;References!$T$118,'Input HVAC Measures'!$G45&gt;References!$S$118),References!$M$118,IF(AND('Input HVAC Measures'!$G45&lt;References!$T$119,'Input HVAC Measures'!$G45&gt;References!$S$119),References!$M$119,IF('Input HVAC Measures'!$G45&gt;References!$S$120,References!$M$120,""))))))</f>
        <v>0</v>
      </c>
      <c r="E43" s="158" t="b">
        <f>IF('Input HVAC Measures'!$E45="High Eff. Heat Pump Unit",IF('Input HVAC Measures'!$G45&lt;References!$T$121,References!$M$121,IF(AND('Input HVAC Measures'!$G45&lt;References!$T$122,'Input HVAC Measures'!$G45&gt;References!$S$122),References!$M$122,IF(AND('Input HVAC Measures'!$G45&lt;References!$T$123,'Input HVAC Measures'!$G45&gt;References!$S$123),References!$M$123,IF('Input HVAC Measures'!$G45&gt;References!$S$124,References!$M$124,"")))))</f>
        <v>0</v>
      </c>
      <c r="F43" s="158" t="b">
        <f>IF('Input HVAC Measures'!$E45="High Eff. Heat Pump Unit",IF('Input HVAC Measures'!$G45&lt;References!$T$121,References!$N$121,IF(AND('Input HVAC Measures'!$G45&lt;References!$T$122,'Input HVAC Measures'!$G45&gt;References!$S$122),References!$N$122,IF(AND('Input HVAC Measures'!$G45&lt;References!$T$123,'Input HVAC Measures'!$G45&gt;References!$S$123),References!$N$123,IF('Input HVAC Measures'!$G45&gt;References!$S$124,References!$N$124,"")))))</f>
        <v>0</v>
      </c>
      <c r="H43" s="209">
        <f>IF('Input HVAC Measures'!$E45="High Eff. AC Unit",'Input HVAC Measures'!$H45*12000/1000*References!$K$4*((1/'HVAC Calcs'!$D43)-(1/'Input HVAC Measures'!$K45)),IF('Input HVAC Measures'!$E45="High Eff. Heat Pump Unit",'Input HVAC Measures'!$H45*12000/1000*References!$K$5*((1/'HVAC Calcs'!$E43)-(1/'Input HVAC Measures'!$K45))+'Input HVAC Measures'!$H45*12000/1000*References!$N$5*((1/'HVAC Calcs'!$F43)-(1/'Input HVAC Measures'!$L45)),0))</f>
        <v>0</v>
      </c>
      <c r="I43" s="210" t="b">
        <f>IF('Input HVAC Measures'!$E45="High Eff. AC Unit",'Input HVAC Measures'!$H45*12000/1000*References!$L$4*((1/'HVAC Calcs'!$B43)-(1/'Input HVAC Measures'!$J45)),IF('Input HVAC Measures'!$E45="High Eff. Heat Pump Unit",'Input HVAC Measures'!$H45*12000/1000*References!$L$5*((1/'HVAC Calcs'!$C43)-(1/'Input HVAC Measures'!$J45))))</f>
        <v>0</v>
      </c>
    </row>
    <row r="44" spans="1:9" ht="15" x14ac:dyDescent="0.25">
      <c r="A44">
        <v>42</v>
      </c>
      <c r="B44" s="158" t="b">
        <f>IF('Input HVAC Measures'!$E46="High Eff. AC Unit",IF('Input HVAC Measures'!$G46&lt;References!$T$116,References!$L$116,IF(AND('Input HVAC Measures'!$G46&lt;References!$T$117,'Input HVAC Measures'!$G46&gt;References!$S$117),References!$L$117,IF(AND('Input HVAC Measures'!$G46&lt;References!$T$118,'Input HVAC Measures'!$G46&gt;References!$S$118),References!$L$118,IF(AND('Input HVAC Measures'!$G46&lt;References!$T$119,'Input HVAC Measures'!$G46&gt;References!$S$119),References!$L$119,IF('Input HVAC Measures'!$G46&gt;References!$S$120,References!$L$120,""))))))</f>
        <v>0</v>
      </c>
      <c r="C44" s="158" t="b">
        <f>IF('Input HVAC Measures'!$E46="High Eff. Heat Pump Unit",IF('Input HVAC Measures'!$G46&lt;References!$T$121,References!$L$121,IF(AND('Input HVAC Measures'!$G46&lt;References!$T$122,'Input HVAC Measures'!$G46&gt;References!$S$122),References!$L$122,IF(AND('Input HVAC Measures'!$G46&lt;References!$T$123,'Input HVAC Measures'!$G46&gt;References!$S$123),References!$L$123,IF('Input HVAC Measures'!$G46&gt;References!$S$124,References!$L$124,"")))))</f>
        <v>0</v>
      </c>
      <c r="D44" s="158" t="b">
        <f>IF('Input HVAC Measures'!$E46="High Eff. AC Unit",IF('Input HVAC Measures'!$G46&lt;References!$T$116,References!$M$116,IF(AND('Input HVAC Measures'!$G46&lt;References!$T$117,'Input HVAC Measures'!$G46&gt;References!$S$117),References!$M$117,IF(AND('Input HVAC Measures'!$G46&lt;References!$T$118,'Input HVAC Measures'!$G46&gt;References!$S$118),References!$M$118,IF(AND('Input HVAC Measures'!$G46&lt;References!$T$119,'Input HVAC Measures'!$G46&gt;References!$S$119),References!$M$119,IF('Input HVAC Measures'!$G46&gt;References!$S$120,References!$M$120,""))))))</f>
        <v>0</v>
      </c>
      <c r="E44" s="158" t="b">
        <f>IF('Input HVAC Measures'!$E46="High Eff. Heat Pump Unit",IF('Input HVAC Measures'!$G46&lt;References!$T$121,References!$M$121,IF(AND('Input HVAC Measures'!$G46&lt;References!$T$122,'Input HVAC Measures'!$G46&gt;References!$S$122),References!$M$122,IF(AND('Input HVAC Measures'!$G46&lt;References!$T$123,'Input HVAC Measures'!$G46&gt;References!$S$123),References!$M$123,IF('Input HVAC Measures'!$G46&gt;References!$S$124,References!$M$124,"")))))</f>
        <v>0</v>
      </c>
      <c r="F44" s="158" t="b">
        <f>IF('Input HVAC Measures'!$E46="High Eff. Heat Pump Unit",IF('Input HVAC Measures'!$G46&lt;References!$T$121,References!$N$121,IF(AND('Input HVAC Measures'!$G46&lt;References!$T$122,'Input HVAC Measures'!$G46&gt;References!$S$122),References!$N$122,IF(AND('Input HVAC Measures'!$G46&lt;References!$T$123,'Input HVAC Measures'!$G46&gt;References!$S$123),References!$N$123,IF('Input HVAC Measures'!$G46&gt;References!$S$124,References!$N$124,"")))))</f>
        <v>0</v>
      </c>
      <c r="H44" s="209">
        <f>IF('Input HVAC Measures'!$E46="High Eff. AC Unit",'Input HVAC Measures'!$H46*12000/1000*References!$K$4*((1/'HVAC Calcs'!$D44)-(1/'Input HVAC Measures'!$K46)),IF('Input HVAC Measures'!$E46="High Eff. Heat Pump Unit",'Input HVAC Measures'!$H46*12000/1000*References!$K$5*((1/'HVAC Calcs'!$E44)-(1/'Input HVAC Measures'!$K46))+'Input HVAC Measures'!$H46*12000/1000*References!$N$5*((1/'HVAC Calcs'!$F44)-(1/'Input HVAC Measures'!$L46)),0))</f>
        <v>0</v>
      </c>
      <c r="I44" s="210" t="b">
        <f>IF('Input HVAC Measures'!$E46="High Eff. AC Unit",'Input HVAC Measures'!$H46*12000/1000*References!$L$4*((1/'HVAC Calcs'!$B44)-(1/'Input HVAC Measures'!$J46)),IF('Input HVAC Measures'!$E46="High Eff. Heat Pump Unit",'Input HVAC Measures'!$H46*12000/1000*References!$L$5*((1/'HVAC Calcs'!$C44)-(1/'Input HVAC Measures'!$J46))))</f>
        <v>0</v>
      </c>
    </row>
    <row r="45" spans="1:9" ht="15" x14ac:dyDescent="0.25">
      <c r="A45">
        <v>43</v>
      </c>
      <c r="B45" s="158" t="b">
        <f>IF('Input HVAC Measures'!$E47="High Eff. AC Unit",IF('Input HVAC Measures'!$G47&lt;References!$T$116,References!$L$116,IF(AND('Input HVAC Measures'!$G47&lt;References!$T$117,'Input HVAC Measures'!$G47&gt;References!$S$117),References!$L$117,IF(AND('Input HVAC Measures'!$G47&lt;References!$T$118,'Input HVAC Measures'!$G47&gt;References!$S$118),References!$L$118,IF(AND('Input HVAC Measures'!$G47&lt;References!$T$119,'Input HVAC Measures'!$G47&gt;References!$S$119),References!$L$119,IF('Input HVAC Measures'!$G47&gt;References!$S$120,References!$L$120,""))))))</f>
        <v>0</v>
      </c>
      <c r="C45" s="158" t="b">
        <f>IF('Input HVAC Measures'!$E47="High Eff. Heat Pump Unit",IF('Input HVAC Measures'!$G47&lt;References!$T$121,References!$L$121,IF(AND('Input HVAC Measures'!$G47&lt;References!$T$122,'Input HVAC Measures'!$G47&gt;References!$S$122),References!$L$122,IF(AND('Input HVAC Measures'!$G47&lt;References!$T$123,'Input HVAC Measures'!$G47&gt;References!$S$123),References!$L$123,IF('Input HVAC Measures'!$G47&gt;References!$S$124,References!$L$124,"")))))</f>
        <v>0</v>
      </c>
      <c r="D45" s="158" t="b">
        <f>IF('Input HVAC Measures'!$E47="High Eff. AC Unit",IF('Input HVAC Measures'!$G47&lt;References!$T$116,References!$M$116,IF(AND('Input HVAC Measures'!$G47&lt;References!$T$117,'Input HVAC Measures'!$G47&gt;References!$S$117),References!$M$117,IF(AND('Input HVAC Measures'!$G47&lt;References!$T$118,'Input HVAC Measures'!$G47&gt;References!$S$118),References!$M$118,IF(AND('Input HVAC Measures'!$G47&lt;References!$T$119,'Input HVAC Measures'!$G47&gt;References!$S$119),References!$M$119,IF('Input HVAC Measures'!$G47&gt;References!$S$120,References!$M$120,""))))))</f>
        <v>0</v>
      </c>
      <c r="E45" s="158" t="b">
        <f>IF('Input HVAC Measures'!$E47="High Eff. Heat Pump Unit",IF('Input HVAC Measures'!$G47&lt;References!$T$121,References!$M$121,IF(AND('Input HVAC Measures'!$G47&lt;References!$T$122,'Input HVAC Measures'!$G47&gt;References!$S$122),References!$M$122,IF(AND('Input HVAC Measures'!$G47&lt;References!$T$123,'Input HVAC Measures'!$G47&gt;References!$S$123),References!$M$123,IF('Input HVAC Measures'!$G47&gt;References!$S$124,References!$M$124,"")))))</f>
        <v>0</v>
      </c>
      <c r="F45" s="158" t="b">
        <f>IF('Input HVAC Measures'!$E47="High Eff. Heat Pump Unit",IF('Input HVAC Measures'!$G47&lt;References!$T$121,References!$N$121,IF(AND('Input HVAC Measures'!$G47&lt;References!$T$122,'Input HVAC Measures'!$G47&gt;References!$S$122),References!$N$122,IF(AND('Input HVAC Measures'!$G47&lt;References!$T$123,'Input HVAC Measures'!$G47&gt;References!$S$123),References!$N$123,IF('Input HVAC Measures'!$G47&gt;References!$S$124,References!$N$124,"")))))</f>
        <v>0</v>
      </c>
      <c r="H45" s="209">
        <f>IF('Input HVAC Measures'!$E47="High Eff. AC Unit",'Input HVAC Measures'!$H47*12000/1000*References!$K$4*((1/'HVAC Calcs'!$D45)-(1/'Input HVAC Measures'!$K47)),IF('Input HVAC Measures'!$E47="High Eff. Heat Pump Unit",'Input HVAC Measures'!$H47*12000/1000*References!$K$5*((1/'HVAC Calcs'!$E45)-(1/'Input HVAC Measures'!$K47))+'Input HVAC Measures'!$H47*12000/1000*References!$N$5*((1/'HVAC Calcs'!$F45)-(1/'Input HVAC Measures'!$L47)),0))</f>
        <v>0</v>
      </c>
      <c r="I45" s="210" t="b">
        <f>IF('Input HVAC Measures'!$E47="High Eff. AC Unit",'Input HVAC Measures'!$H47*12000/1000*References!$L$4*((1/'HVAC Calcs'!$B45)-(1/'Input HVAC Measures'!$J47)),IF('Input HVAC Measures'!$E47="High Eff. Heat Pump Unit",'Input HVAC Measures'!$H47*12000/1000*References!$L$5*((1/'HVAC Calcs'!$C45)-(1/'Input HVAC Measures'!$J47))))</f>
        <v>0</v>
      </c>
    </row>
    <row r="46" spans="1:9" ht="15" x14ac:dyDescent="0.25">
      <c r="A46">
        <v>44</v>
      </c>
      <c r="B46" s="158" t="b">
        <f>IF('Input HVAC Measures'!$E48="High Eff. AC Unit",IF('Input HVAC Measures'!$G48&lt;References!$T$116,References!$L$116,IF(AND('Input HVAC Measures'!$G48&lt;References!$T$117,'Input HVAC Measures'!$G48&gt;References!$S$117),References!$L$117,IF(AND('Input HVAC Measures'!$G48&lt;References!$T$118,'Input HVAC Measures'!$G48&gt;References!$S$118),References!$L$118,IF(AND('Input HVAC Measures'!$G48&lt;References!$T$119,'Input HVAC Measures'!$G48&gt;References!$S$119),References!$L$119,IF('Input HVAC Measures'!$G48&gt;References!$S$120,References!$L$120,""))))))</f>
        <v>0</v>
      </c>
      <c r="C46" s="158" t="b">
        <f>IF('Input HVAC Measures'!$E48="High Eff. Heat Pump Unit",IF('Input HVAC Measures'!$G48&lt;References!$T$121,References!$L$121,IF(AND('Input HVAC Measures'!$G48&lt;References!$T$122,'Input HVAC Measures'!$G48&gt;References!$S$122),References!$L$122,IF(AND('Input HVAC Measures'!$G48&lt;References!$T$123,'Input HVAC Measures'!$G48&gt;References!$S$123),References!$L$123,IF('Input HVAC Measures'!$G48&gt;References!$S$124,References!$L$124,"")))))</f>
        <v>0</v>
      </c>
      <c r="D46" s="158" t="b">
        <f>IF('Input HVAC Measures'!$E48="High Eff. AC Unit",IF('Input HVAC Measures'!$G48&lt;References!$T$116,References!$M$116,IF(AND('Input HVAC Measures'!$G48&lt;References!$T$117,'Input HVAC Measures'!$G48&gt;References!$S$117),References!$M$117,IF(AND('Input HVAC Measures'!$G48&lt;References!$T$118,'Input HVAC Measures'!$G48&gt;References!$S$118),References!$M$118,IF(AND('Input HVAC Measures'!$G48&lt;References!$T$119,'Input HVAC Measures'!$G48&gt;References!$S$119),References!$M$119,IF('Input HVAC Measures'!$G48&gt;References!$S$120,References!$M$120,""))))))</f>
        <v>0</v>
      </c>
      <c r="E46" s="158" t="b">
        <f>IF('Input HVAC Measures'!$E48="High Eff. Heat Pump Unit",IF('Input HVAC Measures'!$G48&lt;References!$T$121,References!$M$121,IF(AND('Input HVAC Measures'!$G48&lt;References!$T$122,'Input HVAC Measures'!$G48&gt;References!$S$122),References!$M$122,IF(AND('Input HVAC Measures'!$G48&lt;References!$T$123,'Input HVAC Measures'!$G48&gt;References!$S$123),References!$M$123,IF('Input HVAC Measures'!$G48&gt;References!$S$124,References!$M$124,"")))))</f>
        <v>0</v>
      </c>
      <c r="F46" s="158" t="b">
        <f>IF('Input HVAC Measures'!$E48="High Eff. Heat Pump Unit",IF('Input HVAC Measures'!$G48&lt;References!$T$121,References!$N$121,IF(AND('Input HVAC Measures'!$G48&lt;References!$T$122,'Input HVAC Measures'!$G48&gt;References!$S$122),References!$N$122,IF(AND('Input HVAC Measures'!$G48&lt;References!$T$123,'Input HVAC Measures'!$G48&gt;References!$S$123),References!$N$123,IF('Input HVAC Measures'!$G48&gt;References!$S$124,References!$N$124,"")))))</f>
        <v>0</v>
      </c>
      <c r="H46" s="209">
        <f>IF('Input HVAC Measures'!$E48="High Eff. AC Unit",'Input HVAC Measures'!$H48*12000/1000*References!$K$4*((1/'HVAC Calcs'!$D46)-(1/'Input HVAC Measures'!$K48)),IF('Input HVAC Measures'!$E48="High Eff. Heat Pump Unit",'Input HVAC Measures'!$H48*12000/1000*References!$K$5*((1/'HVAC Calcs'!$E46)-(1/'Input HVAC Measures'!$K48))+'Input HVAC Measures'!$H48*12000/1000*References!$N$5*((1/'HVAC Calcs'!$F46)-(1/'Input HVAC Measures'!$L48)),0))</f>
        <v>0</v>
      </c>
      <c r="I46" s="210" t="b">
        <f>IF('Input HVAC Measures'!$E48="High Eff. AC Unit",'Input HVAC Measures'!$H48*12000/1000*References!$L$4*((1/'HVAC Calcs'!$B46)-(1/'Input HVAC Measures'!$J48)),IF('Input HVAC Measures'!$E48="High Eff. Heat Pump Unit",'Input HVAC Measures'!$H48*12000/1000*References!$L$5*((1/'HVAC Calcs'!$C46)-(1/'Input HVAC Measures'!$J48))))</f>
        <v>0</v>
      </c>
    </row>
    <row r="47" spans="1:9" ht="15" x14ac:dyDescent="0.25">
      <c r="A47">
        <v>45</v>
      </c>
      <c r="B47" s="158" t="b">
        <f>IF('Input HVAC Measures'!$E49="High Eff. AC Unit",IF('Input HVAC Measures'!$G49&lt;References!$T$116,References!$L$116,IF(AND('Input HVAC Measures'!$G49&lt;References!$T$117,'Input HVAC Measures'!$G49&gt;References!$S$117),References!$L$117,IF(AND('Input HVAC Measures'!$G49&lt;References!$T$118,'Input HVAC Measures'!$G49&gt;References!$S$118),References!$L$118,IF(AND('Input HVAC Measures'!$G49&lt;References!$T$119,'Input HVAC Measures'!$G49&gt;References!$S$119),References!$L$119,IF('Input HVAC Measures'!$G49&gt;References!$S$120,References!$L$120,""))))))</f>
        <v>0</v>
      </c>
      <c r="C47" s="158" t="b">
        <f>IF('Input HVAC Measures'!$E49="High Eff. Heat Pump Unit",IF('Input HVAC Measures'!$G49&lt;References!$T$121,References!$L$121,IF(AND('Input HVAC Measures'!$G49&lt;References!$T$122,'Input HVAC Measures'!$G49&gt;References!$S$122),References!$L$122,IF(AND('Input HVAC Measures'!$G49&lt;References!$T$123,'Input HVAC Measures'!$G49&gt;References!$S$123),References!$L$123,IF('Input HVAC Measures'!$G49&gt;References!$S$124,References!$L$124,"")))))</f>
        <v>0</v>
      </c>
      <c r="D47" s="158" t="b">
        <f>IF('Input HVAC Measures'!$E49="High Eff. AC Unit",IF('Input HVAC Measures'!$G49&lt;References!$T$116,References!$M$116,IF(AND('Input HVAC Measures'!$G49&lt;References!$T$117,'Input HVAC Measures'!$G49&gt;References!$S$117),References!$M$117,IF(AND('Input HVAC Measures'!$G49&lt;References!$T$118,'Input HVAC Measures'!$G49&gt;References!$S$118),References!$M$118,IF(AND('Input HVAC Measures'!$G49&lt;References!$T$119,'Input HVAC Measures'!$G49&gt;References!$S$119),References!$M$119,IF('Input HVAC Measures'!$G49&gt;References!$S$120,References!$M$120,""))))))</f>
        <v>0</v>
      </c>
      <c r="E47" s="158" t="b">
        <f>IF('Input HVAC Measures'!$E49="High Eff. Heat Pump Unit",IF('Input HVAC Measures'!$G49&lt;References!$T$121,References!$M$121,IF(AND('Input HVAC Measures'!$G49&lt;References!$T$122,'Input HVAC Measures'!$G49&gt;References!$S$122),References!$M$122,IF(AND('Input HVAC Measures'!$G49&lt;References!$T$123,'Input HVAC Measures'!$G49&gt;References!$S$123),References!$M$123,IF('Input HVAC Measures'!$G49&gt;References!$S$124,References!$M$124,"")))))</f>
        <v>0</v>
      </c>
      <c r="F47" s="158" t="b">
        <f>IF('Input HVAC Measures'!$E49="High Eff. Heat Pump Unit",IF('Input HVAC Measures'!$G49&lt;References!$T$121,References!$N$121,IF(AND('Input HVAC Measures'!$G49&lt;References!$T$122,'Input HVAC Measures'!$G49&gt;References!$S$122),References!$N$122,IF(AND('Input HVAC Measures'!$G49&lt;References!$T$123,'Input HVAC Measures'!$G49&gt;References!$S$123),References!$N$123,IF('Input HVAC Measures'!$G49&gt;References!$S$124,References!$N$124,"")))))</f>
        <v>0</v>
      </c>
      <c r="H47" s="209">
        <f>IF('Input HVAC Measures'!$E49="High Eff. AC Unit",'Input HVAC Measures'!$H49*12000/1000*References!$K$4*((1/'HVAC Calcs'!$D47)-(1/'Input HVAC Measures'!$K49)),IF('Input HVAC Measures'!$E49="High Eff. Heat Pump Unit",'Input HVAC Measures'!$H49*12000/1000*References!$K$5*((1/'HVAC Calcs'!$E47)-(1/'Input HVAC Measures'!$K49))+'Input HVAC Measures'!$H49*12000/1000*References!$N$5*((1/'HVAC Calcs'!$F47)-(1/'Input HVAC Measures'!$L49)),0))</f>
        <v>0</v>
      </c>
      <c r="I47" s="210" t="b">
        <f>IF('Input HVAC Measures'!$E49="High Eff. AC Unit",'Input HVAC Measures'!$H49*12000/1000*References!$L$4*((1/'HVAC Calcs'!$B47)-(1/'Input HVAC Measures'!$J49)),IF('Input HVAC Measures'!$E49="High Eff. Heat Pump Unit",'Input HVAC Measures'!$H49*12000/1000*References!$L$5*((1/'HVAC Calcs'!$C47)-(1/'Input HVAC Measures'!$J49))))</f>
        <v>0</v>
      </c>
    </row>
    <row r="48" spans="1:9" ht="15" x14ac:dyDescent="0.25">
      <c r="A48">
        <v>46</v>
      </c>
      <c r="B48" s="158" t="b">
        <f>IF('Input HVAC Measures'!$E50="High Eff. AC Unit",IF('Input HVAC Measures'!$G50&lt;References!$T$116,References!$L$116,IF(AND('Input HVAC Measures'!$G50&lt;References!$T$117,'Input HVAC Measures'!$G50&gt;References!$S$117),References!$L$117,IF(AND('Input HVAC Measures'!$G50&lt;References!$T$118,'Input HVAC Measures'!$G50&gt;References!$S$118),References!$L$118,IF(AND('Input HVAC Measures'!$G50&lt;References!$T$119,'Input HVAC Measures'!$G50&gt;References!$S$119),References!$L$119,IF('Input HVAC Measures'!$G50&gt;References!$S$120,References!$L$120,""))))))</f>
        <v>0</v>
      </c>
      <c r="C48" s="158" t="b">
        <f>IF('Input HVAC Measures'!$E50="High Eff. Heat Pump Unit",IF('Input HVAC Measures'!$G50&lt;References!$T$121,References!$L$121,IF(AND('Input HVAC Measures'!$G50&lt;References!$T$122,'Input HVAC Measures'!$G50&gt;References!$S$122),References!$L$122,IF(AND('Input HVAC Measures'!$G50&lt;References!$T$123,'Input HVAC Measures'!$G50&gt;References!$S$123),References!$L$123,IF('Input HVAC Measures'!$G50&gt;References!$S$124,References!$L$124,"")))))</f>
        <v>0</v>
      </c>
      <c r="D48" s="158" t="b">
        <f>IF('Input HVAC Measures'!$E50="High Eff. AC Unit",IF('Input HVAC Measures'!$G50&lt;References!$T$116,References!$M$116,IF(AND('Input HVAC Measures'!$G50&lt;References!$T$117,'Input HVAC Measures'!$G50&gt;References!$S$117),References!$M$117,IF(AND('Input HVAC Measures'!$G50&lt;References!$T$118,'Input HVAC Measures'!$G50&gt;References!$S$118),References!$M$118,IF(AND('Input HVAC Measures'!$G50&lt;References!$T$119,'Input HVAC Measures'!$G50&gt;References!$S$119),References!$M$119,IF('Input HVAC Measures'!$G50&gt;References!$S$120,References!$M$120,""))))))</f>
        <v>0</v>
      </c>
      <c r="E48" s="158" t="b">
        <f>IF('Input HVAC Measures'!$E50="High Eff. Heat Pump Unit",IF('Input HVAC Measures'!$G50&lt;References!$T$121,References!$M$121,IF(AND('Input HVAC Measures'!$G50&lt;References!$T$122,'Input HVAC Measures'!$G50&gt;References!$S$122),References!$M$122,IF(AND('Input HVAC Measures'!$G50&lt;References!$T$123,'Input HVAC Measures'!$G50&gt;References!$S$123),References!$M$123,IF('Input HVAC Measures'!$G50&gt;References!$S$124,References!$M$124,"")))))</f>
        <v>0</v>
      </c>
      <c r="F48" s="158" t="b">
        <f>IF('Input HVAC Measures'!$E50="High Eff. Heat Pump Unit",IF('Input HVAC Measures'!$G50&lt;References!$T$121,References!$N$121,IF(AND('Input HVAC Measures'!$G50&lt;References!$T$122,'Input HVAC Measures'!$G50&gt;References!$S$122),References!$N$122,IF(AND('Input HVAC Measures'!$G50&lt;References!$T$123,'Input HVAC Measures'!$G50&gt;References!$S$123),References!$N$123,IF('Input HVAC Measures'!$G50&gt;References!$S$124,References!$N$124,"")))))</f>
        <v>0</v>
      </c>
      <c r="H48" s="209">
        <f>IF('Input HVAC Measures'!$E50="High Eff. AC Unit",'Input HVAC Measures'!$H50*12000/1000*References!$K$4*((1/'HVAC Calcs'!$D48)-(1/'Input HVAC Measures'!$K50)),IF('Input HVAC Measures'!$E50="High Eff. Heat Pump Unit",'Input HVAC Measures'!$H50*12000/1000*References!$K$5*((1/'HVAC Calcs'!$E48)-(1/'Input HVAC Measures'!$K50))+'Input HVAC Measures'!$H50*12000/1000*References!$N$5*((1/'HVAC Calcs'!$F48)-(1/'Input HVAC Measures'!$L50)),0))</f>
        <v>0</v>
      </c>
      <c r="I48" s="210" t="b">
        <f>IF('Input HVAC Measures'!$E50="High Eff. AC Unit",'Input HVAC Measures'!$H50*12000/1000*References!$L$4*((1/'HVAC Calcs'!$B48)-(1/'Input HVAC Measures'!$J50)),IF('Input HVAC Measures'!$E50="High Eff. Heat Pump Unit",'Input HVAC Measures'!$H50*12000/1000*References!$L$5*((1/'HVAC Calcs'!$C48)-(1/'Input HVAC Measures'!$J50))))</f>
        <v>0</v>
      </c>
    </row>
    <row r="49" spans="1:9" ht="15" x14ac:dyDescent="0.25">
      <c r="A49">
        <v>47</v>
      </c>
      <c r="B49" s="158" t="b">
        <f>IF('Input HVAC Measures'!$E51="High Eff. AC Unit",IF('Input HVAC Measures'!$G51&lt;References!$T$116,References!$L$116,IF(AND('Input HVAC Measures'!$G51&lt;References!$T$117,'Input HVAC Measures'!$G51&gt;References!$S$117),References!$L$117,IF(AND('Input HVAC Measures'!$G51&lt;References!$T$118,'Input HVAC Measures'!$G51&gt;References!$S$118),References!$L$118,IF(AND('Input HVAC Measures'!$G51&lt;References!$T$119,'Input HVAC Measures'!$G51&gt;References!$S$119),References!$L$119,IF('Input HVAC Measures'!$G51&gt;References!$S$120,References!$L$120,""))))))</f>
        <v>0</v>
      </c>
      <c r="C49" s="158" t="b">
        <f>IF('Input HVAC Measures'!$E51="High Eff. Heat Pump Unit",IF('Input HVAC Measures'!$G51&lt;References!$T$121,References!$L$121,IF(AND('Input HVAC Measures'!$G51&lt;References!$T$122,'Input HVAC Measures'!$G51&gt;References!$S$122),References!$L$122,IF(AND('Input HVAC Measures'!$G51&lt;References!$T$123,'Input HVAC Measures'!$G51&gt;References!$S$123),References!$L$123,IF('Input HVAC Measures'!$G51&gt;References!$S$124,References!$L$124,"")))))</f>
        <v>0</v>
      </c>
      <c r="D49" s="158" t="b">
        <f>IF('Input HVAC Measures'!$E51="High Eff. AC Unit",IF('Input HVAC Measures'!$G51&lt;References!$T$116,References!$M$116,IF(AND('Input HVAC Measures'!$G51&lt;References!$T$117,'Input HVAC Measures'!$G51&gt;References!$S$117),References!$M$117,IF(AND('Input HVAC Measures'!$G51&lt;References!$T$118,'Input HVAC Measures'!$G51&gt;References!$S$118),References!$M$118,IF(AND('Input HVAC Measures'!$G51&lt;References!$T$119,'Input HVAC Measures'!$G51&gt;References!$S$119),References!$M$119,IF('Input HVAC Measures'!$G51&gt;References!$S$120,References!$M$120,""))))))</f>
        <v>0</v>
      </c>
      <c r="E49" s="158" t="b">
        <f>IF('Input HVAC Measures'!$E51="High Eff. Heat Pump Unit",IF('Input HVAC Measures'!$G51&lt;References!$T$121,References!$M$121,IF(AND('Input HVAC Measures'!$G51&lt;References!$T$122,'Input HVAC Measures'!$G51&gt;References!$S$122),References!$M$122,IF(AND('Input HVAC Measures'!$G51&lt;References!$T$123,'Input HVAC Measures'!$G51&gt;References!$S$123),References!$M$123,IF('Input HVAC Measures'!$G51&gt;References!$S$124,References!$M$124,"")))))</f>
        <v>0</v>
      </c>
      <c r="F49" s="158" t="b">
        <f>IF('Input HVAC Measures'!$E51="High Eff. Heat Pump Unit",IF('Input HVAC Measures'!$G51&lt;References!$T$121,References!$N$121,IF(AND('Input HVAC Measures'!$G51&lt;References!$T$122,'Input HVAC Measures'!$G51&gt;References!$S$122),References!$N$122,IF(AND('Input HVAC Measures'!$G51&lt;References!$T$123,'Input HVAC Measures'!$G51&gt;References!$S$123),References!$N$123,IF('Input HVAC Measures'!$G51&gt;References!$S$124,References!$N$124,"")))))</f>
        <v>0</v>
      </c>
      <c r="H49" s="209">
        <f>IF('Input HVAC Measures'!$E51="High Eff. AC Unit",'Input HVAC Measures'!$H51*12000/1000*References!$K$4*((1/'HVAC Calcs'!$D49)-(1/'Input HVAC Measures'!$K51)),IF('Input HVAC Measures'!$E51="High Eff. Heat Pump Unit",'Input HVAC Measures'!$H51*12000/1000*References!$K$5*((1/'HVAC Calcs'!$E49)-(1/'Input HVAC Measures'!$K51))+'Input HVAC Measures'!$H51*12000/1000*References!$N$5*((1/'HVAC Calcs'!$F49)-(1/'Input HVAC Measures'!$L51)),0))</f>
        <v>0</v>
      </c>
      <c r="I49" s="210" t="b">
        <f>IF('Input HVAC Measures'!$E51="High Eff. AC Unit",'Input HVAC Measures'!$H51*12000/1000*References!$L$4*((1/'HVAC Calcs'!$B49)-(1/'Input HVAC Measures'!$J51)),IF('Input HVAC Measures'!$E51="High Eff. Heat Pump Unit",'Input HVAC Measures'!$H51*12000/1000*References!$L$5*((1/'HVAC Calcs'!$C49)-(1/'Input HVAC Measures'!$J51))))</f>
        <v>0</v>
      </c>
    </row>
    <row r="50" spans="1:9" ht="15" x14ac:dyDescent="0.25">
      <c r="A50">
        <v>48</v>
      </c>
      <c r="B50" s="158" t="b">
        <f>IF('Input HVAC Measures'!$E52="High Eff. AC Unit",IF('Input HVAC Measures'!$G52&lt;References!$T$116,References!$L$116,IF(AND('Input HVAC Measures'!$G52&lt;References!$T$117,'Input HVAC Measures'!$G52&gt;References!$S$117),References!$L$117,IF(AND('Input HVAC Measures'!$G52&lt;References!$T$118,'Input HVAC Measures'!$G52&gt;References!$S$118),References!$L$118,IF(AND('Input HVAC Measures'!$G52&lt;References!$T$119,'Input HVAC Measures'!$G52&gt;References!$S$119),References!$L$119,IF('Input HVAC Measures'!$G52&gt;References!$S$120,References!$L$120,""))))))</f>
        <v>0</v>
      </c>
      <c r="C50" s="158" t="b">
        <f>IF('Input HVAC Measures'!$E52="High Eff. Heat Pump Unit",IF('Input HVAC Measures'!$G52&lt;References!$T$121,References!$L$121,IF(AND('Input HVAC Measures'!$G52&lt;References!$T$122,'Input HVAC Measures'!$G52&gt;References!$S$122),References!$L$122,IF(AND('Input HVAC Measures'!$G52&lt;References!$T$123,'Input HVAC Measures'!$G52&gt;References!$S$123),References!$L$123,IF('Input HVAC Measures'!$G52&gt;References!$S$124,References!$L$124,"")))))</f>
        <v>0</v>
      </c>
      <c r="D50" s="158" t="b">
        <f>IF('Input HVAC Measures'!$E52="High Eff. AC Unit",IF('Input HVAC Measures'!$G52&lt;References!$T$116,References!$M$116,IF(AND('Input HVAC Measures'!$G52&lt;References!$T$117,'Input HVAC Measures'!$G52&gt;References!$S$117),References!$M$117,IF(AND('Input HVAC Measures'!$G52&lt;References!$T$118,'Input HVAC Measures'!$G52&gt;References!$S$118),References!$M$118,IF(AND('Input HVAC Measures'!$G52&lt;References!$T$119,'Input HVAC Measures'!$G52&gt;References!$S$119),References!$M$119,IF('Input HVAC Measures'!$G52&gt;References!$S$120,References!$M$120,""))))))</f>
        <v>0</v>
      </c>
      <c r="E50" s="158" t="b">
        <f>IF('Input HVAC Measures'!$E52="High Eff. Heat Pump Unit",IF('Input HVAC Measures'!$G52&lt;References!$T$121,References!$M$121,IF(AND('Input HVAC Measures'!$G52&lt;References!$T$122,'Input HVAC Measures'!$G52&gt;References!$S$122),References!$M$122,IF(AND('Input HVAC Measures'!$G52&lt;References!$T$123,'Input HVAC Measures'!$G52&gt;References!$S$123),References!$M$123,IF('Input HVAC Measures'!$G52&gt;References!$S$124,References!$M$124,"")))))</f>
        <v>0</v>
      </c>
      <c r="F50" s="158" t="b">
        <f>IF('Input HVAC Measures'!$E52="High Eff. Heat Pump Unit",IF('Input HVAC Measures'!$G52&lt;References!$T$121,References!$N$121,IF(AND('Input HVAC Measures'!$G52&lt;References!$T$122,'Input HVAC Measures'!$G52&gt;References!$S$122),References!$N$122,IF(AND('Input HVAC Measures'!$G52&lt;References!$T$123,'Input HVAC Measures'!$G52&gt;References!$S$123),References!$N$123,IF('Input HVAC Measures'!$G52&gt;References!$S$124,References!$N$124,"")))))</f>
        <v>0</v>
      </c>
      <c r="H50" s="209">
        <f>IF('Input HVAC Measures'!$E52="High Eff. AC Unit",'Input HVAC Measures'!$H52*12000/1000*References!$K$4*((1/'HVAC Calcs'!$D50)-(1/'Input HVAC Measures'!$K52)),IF('Input HVAC Measures'!$E52="High Eff. Heat Pump Unit",'Input HVAC Measures'!$H52*12000/1000*References!$K$5*((1/'HVAC Calcs'!$E50)-(1/'Input HVAC Measures'!$K52))+'Input HVAC Measures'!$H52*12000/1000*References!$N$5*((1/'HVAC Calcs'!$F50)-(1/'Input HVAC Measures'!$L52)),0))</f>
        <v>0</v>
      </c>
      <c r="I50" s="210" t="b">
        <f>IF('Input HVAC Measures'!$E52="High Eff. AC Unit",'Input HVAC Measures'!$H52*12000/1000*References!$L$4*((1/'HVAC Calcs'!$B50)-(1/'Input HVAC Measures'!$J52)),IF('Input HVAC Measures'!$E52="High Eff. Heat Pump Unit",'Input HVAC Measures'!$H52*12000/1000*References!$L$5*((1/'HVAC Calcs'!$C50)-(1/'Input HVAC Measures'!$J52))))</f>
        <v>0</v>
      </c>
    </row>
    <row r="51" spans="1:9" ht="15" x14ac:dyDescent="0.25">
      <c r="A51">
        <v>49</v>
      </c>
      <c r="B51" s="158" t="b">
        <f>IF('Input HVAC Measures'!$E53="High Eff. AC Unit",IF('Input HVAC Measures'!$G53&lt;References!$T$116,References!$L$116,IF(AND('Input HVAC Measures'!$G53&lt;References!$T$117,'Input HVAC Measures'!$G53&gt;References!$S$117),References!$L$117,IF(AND('Input HVAC Measures'!$G53&lt;References!$T$118,'Input HVAC Measures'!$G53&gt;References!$S$118),References!$L$118,IF(AND('Input HVAC Measures'!$G53&lt;References!$T$119,'Input HVAC Measures'!$G53&gt;References!$S$119),References!$L$119,IF('Input HVAC Measures'!$G53&gt;References!$S$120,References!$L$120,""))))))</f>
        <v>0</v>
      </c>
      <c r="C51" s="158" t="b">
        <f>IF('Input HVAC Measures'!$E53="High Eff. Heat Pump Unit",IF('Input HVAC Measures'!$G53&lt;References!$T$121,References!$L$121,IF(AND('Input HVAC Measures'!$G53&lt;References!$T$122,'Input HVAC Measures'!$G53&gt;References!$S$122),References!$L$122,IF(AND('Input HVAC Measures'!$G53&lt;References!$T$123,'Input HVAC Measures'!$G53&gt;References!$S$123),References!$L$123,IF('Input HVAC Measures'!$G53&gt;References!$S$124,References!$L$124,"")))))</f>
        <v>0</v>
      </c>
      <c r="D51" s="158" t="b">
        <f>IF('Input HVAC Measures'!$E53="High Eff. AC Unit",IF('Input HVAC Measures'!$G53&lt;References!$T$116,References!$M$116,IF(AND('Input HVAC Measures'!$G53&lt;References!$T$117,'Input HVAC Measures'!$G53&gt;References!$S$117),References!$M$117,IF(AND('Input HVAC Measures'!$G53&lt;References!$T$118,'Input HVAC Measures'!$G53&gt;References!$S$118),References!$M$118,IF(AND('Input HVAC Measures'!$G53&lt;References!$T$119,'Input HVAC Measures'!$G53&gt;References!$S$119),References!$M$119,IF('Input HVAC Measures'!$G53&gt;References!$S$120,References!$M$120,""))))))</f>
        <v>0</v>
      </c>
      <c r="E51" s="158" t="b">
        <f>IF('Input HVAC Measures'!$E53="High Eff. Heat Pump Unit",IF('Input HVAC Measures'!$G53&lt;References!$T$121,References!$M$121,IF(AND('Input HVAC Measures'!$G53&lt;References!$T$122,'Input HVAC Measures'!$G53&gt;References!$S$122),References!$M$122,IF(AND('Input HVAC Measures'!$G53&lt;References!$T$123,'Input HVAC Measures'!$G53&gt;References!$S$123),References!$M$123,IF('Input HVAC Measures'!$G53&gt;References!$S$124,References!$M$124,"")))))</f>
        <v>0</v>
      </c>
      <c r="F51" s="158" t="b">
        <f>IF('Input HVAC Measures'!$E53="High Eff. Heat Pump Unit",IF('Input HVAC Measures'!$G53&lt;References!$T$121,References!$N$121,IF(AND('Input HVAC Measures'!$G53&lt;References!$T$122,'Input HVAC Measures'!$G53&gt;References!$S$122),References!$N$122,IF(AND('Input HVAC Measures'!$G53&lt;References!$T$123,'Input HVAC Measures'!$G53&gt;References!$S$123),References!$N$123,IF('Input HVAC Measures'!$G53&gt;References!$S$124,References!$N$124,"")))))</f>
        <v>0</v>
      </c>
      <c r="H51" s="209">
        <f>IF('Input HVAC Measures'!$E53="High Eff. AC Unit",'Input HVAC Measures'!$H53*12000/1000*References!$K$4*((1/'HVAC Calcs'!$D51)-(1/'Input HVAC Measures'!$K53)),IF('Input HVAC Measures'!$E53="High Eff. Heat Pump Unit",'Input HVAC Measures'!$H53*12000/1000*References!$K$5*((1/'HVAC Calcs'!$E51)-(1/'Input HVAC Measures'!$K53))+'Input HVAC Measures'!$H53*12000/1000*References!$N$5*((1/'HVAC Calcs'!$F51)-(1/'Input HVAC Measures'!$L53)),0))</f>
        <v>0</v>
      </c>
      <c r="I51" s="210" t="b">
        <f>IF('Input HVAC Measures'!$E53="High Eff. AC Unit",'Input HVAC Measures'!$H53*12000/1000*References!$L$4*((1/'HVAC Calcs'!$B51)-(1/'Input HVAC Measures'!$J53)),IF('Input HVAC Measures'!$E53="High Eff. Heat Pump Unit",'Input HVAC Measures'!$H53*12000/1000*References!$L$5*((1/'HVAC Calcs'!$C51)-(1/'Input HVAC Measures'!$J53))))</f>
        <v>0</v>
      </c>
    </row>
    <row r="52" spans="1:9" ht="15" x14ac:dyDescent="0.25">
      <c r="A52">
        <v>50</v>
      </c>
      <c r="B52" s="158" t="b">
        <f>IF('Input HVAC Measures'!$E54="High Eff. AC Unit",IF('Input HVAC Measures'!$G54&lt;References!$T$116,References!$L$116,IF(AND('Input HVAC Measures'!$G54&lt;References!$T$117,'Input HVAC Measures'!$G54&gt;References!$S$117),References!$L$117,IF(AND('Input HVAC Measures'!$G54&lt;References!$T$118,'Input HVAC Measures'!$G54&gt;References!$S$118),References!$L$118,IF(AND('Input HVAC Measures'!$G54&lt;References!$T$119,'Input HVAC Measures'!$G54&gt;References!$S$119),References!$L$119,IF('Input HVAC Measures'!$G54&gt;References!$S$120,References!$L$120,""))))))</f>
        <v>0</v>
      </c>
      <c r="C52" s="158" t="b">
        <f>IF('Input HVAC Measures'!$E54="High Eff. Heat Pump Unit",IF('Input HVAC Measures'!$G54&lt;References!$T$121,References!$L$121,IF(AND('Input HVAC Measures'!$G54&lt;References!$T$122,'Input HVAC Measures'!$G54&gt;References!$S$122),References!$L$122,IF(AND('Input HVAC Measures'!$G54&lt;References!$T$123,'Input HVAC Measures'!$G54&gt;References!$S$123),References!$L$123,IF('Input HVAC Measures'!$G54&gt;References!$S$124,References!$L$124,"")))))</f>
        <v>0</v>
      </c>
      <c r="D52" s="158" t="b">
        <f>IF('Input HVAC Measures'!$E54="High Eff. AC Unit",IF('Input HVAC Measures'!$G54&lt;References!$T$116,References!$M$116,IF(AND('Input HVAC Measures'!$G54&lt;References!$T$117,'Input HVAC Measures'!$G54&gt;References!$S$117),References!$M$117,IF(AND('Input HVAC Measures'!$G54&lt;References!$T$118,'Input HVAC Measures'!$G54&gt;References!$S$118),References!$M$118,IF(AND('Input HVAC Measures'!$G54&lt;References!$T$119,'Input HVAC Measures'!$G54&gt;References!$S$119),References!$M$119,IF('Input HVAC Measures'!$G54&gt;References!$S$120,References!$M$120,""))))))</f>
        <v>0</v>
      </c>
      <c r="E52" s="158" t="b">
        <f>IF('Input HVAC Measures'!$E54="High Eff. Heat Pump Unit",IF('Input HVAC Measures'!$G54&lt;References!$T$121,References!$M$121,IF(AND('Input HVAC Measures'!$G54&lt;References!$T$122,'Input HVAC Measures'!$G54&gt;References!$S$122),References!$M$122,IF(AND('Input HVAC Measures'!$G54&lt;References!$T$123,'Input HVAC Measures'!$G54&gt;References!$S$123),References!$M$123,IF('Input HVAC Measures'!$G54&gt;References!$S$124,References!$M$124,"")))))</f>
        <v>0</v>
      </c>
      <c r="F52" s="158" t="b">
        <f>IF('Input HVAC Measures'!$E54="High Eff. Heat Pump Unit",IF('Input HVAC Measures'!$G54&lt;References!$T$121,References!$N$121,IF(AND('Input HVAC Measures'!$G54&lt;References!$T$122,'Input HVAC Measures'!$G54&gt;References!$S$122),References!$N$122,IF(AND('Input HVAC Measures'!$G54&lt;References!$T$123,'Input HVAC Measures'!$G54&gt;References!$S$123),References!$N$123,IF('Input HVAC Measures'!$G54&gt;References!$S$124,References!$N$124,"")))))</f>
        <v>0</v>
      </c>
      <c r="H52" s="209">
        <f>IF('Input HVAC Measures'!$E54="High Eff. AC Unit",'Input HVAC Measures'!$H54*12000/1000*References!$K$4*((1/'HVAC Calcs'!$D52)-(1/'Input HVAC Measures'!$K54)),IF('Input HVAC Measures'!$E54="High Eff. Heat Pump Unit",'Input HVAC Measures'!$H54*12000/1000*References!$K$5*((1/'HVAC Calcs'!$E52)-(1/'Input HVAC Measures'!$K54))+'Input HVAC Measures'!$H54*12000/1000*References!$N$5*((1/'HVAC Calcs'!$F52)-(1/'Input HVAC Measures'!$L54)),0))</f>
        <v>0</v>
      </c>
      <c r="I52" s="210" t="b">
        <f>IF('Input HVAC Measures'!$E54="High Eff. AC Unit",'Input HVAC Measures'!$H54*12000/1000*References!$L$4*((1/'HVAC Calcs'!$B52)-(1/'Input HVAC Measures'!$J54)),IF('Input HVAC Measures'!$E54="High Eff. Heat Pump Unit",'Input HVAC Measures'!$H54*12000/1000*References!$L$5*((1/'HVAC Calcs'!$C52)-(1/'Input HVAC Measures'!$J54))))</f>
        <v>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243AF-B3CC-4D4A-8040-5F839DF34AFA}">
  <sheetPr>
    <tabColor rgb="FFFF0000"/>
  </sheetPr>
  <dimension ref="A1:O17"/>
  <sheetViews>
    <sheetView workbookViewId="0">
      <selection activeCell="J10" sqref="J10"/>
    </sheetView>
  </sheetViews>
  <sheetFormatPr defaultRowHeight="12.75" x14ac:dyDescent="0.2"/>
  <cols>
    <col min="1" max="1" width="15.42578125" bestFit="1" customWidth="1"/>
    <col min="2" max="2" width="27.140625" bestFit="1" customWidth="1"/>
    <col min="3" max="3" width="18.5703125" customWidth="1"/>
    <col min="4" max="4" width="19.5703125" customWidth="1"/>
    <col min="5" max="5" width="22.140625" customWidth="1"/>
    <col min="6" max="6" width="12.5703125" customWidth="1"/>
    <col min="7" max="7" width="18.5703125" customWidth="1"/>
    <col min="8" max="8" width="17.28515625" customWidth="1"/>
    <col min="9" max="9" width="11.85546875" customWidth="1"/>
    <col min="12" max="12" width="12" bestFit="1" customWidth="1"/>
    <col min="13" max="13" width="18.5703125" bestFit="1" customWidth="1"/>
    <col min="14" max="14" width="16.28515625" bestFit="1" customWidth="1"/>
    <col min="15" max="15" width="12" bestFit="1" customWidth="1"/>
  </cols>
  <sheetData>
    <row r="1" spans="1:15" ht="14.25" thickTop="1" thickBot="1" x14ac:dyDescent="0.25">
      <c r="A1" s="358" t="s">
        <v>470</v>
      </c>
      <c r="B1" s="358"/>
      <c r="L1" s="358" t="s">
        <v>471</v>
      </c>
      <c r="M1" s="358"/>
    </row>
    <row r="2" spans="1:15" s="10" customFormat="1" ht="26.25" thickTop="1" x14ac:dyDescent="0.2">
      <c r="A2" s="85" t="s">
        <v>472</v>
      </c>
      <c r="B2" s="85" t="s">
        <v>132</v>
      </c>
      <c r="C2" s="85" t="s">
        <v>473</v>
      </c>
      <c r="D2" s="85" t="s">
        <v>474</v>
      </c>
      <c r="E2" s="85" t="s">
        <v>475</v>
      </c>
      <c r="F2" s="85" t="s">
        <v>476</v>
      </c>
      <c r="G2" s="85" t="s">
        <v>477</v>
      </c>
      <c r="H2" s="85" t="s">
        <v>478</v>
      </c>
      <c r="I2" s="85" t="s">
        <v>479</v>
      </c>
      <c r="J2" s="85" t="s">
        <v>480</v>
      </c>
      <c r="L2" t="s">
        <v>481</v>
      </c>
      <c r="M2" t="s">
        <v>482</v>
      </c>
      <c r="N2" t="s">
        <v>483</v>
      </c>
      <c r="O2" t="s">
        <v>484</v>
      </c>
    </row>
    <row r="3" spans="1:15" x14ac:dyDescent="0.2">
      <c r="A3" t="s">
        <v>222</v>
      </c>
      <c r="B3" t="s">
        <v>485</v>
      </c>
      <c r="C3" s="147">
        <f>'Input HVAC Measures'!R3</f>
        <v>0</v>
      </c>
      <c r="D3" s="145">
        <f>'Input HVAC Measures'!S3</f>
        <v>0</v>
      </c>
      <c r="E3" s="146">
        <f>'Input HVAC Measures'!T3</f>
        <v>0</v>
      </c>
      <c r="F3" s="147">
        <f>'Input HVAC Measures'!U3</f>
        <v>0</v>
      </c>
      <c r="G3" s="147">
        <f>'Input HVAC Measures'!V3</f>
        <v>0</v>
      </c>
      <c r="H3" s="147">
        <f>'Input HVAC Measures'!W3</f>
        <v>0</v>
      </c>
      <c r="I3" s="87" t="e">
        <f>Table_Measure_Caps[[#This Row],[Estimated Raw Incentive Total]]/Table_Measure_Caps[[#This Row],[Gross Measure Cost Total]]</f>
        <v>#DIV/0!</v>
      </c>
      <c r="J3" s="86" t="e">
        <f>Table_Measure_Caps[[#This Row],[Estimated Raw Incentive Total]]*MIN(Table_Measure_Caps[[#Totals],[Estimated Raw Incentive Total]], Table_Measure_Caps[[#Totals],[Gross Measure Cost Total]], Value_Project_CAP)/Table_Measure_Caps[[#Totals],[Estimated Raw Incentive Total]]</f>
        <v>#DIV/0!</v>
      </c>
      <c r="K3" s="86"/>
      <c r="L3" s="105"/>
      <c r="M3" s="34"/>
      <c r="N3" s="34"/>
      <c r="O3" s="34"/>
    </row>
    <row r="4" spans="1:15" x14ac:dyDescent="0.2">
      <c r="A4" t="s">
        <v>343</v>
      </c>
      <c r="B4" t="s">
        <v>486</v>
      </c>
      <c r="C4" s="147">
        <f>'Input Refrigeration Measures'!K4</f>
        <v>0</v>
      </c>
      <c r="D4" s="145">
        <f>'Input Refrigeration Measures'!L4</f>
        <v>0</v>
      </c>
      <c r="E4" s="146">
        <f>'Input Refrigeration Measures'!M4</f>
        <v>0</v>
      </c>
      <c r="F4" s="147">
        <f>'Input Refrigeration Measures'!N4</f>
        <v>0</v>
      </c>
      <c r="G4" s="147">
        <f>'Input Refrigeration Measures'!O4</f>
        <v>0</v>
      </c>
      <c r="H4" s="147">
        <f>'Input Refrigeration Measures'!P4</f>
        <v>0</v>
      </c>
      <c r="I4" s="87" t="e">
        <f>Table_Measure_Caps[[#This Row],[Estimated Raw Incentive Total]]/Table_Measure_Caps[[#This Row],[Gross Measure Cost Total]]</f>
        <v>#DIV/0!</v>
      </c>
      <c r="J4" s="86" t="e">
        <f>Table_Measure_Caps[[#This Row],[Estimated Raw Incentive Total]]*MIN(Table_Measure_Caps[[#Totals],[Estimated Raw Incentive Total]], Table_Measure_Caps[[#Totals],[Gross Measure Cost Total]], Value_Project_CAP)/Table_Measure_Caps[[#Totals],[Estimated Raw Incentive Total]]</f>
        <v>#DIV/0!</v>
      </c>
      <c r="K4" s="86"/>
    </row>
    <row r="5" spans="1:15" x14ac:dyDescent="0.2">
      <c r="A5" t="s">
        <v>487</v>
      </c>
      <c r="B5" t="s">
        <v>488</v>
      </c>
      <c r="C5" s="147">
        <f>'Input Comm Kitchen Measures'!K3</f>
        <v>0</v>
      </c>
      <c r="D5" s="145">
        <f>'Input Comm Kitchen Measures'!L3</f>
        <v>0</v>
      </c>
      <c r="E5" s="146">
        <f>'Input Comm Kitchen Measures'!M3</f>
        <v>0</v>
      </c>
      <c r="F5" s="147">
        <f>'Input Comm Kitchen Measures'!N3</f>
        <v>0</v>
      </c>
      <c r="G5" s="147">
        <f>'Input Comm Kitchen Measures'!O3</f>
        <v>0</v>
      </c>
      <c r="H5" s="147">
        <f>'Input Comm Kitchen Measures'!P3</f>
        <v>0</v>
      </c>
      <c r="I5" s="87" t="e">
        <f>Table_Measure_Caps[[#This Row],[Estimated Raw Incentive Total]]/Table_Measure_Caps[[#This Row],[Gross Measure Cost Total]]</f>
        <v>#DIV/0!</v>
      </c>
      <c r="J5" s="86" t="e">
        <f>Table_Measure_Caps[[#This Row],[Estimated Raw Incentive Total]]*MIN(Table_Measure_Caps[[#Totals],[Estimated Raw Incentive Total]], Table_Measure_Caps[[#Totals],[Gross Measure Cost Total]], Value_Project_CAP)/Table_Measure_Caps[[#Totals],[Estimated Raw Incentive Total]]</f>
        <v>#DIV/0!</v>
      </c>
      <c r="K5" s="86"/>
    </row>
    <row r="6" spans="1:15" x14ac:dyDescent="0.2">
      <c r="A6" t="s">
        <v>404</v>
      </c>
      <c r="B6" t="s">
        <v>489</v>
      </c>
      <c r="C6" s="147">
        <f>'Input Window Film Measures'!L3</f>
        <v>0</v>
      </c>
      <c r="D6" s="145">
        <f>'Input Window Film Measures'!M3</f>
        <v>0</v>
      </c>
      <c r="E6" s="146">
        <f>'Input Window Film Measures'!N3</f>
        <v>0</v>
      </c>
      <c r="F6" s="147">
        <f>'Input Window Film Measures'!O3</f>
        <v>0</v>
      </c>
      <c r="G6" s="147">
        <f>'Input Window Film Measures'!P3</f>
        <v>0</v>
      </c>
      <c r="H6" s="147">
        <f>'Input Window Film Measures'!Q3</f>
        <v>0</v>
      </c>
      <c r="I6" s="87" t="e">
        <f>Table_Measure_Caps[[#This Row],[Estimated Raw Incentive Total]]/Table_Measure_Caps[[#This Row],[Gross Measure Cost Total]]</f>
        <v>#DIV/0!</v>
      </c>
      <c r="J6" s="86" t="e">
        <f>Table_Measure_Caps[[#This Row],[Estimated Raw Incentive Total]]*MIN(Table_Measure_Caps[[#Totals],[Estimated Raw Incentive Total]], Table_Measure_Caps[[#Totals],[Gross Measure Cost Total]], Value_Project_CAP)/Table_Measure_Caps[[#Totals],[Estimated Raw Incentive Total]]</f>
        <v>#DIV/0!</v>
      </c>
      <c r="K6" s="86"/>
    </row>
    <row r="7" spans="1:15" x14ac:dyDescent="0.2">
      <c r="A7" t="s">
        <v>124</v>
      </c>
      <c r="B7" s="273" t="s">
        <v>589</v>
      </c>
      <c r="C7" s="147">
        <f>'Input Efficient Window Measures'!L3</f>
        <v>0</v>
      </c>
      <c r="D7" s="145">
        <f>'Input Efficient Window Measures'!M3</f>
        <v>0</v>
      </c>
      <c r="E7" s="146">
        <f>'Input Efficient Window Measures'!N3</f>
        <v>0</v>
      </c>
      <c r="F7" s="147">
        <f>'Input Efficient Window Measures'!O3</f>
        <v>0</v>
      </c>
      <c r="G7" s="147">
        <f>'Input Efficient Window Measures'!P3</f>
        <v>0</v>
      </c>
      <c r="H7" s="147">
        <f>'Input Efficient Window Measures'!Q3</f>
        <v>0</v>
      </c>
      <c r="I7" s="87" t="e">
        <f>Table_Measure_Caps[[#This Row],[Estimated Raw Incentive Total]]/Table_Measure_Caps[[#This Row],[Gross Measure Cost Total]]</f>
        <v>#DIV/0!</v>
      </c>
      <c r="J7" s="86" t="e">
        <f>Table_Measure_Caps[[#This Row],[Estimated Raw Incentive Total]]*MIN(Table_Measure_Caps[[#Totals],[Estimated Raw Incentive Total]], Table_Measure_Caps[[#Totals],[Gross Measure Cost Total]], Value_Project_CAP)/Table_Measure_Caps[[#Totals],[Estimated Raw Incentive Total]]</f>
        <v>#DIV/0!</v>
      </c>
      <c r="K7" s="86"/>
    </row>
    <row r="8" spans="1:15" x14ac:dyDescent="0.2">
      <c r="A8" t="s">
        <v>408</v>
      </c>
      <c r="B8" t="s">
        <v>490</v>
      </c>
      <c r="C8" s="147">
        <f>'Input Misc Measures'!K3</f>
        <v>0</v>
      </c>
      <c r="D8" s="145">
        <f>'Input Misc Measures'!L3</f>
        <v>0</v>
      </c>
      <c r="E8" s="146">
        <f>'Input Misc Measures'!M3</f>
        <v>0</v>
      </c>
      <c r="F8" s="147">
        <f>'Input Misc Measures'!N3</f>
        <v>0</v>
      </c>
      <c r="G8" s="147">
        <f>'Input Misc Measures'!O3</f>
        <v>0</v>
      </c>
      <c r="H8" s="147">
        <f>'Input Misc Measures'!P3</f>
        <v>0</v>
      </c>
      <c r="I8" s="87" t="e">
        <f>Table_Measure_Caps[[#This Row],[Estimated Raw Incentive Total]]/Table_Measure_Caps[[#This Row],[Gross Measure Cost Total]]</f>
        <v>#DIV/0!</v>
      </c>
      <c r="J8" s="86" t="e">
        <f>Table_Measure_Caps[[#This Row],[Estimated Raw Incentive Total]]*MIN(Table_Measure_Caps[[#Totals],[Estimated Raw Incentive Total]], Table_Measure_Caps[[#Totals],[Gross Measure Cost Total]], Value_Project_CAP)/Table_Measure_Caps[[#Totals],[Estimated Raw Incentive Total]]</f>
        <v>#DIV/0!</v>
      </c>
    </row>
    <row r="9" spans="1:15" x14ac:dyDescent="0.2">
      <c r="A9" t="s">
        <v>409</v>
      </c>
      <c r="B9" t="s">
        <v>409</v>
      </c>
      <c r="C9" s="147">
        <f>'Input Custom Measures'!R3</f>
        <v>0</v>
      </c>
      <c r="D9" s="145">
        <f>'Input Custom Measures'!S3</f>
        <v>0</v>
      </c>
      <c r="E9" s="146">
        <f>'Input Custom Measures'!T3</f>
        <v>0</v>
      </c>
      <c r="F9" s="147">
        <f>'Input Custom Measures'!U3</f>
        <v>0</v>
      </c>
      <c r="G9" s="147">
        <f>'Input Custom Measures'!V3</f>
        <v>0</v>
      </c>
      <c r="H9" s="147">
        <f>'Input Custom Measures'!W3</f>
        <v>0</v>
      </c>
      <c r="I9" s="87" t="e">
        <f>Table_Measure_Caps[[#This Row],[Estimated Raw Incentive Total]]/Table_Measure_Caps[[#This Row],[Gross Measure Cost Total]]</f>
        <v>#DIV/0!</v>
      </c>
      <c r="J9" s="86" t="e">
        <f>Table_Measure_Caps[[#This Row],[Estimated Raw Incentive Total]]*MIN(Table_Measure_Caps[[#Totals],[Estimated Raw Incentive Total]], Table_Measure_Caps[[#Totals],[Gross Measure Cost Total]], Value_Project_CAP)/Table_Measure_Caps[[#Totals],[Estimated Raw Incentive Total]]</f>
        <v>#DIV/0!</v>
      </c>
    </row>
    <row r="10" spans="1:15" x14ac:dyDescent="0.2">
      <c r="A10" t="s">
        <v>161</v>
      </c>
      <c r="C10" s="147">
        <f>SUBTOTAL(109,Table_Measure_Caps[Estimated Raw Incentive Total])</f>
        <v>0</v>
      </c>
      <c r="D10" s="145">
        <f>SUBTOTAL(109,Table_Measure_Caps[Energy Savings Total (kWh)])</f>
        <v>0</v>
      </c>
      <c r="E10" s="146">
        <f>SUBTOTAL(109,Table_Measure_Caps[Demand Reduction Total (kW)])</f>
        <v>0</v>
      </c>
      <c r="F10" s="147">
        <f>SUBTOTAL(109,Table_Measure_Caps[Cost Savings Total])</f>
        <v>0</v>
      </c>
      <c r="G10" s="147">
        <f>SUBTOTAL(109,Table_Measure_Caps[Gross Measure Cost Total])</f>
        <v>0</v>
      </c>
      <c r="H10" s="147">
        <f>SUBTOTAL(109,Table_Measure_Caps[Net Measure Cost Total])</f>
        <v>0</v>
      </c>
      <c r="I10" s="148" t="e">
        <f>Table_Measure_Caps[[#Totals],[Estimated Raw Incentive Total]]/Table_Measure_Caps[[#Totals],[Gross Measure Cost Total]]</f>
        <v>#DIV/0!</v>
      </c>
      <c r="J10" s="86" t="e">
        <f>SUBTOTAL(109,Table_Measure_Caps[Capped Incentive])</f>
        <v>#DIV/0!</v>
      </c>
    </row>
    <row r="14" spans="1:15" x14ac:dyDescent="0.2">
      <c r="G14" s="34"/>
      <c r="H14" s="34"/>
    </row>
    <row r="17" spans="5:5" x14ac:dyDescent="0.2">
      <c r="E17" s="34"/>
    </row>
  </sheetData>
  <mergeCells count="2">
    <mergeCell ref="A1:B1"/>
    <mergeCell ref="L1:M1"/>
  </mergeCells>
  <pageMargins left="0.7" right="0.7" top="0.75" bottom="0.75" header="0.3" footer="0.3"/>
  <tableParts count="2">
    <tablePart r:id="rId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8186-6E06-47F7-B2BF-1C7EA5417126}">
  <sheetPr codeName="Sheet7">
    <tabColor rgb="FFFF0000"/>
  </sheetPr>
  <dimension ref="A1:E27"/>
  <sheetViews>
    <sheetView workbookViewId="0">
      <selection activeCell="B24" sqref="B24"/>
    </sheetView>
  </sheetViews>
  <sheetFormatPr defaultRowHeight="12.75" x14ac:dyDescent="0.2"/>
  <cols>
    <col min="1" max="1" width="54.140625" customWidth="1"/>
    <col min="2" max="2" width="34.42578125" style="3" customWidth="1"/>
    <col min="3" max="3" width="29.140625" style="3" customWidth="1"/>
    <col min="4" max="4" width="12.28515625" bestFit="1" customWidth="1"/>
    <col min="6" max="6" width="22.28515625" bestFit="1" customWidth="1"/>
    <col min="7" max="7" width="7" bestFit="1" customWidth="1"/>
  </cols>
  <sheetData>
    <row r="1" spans="1:5" ht="15" x14ac:dyDescent="0.25">
      <c r="A1" s="6" t="s">
        <v>491</v>
      </c>
      <c r="B1" s="19"/>
      <c r="E1" s="18" t="s">
        <v>492</v>
      </c>
    </row>
    <row r="2" spans="1:5" ht="15" x14ac:dyDescent="0.25">
      <c r="A2" s="6" t="s">
        <v>493</v>
      </c>
      <c r="B2" s="20"/>
      <c r="E2" s="18"/>
    </row>
    <row r="3" spans="1:5" ht="15" x14ac:dyDescent="0.25">
      <c r="A3" s="6" t="s">
        <v>494</v>
      </c>
      <c r="B3" s="225" t="str">
        <f>IFERROR(Table16[[#Totals],[Energy Savings (kWh)]]/Input_Usage,"")</f>
        <v/>
      </c>
      <c r="E3" s="18"/>
    </row>
    <row r="5" spans="1:5" x14ac:dyDescent="0.2">
      <c r="A5" t="s">
        <v>495</v>
      </c>
      <c r="B5" s="2" t="s">
        <v>496</v>
      </c>
      <c r="C5" s="2" t="s">
        <v>497</v>
      </c>
    </row>
    <row r="6" spans="1:5" x14ac:dyDescent="0.2">
      <c r="A6" s="22" t="s">
        <v>498</v>
      </c>
      <c r="B6" s="17"/>
      <c r="C6" s="17"/>
    </row>
    <row r="7" spans="1:5" x14ac:dyDescent="0.2">
      <c r="A7" s="22" t="s">
        <v>499</v>
      </c>
      <c r="B7" s="17"/>
      <c r="C7" s="17"/>
    </row>
    <row r="8" spans="1:5" x14ac:dyDescent="0.2">
      <c r="A8" s="22" t="s">
        <v>500</v>
      </c>
      <c r="B8" s="17"/>
      <c r="C8" s="17"/>
    </row>
    <row r="9" spans="1:5" x14ac:dyDescent="0.2">
      <c r="A9" s="22" t="s">
        <v>501</v>
      </c>
      <c r="B9" s="21"/>
      <c r="C9" s="21"/>
    </row>
    <row r="10" spans="1:5" x14ac:dyDescent="0.2">
      <c r="A10" s="22" t="s">
        <v>502</v>
      </c>
      <c r="B10" s="21"/>
      <c r="C10" s="21"/>
    </row>
    <row r="11" spans="1:5" x14ac:dyDescent="0.2">
      <c r="A11" s="22" t="s">
        <v>503</v>
      </c>
      <c r="B11" s="21"/>
      <c r="C11" s="21"/>
    </row>
    <row r="12" spans="1:5" x14ac:dyDescent="0.2">
      <c r="A12" s="22" t="s">
        <v>504</v>
      </c>
      <c r="B12" s="21"/>
      <c r="C12" s="21"/>
    </row>
    <row r="13" spans="1:5" x14ac:dyDescent="0.2">
      <c r="A13" s="22" t="s">
        <v>505</v>
      </c>
      <c r="B13" s="21"/>
      <c r="C13" s="21"/>
    </row>
    <row r="14" spans="1:5" x14ac:dyDescent="0.2">
      <c r="A14" s="22" t="s">
        <v>506</v>
      </c>
      <c r="B14" s="21"/>
      <c r="C14" s="21"/>
    </row>
    <row r="15" spans="1:5" x14ac:dyDescent="0.2">
      <c r="A15" s="22" t="s">
        <v>507</v>
      </c>
      <c r="B15" s="21"/>
      <c r="C15" s="21"/>
    </row>
    <row r="16" spans="1:5" x14ac:dyDescent="0.2">
      <c r="A16" s="3"/>
      <c r="B16" s="25"/>
      <c r="C16" s="25"/>
    </row>
    <row r="17" spans="1:4" ht="15" x14ac:dyDescent="0.2">
      <c r="A17" s="26" t="s">
        <v>508</v>
      </c>
      <c r="B17" s="26" t="s">
        <v>509</v>
      </c>
      <c r="C17" s="27" t="s">
        <v>409</v>
      </c>
      <c r="D17" s="27" t="s">
        <v>161</v>
      </c>
    </row>
    <row r="18" spans="1:4" x14ac:dyDescent="0.2">
      <c r="A18" s="24" t="s">
        <v>510</v>
      </c>
      <c r="B18" s="28" t="e">
        <f>SUM('Review the Summary'!E31,'Review the Summary'!E32,'Review the Summary'!E33,'Review the Summary'!E34,'Review the Summary'!E36)</f>
        <v>#DIV/0!</v>
      </c>
      <c r="C18" s="28" t="e">
        <f>'Review the Summary'!E37</f>
        <v>#DIV/0!</v>
      </c>
      <c r="D18" s="28" t="e">
        <f>SUM(B18:C18)</f>
        <v>#DIV/0!</v>
      </c>
    </row>
    <row r="19" spans="1:4" x14ac:dyDescent="0.2">
      <c r="A19" s="24" t="s">
        <v>511</v>
      </c>
      <c r="B19" s="28">
        <f>SUM('Review the Summary'!D31,'Review the Summary'!D32,'Review the Summary'!D33,'Review the Summary'!D34,'Review the Summary'!D36)</f>
        <v>0</v>
      </c>
      <c r="C19" s="28">
        <f>'Review the Summary'!D37</f>
        <v>0</v>
      </c>
      <c r="D19" s="28">
        <f>SUM(B19:C19)</f>
        <v>0</v>
      </c>
    </row>
    <row r="20" spans="1:4" x14ac:dyDescent="0.2">
      <c r="A20" s="5" t="s">
        <v>512</v>
      </c>
      <c r="B20" s="23" t="e">
        <f>B$18/Value_Project_CAP</f>
        <v>#DIV/0!</v>
      </c>
      <c r="C20" s="23" t="e">
        <f>C$18/Value_Project_CAP</f>
        <v>#DIV/0!</v>
      </c>
      <c r="D20" s="23" t="e">
        <f>D$18/Value_Project_CAP</f>
        <v>#DIV/0!</v>
      </c>
    </row>
    <row r="21" spans="1:4" x14ac:dyDescent="0.2">
      <c r="A21" s="24" t="s">
        <v>513</v>
      </c>
      <c r="B21" s="23" t="e">
        <f>B$18/B$19</f>
        <v>#DIV/0!</v>
      </c>
      <c r="C21" s="23" t="e">
        <f>C$18/C$19</f>
        <v>#DIV/0!</v>
      </c>
      <c r="D21" s="23" t="e">
        <f>D$18/D$19</f>
        <v>#DIV/0!</v>
      </c>
    </row>
    <row r="23" spans="1:4" ht="15" x14ac:dyDescent="0.2">
      <c r="A23" s="26" t="s">
        <v>514</v>
      </c>
      <c r="B23" s="26" t="s">
        <v>509</v>
      </c>
    </row>
    <row r="24" spans="1:4" x14ac:dyDescent="0.2">
      <c r="A24" s="24" t="s">
        <v>515</v>
      </c>
      <c r="B24" s="28" t="b">
        <f>Table16[[#Totals],[Energy Savings (kWh)]]=SUM('APTracks Export Data'!G:G)</f>
        <v>1</v>
      </c>
    </row>
    <row r="25" spans="1:4" x14ac:dyDescent="0.2">
      <c r="A25" s="24" t="s">
        <v>516</v>
      </c>
      <c r="B25" s="28" t="e">
        <f>Table15[[#Totals],[Estimated Incentive]]=SUM('APTracks Export Data'!I:I)</f>
        <v>#DIV/0!</v>
      </c>
    </row>
    <row r="26" spans="1:4" x14ac:dyDescent="0.2">
      <c r="A26" s="5" t="s">
        <v>517</v>
      </c>
      <c r="B26" s="23" t="b">
        <f>Table15[[#Totals],[Gross Project Cost]]=SUM('APTracks Export Data'!J:K)</f>
        <v>1</v>
      </c>
    </row>
    <row r="27" spans="1:4" x14ac:dyDescent="0.2">
      <c r="A27" s="5" t="s">
        <v>518</v>
      </c>
      <c r="B27" s="23"/>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FAF85-49F4-4830-81E4-A9D43357CDC9}">
  <sheetPr>
    <tabColor rgb="FFFF0000"/>
  </sheetPr>
  <dimension ref="A1:R8"/>
  <sheetViews>
    <sheetView workbookViewId="0">
      <selection activeCell="K21" sqref="K21"/>
    </sheetView>
  </sheetViews>
  <sheetFormatPr defaultRowHeight="12.75" x14ac:dyDescent="0.2"/>
  <cols>
    <col min="1" max="1" width="18.28515625" bestFit="1" customWidth="1"/>
    <col min="2" max="2" width="15" bestFit="1" customWidth="1"/>
    <col min="3" max="3" width="14.42578125" bestFit="1" customWidth="1"/>
    <col min="4" max="4" width="13.5703125" bestFit="1" customWidth="1"/>
    <col min="5" max="5" width="8" bestFit="1" customWidth="1"/>
    <col min="6" max="6" width="7.42578125" bestFit="1" customWidth="1"/>
    <col min="7" max="7" width="10.5703125" bestFit="1" customWidth="1"/>
    <col min="8" max="8" width="13.28515625" bestFit="1" customWidth="1"/>
    <col min="9" max="9" width="22.7109375" bestFit="1" customWidth="1"/>
    <col min="10" max="10" width="13.140625" bestFit="1" customWidth="1"/>
    <col min="11" max="11" width="6.42578125" bestFit="1" customWidth="1"/>
    <col min="12" max="12" width="7.140625" bestFit="1" customWidth="1"/>
    <col min="13" max="13" width="15" bestFit="1" customWidth="1"/>
    <col min="14" max="14" width="12.7109375" bestFit="1" customWidth="1"/>
  </cols>
  <sheetData>
    <row r="1" spans="1:18" ht="13.5" thickBot="1" x14ac:dyDescent="0.25"/>
    <row r="2" spans="1:18" ht="14.25" thickTop="1" thickBot="1" x14ac:dyDescent="0.25">
      <c r="A2" s="57" t="s">
        <v>519</v>
      </c>
    </row>
    <row r="3" spans="1:18" ht="13.5" thickTop="1" x14ac:dyDescent="0.2">
      <c r="A3" t="s">
        <v>520</v>
      </c>
      <c r="B3" t="s">
        <v>37</v>
      </c>
      <c r="C3" t="s">
        <v>521</v>
      </c>
      <c r="D3" t="s">
        <v>522</v>
      </c>
      <c r="E3" t="s">
        <v>18</v>
      </c>
      <c r="F3" t="s">
        <v>19</v>
      </c>
      <c r="G3" t="s">
        <v>523</v>
      </c>
      <c r="H3" t="s">
        <v>524</v>
      </c>
      <c r="I3" t="s">
        <v>525</v>
      </c>
      <c r="J3" t="s">
        <v>526</v>
      </c>
      <c r="K3" t="s">
        <v>527</v>
      </c>
      <c r="L3" t="s">
        <v>528</v>
      </c>
      <c r="M3" t="s">
        <v>529</v>
      </c>
      <c r="N3" t="s">
        <v>64</v>
      </c>
      <c r="O3" t="s">
        <v>174</v>
      </c>
      <c r="P3" t="s">
        <v>530</v>
      </c>
      <c r="Q3" t="s">
        <v>67</v>
      </c>
      <c r="R3" t="s">
        <v>69</v>
      </c>
    </row>
    <row r="4" spans="1:18" x14ac:dyDescent="0.2">
      <c r="A4" s="74" t="s">
        <v>62</v>
      </c>
      <c r="B4">
        <f>'Fill in the Application'!$C$4</f>
        <v>0</v>
      </c>
      <c r="C4">
        <f>'Fill in the Application'!$C$5</f>
        <v>0</v>
      </c>
      <c r="D4">
        <f>'Fill in the Application'!$C$6</f>
        <v>0</v>
      </c>
      <c r="E4">
        <f>'Fill in the Application'!$C$7</f>
        <v>0</v>
      </c>
      <c r="F4">
        <f>'Fill in the Application'!$C$8</f>
        <v>0</v>
      </c>
      <c r="G4">
        <f>'Fill in the Application'!$C$9</f>
        <v>0</v>
      </c>
      <c r="H4">
        <f>'Fill in the Application'!$C$10</f>
        <v>0</v>
      </c>
      <c r="I4">
        <f>'Fill in the Application'!$C$11</f>
        <v>0</v>
      </c>
      <c r="J4">
        <f>'Fill in the Application'!$C$12</f>
        <v>0</v>
      </c>
      <c r="K4">
        <f>'Fill in the Application'!$C$13</f>
        <v>0</v>
      </c>
      <c r="L4">
        <f>'Fill in the Application'!$C$14</f>
        <v>0</v>
      </c>
      <c r="M4" t="s">
        <v>531</v>
      </c>
      <c r="N4" t="str">
        <f>Table_Contacts[[#This Row],[Entity]]</f>
        <v>Customer</v>
      </c>
      <c r="O4" t="s">
        <v>531</v>
      </c>
      <c r="P4" t="s">
        <v>531</v>
      </c>
      <c r="Q4" t="s">
        <v>531</v>
      </c>
      <c r="R4" t="s">
        <v>531</v>
      </c>
    </row>
    <row r="5" spans="1:18" x14ac:dyDescent="0.2">
      <c r="A5" s="74" t="s">
        <v>245</v>
      </c>
      <c r="B5">
        <f>'Fill in the Application'!$C$16</f>
        <v>0</v>
      </c>
      <c r="C5">
        <f>'Fill in the Application'!$C$17</f>
        <v>0</v>
      </c>
      <c r="D5">
        <f>'Fill in the Application'!$C$18</f>
        <v>0</v>
      </c>
      <c r="E5">
        <f>'Fill in the Application'!$C$19</f>
        <v>0</v>
      </c>
      <c r="F5">
        <f>'Fill in the Application'!$C$20</f>
        <v>0</v>
      </c>
      <c r="G5">
        <f>'Fill in the Application'!$C$21</f>
        <v>0</v>
      </c>
      <c r="H5">
        <f>'Fill in the Application'!$C$22</f>
        <v>0</v>
      </c>
      <c r="I5">
        <f>'Fill in the Application'!$C$23</f>
        <v>0</v>
      </c>
      <c r="J5" t="s">
        <v>531</v>
      </c>
      <c r="K5" t="s">
        <v>531</v>
      </c>
      <c r="L5" t="s">
        <v>531</v>
      </c>
      <c r="M5">
        <f>'Fill in the Application'!$C$24</f>
        <v>0</v>
      </c>
      <c r="N5" t="str">
        <f>Table_Contacts[[#This Row],[Entity]]</f>
        <v>Trade Ally/Contractor</v>
      </c>
      <c r="O5" t="s">
        <v>531</v>
      </c>
      <c r="P5" t="s">
        <v>531</v>
      </c>
      <c r="Q5" t="s">
        <v>531</v>
      </c>
      <c r="R5" t="s">
        <v>531</v>
      </c>
    </row>
    <row r="6" spans="1:18" x14ac:dyDescent="0.2">
      <c r="A6" s="74" t="s">
        <v>157</v>
      </c>
      <c r="B6">
        <f>'Fill in the Application'!$C$26</f>
        <v>0</v>
      </c>
      <c r="C6">
        <f>'Fill in the Application'!$C$27</f>
        <v>0</v>
      </c>
      <c r="D6">
        <f>'Fill in the Application'!$C$28</f>
        <v>0</v>
      </c>
      <c r="E6">
        <f>'Fill in the Application'!$C$29</f>
        <v>0</v>
      </c>
      <c r="F6">
        <f>'Fill in the Application'!$C$30</f>
        <v>0</v>
      </c>
      <c r="G6">
        <f>'Fill in the Application'!$C$31</f>
        <v>0</v>
      </c>
      <c r="H6">
        <f>'Fill in the Application'!$C$32</f>
        <v>0</v>
      </c>
      <c r="I6">
        <f>'Fill in the Application'!$C$33</f>
        <v>0</v>
      </c>
      <c r="J6" t="s">
        <v>531</v>
      </c>
      <c r="K6" t="s">
        <v>531</v>
      </c>
      <c r="L6" t="s">
        <v>531</v>
      </c>
      <c r="M6" t="s">
        <v>531</v>
      </c>
      <c r="N6">
        <f>'Fill in the Application'!$C$34</f>
        <v>0</v>
      </c>
      <c r="O6" t="s">
        <v>531</v>
      </c>
      <c r="P6" t="s">
        <v>531</v>
      </c>
      <c r="Q6" t="s">
        <v>531</v>
      </c>
      <c r="R6" t="s">
        <v>531</v>
      </c>
    </row>
    <row r="7" spans="1:18" x14ac:dyDescent="0.2">
      <c r="A7" s="74" t="s">
        <v>274</v>
      </c>
      <c r="B7">
        <f>'Fill in the Application'!$F$14</f>
        <v>0</v>
      </c>
      <c r="C7">
        <f>'Fill in the Application'!$F$15</f>
        <v>0</v>
      </c>
      <c r="D7">
        <f>'Fill in the Application'!$F$16</f>
        <v>0</v>
      </c>
      <c r="E7">
        <f>'Fill in the Application'!$F$17</f>
        <v>0</v>
      </c>
      <c r="F7">
        <f>'Fill in the Application'!$F$18</f>
        <v>0</v>
      </c>
      <c r="G7">
        <f>'Fill in the Application'!$F$19</f>
        <v>0</v>
      </c>
      <c r="H7">
        <f>'Fill in the Application'!$F$20</f>
        <v>0</v>
      </c>
      <c r="I7">
        <f>'Fill in the Application'!$F$21</f>
        <v>0</v>
      </c>
      <c r="J7" t="s">
        <v>531</v>
      </c>
      <c r="K7" t="s">
        <v>531</v>
      </c>
      <c r="L7" t="s">
        <v>531</v>
      </c>
      <c r="M7" t="s">
        <v>531</v>
      </c>
      <c r="N7" t="str">
        <f>Table_Contacts[[#This Row],[Entity]]</f>
        <v>Job Site</v>
      </c>
      <c r="O7" t="s">
        <v>531</v>
      </c>
      <c r="P7" t="s">
        <v>531</v>
      </c>
      <c r="Q7" t="s">
        <v>531</v>
      </c>
      <c r="R7" t="s">
        <v>531</v>
      </c>
    </row>
    <row r="8" spans="1:18" x14ac:dyDescent="0.2">
      <c r="A8" s="74" t="s">
        <v>532</v>
      </c>
      <c r="B8" t="e">
        <f>INDEX(Table_Contacts[Business Name], MATCH('Fill in the Application'!$C$36, Table_Contacts[Entity], 0))</f>
        <v>#N/A</v>
      </c>
      <c r="C8" t="e">
        <f>INDEX(Table_Contacts[Contact Name], MATCH('Fill in the Application'!$C$36, Table_Contacts[Entity], 0))</f>
        <v>#N/A</v>
      </c>
      <c r="D8" t="e">
        <f>INDEX(Table_Contacts[Street], MATCH('Fill in the Application'!$C$36, Table_Contacts[Entity], 0))</f>
        <v>#N/A</v>
      </c>
      <c r="E8" t="e">
        <f>INDEX(Table_Contacts[City], MATCH('Fill in the Application'!$C$36, Table_Contacts[Entity], 0))</f>
        <v>#N/A</v>
      </c>
      <c r="F8" t="e">
        <f>INDEX(Table_Contacts[State], MATCH('Fill in the Application'!$C$36, Table_Contacts[Entity], 0))</f>
        <v>#N/A</v>
      </c>
      <c r="G8" t="e">
        <f>INDEX(Table_Contacts[Zip], MATCH('Fill in the Application'!$C$36, Table_Contacts[Entity], 0))</f>
        <v>#N/A</v>
      </c>
      <c r="H8" t="e">
        <f>INDEX(Table_Contacts[Phone], MATCH('Fill in the Application'!$C$36, Table_Contacts[Entity], 0))</f>
        <v>#N/A</v>
      </c>
      <c r="I8" t="e">
        <f>INDEX(Table_Contacts[Email], MATCH('Fill in the Application'!$C$36, Table_Contacts[Entity], 0))</f>
        <v>#N/A</v>
      </c>
      <c r="J8" t="e">
        <f>INDEX(Table_Contacts[Classification], MATCH('Fill in the Application'!$C$36, Table_Contacts[Entity], 0))</f>
        <v>#N/A</v>
      </c>
      <c r="K8" t="s">
        <v>531</v>
      </c>
      <c r="L8" t="s">
        <v>531</v>
      </c>
      <c r="M8" t="s">
        <v>531</v>
      </c>
      <c r="N8" t="s">
        <v>531</v>
      </c>
      <c r="O8">
        <f>'Fill in the Application'!F33</f>
        <v>0</v>
      </c>
      <c r="P8">
        <f>'Fill in the Application'!F34</f>
        <v>0</v>
      </c>
      <c r="Q8">
        <f>'Fill in the Application'!F35</f>
        <v>0</v>
      </c>
      <c r="R8">
        <f>'Fill in the Application'!F36</f>
        <v>0</v>
      </c>
    </row>
  </sheetData>
  <pageMargins left="0.7" right="0.7" top="0.75" bottom="0.75" header="0.3" footer="0.3"/>
  <pageSetup orientation="portrait" horizontalDpi="0" verticalDpi="0" r:id="rId1"/>
  <ignoredErrors>
    <ignoredError sqref="O4:R7" calculatedColumn="1"/>
    <ignoredError sqref="N6" formula="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799DA-3079-4798-A831-80E5996DF33A}">
  <sheetPr codeName="Sheet10">
    <tabColor rgb="FFFF0000"/>
  </sheetPr>
  <dimension ref="A1:N212"/>
  <sheetViews>
    <sheetView workbookViewId="0">
      <selection activeCell="A3" sqref="A3"/>
    </sheetView>
  </sheetViews>
  <sheetFormatPr defaultColWidth="9.140625" defaultRowHeight="12.75" x14ac:dyDescent="0.2"/>
  <cols>
    <col min="1" max="1" width="13.42578125" customWidth="1"/>
    <col min="2" max="2" width="17.140625" customWidth="1"/>
    <col min="3" max="3" width="16.85546875" customWidth="1"/>
    <col min="4" max="4" width="18.7109375" customWidth="1"/>
    <col min="5" max="5" width="17.5703125" customWidth="1"/>
    <col min="6" max="6" width="8.7109375" customWidth="1"/>
    <col min="7" max="7" width="14.28515625" customWidth="1"/>
    <col min="8" max="8" width="13.140625" customWidth="1"/>
    <col min="9" max="10" width="17.140625" style="42" customWidth="1"/>
    <col min="11" max="11" width="13" customWidth="1"/>
    <col min="12" max="12" width="19.28515625" customWidth="1"/>
    <col min="13" max="13" width="56" customWidth="1"/>
    <col min="14" max="14" width="12.28515625" style="42" customWidth="1"/>
  </cols>
  <sheetData>
    <row r="1" spans="1:14" ht="30" x14ac:dyDescent="0.25">
      <c r="A1" s="98" t="s">
        <v>533</v>
      </c>
      <c r="B1" s="99" t="s">
        <v>534</v>
      </c>
      <c r="C1" s="99" t="s">
        <v>535</v>
      </c>
      <c r="D1" s="99" t="s">
        <v>78</v>
      </c>
      <c r="E1" s="99" t="s">
        <v>81</v>
      </c>
      <c r="F1" s="99" t="s">
        <v>187</v>
      </c>
      <c r="G1" s="100" t="s">
        <v>468</v>
      </c>
      <c r="H1" s="99" t="s">
        <v>469</v>
      </c>
      <c r="I1" s="101" t="s">
        <v>510</v>
      </c>
      <c r="J1" s="101" t="s">
        <v>536</v>
      </c>
      <c r="K1" s="99" t="s">
        <v>537</v>
      </c>
      <c r="L1" s="99" t="s">
        <v>538</v>
      </c>
      <c r="M1" s="102" t="s">
        <v>184</v>
      </c>
      <c r="N1" s="101" t="s">
        <v>539</v>
      </c>
    </row>
    <row r="2" spans="1:14" x14ac:dyDescent="0.2">
      <c r="A2" s="38"/>
      <c r="B2" s="37"/>
      <c r="C2" s="37"/>
      <c r="D2" s="37"/>
      <c r="E2" s="37"/>
      <c r="F2" s="37"/>
      <c r="G2" s="37"/>
      <c r="H2" s="136"/>
      <c r="I2" s="43"/>
      <c r="J2" s="43"/>
      <c r="K2" s="37"/>
      <c r="L2" s="39"/>
      <c r="M2" s="96"/>
      <c r="N2" s="40"/>
    </row>
    <row r="3" spans="1:14" x14ac:dyDescent="0.2">
      <c r="A3" s="13" t="s">
        <v>222</v>
      </c>
      <c r="B3" s="12">
        <f t="shared" ref="B3:B104" si="0">Input_ProjectNumber</f>
        <v>0</v>
      </c>
      <c r="C3" s="12">
        <f>'Input HVAC Measures'!B5</f>
        <v>1</v>
      </c>
      <c r="D3" s="12" t="str">
        <f>'Input HVAC Measures'!C5</f>
        <v/>
      </c>
      <c r="E3" s="12" t="str">
        <f>'Input HVAC Measures'!F5</f>
        <v/>
      </c>
      <c r="F3" s="12" t="str">
        <f>IF(ISNUMBER($D3)=TRUE,'Input HVAC Measures'!G5,"")</f>
        <v/>
      </c>
      <c r="G3" s="12" t="str">
        <f>IF(ISNUMBER($D3)=TRUE,'Input HVAC Measures'!S5,"")</f>
        <v/>
      </c>
      <c r="H3" s="137" t="str">
        <f>IF(ISNUMBER($D3)=TRUE,'Input HVAC Measures'!T5,"")</f>
        <v/>
      </c>
      <c r="I3" s="44" t="str">
        <f>IFERROR(N3*MIN(Table_Measure_Caps[[#Totals],[Estimated Raw Incentive Total]], Table_Measure_Caps[[#Totals],[Gross Measure Cost Total]], Value_Project_CAP)/Table_Measure_Caps[[#Totals],[Estimated Raw Incentive Total]], "")</f>
        <v/>
      </c>
      <c r="J3" s="44" t="str">
        <f>IF(ISNUMBER($D3)=TRUE,'Input HVAC Measures'!O5,"")</f>
        <v/>
      </c>
      <c r="K3" s="12" t="str">
        <f>IF(ISNUMBER($D3)=TRUE,'Input HVAC Measures'!P5,"")</f>
        <v/>
      </c>
      <c r="L3" s="29" t="str">
        <f t="shared" ref="L3:L65" si="1">Value_Application_Version</f>
        <v>Version 5.0</v>
      </c>
      <c r="M3" s="97" t="str">
        <f>IF(ISNUMBER($D3)=TRUE,'Input HVAC Measures'!E5,"")</f>
        <v/>
      </c>
      <c r="N3" s="41" t="str">
        <f>'Input HVAC Measures'!R5</f>
        <v/>
      </c>
    </row>
    <row r="4" spans="1:14" x14ac:dyDescent="0.2">
      <c r="A4" s="13" t="s">
        <v>222</v>
      </c>
      <c r="B4" s="12">
        <f t="shared" si="0"/>
        <v>0</v>
      </c>
      <c r="C4" s="12">
        <f>'Input HVAC Measures'!B6</f>
        <v>2</v>
      </c>
      <c r="D4" s="12" t="str">
        <f>'Input HVAC Measures'!C6</f>
        <v/>
      </c>
      <c r="E4" s="12" t="str">
        <f>'Input HVAC Measures'!F6</f>
        <v/>
      </c>
      <c r="F4" s="12" t="str">
        <f>IF(ISNUMBER($D4)=TRUE,'Input HVAC Measures'!G6,"")</f>
        <v/>
      </c>
      <c r="G4" s="12" t="str">
        <f>IF(ISNUMBER($D4)=TRUE,'Input HVAC Measures'!S6,"")</f>
        <v/>
      </c>
      <c r="H4" s="137" t="str">
        <f>IF(ISNUMBER($D4)=TRUE,'Input HVAC Measures'!T6,"")</f>
        <v/>
      </c>
      <c r="I4" s="44" t="str">
        <f>IFERROR(N4*MIN(Table_Measure_Caps[[#Totals],[Estimated Raw Incentive Total]], Table_Measure_Caps[[#Totals],[Gross Measure Cost Total]], Value_Project_CAP)/Table_Measure_Caps[[#Totals],[Estimated Raw Incentive Total]], "")</f>
        <v/>
      </c>
      <c r="J4" s="44" t="str">
        <f>IF(ISNUMBER($D4)=TRUE,'Input HVAC Measures'!O6,"")</f>
        <v/>
      </c>
      <c r="K4" s="12" t="str">
        <f>IF(ISNUMBER($D4)=TRUE,'Input HVAC Measures'!P6,"")</f>
        <v/>
      </c>
      <c r="L4" s="29" t="str">
        <f t="shared" si="1"/>
        <v>Version 5.0</v>
      </c>
      <c r="M4" s="97" t="str">
        <f>IF(ISNUMBER($D4)=TRUE,'Input HVAC Measures'!E6,"")</f>
        <v/>
      </c>
      <c r="N4" s="41" t="str">
        <f>'Input HVAC Measures'!R6</f>
        <v/>
      </c>
    </row>
    <row r="5" spans="1:14" x14ac:dyDescent="0.2">
      <c r="A5" s="13" t="s">
        <v>222</v>
      </c>
      <c r="B5" s="12">
        <f t="shared" si="0"/>
        <v>0</v>
      </c>
      <c r="C5" s="12">
        <f>'Input HVAC Measures'!B7</f>
        <v>3</v>
      </c>
      <c r="D5" s="12" t="str">
        <f>'Input HVAC Measures'!C7</f>
        <v/>
      </c>
      <c r="E5" s="12" t="str">
        <f>'Input HVAC Measures'!F7</f>
        <v/>
      </c>
      <c r="F5" s="12" t="str">
        <f>IF(ISNUMBER($D5)=TRUE,'Input HVAC Measures'!G7,"")</f>
        <v/>
      </c>
      <c r="G5" s="12" t="str">
        <f>IF(ISNUMBER($D5)=TRUE,'Input HVAC Measures'!S7,"")</f>
        <v/>
      </c>
      <c r="H5" s="137" t="str">
        <f>IF(ISNUMBER($D5)=TRUE,'Input HVAC Measures'!T7,"")</f>
        <v/>
      </c>
      <c r="I5" s="44" t="str">
        <f>IFERROR(N5*MIN(Table_Measure_Caps[[#Totals],[Estimated Raw Incentive Total]], Table_Measure_Caps[[#Totals],[Gross Measure Cost Total]], Value_Project_CAP)/Table_Measure_Caps[[#Totals],[Estimated Raw Incentive Total]], "")</f>
        <v/>
      </c>
      <c r="J5" s="44" t="str">
        <f>IF(ISNUMBER($D5)=TRUE,'Input HVAC Measures'!O7,"")</f>
        <v/>
      </c>
      <c r="K5" s="12" t="str">
        <f>IF(ISNUMBER($D5)=TRUE,'Input HVAC Measures'!P7,"")</f>
        <v/>
      </c>
      <c r="L5" s="29" t="str">
        <f t="shared" si="1"/>
        <v>Version 5.0</v>
      </c>
      <c r="M5" s="97" t="str">
        <f>IF(ISNUMBER($D5)=TRUE,'Input HVAC Measures'!E7,"")</f>
        <v/>
      </c>
      <c r="N5" s="41" t="str">
        <f>'Input HVAC Measures'!R7</f>
        <v/>
      </c>
    </row>
    <row r="6" spans="1:14" x14ac:dyDescent="0.2">
      <c r="A6" s="13" t="s">
        <v>222</v>
      </c>
      <c r="B6" s="12">
        <f t="shared" si="0"/>
        <v>0</v>
      </c>
      <c r="C6" s="12">
        <f>'Input HVAC Measures'!B8</f>
        <v>4</v>
      </c>
      <c r="D6" s="12" t="str">
        <f>'Input HVAC Measures'!C8</f>
        <v/>
      </c>
      <c r="E6" s="12" t="str">
        <f>'Input HVAC Measures'!F8</f>
        <v/>
      </c>
      <c r="F6" s="12" t="str">
        <f>IF(ISNUMBER($D6)=TRUE,'Input HVAC Measures'!G8,"")</f>
        <v/>
      </c>
      <c r="G6" s="12" t="str">
        <f>IF(ISNUMBER($D6)=TRUE,'Input HVAC Measures'!S8,"")</f>
        <v/>
      </c>
      <c r="H6" s="137" t="str">
        <f>IF(ISNUMBER($D6)=TRUE,'Input HVAC Measures'!T8,"")</f>
        <v/>
      </c>
      <c r="I6" s="44" t="str">
        <f>IFERROR(N6*MIN(Table_Measure_Caps[[#Totals],[Estimated Raw Incentive Total]], Table_Measure_Caps[[#Totals],[Gross Measure Cost Total]], Value_Project_CAP)/Table_Measure_Caps[[#Totals],[Estimated Raw Incentive Total]], "")</f>
        <v/>
      </c>
      <c r="J6" s="44" t="str">
        <f>IF(ISNUMBER($D6)=TRUE,'Input HVAC Measures'!O8,"")</f>
        <v/>
      </c>
      <c r="K6" s="12" t="str">
        <f>IF(ISNUMBER($D6)=TRUE,'Input HVAC Measures'!P8,"")</f>
        <v/>
      </c>
      <c r="L6" s="29" t="str">
        <f t="shared" si="1"/>
        <v>Version 5.0</v>
      </c>
      <c r="M6" s="97" t="str">
        <f>IF(ISNUMBER($D6)=TRUE,'Input HVAC Measures'!E8,"")</f>
        <v/>
      </c>
      <c r="N6" s="41" t="str">
        <f>'Input HVAC Measures'!R8</f>
        <v/>
      </c>
    </row>
    <row r="7" spans="1:14" x14ac:dyDescent="0.2">
      <c r="A7" s="13" t="s">
        <v>222</v>
      </c>
      <c r="B7" s="12">
        <f t="shared" si="0"/>
        <v>0</v>
      </c>
      <c r="C7" s="12">
        <f>'Input HVAC Measures'!B9</f>
        <v>5</v>
      </c>
      <c r="D7" s="12" t="str">
        <f>'Input HVAC Measures'!C9</f>
        <v/>
      </c>
      <c r="E7" s="12" t="str">
        <f>'Input HVAC Measures'!F9</f>
        <v/>
      </c>
      <c r="F7" s="12" t="str">
        <f>IF(ISNUMBER($D7)=TRUE,'Input HVAC Measures'!G9,"")</f>
        <v/>
      </c>
      <c r="G7" s="12" t="str">
        <f>IF(ISNUMBER($D7)=TRUE,'Input HVAC Measures'!S9,"")</f>
        <v/>
      </c>
      <c r="H7" s="137" t="str">
        <f>IF(ISNUMBER($D7)=TRUE,'Input HVAC Measures'!T9,"")</f>
        <v/>
      </c>
      <c r="I7" s="44" t="str">
        <f>IFERROR(N7*MIN(Table_Measure_Caps[[#Totals],[Estimated Raw Incentive Total]], Table_Measure_Caps[[#Totals],[Gross Measure Cost Total]], Value_Project_CAP)/Table_Measure_Caps[[#Totals],[Estimated Raw Incentive Total]], "")</f>
        <v/>
      </c>
      <c r="J7" s="44" t="str">
        <f>IF(ISNUMBER($D7)=TRUE,'Input HVAC Measures'!O9,"")</f>
        <v/>
      </c>
      <c r="K7" s="12" t="str">
        <f>IF(ISNUMBER($D7)=TRUE,'Input HVAC Measures'!P9,"")</f>
        <v/>
      </c>
      <c r="L7" s="29" t="str">
        <f t="shared" si="1"/>
        <v>Version 5.0</v>
      </c>
      <c r="M7" s="97" t="str">
        <f>IF(ISNUMBER($D7)=TRUE,'Input HVAC Measures'!E9,"")</f>
        <v/>
      </c>
      <c r="N7" s="41" t="str">
        <f>'Input HVAC Measures'!R9</f>
        <v/>
      </c>
    </row>
    <row r="8" spans="1:14" x14ac:dyDescent="0.2">
      <c r="A8" s="13" t="s">
        <v>222</v>
      </c>
      <c r="B8" s="12">
        <f t="shared" si="0"/>
        <v>0</v>
      </c>
      <c r="C8" s="12">
        <f>'Input HVAC Measures'!B10</f>
        <v>6</v>
      </c>
      <c r="D8" s="12" t="str">
        <f>'Input HVAC Measures'!C10</f>
        <v/>
      </c>
      <c r="E8" s="12" t="str">
        <f>'Input HVAC Measures'!F10</f>
        <v/>
      </c>
      <c r="F8" s="12" t="str">
        <f>IF(ISNUMBER($D8)=TRUE,'Input HVAC Measures'!G10,"")</f>
        <v/>
      </c>
      <c r="G8" s="12" t="str">
        <f>IF(ISNUMBER($D8)=TRUE,'Input HVAC Measures'!S10,"")</f>
        <v/>
      </c>
      <c r="H8" s="137" t="str">
        <f>IF(ISNUMBER($D8)=TRUE,'Input HVAC Measures'!T10,"")</f>
        <v/>
      </c>
      <c r="I8" s="44" t="str">
        <f>IFERROR(N8*MIN(Table_Measure_Caps[[#Totals],[Estimated Raw Incentive Total]], Table_Measure_Caps[[#Totals],[Gross Measure Cost Total]], Value_Project_CAP)/Table_Measure_Caps[[#Totals],[Estimated Raw Incentive Total]], "")</f>
        <v/>
      </c>
      <c r="J8" s="44" t="str">
        <f>IF(ISNUMBER($D8)=TRUE,'Input HVAC Measures'!O10,"")</f>
        <v/>
      </c>
      <c r="K8" s="12" t="str">
        <f>IF(ISNUMBER($D8)=TRUE,'Input HVAC Measures'!P10,"")</f>
        <v/>
      </c>
      <c r="L8" s="29" t="str">
        <f t="shared" si="1"/>
        <v>Version 5.0</v>
      </c>
      <c r="M8" s="97" t="str">
        <f>IF(ISNUMBER($D8)=TRUE,'Input HVAC Measures'!E10,"")</f>
        <v/>
      </c>
      <c r="N8" s="41" t="str">
        <f>'Input HVAC Measures'!R10</f>
        <v/>
      </c>
    </row>
    <row r="9" spans="1:14" x14ac:dyDescent="0.2">
      <c r="A9" s="13" t="s">
        <v>222</v>
      </c>
      <c r="B9" s="12">
        <f t="shared" si="0"/>
        <v>0</v>
      </c>
      <c r="C9" s="12">
        <f>'Input HVAC Measures'!B11</f>
        <v>7</v>
      </c>
      <c r="D9" s="12" t="str">
        <f>'Input HVAC Measures'!C11</f>
        <v/>
      </c>
      <c r="E9" s="12" t="str">
        <f>'Input HVAC Measures'!F11</f>
        <v/>
      </c>
      <c r="F9" s="12" t="str">
        <f>IF(ISNUMBER($D9)=TRUE,'Input HVAC Measures'!G11,"")</f>
        <v/>
      </c>
      <c r="G9" s="12" t="str">
        <f>IF(ISNUMBER($D9)=TRUE,'Input HVAC Measures'!S11,"")</f>
        <v/>
      </c>
      <c r="H9" s="137" t="str">
        <f>IF(ISNUMBER($D9)=TRUE,'Input HVAC Measures'!T11,"")</f>
        <v/>
      </c>
      <c r="I9" s="44" t="str">
        <f>IFERROR(N9*MIN(Table_Measure_Caps[[#Totals],[Estimated Raw Incentive Total]], Table_Measure_Caps[[#Totals],[Gross Measure Cost Total]], Value_Project_CAP)/Table_Measure_Caps[[#Totals],[Estimated Raw Incentive Total]], "")</f>
        <v/>
      </c>
      <c r="J9" s="44" t="str">
        <f>IF(ISNUMBER($D9)=TRUE,'Input HVAC Measures'!O11,"")</f>
        <v/>
      </c>
      <c r="K9" s="12" t="str">
        <f>IF(ISNUMBER($D9)=TRUE,'Input HVAC Measures'!P11,"")</f>
        <v/>
      </c>
      <c r="L9" s="29" t="str">
        <f t="shared" si="1"/>
        <v>Version 5.0</v>
      </c>
      <c r="M9" s="97" t="str">
        <f>IF(ISNUMBER($D9)=TRUE,'Input HVAC Measures'!E11,"")</f>
        <v/>
      </c>
      <c r="N9" s="41" t="str">
        <f>'Input HVAC Measures'!R11</f>
        <v/>
      </c>
    </row>
    <row r="10" spans="1:14" x14ac:dyDescent="0.2">
      <c r="A10" s="13" t="s">
        <v>222</v>
      </c>
      <c r="B10" s="12">
        <f t="shared" si="0"/>
        <v>0</v>
      </c>
      <c r="C10" s="12">
        <f>'Input HVAC Measures'!B12</f>
        <v>8</v>
      </c>
      <c r="D10" s="12" t="str">
        <f>'Input HVAC Measures'!C12</f>
        <v/>
      </c>
      <c r="E10" s="12" t="str">
        <f>'Input HVAC Measures'!F12</f>
        <v/>
      </c>
      <c r="F10" s="12" t="str">
        <f>IF(ISNUMBER($D10)=TRUE,'Input HVAC Measures'!G12,"")</f>
        <v/>
      </c>
      <c r="G10" s="12" t="str">
        <f>IF(ISNUMBER($D10)=TRUE,'Input HVAC Measures'!S12,"")</f>
        <v/>
      </c>
      <c r="H10" s="137" t="str">
        <f>IF(ISNUMBER($D10)=TRUE,'Input HVAC Measures'!T12,"")</f>
        <v/>
      </c>
      <c r="I10" s="44" t="str">
        <f>IFERROR(N10*MIN(Table_Measure_Caps[[#Totals],[Estimated Raw Incentive Total]], Table_Measure_Caps[[#Totals],[Gross Measure Cost Total]], Value_Project_CAP)/Table_Measure_Caps[[#Totals],[Estimated Raw Incentive Total]], "")</f>
        <v/>
      </c>
      <c r="J10" s="44" t="str">
        <f>IF(ISNUMBER($D10)=TRUE,'Input HVAC Measures'!O12,"")</f>
        <v/>
      </c>
      <c r="K10" s="12" t="str">
        <f>IF(ISNUMBER($D10)=TRUE,'Input HVAC Measures'!P12,"")</f>
        <v/>
      </c>
      <c r="L10" s="29" t="str">
        <f t="shared" si="1"/>
        <v>Version 5.0</v>
      </c>
      <c r="M10" s="97" t="str">
        <f>IF(ISNUMBER($D10)=TRUE,'Input HVAC Measures'!E12,"")</f>
        <v/>
      </c>
      <c r="N10" s="41" t="str">
        <f>'Input HVAC Measures'!R12</f>
        <v/>
      </c>
    </row>
    <row r="11" spans="1:14" x14ac:dyDescent="0.2">
      <c r="A11" s="13" t="s">
        <v>222</v>
      </c>
      <c r="B11" s="12">
        <f t="shared" si="0"/>
        <v>0</v>
      </c>
      <c r="C11" s="12">
        <f>'Input HVAC Measures'!B13</f>
        <v>9</v>
      </c>
      <c r="D11" s="12" t="str">
        <f>'Input HVAC Measures'!C13</f>
        <v/>
      </c>
      <c r="E11" s="12" t="str">
        <f>'Input HVAC Measures'!F13</f>
        <v/>
      </c>
      <c r="F11" s="12" t="str">
        <f>IF(ISNUMBER($D11)=TRUE,'Input HVAC Measures'!G13,"")</f>
        <v/>
      </c>
      <c r="G11" s="12" t="str">
        <f>IF(ISNUMBER($D11)=TRUE,'Input HVAC Measures'!S13,"")</f>
        <v/>
      </c>
      <c r="H11" s="137" t="str">
        <f>IF(ISNUMBER($D11)=TRUE,'Input HVAC Measures'!T13,"")</f>
        <v/>
      </c>
      <c r="I11" s="44" t="str">
        <f>IFERROR(N11*MIN(Table_Measure_Caps[[#Totals],[Estimated Raw Incentive Total]], Table_Measure_Caps[[#Totals],[Gross Measure Cost Total]], Value_Project_CAP)/Table_Measure_Caps[[#Totals],[Estimated Raw Incentive Total]], "")</f>
        <v/>
      </c>
      <c r="J11" s="44" t="str">
        <f>IF(ISNUMBER($D11)=TRUE,'Input HVAC Measures'!O13,"")</f>
        <v/>
      </c>
      <c r="K11" s="12" t="str">
        <f>IF(ISNUMBER($D11)=TRUE,'Input HVAC Measures'!P13,"")</f>
        <v/>
      </c>
      <c r="L11" s="29" t="str">
        <f t="shared" si="1"/>
        <v>Version 5.0</v>
      </c>
      <c r="M11" s="97" t="str">
        <f>IF(ISNUMBER($D11)=TRUE,'Input HVAC Measures'!E13,"")</f>
        <v/>
      </c>
      <c r="N11" s="41" t="str">
        <f>'Input HVAC Measures'!R13</f>
        <v/>
      </c>
    </row>
    <row r="12" spans="1:14" x14ac:dyDescent="0.2">
      <c r="A12" s="13" t="s">
        <v>222</v>
      </c>
      <c r="B12" s="12">
        <f t="shared" si="0"/>
        <v>0</v>
      </c>
      <c r="C12" s="12">
        <f>'Input HVAC Measures'!B14</f>
        <v>10</v>
      </c>
      <c r="D12" s="12" t="str">
        <f>'Input HVAC Measures'!C14</f>
        <v/>
      </c>
      <c r="E12" s="12" t="str">
        <f>'Input HVAC Measures'!F14</f>
        <v/>
      </c>
      <c r="F12" s="12" t="str">
        <f>IF(ISNUMBER($D12)=TRUE,'Input HVAC Measures'!G14,"")</f>
        <v/>
      </c>
      <c r="G12" s="12" t="str">
        <f>IF(ISNUMBER($D12)=TRUE,'Input HVAC Measures'!S14,"")</f>
        <v/>
      </c>
      <c r="H12" s="137" t="str">
        <f>IF(ISNUMBER($D12)=TRUE,'Input HVAC Measures'!T14,"")</f>
        <v/>
      </c>
      <c r="I12" s="44" t="str">
        <f>IFERROR(N12*MIN(Table_Measure_Caps[[#Totals],[Estimated Raw Incentive Total]], Table_Measure_Caps[[#Totals],[Gross Measure Cost Total]], Value_Project_CAP)/Table_Measure_Caps[[#Totals],[Estimated Raw Incentive Total]], "")</f>
        <v/>
      </c>
      <c r="J12" s="44" t="str">
        <f>IF(ISNUMBER($D12)=TRUE,'Input HVAC Measures'!O14,"")</f>
        <v/>
      </c>
      <c r="K12" s="12" t="str">
        <f>IF(ISNUMBER($D12)=TRUE,'Input HVAC Measures'!P14,"")</f>
        <v/>
      </c>
      <c r="L12" s="29" t="str">
        <f t="shared" si="1"/>
        <v>Version 5.0</v>
      </c>
      <c r="M12" s="97" t="str">
        <f>IF(ISNUMBER($D12)=TRUE,'Input HVAC Measures'!E14,"")</f>
        <v/>
      </c>
      <c r="N12" s="41" t="str">
        <f>'Input HVAC Measures'!R14</f>
        <v/>
      </c>
    </row>
    <row r="13" spans="1:14" x14ac:dyDescent="0.2">
      <c r="A13" s="13" t="s">
        <v>222</v>
      </c>
      <c r="B13" s="12">
        <f t="shared" si="0"/>
        <v>0</v>
      </c>
      <c r="C13" s="12">
        <f>'Input HVAC Measures'!B15</f>
        <v>11</v>
      </c>
      <c r="D13" s="12" t="str">
        <f>'Input HVAC Measures'!C15</f>
        <v/>
      </c>
      <c r="E13" s="12" t="str">
        <f>'Input HVAC Measures'!F15</f>
        <v/>
      </c>
      <c r="F13" s="12" t="str">
        <f>IF(ISNUMBER($D13)=TRUE,'Input HVAC Measures'!G15,"")</f>
        <v/>
      </c>
      <c r="G13" s="12" t="str">
        <f>IF(ISNUMBER($D13)=TRUE,'Input HVAC Measures'!S15,"")</f>
        <v/>
      </c>
      <c r="H13" s="137" t="str">
        <f>IF(ISNUMBER($D13)=TRUE,'Input HVAC Measures'!T15,"")</f>
        <v/>
      </c>
      <c r="I13" s="44" t="str">
        <f>IFERROR(N13*MIN(Table_Measure_Caps[[#Totals],[Estimated Raw Incentive Total]], Table_Measure_Caps[[#Totals],[Gross Measure Cost Total]], Value_Project_CAP)/Table_Measure_Caps[[#Totals],[Estimated Raw Incentive Total]], "")</f>
        <v/>
      </c>
      <c r="J13" s="44" t="str">
        <f>IF(ISNUMBER($D13)=TRUE,'Input HVAC Measures'!O15,"")</f>
        <v/>
      </c>
      <c r="K13" s="12" t="str">
        <f>IF(ISNUMBER($D13)=TRUE,'Input HVAC Measures'!P15,"")</f>
        <v/>
      </c>
      <c r="L13" s="29" t="str">
        <f t="shared" si="1"/>
        <v>Version 5.0</v>
      </c>
      <c r="M13" s="97" t="str">
        <f>IF(ISNUMBER($D13)=TRUE,'Input HVAC Measures'!E15,"")</f>
        <v/>
      </c>
      <c r="N13" s="41" t="str">
        <f>'Input HVAC Measures'!R15</f>
        <v/>
      </c>
    </row>
    <row r="14" spans="1:14" x14ac:dyDescent="0.2">
      <c r="A14" s="13" t="s">
        <v>222</v>
      </c>
      <c r="B14" s="12">
        <f t="shared" si="0"/>
        <v>0</v>
      </c>
      <c r="C14" s="12">
        <f>'Input HVAC Measures'!B16</f>
        <v>12</v>
      </c>
      <c r="D14" s="12" t="str">
        <f>'Input HVAC Measures'!C16</f>
        <v/>
      </c>
      <c r="E14" s="12" t="str">
        <f>'Input HVAC Measures'!F16</f>
        <v/>
      </c>
      <c r="F14" s="12" t="str">
        <f>IF(ISNUMBER($D14)=TRUE,'Input HVAC Measures'!G16,"")</f>
        <v/>
      </c>
      <c r="G14" s="12" t="str">
        <f>IF(ISNUMBER($D14)=TRUE,'Input HVAC Measures'!S16,"")</f>
        <v/>
      </c>
      <c r="H14" s="137" t="str">
        <f>IF(ISNUMBER($D14)=TRUE,'Input HVAC Measures'!T16,"")</f>
        <v/>
      </c>
      <c r="I14" s="44" t="str">
        <f>IFERROR(N14*MIN(Table_Measure_Caps[[#Totals],[Estimated Raw Incentive Total]], Table_Measure_Caps[[#Totals],[Gross Measure Cost Total]], Value_Project_CAP)/Table_Measure_Caps[[#Totals],[Estimated Raw Incentive Total]], "")</f>
        <v/>
      </c>
      <c r="J14" s="44" t="str">
        <f>IF(ISNUMBER($D14)=TRUE,'Input HVAC Measures'!O16,"")</f>
        <v/>
      </c>
      <c r="K14" s="12" t="str">
        <f>IF(ISNUMBER($D14)=TRUE,'Input HVAC Measures'!P16,"")</f>
        <v/>
      </c>
      <c r="L14" s="29" t="str">
        <f t="shared" si="1"/>
        <v>Version 5.0</v>
      </c>
      <c r="M14" s="97" t="str">
        <f>IF(ISNUMBER($D14)=TRUE,'Input HVAC Measures'!E16,"")</f>
        <v/>
      </c>
      <c r="N14" s="41" t="str">
        <f>'Input HVAC Measures'!R16</f>
        <v/>
      </c>
    </row>
    <row r="15" spans="1:14" x14ac:dyDescent="0.2">
      <c r="A15" s="13" t="s">
        <v>222</v>
      </c>
      <c r="B15" s="12">
        <f t="shared" si="0"/>
        <v>0</v>
      </c>
      <c r="C15" s="12">
        <f>'Input HVAC Measures'!B17</f>
        <v>13</v>
      </c>
      <c r="D15" s="12" t="str">
        <f>'Input HVAC Measures'!C17</f>
        <v/>
      </c>
      <c r="E15" s="12" t="str">
        <f>'Input HVAC Measures'!F17</f>
        <v/>
      </c>
      <c r="F15" s="12" t="str">
        <f>IF(ISNUMBER($D15)=TRUE,'Input HVAC Measures'!G17,"")</f>
        <v/>
      </c>
      <c r="G15" s="12" t="str">
        <f>IF(ISNUMBER($D15)=TRUE,'Input HVAC Measures'!S17,"")</f>
        <v/>
      </c>
      <c r="H15" s="137" t="str">
        <f>IF(ISNUMBER($D15)=TRUE,'Input HVAC Measures'!T17,"")</f>
        <v/>
      </c>
      <c r="I15" s="44" t="str">
        <f>IFERROR(N15*MIN(Table_Measure_Caps[[#Totals],[Estimated Raw Incentive Total]], Table_Measure_Caps[[#Totals],[Gross Measure Cost Total]], Value_Project_CAP)/Table_Measure_Caps[[#Totals],[Estimated Raw Incentive Total]], "")</f>
        <v/>
      </c>
      <c r="J15" s="44" t="str">
        <f>IF(ISNUMBER($D15)=TRUE,'Input HVAC Measures'!O17,"")</f>
        <v/>
      </c>
      <c r="K15" s="12" t="str">
        <f>IF(ISNUMBER($D15)=TRUE,'Input HVAC Measures'!P17,"")</f>
        <v/>
      </c>
      <c r="L15" s="29" t="str">
        <f t="shared" si="1"/>
        <v>Version 5.0</v>
      </c>
      <c r="M15" s="97" t="str">
        <f>IF(ISNUMBER($D15)=TRUE,'Input HVAC Measures'!E17,"")</f>
        <v/>
      </c>
      <c r="N15" s="41" t="str">
        <f>'Input HVAC Measures'!R17</f>
        <v/>
      </c>
    </row>
    <row r="16" spans="1:14" x14ac:dyDescent="0.2">
      <c r="A16" s="13" t="s">
        <v>222</v>
      </c>
      <c r="B16" s="12">
        <f t="shared" si="0"/>
        <v>0</v>
      </c>
      <c r="C16" s="12">
        <f>'Input HVAC Measures'!B18</f>
        <v>14</v>
      </c>
      <c r="D16" s="12" t="str">
        <f>'Input HVAC Measures'!C18</f>
        <v/>
      </c>
      <c r="E16" s="12" t="str">
        <f>'Input HVAC Measures'!F18</f>
        <v/>
      </c>
      <c r="F16" s="12" t="str">
        <f>IF(ISNUMBER($D16)=TRUE,'Input HVAC Measures'!G18,"")</f>
        <v/>
      </c>
      <c r="G16" s="12" t="str">
        <f>IF(ISNUMBER($D16)=TRUE,'Input HVAC Measures'!S18,"")</f>
        <v/>
      </c>
      <c r="H16" s="137" t="str">
        <f>IF(ISNUMBER($D16)=TRUE,'Input HVAC Measures'!T18,"")</f>
        <v/>
      </c>
      <c r="I16" s="44" t="str">
        <f>IFERROR(N16*MIN(Table_Measure_Caps[[#Totals],[Estimated Raw Incentive Total]], Table_Measure_Caps[[#Totals],[Gross Measure Cost Total]], Value_Project_CAP)/Table_Measure_Caps[[#Totals],[Estimated Raw Incentive Total]], "")</f>
        <v/>
      </c>
      <c r="J16" s="44" t="str">
        <f>IF(ISNUMBER($D16)=TRUE,'Input HVAC Measures'!O18,"")</f>
        <v/>
      </c>
      <c r="K16" s="12" t="str">
        <f>IF(ISNUMBER($D16)=TRUE,'Input HVAC Measures'!P18,"")</f>
        <v/>
      </c>
      <c r="L16" s="29" t="str">
        <f t="shared" si="1"/>
        <v>Version 5.0</v>
      </c>
      <c r="M16" s="97" t="str">
        <f>IF(ISNUMBER($D16)=TRUE,'Input HVAC Measures'!E18,"")</f>
        <v/>
      </c>
      <c r="N16" s="41" t="str">
        <f>'Input HVAC Measures'!R18</f>
        <v/>
      </c>
    </row>
    <row r="17" spans="1:14" x14ac:dyDescent="0.2">
      <c r="A17" s="13" t="s">
        <v>222</v>
      </c>
      <c r="B17" s="12">
        <f t="shared" si="0"/>
        <v>0</v>
      </c>
      <c r="C17" s="12">
        <f>'Input HVAC Measures'!B19</f>
        <v>15</v>
      </c>
      <c r="D17" s="12" t="str">
        <f>'Input HVAC Measures'!C19</f>
        <v/>
      </c>
      <c r="E17" s="12" t="str">
        <f>'Input HVAC Measures'!F19</f>
        <v/>
      </c>
      <c r="F17" s="12" t="str">
        <f>IF(ISNUMBER($D17)=TRUE,'Input HVAC Measures'!G19,"")</f>
        <v/>
      </c>
      <c r="G17" s="12" t="str">
        <f>IF(ISNUMBER($D17)=TRUE,'Input HVAC Measures'!S19,"")</f>
        <v/>
      </c>
      <c r="H17" s="137" t="str">
        <f>IF(ISNUMBER($D17)=TRUE,'Input HVAC Measures'!T19,"")</f>
        <v/>
      </c>
      <c r="I17" s="44" t="str">
        <f>IFERROR(N17*MIN(Table_Measure_Caps[[#Totals],[Estimated Raw Incentive Total]], Table_Measure_Caps[[#Totals],[Gross Measure Cost Total]], Value_Project_CAP)/Table_Measure_Caps[[#Totals],[Estimated Raw Incentive Total]], "")</f>
        <v/>
      </c>
      <c r="J17" s="44" t="str">
        <f>IF(ISNUMBER($D17)=TRUE,'Input HVAC Measures'!O19,"")</f>
        <v/>
      </c>
      <c r="K17" s="12" t="str">
        <f>IF(ISNUMBER($D17)=TRUE,'Input HVAC Measures'!P19,"")</f>
        <v/>
      </c>
      <c r="L17" s="29" t="str">
        <f t="shared" si="1"/>
        <v>Version 5.0</v>
      </c>
      <c r="M17" s="97" t="str">
        <f>IF(ISNUMBER($D17)=TRUE,'Input HVAC Measures'!E19,"")</f>
        <v/>
      </c>
      <c r="N17" s="41" t="str">
        <f>'Input HVAC Measures'!R19</f>
        <v/>
      </c>
    </row>
    <row r="18" spans="1:14" x14ac:dyDescent="0.2">
      <c r="A18" s="13" t="s">
        <v>222</v>
      </c>
      <c r="B18" s="12">
        <f t="shared" si="0"/>
        <v>0</v>
      </c>
      <c r="C18" s="12">
        <f>'Input HVAC Measures'!B20</f>
        <v>16</v>
      </c>
      <c r="D18" s="12" t="str">
        <f>'Input HVAC Measures'!C20</f>
        <v/>
      </c>
      <c r="E18" s="12" t="str">
        <f>'Input HVAC Measures'!F20</f>
        <v/>
      </c>
      <c r="F18" s="12" t="str">
        <f>IF(ISNUMBER($D18)=TRUE,'Input HVAC Measures'!G20,"")</f>
        <v/>
      </c>
      <c r="G18" s="12" t="str">
        <f>IF(ISNUMBER($D18)=TRUE,'Input HVAC Measures'!S20,"")</f>
        <v/>
      </c>
      <c r="H18" s="137" t="str">
        <f>IF(ISNUMBER($D18)=TRUE,'Input HVAC Measures'!T20,"")</f>
        <v/>
      </c>
      <c r="I18" s="44" t="str">
        <f>IFERROR(N18*MIN(Table_Measure_Caps[[#Totals],[Estimated Raw Incentive Total]], Table_Measure_Caps[[#Totals],[Gross Measure Cost Total]], Value_Project_CAP)/Table_Measure_Caps[[#Totals],[Estimated Raw Incentive Total]], "")</f>
        <v/>
      </c>
      <c r="J18" s="44" t="str">
        <f>IF(ISNUMBER($D18)=TRUE,'Input HVAC Measures'!O20,"")</f>
        <v/>
      </c>
      <c r="K18" s="12" t="str">
        <f>IF(ISNUMBER($D18)=TRUE,'Input HVAC Measures'!P20,"")</f>
        <v/>
      </c>
      <c r="L18" s="29" t="str">
        <f t="shared" si="1"/>
        <v>Version 5.0</v>
      </c>
      <c r="M18" s="97" t="str">
        <f>IF(ISNUMBER($D18)=TRUE,'Input HVAC Measures'!E20,"")</f>
        <v/>
      </c>
      <c r="N18" s="41" t="str">
        <f>'Input HVAC Measures'!R20</f>
        <v/>
      </c>
    </row>
    <row r="19" spans="1:14" x14ac:dyDescent="0.2">
      <c r="A19" s="13" t="s">
        <v>222</v>
      </c>
      <c r="B19" s="12">
        <f t="shared" si="0"/>
        <v>0</v>
      </c>
      <c r="C19" s="12">
        <f>'Input HVAC Measures'!B21</f>
        <v>17</v>
      </c>
      <c r="D19" s="12" t="str">
        <f>'Input HVAC Measures'!C21</f>
        <v/>
      </c>
      <c r="E19" s="12" t="str">
        <f>'Input HVAC Measures'!F21</f>
        <v/>
      </c>
      <c r="F19" s="12" t="str">
        <f>IF(ISNUMBER($D19)=TRUE,'Input HVAC Measures'!G21,"")</f>
        <v/>
      </c>
      <c r="G19" s="12" t="str">
        <f>IF(ISNUMBER($D19)=TRUE,'Input HVAC Measures'!S21,"")</f>
        <v/>
      </c>
      <c r="H19" s="137" t="str">
        <f>IF(ISNUMBER($D19)=TRUE,'Input HVAC Measures'!T21,"")</f>
        <v/>
      </c>
      <c r="I19" s="44" t="str">
        <f>IFERROR(N19*MIN(Table_Measure_Caps[[#Totals],[Estimated Raw Incentive Total]], Table_Measure_Caps[[#Totals],[Gross Measure Cost Total]], Value_Project_CAP)/Table_Measure_Caps[[#Totals],[Estimated Raw Incentive Total]], "")</f>
        <v/>
      </c>
      <c r="J19" s="44" t="str">
        <f>IF(ISNUMBER($D19)=TRUE,'Input HVAC Measures'!O21,"")</f>
        <v/>
      </c>
      <c r="K19" s="12" t="str">
        <f>IF(ISNUMBER($D19)=TRUE,'Input HVAC Measures'!P21,"")</f>
        <v/>
      </c>
      <c r="L19" s="29" t="str">
        <f t="shared" si="1"/>
        <v>Version 5.0</v>
      </c>
      <c r="M19" s="97" t="str">
        <f>IF(ISNUMBER($D19)=TRUE,'Input HVAC Measures'!E21,"")</f>
        <v/>
      </c>
      <c r="N19" s="41" t="str">
        <f>'Input HVAC Measures'!R21</f>
        <v/>
      </c>
    </row>
    <row r="20" spans="1:14" x14ac:dyDescent="0.2">
      <c r="A20" s="13" t="s">
        <v>222</v>
      </c>
      <c r="B20" s="12">
        <f t="shared" si="0"/>
        <v>0</v>
      </c>
      <c r="C20" s="12">
        <f>'Input HVAC Measures'!B22</f>
        <v>18</v>
      </c>
      <c r="D20" s="12" t="str">
        <f>'Input HVAC Measures'!C22</f>
        <v/>
      </c>
      <c r="E20" s="12" t="str">
        <f>'Input HVAC Measures'!F22</f>
        <v/>
      </c>
      <c r="F20" s="12" t="str">
        <f>IF(ISNUMBER($D20)=TRUE,'Input HVAC Measures'!G22,"")</f>
        <v/>
      </c>
      <c r="G20" s="12" t="str">
        <f>IF(ISNUMBER($D20)=TRUE,'Input HVAC Measures'!S22,"")</f>
        <v/>
      </c>
      <c r="H20" s="137" t="str">
        <f>IF(ISNUMBER($D20)=TRUE,'Input HVAC Measures'!T22,"")</f>
        <v/>
      </c>
      <c r="I20" s="44" t="str">
        <f>IFERROR(N20*MIN(Table_Measure_Caps[[#Totals],[Estimated Raw Incentive Total]], Table_Measure_Caps[[#Totals],[Gross Measure Cost Total]], Value_Project_CAP)/Table_Measure_Caps[[#Totals],[Estimated Raw Incentive Total]], "")</f>
        <v/>
      </c>
      <c r="J20" s="44" t="str">
        <f>IF(ISNUMBER($D20)=TRUE,'Input HVAC Measures'!O22,"")</f>
        <v/>
      </c>
      <c r="K20" s="12" t="str">
        <f>IF(ISNUMBER($D20)=TRUE,'Input HVAC Measures'!P22,"")</f>
        <v/>
      </c>
      <c r="L20" s="29" t="str">
        <f t="shared" si="1"/>
        <v>Version 5.0</v>
      </c>
      <c r="M20" s="97" t="str">
        <f>IF(ISNUMBER($D20)=TRUE,'Input HVAC Measures'!E22,"")</f>
        <v/>
      </c>
      <c r="N20" s="41" t="str">
        <f>'Input HVAC Measures'!R22</f>
        <v/>
      </c>
    </row>
    <row r="21" spans="1:14" x14ac:dyDescent="0.2">
      <c r="A21" s="13" t="s">
        <v>222</v>
      </c>
      <c r="B21" s="12">
        <f t="shared" si="0"/>
        <v>0</v>
      </c>
      <c r="C21" s="12">
        <f>'Input HVAC Measures'!B23</f>
        <v>19</v>
      </c>
      <c r="D21" s="12" t="str">
        <f>'Input HVAC Measures'!C23</f>
        <v/>
      </c>
      <c r="E21" s="12" t="str">
        <f>'Input HVAC Measures'!F23</f>
        <v/>
      </c>
      <c r="F21" s="12" t="str">
        <f>IF(ISNUMBER($D21)=TRUE,'Input HVAC Measures'!G23,"")</f>
        <v/>
      </c>
      <c r="G21" s="12" t="str">
        <f>IF(ISNUMBER($D21)=TRUE,'Input HVAC Measures'!S23,"")</f>
        <v/>
      </c>
      <c r="H21" s="137" t="str">
        <f>IF(ISNUMBER($D21)=TRUE,'Input HVAC Measures'!T23,"")</f>
        <v/>
      </c>
      <c r="I21" s="44" t="str">
        <f>IFERROR(N21*MIN(Table_Measure_Caps[[#Totals],[Estimated Raw Incentive Total]], Table_Measure_Caps[[#Totals],[Gross Measure Cost Total]], Value_Project_CAP)/Table_Measure_Caps[[#Totals],[Estimated Raw Incentive Total]], "")</f>
        <v/>
      </c>
      <c r="J21" s="44" t="str">
        <f>IF(ISNUMBER($D21)=TRUE,'Input HVAC Measures'!O23,"")</f>
        <v/>
      </c>
      <c r="K21" s="12" t="str">
        <f>IF(ISNUMBER($D21)=TRUE,'Input HVAC Measures'!P23,"")</f>
        <v/>
      </c>
      <c r="L21" s="29" t="str">
        <f t="shared" si="1"/>
        <v>Version 5.0</v>
      </c>
      <c r="M21" s="97" t="str">
        <f>IF(ISNUMBER($D21)=TRUE,'Input HVAC Measures'!E23,"")</f>
        <v/>
      </c>
      <c r="N21" s="41" t="str">
        <f>'Input HVAC Measures'!R23</f>
        <v/>
      </c>
    </row>
    <row r="22" spans="1:14" x14ac:dyDescent="0.2">
      <c r="A22" s="13" t="s">
        <v>222</v>
      </c>
      <c r="B22" s="12">
        <f t="shared" si="0"/>
        <v>0</v>
      </c>
      <c r="C22" s="12">
        <f>'Input HVAC Measures'!B24</f>
        <v>20</v>
      </c>
      <c r="D22" s="12" t="str">
        <f>'Input HVAC Measures'!C24</f>
        <v/>
      </c>
      <c r="E22" s="12" t="str">
        <f>'Input HVAC Measures'!F24</f>
        <v/>
      </c>
      <c r="F22" s="12" t="str">
        <f>IF(ISNUMBER($D22)=TRUE,'Input HVAC Measures'!G24,"")</f>
        <v/>
      </c>
      <c r="G22" s="12" t="str">
        <f>IF(ISNUMBER($D22)=TRUE,'Input HVAC Measures'!S24,"")</f>
        <v/>
      </c>
      <c r="H22" s="137" t="str">
        <f>IF(ISNUMBER($D22)=TRUE,'Input HVAC Measures'!T24,"")</f>
        <v/>
      </c>
      <c r="I22" s="44" t="str">
        <f>IFERROR(N22*MIN(Table_Measure_Caps[[#Totals],[Estimated Raw Incentive Total]], Table_Measure_Caps[[#Totals],[Gross Measure Cost Total]], Value_Project_CAP)/Table_Measure_Caps[[#Totals],[Estimated Raw Incentive Total]], "")</f>
        <v/>
      </c>
      <c r="J22" s="44" t="str">
        <f>IF(ISNUMBER($D22)=TRUE,'Input HVAC Measures'!O24,"")</f>
        <v/>
      </c>
      <c r="K22" s="12" t="str">
        <f>IF(ISNUMBER($D22)=TRUE,'Input HVAC Measures'!P24,"")</f>
        <v/>
      </c>
      <c r="L22" s="29" t="str">
        <f t="shared" si="1"/>
        <v>Version 5.0</v>
      </c>
      <c r="M22" s="97" t="str">
        <f>IF(ISNUMBER($D22)=TRUE,'Input HVAC Measures'!E24,"")</f>
        <v/>
      </c>
      <c r="N22" s="41" t="str">
        <f>'Input HVAC Measures'!R24</f>
        <v/>
      </c>
    </row>
    <row r="23" spans="1:14" x14ac:dyDescent="0.2">
      <c r="A23" s="13" t="s">
        <v>222</v>
      </c>
      <c r="B23" s="12">
        <f t="shared" si="0"/>
        <v>0</v>
      </c>
      <c r="C23" s="12">
        <f>'Input HVAC Measures'!B25</f>
        <v>21</v>
      </c>
      <c r="D23" s="12" t="str">
        <f>'Input HVAC Measures'!C25</f>
        <v/>
      </c>
      <c r="E23" s="12" t="str">
        <f>'Input HVAC Measures'!F25</f>
        <v/>
      </c>
      <c r="F23" s="12" t="str">
        <f>IF(ISNUMBER($D23)=TRUE,'Input HVAC Measures'!G25,"")</f>
        <v/>
      </c>
      <c r="G23" s="12" t="str">
        <f>IF(ISNUMBER($D23)=TRUE,'Input HVAC Measures'!S25,"")</f>
        <v/>
      </c>
      <c r="H23" s="137" t="str">
        <f>IF(ISNUMBER($D23)=TRUE,'Input HVAC Measures'!T25,"")</f>
        <v/>
      </c>
      <c r="I23" s="44" t="str">
        <f>IFERROR(N23*MIN(Table_Measure_Caps[[#Totals],[Estimated Raw Incentive Total]], Table_Measure_Caps[[#Totals],[Gross Measure Cost Total]], Value_Project_CAP)/Table_Measure_Caps[[#Totals],[Estimated Raw Incentive Total]], "")</f>
        <v/>
      </c>
      <c r="J23" s="44" t="str">
        <f>IF(ISNUMBER($D23)=TRUE,'Input HVAC Measures'!O25,"")</f>
        <v/>
      </c>
      <c r="K23" s="12" t="str">
        <f>IF(ISNUMBER($D23)=TRUE,'Input HVAC Measures'!P25,"")</f>
        <v/>
      </c>
      <c r="L23" s="29" t="str">
        <f t="shared" si="1"/>
        <v>Version 5.0</v>
      </c>
      <c r="M23" s="97" t="str">
        <f>IF(ISNUMBER($D23)=TRUE,'Input HVAC Measures'!E25,"")</f>
        <v/>
      </c>
      <c r="N23" s="41" t="str">
        <f>'Input HVAC Measures'!R25</f>
        <v/>
      </c>
    </row>
    <row r="24" spans="1:14" x14ac:dyDescent="0.2">
      <c r="A24" s="13" t="s">
        <v>222</v>
      </c>
      <c r="B24" s="12">
        <f t="shared" si="0"/>
        <v>0</v>
      </c>
      <c r="C24" s="12">
        <f>'Input HVAC Measures'!B26</f>
        <v>22</v>
      </c>
      <c r="D24" s="12" t="str">
        <f>'Input HVAC Measures'!C26</f>
        <v/>
      </c>
      <c r="E24" s="12" t="str">
        <f>'Input HVAC Measures'!F26</f>
        <v/>
      </c>
      <c r="F24" s="12" t="str">
        <f>IF(ISNUMBER($D24)=TRUE,'Input HVAC Measures'!G26,"")</f>
        <v/>
      </c>
      <c r="G24" s="12" t="str">
        <f>IF(ISNUMBER($D24)=TRUE,'Input HVAC Measures'!S26,"")</f>
        <v/>
      </c>
      <c r="H24" s="137" t="str">
        <f>IF(ISNUMBER($D24)=TRUE,'Input HVAC Measures'!T26,"")</f>
        <v/>
      </c>
      <c r="I24" s="44" t="str">
        <f>IFERROR(N24*MIN(Table_Measure_Caps[[#Totals],[Estimated Raw Incentive Total]], Table_Measure_Caps[[#Totals],[Gross Measure Cost Total]], Value_Project_CAP)/Table_Measure_Caps[[#Totals],[Estimated Raw Incentive Total]], "")</f>
        <v/>
      </c>
      <c r="J24" s="44" t="str">
        <f>IF(ISNUMBER($D24)=TRUE,'Input HVAC Measures'!O26,"")</f>
        <v/>
      </c>
      <c r="K24" s="12" t="str">
        <f>IF(ISNUMBER($D24)=TRUE,'Input HVAC Measures'!P26,"")</f>
        <v/>
      </c>
      <c r="L24" s="29" t="str">
        <f t="shared" si="1"/>
        <v>Version 5.0</v>
      </c>
      <c r="M24" s="97" t="str">
        <f>IF(ISNUMBER($D24)=TRUE,'Input HVAC Measures'!E26,"")</f>
        <v/>
      </c>
      <c r="N24" s="41" t="str">
        <f>'Input HVAC Measures'!R26</f>
        <v/>
      </c>
    </row>
    <row r="25" spans="1:14" x14ac:dyDescent="0.2">
      <c r="A25" s="13" t="s">
        <v>222</v>
      </c>
      <c r="B25" s="12">
        <f t="shared" si="0"/>
        <v>0</v>
      </c>
      <c r="C25" s="12">
        <f>'Input HVAC Measures'!B27</f>
        <v>23</v>
      </c>
      <c r="D25" s="12" t="str">
        <f>'Input HVAC Measures'!C27</f>
        <v/>
      </c>
      <c r="E25" s="12" t="str">
        <f>'Input HVAC Measures'!F27</f>
        <v/>
      </c>
      <c r="F25" s="12" t="str">
        <f>IF(ISNUMBER($D25)=TRUE,'Input HVAC Measures'!G27,"")</f>
        <v/>
      </c>
      <c r="G25" s="12" t="str">
        <f>IF(ISNUMBER($D25)=TRUE,'Input HVAC Measures'!S27,"")</f>
        <v/>
      </c>
      <c r="H25" s="137" t="str">
        <f>IF(ISNUMBER($D25)=TRUE,'Input HVAC Measures'!T27,"")</f>
        <v/>
      </c>
      <c r="I25" s="44" t="str">
        <f>IFERROR(N25*MIN(Table_Measure_Caps[[#Totals],[Estimated Raw Incentive Total]], Table_Measure_Caps[[#Totals],[Gross Measure Cost Total]], Value_Project_CAP)/Table_Measure_Caps[[#Totals],[Estimated Raw Incentive Total]], "")</f>
        <v/>
      </c>
      <c r="J25" s="44" t="str">
        <f>IF(ISNUMBER($D25)=TRUE,'Input HVAC Measures'!O27,"")</f>
        <v/>
      </c>
      <c r="K25" s="12" t="str">
        <f>IF(ISNUMBER($D25)=TRUE,'Input HVAC Measures'!P27,"")</f>
        <v/>
      </c>
      <c r="L25" s="29" t="str">
        <f t="shared" si="1"/>
        <v>Version 5.0</v>
      </c>
      <c r="M25" s="97" t="str">
        <f>IF(ISNUMBER($D25)=TRUE,'Input HVAC Measures'!E27,"")</f>
        <v/>
      </c>
      <c r="N25" s="41" t="str">
        <f>'Input HVAC Measures'!R27</f>
        <v/>
      </c>
    </row>
    <row r="26" spans="1:14" x14ac:dyDescent="0.2">
      <c r="A26" s="13" t="s">
        <v>222</v>
      </c>
      <c r="B26" s="12">
        <f t="shared" si="0"/>
        <v>0</v>
      </c>
      <c r="C26" s="12">
        <f>'Input HVAC Measures'!B28</f>
        <v>24</v>
      </c>
      <c r="D26" s="12" t="str">
        <f>'Input HVAC Measures'!C28</f>
        <v/>
      </c>
      <c r="E26" s="12" t="str">
        <f>'Input HVAC Measures'!F28</f>
        <v/>
      </c>
      <c r="F26" s="12" t="str">
        <f>IF(ISNUMBER($D26)=TRUE,'Input HVAC Measures'!G28,"")</f>
        <v/>
      </c>
      <c r="G26" s="12" t="str">
        <f>IF(ISNUMBER($D26)=TRUE,'Input HVAC Measures'!S28,"")</f>
        <v/>
      </c>
      <c r="H26" s="137" t="str">
        <f>IF(ISNUMBER($D26)=TRUE,'Input HVAC Measures'!T28,"")</f>
        <v/>
      </c>
      <c r="I26" s="44" t="str">
        <f>IFERROR(N26*MIN(Table_Measure_Caps[[#Totals],[Estimated Raw Incentive Total]], Table_Measure_Caps[[#Totals],[Gross Measure Cost Total]], Value_Project_CAP)/Table_Measure_Caps[[#Totals],[Estimated Raw Incentive Total]], "")</f>
        <v/>
      </c>
      <c r="J26" s="44" t="str">
        <f>IF(ISNUMBER($D26)=TRUE,'Input HVAC Measures'!O28,"")</f>
        <v/>
      </c>
      <c r="K26" s="12" t="str">
        <f>IF(ISNUMBER($D26)=TRUE,'Input HVAC Measures'!P28,"")</f>
        <v/>
      </c>
      <c r="L26" s="29" t="str">
        <f t="shared" si="1"/>
        <v>Version 5.0</v>
      </c>
      <c r="M26" s="97" t="str">
        <f>IF(ISNUMBER($D26)=TRUE,'Input HVAC Measures'!E28,"")</f>
        <v/>
      </c>
      <c r="N26" s="41" t="str">
        <f>'Input HVAC Measures'!R28</f>
        <v/>
      </c>
    </row>
    <row r="27" spans="1:14" x14ac:dyDescent="0.2">
      <c r="A27" s="13" t="s">
        <v>222</v>
      </c>
      <c r="B27" s="12">
        <f t="shared" si="0"/>
        <v>0</v>
      </c>
      <c r="C27" s="12">
        <f>'Input HVAC Measures'!B29</f>
        <v>25</v>
      </c>
      <c r="D27" s="12" t="str">
        <f>'Input HVAC Measures'!C29</f>
        <v/>
      </c>
      <c r="E27" s="12" t="str">
        <f>'Input HVAC Measures'!F29</f>
        <v/>
      </c>
      <c r="F27" s="12" t="str">
        <f>IF(ISNUMBER($D27)=TRUE,'Input HVAC Measures'!G29,"")</f>
        <v/>
      </c>
      <c r="G27" s="12" t="str">
        <f>IF(ISNUMBER($D27)=TRUE,'Input HVAC Measures'!S29,"")</f>
        <v/>
      </c>
      <c r="H27" s="137" t="str">
        <f>IF(ISNUMBER($D27)=TRUE,'Input HVAC Measures'!T29,"")</f>
        <v/>
      </c>
      <c r="I27" s="44" t="str">
        <f>IFERROR(N27*MIN(Table_Measure_Caps[[#Totals],[Estimated Raw Incentive Total]], Table_Measure_Caps[[#Totals],[Gross Measure Cost Total]], Value_Project_CAP)/Table_Measure_Caps[[#Totals],[Estimated Raw Incentive Total]], "")</f>
        <v/>
      </c>
      <c r="J27" s="44" t="str">
        <f>IF(ISNUMBER($D27)=TRUE,'Input HVAC Measures'!O29,"")</f>
        <v/>
      </c>
      <c r="K27" s="12" t="str">
        <f>IF(ISNUMBER($D27)=TRUE,'Input HVAC Measures'!P29,"")</f>
        <v/>
      </c>
      <c r="L27" s="29" t="str">
        <f t="shared" si="1"/>
        <v>Version 5.0</v>
      </c>
      <c r="M27" s="97" t="str">
        <f>IF(ISNUMBER($D27)=TRUE,'Input HVAC Measures'!E29,"")</f>
        <v/>
      </c>
      <c r="N27" s="41" t="str">
        <f>'Input HVAC Measures'!R29</f>
        <v/>
      </c>
    </row>
    <row r="28" spans="1:14" x14ac:dyDescent="0.2">
      <c r="A28" s="13" t="s">
        <v>222</v>
      </c>
      <c r="B28" s="12">
        <f t="shared" si="0"/>
        <v>0</v>
      </c>
      <c r="C28" s="12">
        <f>'Input HVAC Measures'!B30</f>
        <v>26</v>
      </c>
      <c r="D28" s="12" t="str">
        <f>'Input HVAC Measures'!C30</f>
        <v/>
      </c>
      <c r="E28" s="12" t="str">
        <f>'Input HVAC Measures'!F30</f>
        <v/>
      </c>
      <c r="F28" s="12" t="str">
        <f>IF(ISNUMBER($D28)=TRUE,'Input HVAC Measures'!G30,"")</f>
        <v/>
      </c>
      <c r="G28" s="12" t="str">
        <f>IF(ISNUMBER($D28)=TRUE,'Input HVAC Measures'!S30,"")</f>
        <v/>
      </c>
      <c r="H28" s="137" t="str">
        <f>IF(ISNUMBER($D28)=TRUE,'Input HVAC Measures'!T30,"")</f>
        <v/>
      </c>
      <c r="I28" s="44" t="str">
        <f>IFERROR(N28*MIN(Table_Measure_Caps[[#Totals],[Estimated Raw Incentive Total]], Table_Measure_Caps[[#Totals],[Gross Measure Cost Total]], Value_Project_CAP)/Table_Measure_Caps[[#Totals],[Estimated Raw Incentive Total]], "")</f>
        <v/>
      </c>
      <c r="J28" s="44" t="str">
        <f>IF(ISNUMBER($D28)=TRUE,'Input HVAC Measures'!O30,"")</f>
        <v/>
      </c>
      <c r="K28" s="12" t="str">
        <f>IF(ISNUMBER($D28)=TRUE,'Input HVAC Measures'!P30,"")</f>
        <v/>
      </c>
      <c r="L28" s="29" t="str">
        <f t="shared" si="1"/>
        <v>Version 5.0</v>
      </c>
      <c r="M28" s="97" t="str">
        <f>IF(ISNUMBER($D28)=TRUE,'Input HVAC Measures'!E30,"")</f>
        <v/>
      </c>
      <c r="N28" s="41" t="str">
        <f>'Input HVAC Measures'!R30</f>
        <v/>
      </c>
    </row>
    <row r="29" spans="1:14" x14ac:dyDescent="0.2">
      <c r="A29" s="13" t="s">
        <v>222</v>
      </c>
      <c r="B29" s="12">
        <f t="shared" si="0"/>
        <v>0</v>
      </c>
      <c r="C29" s="12">
        <f>'Input HVAC Measures'!B31</f>
        <v>27</v>
      </c>
      <c r="D29" s="12" t="str">
        <f>'Input HVAC Measures'!C31</f>
        <v/>
      </c>
      <c r="E29" s="12" t="str">
        <f>'Input HVAC Measures'!F31</f>
        <v/>
      </c>
      <c r="F29" s="12" t="str">
        <f>IF(ISNUMBER($D29)=TRUE,'Input HVAC Measures'!G31,"")</f>
        <v/>
      </c>
      <c r="G29" s="12" t="str">
        <f>IF(ISNUMBER($D29)=TRUE,'Input HVAC Measures'!S31,"")</f>
        <v/>
      </c>
      <c r="H29" s="137" t="str">
        <f>IF(ISNUMBER($D29)=TRUE,'Input HVAC Measures'!T31,"")</f>
        <v/>
      </c>
      <c r="I29" s="44" t="str">
        <f>IFERROR(N29*MIN(Table_Measure_Caps[[#Totals],[Estimated Raw Incentive Total]], Table_Measure_Caps[[#Totals],[Gross Measure Cost Total]], Value_Project_CAP)/Table_Measure_Caps[[#Totals],[Estimated Raw Incentive Total]], "")</f>
        <v/>
      </c>
      <c r="J29" s="44" t="str">
        <f>IF(ISNUMBER($D29)=TRUE,'Input HVAC Measures'!O31,"")</f>
        <v/>
      </c>
      <c r="K29" s="12" t="str">
        <f>IF(ISNUMBER($D29)=TRUE,'Input HVAC Measures'!P31,"")</f>
        <v/>
      </c>
      <c r="L29" s="29" t="str">
        <f t="shared" si="1"/>
        <v>Version 5.0</v>
      </c>
      <c r="M29" s="97" t="str">
        <f>IF(ISNUMBER($D29)=TRUE,'Input HVAC Measures'!E31,"")</f>
        <v/>
      </c>
      <c r="N29" s="41" t="str">
        <f>'Input HVAC Measures'!R31</f>
        <v/>
      </c>
    </row>
    <row r="30" spans="1:14" x14ac:dyDescent="0.2">
      <c r="A30" s="13" t="s">
        <v>222</v>
      </c>
      <c r="B30" s="12">
        <f t="shared" si="0"/>
        <v>0</v>
      </c>
      <c r="C30" s="12">
        <f>'Input HVAC Measures'!B32</f>
        <v>28</v>
      </c>
      <c r="D30" s="12" t="str">
        <f>'Input HVAC Measures'!C32</f>
        <v/>
      </c>
      <c r="E30" s="12" t="str">
        <f>'Input HVAC Measures'!F32</f>
        <v/>
      </c>
      <c r="F30" s="12" t="str">
        <f>IF(ISNUMBER($D30)=TRUE,'Input HVAC Measures'!G32,"")</f>
        <v/>
      </c>
      <c r="G30" s="12" t="str">
        <f>IF(ISNUMBER($D30)=TRUE,'Input HVAC Measures'!S32,"")</f>
        <v/>
      </c>
      <c r="H30" s="137" t="str">
        <f>IF(ISNUMBER($D30)=TRUE,'Input HVAC Measures'!T32,"")</f>
        <v/>
      </c>
      <c r="I30" s="44" t="str">
        <f>IFERROR(N30*MIN(Table_Measure_Caps[[#Totals],[Estimated Raw Incentive Total]], Table_Measure_Caps[[#Totals],[Gross Measure Cost Total]], Value_Project_CAP)/Table_Measure_Caps[[#Totals],[Estimated Raw Incentive Total]], "")</f>
        <v/>
      </c>
      <c r="J30" s="44" t="str">
        <f>IF(ISNUMBER($D30)=TRUE,'Input HVAC Measures'!O32,"")</f>
        <v/>
      </c>
      <c r="K30" s="12" t="str">
        <f>IF(ISNUMBER($D30)=TRUE,'Input HVAC Measures'!P32,"")</f>
        <v/>
      </c>
      <c r="L30" s="29" t="str">
        <f t="shared" si="1"/>
        <v>Version 5.0</v>
      </c>
      <c r="M30" s="97" t="str">
        <f>IF(ISNUMBER($D30)=TRUE,'Input HVAC Measures'!E32,"")</f>
        <v/>
      </c>
      <c r="N30" s="41" t="str">
        <f>'Input HVAC Measures'!R32</f>
        <v/>
      </c>
    </row>
    <row r="31" spans="1:14" x14ac:dyDescent="0.2">
      <c r="A31" s="13" t="s">
        <v>222</v>
      </c>
      <c r="B31" s="12">
        <f t="shared" si="0"/>
        <v>0</v>
      </c>
      <c r="C31" s="12">
        <f>'Input HVAC Measures'!B33</f>
        <v>29</v>
      </c>
      <c r="D31" s="12" t="str">
        <f>'Input HVAC Measures'!C33</f>
        <v/>
      </c>
      <c r="E31" s="12" t="str">
        <f>'Input HVAC Measures'!F33</f>
        <v/>
      </c>
      <c r="F31" s="12" t="str">
        <f>IF(ISNUMBER($D31)=TRUE,'Input HVAC Measures'!G33,"")</f>
        <v/>
      </c>
      <c r="G31" s="12" t="str">
        <f>IF(ISNUMBER($D31)=TRUE,'Input HVAC Measures'!S33,"")</f>
        <v/>
      </c>
      <c r="H31" s="137" t="str">
        <f>IF(ISNUMBER($D31)=TRUE,'Input HVAC Measures'!T33,"")</f>
        <v/>
      </c>
      <c r="I31" s="44" t="str">
        <f>IFERROR(N31*MIN(Table_Measure_Caps[[#Totals],[Estimated Raw Incentive Total]], Table_Measure_Caps[[#Totals],[Gross Measure Cost Total]], Value_Project_CAP)/Table_Measure_Caps[[#Totals],[Estimated Raw Incentive Total]], "")</f>
        <v/>
      </c>
      <c r="J31" s="44" t="str">
        <f>IF(ISNUMBER($D31)=TRUE,'Input HVAC Measures'!O33,"")</f>
        <v/>
      </c>
      <c r="K31" s="12" t="str">
        <f>IF(ISNUMBER($D31)=TRUE,'Input HVAC Measures'!P33,"")</f>
        <v/>
      </c>
      <c r="L31" s="29" t="str">
        <f t="shared" si="1"/>
        <v>Version 5.0</v>
      </c>
      <c r="M31" s="97" t="str">
        <f>IF(ISNUMBER($D31)=TRUE,'Input HVAC Measures'!E33,"")</f>
        <v/>
      </c>
      <c r="N31" s="41" t="str">
        <f>'Input HVAC Measures'!R33</f>
        <v/>
      </c>
    </row>
    <row r="32" spans="1:14" x14ac:dyDescent="0.2">
      <c r="A32" s="13" t="s">
        <v>222</v>
      </c>
      <c r="B32" s="12">
        <f t="shared" si="0"/>
        <v>0</v>
      </c>
      <c r="C32" s="12">
        <f>'Input HVAC Measures'!B34</f>
        <v>30</v>
      </c>
      <c r="D32" s="12" t="str">
        <f>'Input HVAC Measures'!C34</f>
        <v/>
      </c>
      <c r="E32" s="12" t="str">
        <f>'Input HVAC Measures'!F34</f>
        <v/>
      </c>
      <c r="F32" s="12" t="str">
        <f>IF(ISNUMBER($D32)=TRUE,'Input HVAC Measures'!G34,"")</f>
        <v/>
      </c>
      <c r="G32" s="12" t="str">
        <f>IF(ISNUMBER($D32)=TRUE,'Input HVAC Measures'!S34,"")</f>
        <v/>
      </c>
      <c r="H32" s="137" t="str">
        <f>IF(ISNUMBER($D32)=TRUE,'Input HVAC Measures'!T34,"")</f>
        <v/>
      </c>
      <c r="I32" s="44" t="str">
        <f>IFERROR(N32*MIN(Table_Measure_Caps[[#Totals],[Estimated Raw Incentive Total]], Table_Measure_Caps[[#Totals],[Gross Measure Cost Total]], Value_Project_CAP)/Table_Measure_Caps[[#Totals],[Estimated Raw Incentive Total]], "")</f>
        <v/>
      </c>
      <c r="J32" s="44" t="str">
        <f>IF(ISNUMBER($D32)=TRUE,'Input HVAC Measures'!O34,"")</f>
        <v/>
      </c>
      <c r="K32" s="12" t="str">
        <f>IF(ISNUMBER($D32)=TRUE,'Input HVAC Measures'!P34,"")</f>
        <v/>
      </c>
      <c r="L32" s="29" t="str">
        <f t="shared" si="1"/>
        <v>Version 5.0</v>
      </c>
      <c r="M32" s="97" t="str">
        <f>IF(ISNUMBER($D32)=TRUE,'Input HVAC Measures'!E34,"")</f>
        <v/>
      </c>
      <c r="N32" s="41" t="str">
        <f>'Input HVAC Measures'!R34</f>
        <v/>
      </c>
    </row>
    <row r="33" spans="1:14" x14ac:dyDescent="0.2">
      <c r="A33" s="13" t="s">
        <v>222</v>
      </c>
      <c r="B33" s="12">
        <f t="shared" si="0"/>
        <v>0</v>
      </c>
      <c r="C33" s="12">
        <f>'Input HVAC Measures'!B35</f>
        <v>31</v>
      </c>
      <c r="D33" s="12" t="str">
        <f>'Input HVAC Measures'!C35</f>
        <v/>
      </c>
      <c r="E33" s="12" t="str">
        <f>'Input HVAC Measures'!F35</f>
        <v/>
      </c>
      <c r="F33" s="12" t="str">
        <f>IF(ISNUMBER($D33)=TRUE,'Input HVAC Measures'!G35,"")</f>
        <v/>
      </c>
      <c r="G33" s="12" t="str">
        <f>IF(ISNUMBER($D33)=TRUE,'Input HVAC Measures'!S35,"")</f>
        <v/>
      </c>
      <c r="H33" s="137" t="str">
        <f>IF(ISNUMBER($D33)=TRUE,'Input HVAC Measures'!T35,"")</f>
        <v/>
      </c>
      <c r="I33" s="44" t="str">
        <f>IFERROR(N33*MIN(Table_Measure_Caps[[#Totals],[Estimated Raw Incentive Total]], Table_Measure_Caps[[#Totals],[Gross Measure Cost Total]], Value_Project_CAP)/Table_Measure_Caps[[#Totals],[Estimated Raw Incentive Total]], "")</f>
        <v/>
      </c>
      <c r="J33" s="44" t="str">
        <f>IF(ISNUMBER($D33)=TRUE,'Input HVAC Measures'!O35,"")</f>
        <v/>
      </c>
      <c r="K33" s="12" t="str">
        <f>IF(ISNUMBER($D33)=TRUE,'Input HVAC Measures'!P35,"")</f>
        <v/>
      </c>
      <c r="L33" s="29" t="str">
        <f t="shared" si="1"/>
        <v>Version 5.0</v>
      </c>
      <c r="M33" s="97" t="str">
        <f>IF(ISNUMBER($D33)=TRUE,'Input HVAC Measures'!E35,"")</f>
        <v/>
      </c>
      <c r="N33" s="41" t="str">
        <f>'Input HVAC Measures'!R35</f>
        <v/>
      </c>
    </row>
    <row r="34" spans="1:14" x14ac:dyDescent="0.2">
      <c r="A34" s="13" t="s">
        <v>222</v>
      </c>
      <c r="B34" s="12">
        <f t="shared" si="0"/>
        <v>0</v>
      </c>
      <c r="C34" s="12">
        <f>'Input HVAC Measures'!B36</f>
        <v>32</v>
      </c>
      <c r="D34" s="12" t="str">
        <f>'Input HVAC Measures'!C36</f>
        <v/>
      </c>
      <c r="E34" s="12" t="str">
        <f>'Input HVAC Measures'!F36</f>
        <v/>
      </c>
      <c r="F34" s="12" t="str">
        <f>IF(ISNUMBER($D34)=TRUE,'Input HVAC Measures'!G36,"")</f>
        <v/>
      </c>
      <c r="G34" s="12" t="str">
        <f>IF(ISNUMBER($D34)=TRUE,'Input HVAC Measures'!S36,"")</f>
        <v/>
      </c>
      <c r="H34" s="137" t="str">
        <f>IF(ISNUMBER($D34)=TRUE,'Input HVAC Measures'!T36,"")</f>
        <v/>
      </c>
      <c r="I34" s="44" t="str">
        <f>IFERROR(N34*MIN(Table_Measure_Caps[[#Totals],[Estimated Raw Incentive Total]], Table_Measure_Caps[[#Totals],[Gross Measure Cost Total]], Value_Project_CAP)/Table_Measure_Caps[[#Totals],[Estimated Raw Incentive Total]], "")</f>
        <v/>
      </c>
      <c r="J34" s="44" t="str">
        <f>IF(ISNUMBER($D34)=TRUE,'Input HVAC Measures'!O36,"")</f>
        <v/>
      </c>
      <c r="K34" s="12" t="str">
        <f>IF(ISNUMBER($D34)=TRUE,'Input HVAC Measures'!P36,"")</f>
        <v/>
      </c>
      <c r="L34" s="29" t="str">
        <f t="shared" si="1"/>
        <v>Version 5.0</v>
      </c>
      <c r="M34" s="97" t="str">
        <f>IF(ISNUMBER($D34)=TRUE,'Input HVAC Measures'!E36,"")</f>
        <v/>
      </c>
      <c r="N34" s="41" t="str">
        <f>'Input HVAC Measures'!R36</f>
        <v/>
      </c>
    </row>
    <row r="35" spans="1:14" x14ac:dyDescent="0.2">
      <c r="A35" s="13" t="s">
        <v>222</v>
      </c>
      <c r="B35" s="12">
        <f t="shared" si="0"/>
        <v>0</v>
      </c>
      <c r="C35" s="12">
        <f>'Input HVAC Measures'!B37</f>
        <v>33</v>
      </c>
      <c r="D35" s="12" t="str">
        <f>'Input HVAC Measures'!C37</f>
        <v/>
      </c>
      <c r="E35" s="12" t="str">
        <f>'Input HVAC Measures'!F37</f>
        <v/>
      </c>
      <c r="F35" s="12" t="str">
        <f>IF(ISNUMBER($D35)=TRUE,'Input HVAC Measures'!G37,"")</f>
        <v/>
      </c>
      <c r="G35" s="12" t="str">
        <f>IF(ISNUMBER($D35)=TRUE,'Input HVAC Measures'!S37,"")</f>
        <v/>
      </c>
      <c r="H35" s="137" t="str">
        <f>IF(ISNUMBER($D35)=TRUE,'Input HVAC Measures'!T37,"")</f>
        <v/>
      </c>
      <c r="I35" s="44" t="str">
        <f>IFERROR(N35*MIN(Table_Measure_Caps[[#Totals],[Estimated Raw Incentive Total]], Table_Measure_Caps[[#Totals],[Gross Measure Cost Total]], Value_Project_CAP)/Table_Measure_Caps[[#Totals],[Estimated Raw Incentive Total]], "")</f>
        <v/>
      </c>
      <c r="J35" s="44" t="str">
        <f>IF(ISNUMBER($D35)=TRUE,'Input HVAC Measures'!O37,"")</f>
        <v/>
      </c>
      <c r="K35" s="12" t="str">
        <f>IF(ISNUMBER($D35)=TRUE,'Input HVAC Measures'!P37,"")</f>
        <v/>
      </c>
      <c r="L35" s="29" t="str">
        <f t="shared" si="1"/>
        <v>Version 5.0</v>
      </c>
      <c r="M35" s="97" t="str">
        <f>IF(ISNUMBER($D35)=TRUE,'Input HVAC Measures'!E37,"")</f>
        <v/>
      </c>
      <c r="N35" s="41" t="str">
        <f>'Input HVAC Measures'!R37</f>
        <v/>
      </c>
    </row>
    <row r="36" spans="1:14" x14ac:dyDescent="0.2">
      <c r="A36" s="13" t="s">
        <v>222</v>
      </c>
      <c r="B36" s="12">
        <f t="shared" si="0"/>
        <v>0</v>
      </c>
      <c r="C36" s="12">
        <f>'Input HVAC Measures'!B38</f>
        <v>34</v>
      </c>
      <c r="D36" s="12" t="str">
        <f>'Input HVAC Measures'!C38</f>
        <v/>
      </c>
      <c r="E36" s="12" t="str">
        <f>'Input HVAC Measures'!F38</f>
        <v/>
      </c>
      <c r="F36" s="12" t="str">
        <f>IF(ISNUMBER($D36)=TRUE,'Input HVAC Measures'!G38,"")</f>
        <v/>
      </c>
      <c r="G36" s="12" t="str">
        <f>IF(ISNUMBER($D36)=TRUE,'Input HVAC Measures'!S38,"")</f>
        <v/>
      </c>
      <c r="H36" s="137" t="str">
        <f>IF(ISNUMBER($D36)=TRUE,'Input HVAC Measures'!T38,"")</f>
        <v/>
      </c>
      <c r="I36" s="44" t="str">
        <f>IFERROR(N36*MIN(Table_Measure_Caps[[#Totals],[Estimated Raw Incentive Total]], Table_Measure_Caps[[#Totals],[Gross Measure Cost Total]], Value_Project_CAP)/Table_Measure_Caps[[#Totals],[Estimated Raw Incentive Total]], "")</f>
        <v/>
      </c>
      <c r="J36" s="44" t="str">
        <f>IF(ISNUMBER($D36)=TRUE,'Input HVAC Measures'!O38,"")</f>
        <v/>
      </c>
      <c r="K36" s="12" t="str">
        <f>IF(ISNUMBER($D36)=TRUE,'Input HVAC Measures'!P38,"")</f>
        <v/>
      </c>
      <c r="L36" s="29" t="str">
        <f t="shared" si="1"/>
        <v>Version 5.0</v>
      </c>
      <c r="M36" s="97" t="str">
        <f>IF(ISNUMBER($D36)=TRUE,'Input HVAC Measures'!E38,"")</f>
        <v/>
      </c>
      <c r="N36" s="41" t="str">
        <f>'Input HVAC Measures'!R38</f>
        <v/>
      </c>
    </row>
    <row r="37" spans="1:14" x14ac:dyDescent="0.2">
      <c r="A37" s="13" t="s">
        <v>222</v>
      </c>
      <c r="B37" s="12">
        <f t="shared" si="0"/>
        <v>0</v>
      </c>
      <c r="C37" s="12">
        <f>'Input HVAC Measures'!B39</f>
        <v>35</v>
      </c>
      <c r="D37" s="12" t="str">
        <f>'Input HVAC Measures'!C39</f>
        <v/>
      </c>
      <c r="E37" s="12" t="str">
        <f>'Input HVAC Measures'!F39</f>
        <v/>
      </c>
      <c r="F37" s="12" t="str">
        <f>IF(ISNUMBER($D37)=TRUE,'Input HVAC Measures'!G39,"")</f>
        <v/>
      </c>
      <c r="G37" s="12" t="str">
        <f>IF(ISNUMBER($D37)=TRUE,'Input HVAC Measures'!S39,"")</f>
        <v/>
      </c>
      <c r="H37" s="137" t="str">
        <f>IF(ISNUMBER($D37)=TRUE,'Input HVAC Measures'!T39,"")</f>
        <v/>
      </c>
      <c r="I37" s="44" t="str">
        <f>IFERROR(N37*MIN(Table_Measure_Caps[[#Totals],[Estimated Raw Incentive Total]], Table_Measure_Caps[[#Totals],[Gross Measure Cost Total]], Value_Project_CAP)/Table_Measure_Caps[[#Totals],[Estimated Raw Incentive Total]], "")</f>
        <v/>
      </c>
      <c r="J37" s="44" t="str">
        <f>IF(ISNUMBER($D37)=TRUE,'Input HVAC Measures'!O39,"")</f>
        <v/>
      </c>
      <c r="K37" s="12" t="str">
        <f>IF(ISNUMBER($D37)=TRUE,'Input HVAC Measures'!P39,"")</f>
        <v/>
      </c>
      <c r="L37" s="29" t="str">
        <f t="shared" si="1"/>
        <v>Version 5.0</v>
      </c>
      <c r="M37" s="97" t="str">
        <f>IF(ISNUMBER($D37)=TRUE,'Input HVAC Measures'!E39,"")</f>
        <v/>
      </c>
      <c r="N37" s="41" t="str">
        <f>'Input HVAC Measures'!R39</f>
        <v/>
      </c>
    </row>
    <row r="38" spans="1:14" x14ac:dyDescent="0.2">
      <c r="A38" s="13" t="s">
        <v>222</v>
      </c>
      <c r="B38" s="12">
        <f t="shared" si="0"/>
        <v>0</v>
      </c>
      <c r="C38" s="12">
        <f>'Input HVAC Measures'!B40</f>
        <v>36</v>
      </c>
      <c r="D38" s="12" t="str">
        <f>'Input HVAC Measures'!C40</f>
        <v/>
      </c>
      <c r="E38" s="12" t="str">
        <f>'Input HVAC Measures'!F40</f>
        <v/>
      </c>
      <c r="F38" s="12" t="str">
        <f>IF(ISNUMBER($D38)=TRUE,'Input HVAC Measures'!G40,"")</f>
        <v/>
      </c>
      <c r="G38" s="12" t="str">
        <f>IF(ISNUMBER($D38)=TRUE,'Input HVAC Measures'!S40,"")</f>
        <v/>
      </c>
      <c r="H38" s="137" t="str">
        <f>IF(ISNUMBER($D38)=TRUE,'Input HVAC Measures'!T40,"")</f>
        <v/>
      </c>
      <c r="I38" s="44" t="str">
        <f>IFERROR(N38*MIN(Table_Measure_Caps[[#Totals],[Estimated Raw Incentive Total]], Table_Measure_Caps[[#Totals],[Gross Measure Cost Total]], Value_Project_CAP)/Table_Measure_Caps[[#Totals],[Estimated Raw Incentive Total]], "")</f>
        <v/>
      </c>
      <c r="J38" s="44" t="str">
        <f>IF(ISNUMBER($D38)=TRUE,'Input HVAC Measures'!O40,"")</f>
        <v/>
      </c>
      <c r="K38" s="12" t="str">
        <f>IF(ISNUMBER($D38)=TRUE,'Input HVAC Measures'!P40,"")</f>
        <v/>
      </c>
      <c r="L38" s="29" t="str">
        <f t="shared" si="1"/>
        <v>Version 5.0</v>
      </c>
      <c r="M38" s="97" t="str">
        <f>IF(ISNUMBER($D38)=TRUE,'Input HVAC Measures'!E40,"")</f>
        <v/>
      </c>
      <c r="N38" s="41" t="str">
        <f>'Input HVAC Measures'!R40</f>
        <v/>
      </c>
    </row>
    <row r="39" spans="1:14" x14ac:dyDescent="0.2">
      <c r="A39" s="13" t="s">
        <v>222</v>
      </c>
      <c r="B39" s="12">
        <f t="shared" si="0"/>
        <v>0</v>
      </c>
      <c r="C39" s="12">
        <f>'Input HVAC Measures'!B41</f>
        <v>37</v>
      </c>
      <c r="D39" s="12" t="str">
        <f>'Input HVAC Measures'!C41</f>
        <v/>
      </c>
      <c r="E39" s="12" t="str">
        <f>'Input HVAC Measures'!F41</f>
        <v/>
      </c>
      <c r="F39" s="12" t="str">
        <f>IF(ISNUMBER($D39)=TRUE,'Input HVAC Measures'!G41,"")</f>
        <v/>
      </c>
      <c r="G39" s="12" t="str">
        <f>IF(ISNUMBER($D39)=TRUE,'Input HVAC Measures'!S41,"")</f>
        <v/>
      </c>
      <c r="H39" s="137" t="str">
        <f>IF(ISNUMBER($D39)=TRUE,'Input HVAC Measures'!T41,"")</f>
        <v/>
      </c>
      <c r="I39" s="44" t="str">
        <f>IFERROR(N39*MIN(Table_Measure_Caps[[#Totals],[Estimated Raw Incentive Total]], Table_Measure_Caps[[#Totals],[Gross Measure Cost Total]], Value_Project_CAP)/Table_Measure_Caps[[#Totals],[Estimated Raw Incentive Total]], "")</f>
        <v/>
      </c>
      <c r="J39" s="44" t="str">
        <f>IF(ISNUMBER($D39)=TRUE,'Input HVAC Measures'!O41,"")</f>
        <v/>
      </c>
      <c r="K39" s="12" t="str">
        <f>IF(ISNUMBER($D39)=TRUE,'Input HVAC Measures'!P41,"")</f>
        <v/>
      </c>
      <c r="L39" s="29" t="str">
        <f t="shared" si="1"/>
        <v>Version 5.0</v>
      </c>
      <c r="M39" s="97" t="str">
        <f>IF(ISNUMBER($D39)=TRUE,'Input HVAC Measures'!E41,"")</f>
        <v/>
      </c>
      <c r="N39" s="41" t="str">
        <f>'Input HVAC Measures'!R41</f>
        <v/>
      </c>
    </row>
    <row r="40" spans="1:14" x14ac:dyDescent="0.2">
      <c r="A40" s="13" t="s">
        <v>222</v>
      </c>
      <c r="B40" s="12">
        <f t="shared" si="0"/>
        <v>0</v>
      </c>
      <c r="C40" s="12">
        <f>'Input HVAC Measures'!B42</f>
        <v>38</v>
      </c>
      <c r="D40" s="12" t="str">
        <f>'Input HVAC Measures'!C42</f>
        <v/>
      </c>
      <c r="E40" s="12" t="str">
        <f>'Input HVAC Measures'!F42</f>
        <v/>
      </c>
      <c r="F40" s="12" t="str">
        <f>IF(ISNUMBER($D40)=TRUE,'Input HVAC Measures'!G42,"")</f>
        <v/>
      </c>
      <c r="G40" s="12" t="str">
        <f>IF(ISNUMBER($D40)=TRUE,'Input HVAC Measures'!S42,"")</f>
        <v/>
      </c>
      <c r="H40" s="137" t="str">
        <f>IF(ISNUMBER($D40)=TRUE,'Input HVAC Measures'!T42,"")</f>
        <v/>
      </c>
      <c r="I40" s="44" t="str">
        <f>IFERROR(N40*MIN(Table_Measure_Caps[[#Totals],[Estimated Raw Incentive Total]], Table_Measure_Caps[[#Totals],[Gross Measure Cost Total]], Value_Project_CAP)/Table_Measure_Caps[[#Totals],[Estimated Raw Incentive Total]], "")</f>
        <v/>
      </c>
      <c r="J40" s="44" t="str">
        <f>IF(ISNUMBER($D40)=TRUE,'Input HVAC Measures'!O42,"")</f>
        <v/>
      </c>
      <c r="K40" s="12" t="str">
        <f>IF(ISNUMBER($D40)=TRUE,'Input HVAC Measures'!P42,"")</f>
        <v/>
      </c>
      <c r="L40" s="29" t="str">
        <f t="shared" si="1"/>
        <v>Version 5.0</v>
      </c>
      <c r="M40" s="97" t="str">
        <f>IF(ISNUMBER($D40)=TRUE,'Input HVAC Measures'!E42,"")</f>
        <v/>
      </c>
      <c r="N40" s="41" t="str">
        <f>'Input HVAC Measures'!R42</f>
        <v/>
      </c>
    </row>
    <row r="41" spans="1:14" x14ac:dyDescent="0.2">
      <c r="A41" s="13" t="s">
        <v>222</v>
      </c>
      <c r="B41" s="12">
        <f t="shared" si="0"/>
        <v>0</v>
      </c>
      <c r="C41" s="12">
        <f>'Input HVAC Measures'!B43</f>
        <v>39</v>
      </c>
      <c r="D41" s="12" t="str">
        <f>'Input HVAC Measures'!C43</f>
        <v/>
      </c>
      <c r="E41" s="12" t="str">
        <f>'Input HVAC Measures'!F43</f>
        <v/>
      </c>
      <c r="F41" s="12" t="str">
        <f>IF(ISNUMBER($D41)=TRUE,'Input HVAC Measures'!G43,"")</f>
        <v/>
      </c>
      <c r="G41" s="12" t="str">
        <f>IF(ISNUMBER($D41)=TRUE,'Input HVAC Measures'!S43,"")</f>
        <v/>
      </c>
      <c r="H41" s="137" t="str">
        <f>IF(ISNUMBER($D41)=TRUE,'Input HVAC Measures'!T43,"")</f>
        <v/>
      </c>
      <c r="I41" s="44" t="str">
        <f>IFERROR(N41*MIN(Table_Measure_Caps[[#Totals],[Estimated Raw Incentive Total]], Table_Measure_Caps[[#Totals],[Gross Measure Cost Total]], Value_Project_CAP)/Table_Measure_Caps[[#Totals],[Estimated Raw Incentive Total]], "")</f>
        <v/>
      </c>
      <c r="J41" s="44" t="str">
        <f>IF(ISNUMBER($D41)=TRUE,'Input HVAC Measures'!O43,"")</f>
        <v/>
      </c>
      <c r="K41" s="12" t="str">
        <f>IF(ISNUMBER($D41)=TRUE,'Input HVAC Measures'!P43,"")</f>
        <v/>
      </c>
      <c r="L41" s="29" t="str">
        <f t="shared" si="1"/>
        <v>Version 5.0</v>
      </c>
      <c r="M41" s="97" t="str">
        <f>IF(ISNUMBER($D41)=TRUE,'Input HVAC Measures'!E43,"")</f>
        <v/>
      </c>
      <c r="N41" s="41" t="str">
        <f>'Input HVAC Measures'!R43</f>
        <v/>
      </c>
    </row>
    <row r="42" spans="1:14" x14ac:dyDescent="0.2">
      <c r="A42" s="13" t="s">
        <v>222</v>
      </c>
      <c r="B42" s="12">
        <f t="shared" si="0"/>
        <v>0</v>
      </c>
      <c r="C42" s="12">
        <f>'Input HVAC Measures'!B44</f>
        <v>40</v>
      </c>
      <c r="D42" s="12" t="str">
        <f>'Input HVAC Measures'!C44</f>
        <v/>
      </c>
      <c r="E42" s="12" t="str">
        <f>'Input HVAC Measures'!F44</f>
        <v/>
      </c>
      <c r="F42" s="12" t="str">
        <f>IF(ISNUMBER($D42)=TRUE,'Input HVAC Measures'!G44,"")</f>
        <v/>
      </c>
      <c r="G42" s="12" t="str">
        <f>IF(ISNUMBER($D42)=TRUE,'Input HVAC Measures'!S44,"")</f>
        <v/>
      </c>
      <c r="H42" s="137" t="str">
        <f>IF(ISNUMBER($D42)=TRUE,'Input HVAC Measures'!T44,"")</f>
        <v/>
      </c>
      <c r="I42" s="44" t="str">
        <f>IFERROR(N42*MIN(Table_Measure_Caps[[#Totals],[Estimated Raw Incentive Total]], Table_Measure_Caps[[#Totals],[Gross Measure Cost Total]], Value_Project_CAP)/Table_Measure_Caps[[#Totals],[Estimated Raw Incentive Total]], "")</f>
        <v/>
      </c>
      <c r="J42" s="44" t="str">
        <f>IF(ISNUMBER($D42)=TRUE,'Input HVAC Measures'!O44,"")</f>
        <v/>
      </c>
      <c r="K42" s="12" t="str">
        <f>IF(ISNUMBER($D42)=TRUE,'Input HVAC Measures'!P44,"")</f>
        <v/>
      </c>
      <c r="L42" s="29" t="str">
        <f t="shared" si="1"/>
        <v>Version 5.0</v>
      </c>
      <c r="M42" s="97" t="str">
        <f>IF(ISNUMBER($D42)=TRUE,'Input HVAC Measures'!E44,"")</f>
        <v/>
      </c>
      <c r="N42" s="41" t="str">
        <f>'Input HVAC Measures'!R44</f>
        <v/>
      </c>
    </row>
    <row r="43" spans="1:14" x14ac:dyDescent="0.2">
      <c r="A43" s="13" t="s">
        <v>222</v>
      </c>
      <c r="B43" s="12">
        <f t="shared" si="0"/>
        <v>0</v>
      </c>
      <c r="C43" s="12">
        <f>'Input HVAC Measures'!B45</f>
        <v>41</v>
      </c>
      <c r="D43" s="12" t="str">
        <f>'Input HVAC Measures'!C45</f>
        <v/>
      </c>
      <c r="E43" s="12" t="str">
        <f>'Input HVAC Measures'!F45</f>
        <v/>
      </c>
      <c r="F43" s="12" t="str">
        <f>IF(ISNUMBER($D43)=TRUE,'Input HVAC Measures'!G45,"")</f>
        <v/>
      </c>
      <c r="G43" s="12" t="str">
        <f>IF(ISNUMBER($D43)=TRUE,'Input HVAC Measures'!S45,"")</f>
        <v/>
      </c>
      <c r="H43" s="137" t="str">
        <f>IF(ISNUMBER($D43)=TRUE,'Input HVAC Measures'!T45,"")</f>
        <v/>
      </c>
      <c r="I43" s="44" t="str">
        <f>IFERROR(N43*MIN(Table_Measure_Caps[[#Totals],[Estimated Raw Incentive Total]], Table_Measure_Caps[[#Totals],[Gross Measure Cost Total]], Value_Project_CAP)/Table_Measure_Caps[[#Totals],[Estimated Raw Incentive Total]], "")</f>
        <v/>
      </c>
      <c r="J43" s="44" t="str">
        <f>IF(ISNUMBER($D43)=TRUE,'Input HVAC Measures'!O45,"")</f>
        <v/>
      </c>
      <c r="K43" s="12" t="str">
        <f>IF(ISNUMBER($D43)=TRUE,'Input HVAC Measures'!P45,"")</f>
        <v/>
      </c>
      <c r="L43" s="29" t="str">
        <f t="shared" si="1"/>
        <v>Version 5.0</v>
      </c>
      <c r="M43" s="97" t="str">
        <f>IF(ISNUMBER($D43)=TRUE,'Input HVAC Measures'!E45,"")</f>
        <v/>
      </c>
      <c r="N43" s="41" t="str">
        <f>'Input HVAC Measures'!R45</f>
        <v/>
      </c>
    </row>
    <row r="44" spans="1:14" x14ac:dyDescent="0.2">
      <c r="A44" s="13" t="s">
        <v>222</v>
      </c>
      <c r="B44" s="12">
        <f t="shared" si="0"/>
        <v>0</v>
      </c>
      <c r="C44" s="12">
        <f>'Input HVAC Measures'!B46</f>
        <v>42</v>
      </c>
      <c r="D44" s="12" t="str">
        <f>'Input HVAC Measures'!C46</f>
        <v/>
      </c>
      <c r="E44" s="12" t="str">
        <f>'Input HVAC Measures'!F46</f>
        <v/>
      </c>
      <c r="F44" s="12" t="str">
        <f>IF(ISNUMBER($D44)=TRUE,'Input HVAC Measures'!G46,"")</f>
        <v/>
      </c>
      <c r="G44" s="12" t="str">
        <f>IF(ISNUMBER($D44)=TRUE,'Input HVAC Measures'!S46,"")</f>
        <v/>
      </c>
      <c r="H44" s="137" t="str">
        <f>IF(ISNUMBER($D44)=TRUE,'Input HVAC Measures'!T46,"")</f>
        <v/>
      </c>
      <c r="I44" s="44" t="str">
        <f>IFERROR(N44*MIN(Table_Measure_Caps[[#Totals],[Estimated Raw Incentive Total]], Table_Measure_Caps[[#Totals],[Gross Measure Cost Total]], Value_Project_CAP)/Table_Measure_Caps[[#Totals],[Estimated Raw Incentive Total]], "")</f>
        <v/>
      </c>
      <c r="J44" s="44" t="str">
        <f>IF(ISNUMBER($D44)=TRUE,'Input HVAC Measures'!O46,"")</f>
        <v/>
      </c>
      <c r="K44" s="12" t="str">
        <f>IF(ISNUMBER($D44)=TRUE,'Input HVAC Measures'!P46,"")</f>
        <v/>
      </c>
      <c r="L44" s="29" t="str">
        <f t="shared" si="1"/>
        <v>Version 5.0</v>
      </c>
      <c r="M44" s="97" t="str">
        <f>IF(ISNUMBER($D44)=TRUE,'Input HVAC Measures'!E46,"")</f>
        <v/>
      </c>
      <c r="N44" s="41" t="str">
        <f>'Input HVAC Measures'!R46</f>
        <v/>
      </c>
    </row>
    <row r="45" spans="1:14" x14ac:dyDescent="0.2">
      <c r="A45" s="13" t="s">
        <v>222</v>
      </c>
      <c r="B45" s="12">
        <f t="shared" si="0"/>
        <v>0</v>
      </c>
      <c r="C45" s="12">
        <f>'Input HVAC Measures'!B47</f>
        <v>43</v>
      </c>
      <c r="D45" s="12" t="str">
        <f>'Input HVAC Measures'!C47</f>
        <v/>
      </c>
      <c r="E45" s="12" t="str">
        <f>'Input HVAC Measures'!F47</f>
        <v/>
      </c>
      <c r="F45" s="12" t="str">
        <f>IF(ISNUMBER($D45)=TRUE,'Input HVAC Measures'!G47,"")</f>
        <v/>
      </c>
      <c r="G45" s="12" t="str">
        <f>IF(ISNUMBER($D45)=TRUE,'Input HVAC Measures'!S47,"")</f>
        <v/>
      </c>
      <c r="H45" s="137" t="str">
        <f>IF(ISNUMBER($D45)=TRUE,'Input HVAC Measures'!T47,"")</f>
        <v/>
      </c>
      <c r="I45" s="44" t="str">
        <f>IFERROR(N45*MIN(Table_Measure_Caps[[#Totals],[Estimated Raw Incentive Total]], Table_Measure_Caps[[#Totals],[Gross Measure Cost Total]], Value_Project_CAP)/Table_Measure_Caps[[#Totals],[Estimated Raw Incentive Total]], "")</f>
        <v/>
      </c>
      <c r="J45" s="44" t="str">
        <f>IF(ISNUMBER($D45)=TRUE,'Input HVAC Measures'!O47,"")</f>
        <v/>
      </c>
      <c r="K45" s="12" t="str">
        <f>IF(ISNUMBER($D45)=TRUE,'Input HVAC Measures'!P47,"")</f>
        <v/>
      </c>
      <c r="L45" s="29" t="str">
        <f t="shared" si="1"/>
        <v>Version 5.0</v>
      </c>
      <c r="M45" s="97" t="str">
        <f>IF(ISNUMBER($D45)=TRUE,'Input HVAC Measures'!E47,"")</f>
        <v/>
      </c>
      <c r="N45" s="41" t="str">
        <f>'Input HVAC Measures'!R47</f>
        <v/>
      </c>
    </row>
    <row r="46" spans="1:14" x14ac:dyDescent="0.2">
      <c r="A46" s="13" t="s">
        <v>222</v>
      </c>
      <c r="B46" s="12">
        <f t="shared" si="0"/>
        <v>0</v>
      </c>
      <c r="C46" s="12">
        <f>'Input HVAC Measures'!B48</f>
        <v>44</v>
      </c>
      <c r="D46" s="12" t="str">
        <f>'Input HVAC Measures'!C48</f>
        <v/>
      </c>
      <c r="E46" s="12" t="str">
        <f>'Input HVAC Measures'!F48</f>
        <v/>
      </c>
      <c r="F46" s="12" t="str">
        <f>IF(ISNUMBER($D46)=TRUE,'Input HVAC Measures'!G48,"")</f>
        <v/>
      </c>
      <c r="G46" s="12" t="str">
        <f>IF(ISNUMBER($D46)=TRUE,'Input HVAC Measures'!S48,"")</f>
        <v/>
      </c>
      <c r="H46" s="137" t="str">
        <f>IF(ISNUMBER($D46)=TRUE,'Input HVAC Measures'!T48,"")</f>
        <v/>
      </c>
      <c r="I46" s="44" t="str">
        <f>IFERROR(N46*MIN(Table_Measure_Caps[[#Totals],[Estimated Raw Incentive Total]], Table_Measure_Caps[[#Totals],[Gross Measure Cost Total]], Value_Project_CAP)/Table_Measure_Caps[[#Totals],[Estimated Raw Incentive Total]], "")</f>
        <v/>
      </c>
      <c r="J46" s="44" t="str">
        <f>IF(ISNUMBER($D46)=TRUE,'Input HVAC Measures'!O48,"")</f>
        <v/>
      </c>
      <c r="K46" s="12" t="str">
        <f>IF(ISNUMBER($D46)=TRUE,'Input HVAC Measures'!P48,"")</f>
        <v/>
      </c>
      <c r="L46" s="29" t="str">
        <f t="shared" si="1"/>
        <v>Version 5.0</v>
      </c>
      <c r="M46" s="97" t="str">
        <f>IF(ISNUMBER($D46)=TRUE,'Input HVAC Measures'!E48,"")</f>
        <v/>
      </c>
      <c r="N46" s="41" t="str">
        <f>'Input HVAC Measures'!R48</f>
        <v/>
      </c>
    </row>
    <row r="47" spans="1:14" x14ac:dyDescent="0.2">
      <c r="A47" s="13" t="s">
        <v>222</v>
      </c>
      <c r="B47" s="12">
        <f t="shared" si="0"/>
        <v>0</v>
      </c>
      <c r="C47" s="12">
        <f>'Input HVAC Measures'!B49</f>
        <v>45</v>
      </c>
      <c r="D47" s="12" t="str">
        <f>'Input HVAC Measures'!C49</f>
        <v/>
      </c>
      <c r="E47" s="12" t="str">
        <f>'Input HVAC Measures'!F49</f>
        <v/>
      </c>
      <c r="F47" s="12" t="str">
        <f>IF(ISNUMBER($D47)=TRUE,'Input HVAC Measures'!G49,"")</f>
        <v/>
      </c>
      <c r="G47" s="12" t="str">
        <f>IF(ISNUMBER($D47)=TRUE,'Input HVAC Measures'!S49,"")</f>
        <v/>
      </c>
      <c r="H47" s="137" t="str">
        <f>IF(ISNUMBER($D47)=TRUE,'Input HVAC Measures'!T49,"")</f>
        <v/>
      </c>
      <c r="I47" s="44" t="str">
        <f>IFERROR(N47*MIN(Table_Measure_Caps[[#Totals],[Estimated Raw Incentive Total]], Table_Measure_Caps[[#Totals],[Gross Measure Cost Total]], Value_Project_CAP)/Table_Measure_Caps[[#Totals],[Estimated Raw Incentive Total]], "")</f>
        <v/>
      </c>
      <c r="J47" s="44" t="str">
        <f>IF(ISNUMBER($D47)=TRUE,'Input HVAC Measures'!O49,"")</f>
        <v/>
      </c>
      <c r="K47" s="12" t="str">
        <f>IF(ISNUMBER($D47)=TRUE,'Input HVAC Measures'!P49,"")</f>
        <v/>
      </c>
      <c r="L47" s="29" t="str">
        <f t="shared" si="1"/>
        <v>Version 5.0</v>
      </c>
      <c r="M47" s="97" t="str">
        <f>IF(ISNUMBER($D47)=TRUE,'Input HVAC Measures'!E49,"")</f>
        <v/>
      </c>
      <c r="N47" s="41" t="str">
        <f>'Input HVAC Measures'!R49</f>
        <v/>
      </c>
    </row>
    <row r="48" spans="1:14" x14ac:dyDescent="0.2">
      <c r="A48" s="13" t="s">
        <v>222</v>
      </c>
      <c r="B48" s="12">
        <f t="shared" si="0"/>
        <v>0</v>
      </c>
      <c r="C48" s="12">
        <f>'Input HVAC Measures'!B50</f>
        <v>46</v>
      </c>
      <c r="D48" s="12" t="str">
        <f>'Input HVAC Measures'!C50</f>
        <v/>
      </c>
      <c r="E48" s="12" t="str">
        <f>'Input HVAC Measures'!F50</f>
        <v/>
      </c>
      <c r="F48" s="12" t="str">
        <f>IF(ISNUMBER($D48)=TRUE,'Input HVAC Measures'!G50,"")</f>
        <v/>
      </c>
      <c r="G48" s="12" t="str">
        <f>IF(ISNUMBER($D48)=TRUE,'Input HVAC Measures'!S50,"")</f>
        <v/>
      </c>
      <c r="H48" s="137" t="str">
        <f>IF(ISNUMBER($D48)=TRUE,'Input HVAC Measures'!T50,"")</f>
        <v/>
      </c>
      <c r="I48" s="44" t="str">
        <f>IFERROR(N48*MIN(Table_Measure_Caps[[#Totals],[Estimated Raw Incentive Total]], Table_Measure_Caps[[#Totals],[Gross Measure Cost Total]], Value_Project_CAP)/Table_Measure_Caps[[#Totals],[Estimated Raw Incentive Total]], "")</f>
        <v/>
      </c>
      <c r="J48" s="44" t="str">
        <f>IF(ISNUMBER($D48)=TRUE,'Input HVAC Measures'!O50,"")</f>
        <v/>
      </c>
      <c r="K48" s="12" t="str">
        <f>IF(ISNUMBER($D48)=TRUE,'Input HVAC Measures'!P50,"")</f>
        <v/>
      </c>
      <c r="L48" s="29" t="str">
        <f t="shared" si="1"/>
        <v>Version 5.0</v>
      </c>
      <c r="M48" s="97" t="str">
        <f>IF(ISNUMBER($D48)=TRUE,'Input HVAC Measures'!E50,"")</f>
        <v/>
      </c>
      <c r="N48" s="41" t="str">
        <f>'Input HVAC Measures'!R50</f>
        <v/>
      </c>
    </row>
    <row r="49" spans="1:14" x14ac:dyDescent="0.2">
      <c r="A49" s="13" t="s">
        <v>222</v>
      </c>
      <c r="B49" s="12">
        <f t="shared" si="0"/>
        <v>0</v>
      </c>
      <c r="C49" s="12">
        <f>'Input HVAC Measures'!B51</f>
        <v>47</v>
      </c>
      <c r="D49" s="12" t="str">
        <f>'Input HVAC Measures'!C51</f>
        <v/>
      </c>
      <c r="E49" s="12" t="str">
        <f>'Input HVAC Measures'!F51</f>
        <v/>
      </c>
      <c r="F49" s="12" t="str">
        <f>IF(ISNUMBER($D49)=TRUE,'Input HVAC Measures'!G51,"")</f>
        <v/>
      </c>
      <c r="G49" s="12" t="str">
        <f>IF(ISNUMBER($D49)=TRUE,'Input HVAC Measures'!S51,"")</f>
        <v/>
      </c>
      <c r="H49" s="137" t="str">
        <f>IF(ISNUMBER($D49)=TRUE,'Input HVAC Measures'!T51,"")</f>
        <v/>
      </c>
      <c r="I49" s="44" t="str">
        <f>IFERROR(N49*MIN(Table_Measure_Caps[[#Totals],[Estimated Raw Incentive Total]], Table_Measure_Caps[[#Totals],[Gross Measure Cost Total]], Value_Project_CAP)/Table_Measure_Caps[[#Totals],[Estimated Raw Incentive Total]], "")</f>
        <v/>
      </c>
      <c r="J49" s="44" t="str">
        <f>IF(ISNUMBER($D49)=TRUE,'Input HVAC Measures'!O51,"")</f>
        <v/>
      </c>
      <c r="K49" s="12" t="str">
        <f>IF(ISNUMBER($D49)=TRUE,'Input HVAC Measures'!P51,"")</f>
        <v/>
      </c>
      <c r="L49" s="29" t="str">
        <f t="shared" si="1"/>
        <v>Version 5.0</v>
      </c>
      <c r="M49" s="97" t="str">
        <f>IF(ISNUMBER($D49)=TRUE,'Input HVAC Measures'!E51,"")</f>
        <v/>
      </c>
      <c r="N49" s="41" t="str">
        <f>'Input HVAC Measures'!R51</f>
        <v/>
      </c>
    </row>
    <row r="50" spans="1:14" x14ac:dyDescent="0.2">
      <c r="A50" s="13" t="s">
        <v>222</v>
      </c>
      <c r="B50" s="12">
        <f t="shared" si="0"/>
        <v>0</v>
      </c>
      <c r="C50" s="12">
        <f>'Input HVAC Measures'!B52</f>
        <v>48</v>
      </c>
      <c r="D50" s="12" t="str">
        <f>'Input HVAC Measures'!C52</f>
        <v/>
      </c>
      <c r="E50" s="12" t="str">
        <f>'Input HVAC Measures'!F52</f>
        <v/>
      </c>
      <c r="F50" s="12" t="str">
        <f>IF(ISNUMBER($D50)=TRUE,'Input HVAC Measures'!G52,"")</f>
        <v/>
      </c>
      <c r="G50" s="12" t="str">
        <f>IF(ISNUMBER($D50)=TRUE,'Input HVAC Measures'!S52,"")</f>
        <v/>
      </c>
      <c r="H50" s="137" t="str">
        <f>IF(ISNUMBER($D50)=TRUE,'Input HVAC Measures'!T52,"")</f>
        <v/>
      </c>
      <c r="I50" s="44" t="str">
        <f>IFERROR(N50*MIN(Table_Measure_Caps[[#Totals],[Estimated Raw Incentive Total]], Table_Measure_Caps[[#Totals],[Gross Measure Cost Total]], Value_Project_CAP)/Table_Measure_Caps[[#Totals],[Estimated Raw Incentive Total]], "")</f>
        <v/>
      </c>
      <c r="J50" s="44" t="str">
        <f>IF(ISNUMBER($D50)=TRUE,'Input HVAC Measures'!O52,"")</f>
        <v/>
      </c>
      <c r="K50" s="12" t="str">
        <f>IF(ISNUMBER($D50)=TRUE,'Input HVAC Measures'!P52,"")</f>
        <v/>
      </c>
      <c r="L50" s="29" t="str">
        <f t="shared" si="1"/>
        <v>Version 5.0</v>
      </c>
      <c r="M50" s="97" t="str">
        <f>IF(ISNUMBER($D50)=TRUE,'Input HVAC Measures'!E52,"")</f>
        <v/>
      </c>
      <c r="N50" s="41" t="str">
        <f>'Input HVAC Measures'!R52</f>
        <v/>
      </c>
    </row>
    <row r="51" spans="1:14" x14ac:dyDescent="0.2">
      <c r="A51" s="13" t="s">
        <v>222</v>
      </c>
      <c r="B51" s="12">
        <f t="shared" si="0"/>
        <v>0</v>
      </c>
      <c r="C51" s="12">
        <f>'Input HVAC Measures'!B53</f>
        <v>49</v>
      </c>
      <c r="D51" s="12" t="str">
        <f>'Input HVAC Measures'!C53</f>
        <v/>
      </c>
      <c r="E51" s="12" t="str">
        <f>'Input HVAC Measures'!F53</f>
        <v/>
      </c>
      <c r="F51" s="12" t="str">
        <f>IF(ISNUMBER($D51)=TRUE,'Input HVAC Measures'!G53,"")</f>
        <v/>
      </c>
      <c r="G51" s="12" t="str">
        <f>IF(ISNUMBER($D51)=TRUE,'Input HVAC Measures'!S53,"")</f>
        <v/>
      </c>
      <c r="H51" s="137" t="str">
        <f>IF(ISNUMBER($D51)=TRUE,'Input HVAC Measures'!T53,"")</f>
        <v/>
      </c>
      <c r="I51" s="44" t="str">
        <f>IFERROR(N51*MIN(Table_Measure_Caps[[#Totals],[Estimated Raw Incentive Total]], Table_Measure_Caps[[#Totals],[Gross Measure Cost Total]], Value_Project_CAP)/Table_Measure_Caps[[#Totals],[Estimated Raw Incentive Total]], "")</f>
        <v/>
      </c>
      <c r="J51" s="44" t="str">
        <f>IF(ISNUMBER($D51)=TRUE,'Input HVAC Measures'!O53,"")</f>
        <v/>
      </c>
      <c r="K51" s="12" t="str">
        <f>IF(ISNUMBER($D51)=TRUE,'Input HVAC Measures'!P53,"")</f>
        <v/>
      </c>
      <c r="L51" s="29" t="str">
        <f t="shared" si="1"/>
        <v>Version 5.0</v>
      </c>
      <c r="M51" s="97" t="str">
        <f>IF(ISNUMBER($D51)=TRUE,'Input HVAC Measures'!E53,"")</f>
        <v/>
      </c>
      <c r="N51" s="41" t="str">
        <f>'Input HVAC Measures'!R53</f>
        <v/>
      </c>
    </row>
    <row r="52" spans="1:14" x14ac:dyDescent="0.2">
      <c r="A52" s="13" t="s">
        <v>222</v>
      </c>
      <c r="B52" s="12">
        <f t="shared" si="0"/>
        <v>0</v>
      </c>
      <c r="C52" s="12">
        <f>'Input HVAC Measures'!B54</f>
        <v>50</v>
      </c>
      <c r="D52" s="12" t="str">
        <f>'Input HVAC Measures'!C54</f>
        <v/>
      </c>
      <c r="E52" s="12" t="str">
        <f>'Input HVAC Measures'!F54</f>
        <v/>
      </c>
      <c r="F52" s="12" t="str">
        <f>IF(ISNUMBER($D52)=TRUE,'Input HVAC Measures'!G54,"")</f>
        <v/>
      </c>
      <c r="G52" s="12" t="str">
        <f>IF(ISNUMBER($D52)=TRUE,'Input HVAC Measures'!S54,"")</f>
        <v/>
      </c>
      <c r="H52" s="137" t="str">
        <f>IF(ISNUMBER($D52)=TRUE,'Input HVAC Measures'!T54,"")</f>
        <v/>
      </c>
      <c r="I52" s="44" t="str">
        <f>IFERROR(N52*MIN(Table_Measure_Caps[[#Totals],[Estimated Raw Incentive Total]], Table_Measure_Caps[[#Totals],[Gross Measure Cost Total]], Value_Project_CAP)/Table_Measure_Caps[[#Totals],[Estimated Raw Incentive Total]], "")</f>
        <v/>
      </c>
      <c r="J52" s="44" t="str">
        <f>IF(ISNUMBER($D52)=TRUE,'Input HVAC Measures'!O54,"")</f>
        <v/>
      </c>
      <c r="K52" s="12" t="str">
        <f>IF(ISNUMBER($D52)=TRUE,'Input HVAC Measures'!P54,"")</f>
        <v/>
      </c>
      <c r="L52" s="29" t="str">
        <f t="shared" si="1"/>
        <v>Version 5.0</v>
      </c>
      <c r="M52" s="97" t="str">
        <f>IF(ISNUMBER($D52)=TRUE,'Input HVAC Measures'!E54,"")</f>
        <v/>
      </c>
      <c r="N52" s="41" t="str">
        <f>'Input HVAC Measures'!R54</f>
        <v/>
      </c>
    </row>
    <row r="53" spans="1:14" x14ac:dyDescent="0.2">
      <c r="A53" s="32" t="s">
        <v>343</v>
      </c>
      <c r="B53" s="30">
        <f t="shared" si="0"/>
        <v>0</v>
      </c>
      <c r="C53" s="30">
        <f>'Input Refrigeration Measures'!B6</f>
        <v>1</v>
      </c>
      <c r="D53" s="30" t="str">
        <f>'Input Refrigeration Measures'!C6</f>
        <v/>
      </c>
      <c r="E53" s="30" t="str">
        <f>'Input Refrigeration Measures'!F6</f>
        <v/>
      </c>
      <c r="F53" s="31">
        <f>'Input Refrigeration Measures'!G6</f>
        <v>0</v>
      </c>
      <c r="G53" s="31" t="str">
        <f>'Input Refrigeration Measures'!L6</f>
        <v/>
      </c>
      <c r="H53" s="138" t="str">
        <f>'Input Refrigeration Measures'!M6</f>
        <v/>
      </c>
      <c r="I53" s="45" t="str">
        <f>IFERROR(N53*MIN(Table_Measure_Caps[[#Totals],[Estimated Raw Incentive Total]], Table_Measure_Caps[[#Totals],[Gross Measure Cost Total]], Value_Project_CAP)/Table_Measure_Caps[[#Totals],[Estimated Raw Incentive Total]], "")</f>
        <v/>
      </c>
      <c r="J53" s="45">
        <f>'Input Refrigeration Measures'!H6</f>
        <v>0</v>
      </c>
      <c r="K53" s="30">
        <f>'Input Refrigeration Measures'!I6</f>
        <v>0</v>
      </c>
      <c r="L53" s="29" t="str">
        <f t="shared" si="1"/>
        <v>Version 5.0</v>
      </c>
      <c r="M53" s="104">
        <f>'Input Refrigeration Measures'!E6</f>
        <v>0</v>
      </c>
      <c r="N53" s="103" t="str">
        <f>'Input Refrigeration Measures'!K6</f>
        <v/>
      </c>
    </row>
    <row r="54" spans="1:14" x14ac:dyDescent="0.2">
      <c r="A54" s="32" t="s">
        <v>343</v>
      </c>
      <c r="B54" s="30">
        <f t="shared" ref="B54:B102" si="2">Input_ProjectNumber</f>
        <v>0</v>
      </c>
      <c r="C54" s="30">
        <f>'Input Refrigeration Measures'!B7</f>
        <v>2</v>
      </c>
      <c r="D54" s="30" t="str">
        <f>'Input Refrigeration Measures'!C7</f>
        <v/>
      </c>
      <c r="E54" s="30" t="str">
        <f>'Input Refrigeration Measures'!F7</f>
        <v/>
      </c>
      <c r="F54" s="31">
        <f>'Input Refrigeration Measures'!G7</f>
        <v>0</v>
      </c>
      <c r="G54" s="31" t="str">
        <f>'Input Refrigeration Measures'!L7</f>
        <v/>
      </c>
      <c r="H54" s="138" t="str">
        <f>'Input Refrigeration Measures'!M7</f>
        <v/>
      </c>
      <c r="I54" s="45" t="str">
        <f>IFERROR(N54*MIN(Table_Measure_Caps[[#Totals],[Estimated Raw Incentive Total]], Table_Measure_Caps[[#Totals],[Gross Measure Cost Total]], Value_Project_CAP)/Table_Measure_Caps[[#Totals],[Estimated Raw Incentive Total]], "")</f>
        <v/>
      </c>
      <c r="J54" s="45">
        <f>'Input Refrigeration Measures'!H7</f>
        <v>0</v>
      </c>
      <c r="K54" s="30">
        <f>'Input Refrigeration Measures'!I7</f>
        <v>0</v>
      </c>
      <c r="L54" s="29" t="str">
        <f t="shared" si="1"/>
        <v>Version 5.0</v>
      </c>
      <c r="M54" s="104">
        <f>'Input Refrigeration Measures'!E7</f>
        <v>0</v>
      </c>
      <c r="N54" s="103" t="str">
        <f>'Input Refrigeration Measures'!K7</f>
        <v/>
      </c>
    </row>
    <row r="55" spans="1:14" x14ac:dyDescent="0.2">
      <c r="A55" s="32" t="s">
        <v>343</v>
      </c>
      <c r="B55" s="30">
        <f t="shared" si="2"/>
        <v>0</v>
      </c>
      <c r="C55" s="30">
        <f>'Input Refrigeration Measures'!B8</f>
        <v>3</v>
      </c>
      <c r="D55" s="30" t="str">
        <f>'Input Refrigeration Measures'!C8</f>
        <v/>
      </c>
      <c r="E55" s="30" t="str">
        <f>'Input Refrigeration Measures'!F8</f>
        <v/>
      </c>
      <c r="F55" s="31">
        <f>'Input Refrigeration Measures'!G8</f>
        <v>0</v>
      </c>
      <c r="G55" s="31" t="str">
        <f>'Input Refrigeration Measures'!L8</f>
        <v/>
      </c>
      <c r="H55" s="138" t="str">
        <f>'Input Refrigeration Measures'!M8</f>
        <v/>
      </c>
      <c r="I55" s="45" t="str">
        <f>IFERROR(N55*MIN(Table_Measure_Caps[[#Totals],[Estimated Raw Incentive Total]], Table_Measure_Caps[[#Totals],[Gross Measure Cost Total]], Value_Project_CAP)/Table_Measure_Caps[[#Totals],[Estimated Raw Incentive Total]], "")</f>
        <v/>
      </c>
      <c r="J55" s="45">
        <f>'Input Refrigeration Measures'!H8</f>
        <v>0</v>
      </c>
      <c r="K55" s="30">
        <f>'Input Refrigeration Measures'!I8</f>
        <v>0</v>
      </c>
      <c r="L55" s="29" t="str">
        <f t="shared" si="1"/>
        <v>Version 5.0</v>
      </c>
      <c r="M55" s="104">
        <f>'Input Refrigeration Measures'!E8</f>
        <v>0</v>
      </c>
      <c r="N55" s="103" t="str">
        <f>'Input Refrigeration Measures'!K8</f>
        <v/>
      </c>
    </row>
    <row r="56" spans="1:14" x14ac:dyDescent="0.2">
      <c r="A56" s="32" t="s">
        <v>343</v>
      </c>
      <c r="B56" s="30">
        <f t="shared" si="2"/>
        <v>0</v>
      </c>
      <c r="C56" s="30">
        <f>'Input Refrigeration Measures'!B9</f>
        <v>4</v>
      </c>
      <c r="D56" s="30" t="str">
        <f>'Input Refrigeration Measures'!C9</f>
        <v/>
      </c>
      <c r="E56" s="30" t="str">
        <f>'Input Refrigeration Measures'!F9</f>
        <v/>
      </c>
      <c r="F56" s="31">
        <f>'Input Refrigeration Measures'!G9</f>
        <v>0</v>
      </c>
      <c r="G56" s="31" t="str">
        <f>'Input Refrigeration Measures'!L9</f>
        <v/>
      </c>
      <c r="H56" s="138" t="str">
        <f>'Input Refrigeration Measures'!M9</f>
        <v/>
      </c>
      <c r="I56" s="45" t="str">
        <f>IFERROR(N56*MIN(Table_Measure_Caps[[#Totals],[Estimated Raw Incentive Total]], Table_Measure_Caps[[#Totals],[Gross Measure Cost Total]], Value_Project_CAP)/Table_Measure_Caps[[#Totals],[Estimated Raw Incentive Total]], "")</f>
        <v/>
      </c>
      <c r="J56" s="45">
        <f>'Input Refrigeration Measures'!H9</f>
        <v>0</v>
      </c>
      <c r="K56" s="30">
        <f>'Input Refrigeration Measures'!I9</f>
        <v>0</v>
      </c>
      <c r="L56" s="29" t="str">
        <f t="shared" si="1"/>
        <v>Version 5.0</v>
      </c>
      <c r="M56" s="104">
        <f>'Input Refrigeration Measures'!E9</f>
        <v>0</v>
      </c>
      <c r="N56" s="103" t="str">
        <f>'Input Refrigeration Measures'!K9</f>
        <v/>
      </c>
    </row>
    <row r="57" spans="1:14" x14ac:dyDescent="0.2">
      <c r="A57" s="32" t="s">
        <v>343</v>
      </c>
      <c r="B57" s="30">
        <f t="shared" si="2"/>
        <v>0</v>
      </c>
      <c r="C57" s="30">
        <f>'Input Refrigeration Measures'!B10</f>
        <v>5</v>
      </c>
      <c r="D57" s="30" t="str">
        <f>'Input Refrigeration Measures'!C10</f>
        <v/>
      </c>
      <c r="E57" s="30" t="str">
        <f>'Input Refrigeration Measures'!F10</f>
        <v/>
      </c>
      <c r="F57" s="31">
        <f>'Input Refrigeration Measures'!G10</f>
        <v>0</v>
      </c>
      <c r="G57" s="31" t="str">
        <f>'Input Refrigeration Measures'!L10</f>
        <v/>
      </c>
      <c r="H57" s="138" t="str">
        <f>'Input Refrigeration Measures'!M10</f>
        <v/>
      </c>
      <c r="I57" s="45" t="str">
        <f>IFERROR(N57*MIN(Table_Measure_Caps[[#Totals],[Estimated Raw Incentive Total]], Table_Measure_Caps[[#Totals],[Gross Measure Cost Total]], Value_Project_CAP)/Table_Measure_Caps[[#Totals],[Estimated Raw Incentive Total]], "")</f>
        <v/>
      </c>
      <c r="J57" s="45">
        <f>'Input Refrigeration Measures'!H10</f>
        <v>0</v>
      </c>
      <c r="K57" s="30">
        <f>'Input Refrigeration Measures'!I10</f>
        <v>0</v>
      </c>
      <c r="L57" s="29" t="str">
        <f t="shared" si="1"/>
        <v>Version 5.0</v>
      </c>
      <c r="M57" s="104">
        <f>'Input Refrigeration Measures'!E10</f>
        <v>0</v>
      </c>
      <c r="N57" s="103" t="str">
        <f>'Input Refrigeration Measures'!K10</f>
        <v/>
      </c>
    </row>
    <row r="58" spans="1:14" x14ac:dyDescent="0.2">
      <c r="A58" s="32" t="s">
        <v>343</v>
      </c>
      <c r="B58" s="30">
        <f t="shared" si="2"/>
        <v>0</v>
      </c>
      <c r="C58" s="30">
        <f>'Input Refrigeration Measures'!B11</f>
        <v>6</v>
      </c>
      <c r="D58" s="30" t="str">
        <f>'Input Refrigeration Measures'!C11</f>
        <v/>
      </c>
      <c r="E58" s="30" t="str">
        <f>'Input Refrigeration Measures'!F11</f>
        <v/>
      </c>
      <c r="F58" s="31">
        <f>'Input Refrigeration Measures'!G11</f>
        <v>0</v>
      </c>
      <c r="G58" s="31" t="str">
        <f>'Input Refrigeration Measures'!L11</f>
        <v/>
      </c>
      <c r="H58" s="138" t="str">
        <f>'Input Refrigeration Measures'!M11</f>
        <v/>
      </c>
      <c r="I58" s="45" t="str">
        <f>IFERROR(N58*MIN(Table_Measure_Caps[[#Totals],[Estimated Raw Incentive Total]], Table_Measure_Caps[[#Totals],[Gross Measure Cost Total]], Value_Project_CAP)/Table_Measure_Caps[[#Totals],[Estimated Raw Incentive Total]], "")</f>
        <v/>
      </c>
      <c r="J58" s="45">
        <f>'Input Refrigeration Measures'!H11</f>
        <v>0</v>
      </c>
      <c r="K58" s="30">
        <f>'Input Refrigeration Measures'!I11</f>
        <v>0</v>
      </c>
      <c r="L58" s="29" t="str">
        <f t="shared" si="1"/>
        <v>Version 5.0</v>
      </c>
      <c r="M58" s="104">
        <f>'Input Refrigeration Measures'!E11</f>
        <v>0</v>
      </c>
      <c r="N58" s="103" t="str">
        <f>'Input Refrigeration Measures'!K11</f>
        <v/>
      </c>
    </row>
    <row r="59" spans="1:14" x14ac:dyDescent="0.2">
      <c r="A59" s="32" t="s">
        <v>343</v>
      </c>
      <c r="B59" s="30">
        <f t="shared" si="2"/>
        <v>0</v>
      </c>
      <c r="C59" s="30">
        <f>'Input Refrigeration Measures'!B12</f>
        <v>7</v>
      </c>
      <c r="D59" s="30" t="str">
        <f>'Input Refrigeration Measures'!C12</f>
        <v/>
      </c>
      <c r="E59" s="30" t="str">
        <f>'Input Refrigeration Measures'!F12</f>
        <v/>
      </c>
      <c r="F59" s="31">
        <f>'Input Refrigeration Measures'!G12</f>
        <v>0</v>
      </c>
      <c r="G59" s="31" t="str">
        <f>'Input Refrigeration Measures'!L12</f>
        <v/>
      </c>
      <c r="H59" s="138" t="str">
        <f>'Input Refrigeration Measures'!M12</f>
        <v/>
      </c>
      <c r="I59" s="45" t="str">
        <f>IFERROR(N59*MIN(Table_Measure_Caps[[#Totals],[Estimated Raw Incentive Total]], Table_Measure_Caps[[#Totals],[Gross Measure Cost Total]], Value_Project_CAP)/Table_Measure_Caps[[#Totals],[Estimated Raw Incentive Total]], "")</f>
        <v/>
      </c>
      <c r="J59" s="45">
        <f>'Input Refrigeration Measures'!H12</f>
        <v>0</v>
      </c>
      <c r="K59" s="30">
        <f>'Input Refrigeration Measures'!I12</f>
        <v>0</v>
      </c>
      <c r="L59" s="29" t="str">
        <f t="shared" si="1"/>
        <v>Version 5.0</v>
      </c>
      <c r="M59" s="104">
        <f>'Input Refrigeration Measures'!E12</f>
        <v>0</v>
      </c>
      <c r="N59" s="103" t="str">
        <f>'Input Refrigeration Measures'!K12</f>
        <v/>
      </c>
    </row>
    <row r="60" spans="1:14" x14ac:dyDescent="0.2">
      <c r="A60" s="32" t="s">
        <v>343</v>
      </c>
      <c r="B60" s="30">
        <f t="shared" si="2"/>
        <v>0</v>
      </c>
      <c r="C60" s="30">
        <f>'Input Refrigeration Measures'!B13</f>
        <v>8</v>
      </c>
      <c r="D60" s="30" t="str">
        <f>'Input Refrigeration Measures'!C13</f>
        <v/>
      </c>
      <c r="E60" s="30" t="str">
        <f>'Input Refrigeration Measures'!F13</f>
        <v/>
      </c>
      <c r="F60" s="31">
        <f>'Input Refrigeration Measures'!G13</f>
        <v>0</v>
      </c>
      <c r="G60" s="31" t="str">
        <f>'Input Refrigeration Measures'!L13</f>
        <v/>
      </c>
      <c r="H60" s="138" t="str">
        <f>'Input Refrigeration Measures'!M13</f>
        <v/>
      </c>
      <c r="I60" s="45" t="str">
        <f>IFERROR(N60*MIN(Table_Measure_Caps[[#Totals],[Estimated Raw Incentive Total]], Table_Measure_Caps[[#Totals],[Gross Measure Cost Total]], Value_Project_CAP)/Table_Measure_Caps[[#Totals],[Estimated Raw Incentive Total]], "")</f>
        <v/>
      </c>
      <c r="J60" s="45">
        <f>'Input Refrigeration Measures'!H13</f>
        <v>0</v>
      </c>
      <c r="K60" s="30">
        <f>'Input Refrigeration Measures'!I13</f>
        <v>0</v>
      </c>
      <c r="L60" s="29" t="str">
        <f t="shared" si="1"/>
        <v>Version 5.0</v>
      </c>
      <c r="M60" s="104">
        <f>'Input Refrigeration Measures'!E13</f>
        <v>0</v>
      </c>
      <c r="N60" s="103" t="str">
        <f>'Input Refrigeration Measures'!K13</f>
        <v/>
      </c>
    </row>
    <row r="61" spans="1:14" x14ac:dyDescent="0.2">
      <c r="A61" s="32" t="s">
        <v>343</v>
      </c>
      <c r="B61" s="30">
        <f t="shared" si="2"/>
        <v>0</v>
      </c>
      <c r="C61" s="30">
        <f>'Input Refrigeration Measures'!B14</f>
        <v>9</v>
      </c>
      <c r="D61" s="30" t="str">
        <f>'Input Refrigeration Measures'!C14</f>
        <v/>
      </c>
      <c r="E61" s="30" t="str">
        <f>'Input Refrigeration Measures'!F14</f>
        <v/>
      </c>
      <c r="F61" s="31">
        <f>'Input Refrigeration Measures'!G14</f>
        <v>0</v>
      </c>
      <c r="G61" s="31" t="str">
        <f>'Input Refrigeration Measures'!L14</f>
        <v/>
      </c>
      <c r="H61" s="138" t="str">
        <f>'Input Refrigeration Measures'!M14</f>
        <v/>
      </c>
      <c r="I61" s="45" t="str">
        <f>IFERROR(N61*MIN(Table_Measure_Caps[[#Totals],[Estimated Raw Incentive Total]], Table_Measure_Caps[[#Totals],[Gross Measure Cost Total]], Value_Project_CAP)/Table_Measure_Caps[[#Totals],[Estimated Raw Incentive Total]], "")</f>
        <v/>
      </c>
      <c r="J61" s="45">
        <f>'Input Refrigeration Measures'!H14</f>
        <v>0</v>
      </c>
      <c r="K61" s="30">
        <f>'Input Refrigeration Measures'!I14</f>
        <v>0</v>
      </c>
      <c r="L61" s="29" t="str">
        <f t="shared" si="1"/>
        <v>Version 5.0</v>
      </c>
      <c r="M61" s="104">
        <f>'Input Refrigeration Measures'!E14</f>
        <v>0</v>
      </c>
      <c r="N61" s="103" t="str">
        <f>'Input Refrigeration Measures'!K14</f>
        <v/>
      </c>
    </row>
    <row r="62" spans="1:14" x14ac:dyDescent="0.2">
      <c r="A62" s="32" t="s">
        <v>343</v>
      </c>
      <c r="B62" s="30">
        <f t="shared" si="2"/>
        <v>0</v>
      </c>
      <c r="C62" s="30">
        <f>'Input Refrigeration Measures'!B15</f>
        <v>10</v>
      </c>
      <c r="D62" s="30" t="str">
        <f>'Input Refrigeration Measures'!C15</f>
        <v/>
      </c>
      <c r="E62" s="30" t="str">
        <f>'Input Refrigeration Measures'!F15</f>
        <v/>
      </c>
      <c r="F62" s="31">
        <f>'Input Refrigeration Measures'!G15</f>
        <v>0</v>
      </c>
      <c r="G62" s="31" t="str">
        <f>'Input Refrigeration Measures'!L15</f>
        <v/>
      </c>
      <c r="H62" s="138" t="str">
        <f>'Input Refrigeration Measures'!M15</f>
        <v/>
      </c>
      <c r="I62" s="45" t="str">
        <f>IFERROR(N62*MIN(Table_Measure_Caps[[#Totals],[Estimated Raw Incentive Total]], Table_Measure_Caps[[#Totals],[Gross Measure Cost Total]], Value_Project_CAP)/Table_Measure_Caps[[#Totals],[Estimated Raw Incentive Total]], "")</f>
        <v/>
      </c>
      <c r="J62" s="45">
        <f>'Input Refrigeration Measures'!H15</f>
        <v>0</v>
      </c>
      <c r="K62" s="30">
        <f>'Input Refrigeration Measures'!I15</f>
        <v>0</v>
      </c>
      <c r="L62" s="29" t="str">
        <f t="shared" si="1"/>
        <v>Version 5.0</v>
      </c>
      <c r="M62" s="104">
        <f>'Input Refrigeration Measures'!E15</f>
        <v>0</v>
      </c>
      <c r="N62" s="103" t="str">
        <f>'Input Refrigeration Measures'!K15</f>
        <v/>
      </c>
    </row>
    <row r="63" spans="1:14" x14ac:dyDescent="0.2">
      <c r="A63" s="32" t="s">
        <v>343</v>
      </c>
      <c r="B63" s="30">
        <f t="shared" si="2"/>
        <v>0</v>
      </c>
      <c r="C63" s="30">
        <f>'Input Refrigeration Measures'!B16</f>
        <v>11</v>
      </c>
      <c r="D63" s="30" t="str">
        <f>'Input Refrigeration Measures'!C16</f>
        <v/>
      </c>
      <c r="E63" s="30" t="str">
        <f>'Input Refrigeration Measures'!F16</f>
        <v/>
      </c>
      <c r="F63" s="31">
        <f>'Input Refrigeration Measures'!G16</f>
        <v>0</v>
      </c>
      <c r="G63" s="31" t="str">
        <f>'Input Refrigeration Measures'!L16</f>
        <v/>
      </c>
      <c r="H63" s="138" t="str">
        <f>'Input Refrigeration Measures'!M16</f>
        <v/>
      </c>
      <c r="I63" s="45" t="str">
        <f>IFERROR(N63*MIN(Table_Measure_Caps[[#Totals],[Estimated Raw Incentive Total]], Table_Measure_Caps[[#Totals],[Gross Measure Cost Total]], Value_Project_CAP)/Table_Measure_Caps[[#Totals],[Estimated Raw Incentive Total]], "")</f>
        <v/>
      </c>
      <c r="J63" s="45">
        <f>'Input Refrigeration Measures'!H16</f>
        <v>0</v>
      </c>
      <c r="K63" s="30">
        <f>'Input Refrigeration Measures'!I16</f>
        <v>0</v>
      </c>
      <c r="L63" s="29" t="str">
        <f t="shared" si="1"/>
        <v>Version 5.0</v>
      </c>
      <c r="M63" s="104">
        <f>'Input Refrigeration Measures'!E16</f>
        <v>0</v>
      </c>
      <c r="N63" s="103" t="str">
        <f>'Input Refrigeration Measures'!K16</f>
        <v/>
      </c>
    </row>
    <row r="64" spans="1:14" x14ac:dyDescent="0.2">
      <c r="A64" s="32" t="s">
        <v>343</v>
      </c>
      <c r="B64" s="30">
        <f t="shared" si="2"/>
        <v>0</v>
      </c>
      <c r="C64" s="30">
        <f>'Input Refrigeration Measures'!B17</f>
        <v>12</v>
      </c>
      <c r="D64" s="30" t="str">
        <f>'Input Refrigeration Measures'!C17</f>
        <v/>
      </c>
      <c r="E64" s="30" t="str">
        <f>'Input Refrigeration Measures'!F17</f>
        <v/>
      </c>
      <c r="F64" s="31">
        <f>'Input Refrigeration Measures'!G17</f>
        <v>0</v>
      </c>
      <c r="G64" s="31" t="str">
        <f>'Input Refrigeration Measures'!L17</f>
        <v/>
      </c>
      <c r="H64" s="138" t="str">
        <f>'Input Refrigeration Measures'!M17</f>
        <v/>
      </c>
      <c r="I64" s="45" t="str">
        <f>IFERROR(N64*MIN(Table_Measure_Caps[[#Totals],[Estimated Raw Incentive Total]], Table_Measure_Caps[[#Totals],[Gross Measure Cost Total]], Value_Project_CAP)/Table_Measure_Caps[[#Totals],[Estimated Raw Incentive Total]], "")</f>
        <v/>
      </c>
      <c r="J64" s="45">
        <f>'Input Refrigeration Measures'!H17</f>
        <v>0</v>
      </c>
      <c r="K64" s="30">
        <f>'Input Refrigeration Measures'!I17</f>
        <v>0</v>
      </c>
      <c r="L64" s="29" t="str">
        <f t="shared" si="1"/>
        <v>Version 5.0</v>
      </c>
      <c r="M64" s="104">
        <f>'Input Refrigeration Measures'!E17</f>
        <v>0</v>
      </c>
      <c r="N64" s="103" t="str">
        <f>'Input Refrigeration Measures'!K17</f>
        <v/>
      </c>
    </row>
    <row r="65" spans="1:14" x14ac:dyDescent="0.2">
      <c r="A65" s="32" t="s">
        <v>343</v>
      </c>
      <c r="B65" s="30">
        <f t="shared" si="2"/>
        <v>0</v>
      </c>
      <c r="C65" s="30">
        <f>'Input Refrigeration Measures'!B18</f>
        <v>13</v>
      </c>
      <c r="D65" s="30" t="str">
        <f>'Input Refrigeration Measures'!C18</f>
        <v/>
      </c>
      <c r="E65" s="30" t="str">
        <f>'Input Refrigeration Measures'!F18</f>
        <v/>
      </c>
      <c r="F65" s="31">
        <f>'Input Refrigeration Measures'!G18</f>
        <v>0</v>
      </c>
      <c r="G65" s="31" t="str">
        <f>'Input Refrigeration Measures'!L18</f>
        <v/>
      </c>
      <c r="H65" s="138" t="str">
        <f>'Input Refrigeration Measures'!M18</f>
        <v/>
      </c>
      <c r="I65" s="45" t="str">
        <f>IFERROR(N65*MIN(Table_Measure_Caps[[#Totals],[Estimated Raw Incentive Total]], Table_Measure_Caps[[#Totals],[Gross Measure Cost Total]], Value_Project_CAP)/Table_Measure_Caps[[#Totals],[Estimated Raw Incentive Total]], "")</f>
        <v/>
      </c>
      <c r="J65" s="45">
        <f>'Input Refrigeration Measures'!H18</f>
        <v>0</v>
      </c>
      <c r="K65" s="30">
        <f>'Input Refrigeration Measures'!I18</f>
        <v>0</v>
      </c>
      <c r="L65" s="29" t="str">
        <f t="shared" si="1"/>
        <v>Version 5.0</v>
      </c>
      <c r="M65" s="104">
        <f>'Input Refrigeration Measures'!E18</f>
        <v>0</v>
      </c>
      <c r="N65" s="103" t="str">
        <f>'Input Refrigeration Measures'!K18</f>
        <v/>
      </c>
    </row>
    <row r="66" spans="1:14" x14ac:dyDescent="0.2">
      <c r="A66" s="32" t="s">
        <v>343</v>
      </c>
      <c r="B66" s="30">
        <f t="shared" si="2"/>
        <v>0</v>
      </c>
      <c r="C66" s="30">
        <f>'Input Refrigeration Measures'!B19</f>
        <v>14</v>
      </c>
      <c r="D66" s="30" t="str">
        <f>'Input Refrigeration Measures'!C19</f>
        <v/>
      </c>
      <c r="E66" s="30" t="str">
        <f>'Input Refrigeration Measures'!F19</f>
        <v/>
      </c>
      <c r="F66" s="31">
        <f>'Input Refrigeration Measures'!G19</f>
        <v>0</v>
      </c>
      <c r="G66" s="31" t="str">
        <f>'Input Refrigeration Measures'!L19</f>
        <v/>
      </c>
      <c r="H66" s="138" t="str">
        <f>'Input Refrigeration Measures'!M19</f>
        <v/>
      </c>
      <c r="I66" s="45" t="str">
        <f>IFERROR(N66*MIN(Table_Measure_Caps[[#Totals],[Estimated Raw Incentive Total]], Table_Measure_Caps[[#Totals],[Gross Measure Cost Total]], Value_Project_CAP)/Table_Measure_Caps[[#Totals],[Estimated Raw Incentive Total]], "")</f>
        <v/>
      </c>
      <c r="J66" s="45">
        <f>'Input Refrigeration Measures'!H19</f>
        <v>0</v>
      </c>
      <c r="K66" s="30">
        <f>'Input Refrigeration Measures'!I19</f>
        <v>0</v>
      </c>
      <c r="L66" s="29" t="str">
        <f t="shared" ref="L66:L129" si="3">Value_Application_Version</f>
        <v>Version 5.0</v>
      </c>
      <c r="M66" s="104">
        <f>'Input Refrigeration Measures'!E19</f>
        <v>0</v>
      </c>
      <c r="N66" s="103" t="str">
        <f>'Input Refrigeration Measures'!K19</f>
        <v/>
      </c>
    </row>
    <row r="67" spans="1:14" x14ac:dyDescent="0.2">
      <c r="A67" s="32" t="s">
        <v>343</v>
      </c>
      <c r="B67" s="30">
        <f t="shared" si="2"/>
        <v>0</v>
      </c>
      <c r="C67" s="30">
        <f>'Input Refrigeration Measures'!B20</f>
        <v>15</v>
      </c>
      <c r="D67" s="30" t="str">
        <f>'Input Refrigeration Measures'!C20</f>
        <v/>
      </c>
      <c r="E67" s="30" t="str">
        <f>'Input Refrigeration Measures'!F20</f>
        <v/>
      </c>
      <c r="F67" s="31">
        <f>'Input Refrigeration Measures'!G20</f>
        <v>0</v>
      </c>
      <c r="G67" s="31" t="str">
        <f>'Input Refrigeration Measures'!L20</f>
        <v/>
      </c>
      <c r="H67" s="138" t="str">
        <f>'Input Refrigeration Measures'!M20</f>
        <v/>
      </c>
      <c r="I67" s="45" t="str">
        <f>IFERROR(N67*MIN(Table_Measure_Caps[[#Totals],[Estimated Raw Incentive Total]], Table_Measure_Caps[[#Totals],[Gross Measure Cost Total]], Value_Project_CAP)/Table_Measure_Caps[[#Totals],[Estimated Raw Incentive Total]], "")</f>
        <v/>
      </c>
      <c r="J67" s="45">
        <f>'Input Refrigeration Measures'!H20</f>
        <v>0</v>
      </c>
      <c r="K67" s="30">
        <f>'Input Refrigeration Measures'!I20</f>
        <v>0</v>
      </c>
      <c r="L67" s="29" t="str">
        <f t="shared" si="3"/>
        <v>Version 5.0</v>
      </c>
      <c r="M67" s="104">
        <f>'Input Refrigeration Measures'!E20</f>
        <v>0</v>
      </c>
      <c r="N67" s="103" t="str">
        <f>'Input Refrigeration Measures'!K20</f>
        <v/>
      </c>
    </row>
    <row r="68" spans="1:14" x14ac:dyDescent="0.2">
      <c r="A68" s="32" t="s">
        <v>343</v>
      </c>
      <c r="B68" s="30">
        <f t="shared" si="2"/>
        <v>0</v>
      </c>
      <c r="C68" s="30">
        <f>'Input Refrigeration Measures'!B21</f>
        <v>16</v>
      </c>
      <c r="D68" s="30" t="str">
        <f>'Input Refrigeration Measures'!C21</f>
        <v/>
      </c>
      <c r="E68" s="30" t="str">
        <f>'Input Refrigeration Measures'!F21</f>
        <v/>
      </c>
      <c r="F68" s="31">
        <f>'Input Refrigeration Measures'!G21</f>
        <v>0</v>
      </c>
      <c r="G68" s="31" t="str">
        <f>'Input Refrigeration Measures'!L21</f>
        <v/>
      </c>
      <c r="H68" s="138" t="str">
        <f>'Input Refrigeration Measures'!M21</f>
        <v/>
      </c>
      <c r="I68" s="45" t="str">
        <f>IFERROR(N68*MIN(Table_Measure_Caps[[#Totals],[Estimated Raw Incentive Total]], Table_Measure_Caps[[#Totals],[Gross Measure Cost Total]], Value_Project_CAP)/Table_Measure_Caps[[#Totals],[Estimated Raw Incentive Total]], "")</f>
        <v/>
      </c>
      <c r="J68" s="45">
        <f>'Input Refrigeration Measures'!H21</f>
        <v>0</v>
      </c>
      <c r="K68" s="30">
        <f>'Input Refrigeration Measures'!I21</f>
        <v>0</v>
      </c>
      <c r="L68" s="29" t="str">
        <f t="shared" si="3"/>
        <v>Version 5.0</v>
      </c>
      <c r="M68" s="104">
        <f>'Input Refrigeration Measures'!E21</f>
        <v>0</v>
      </c>
      <c r="N68" s="103" t="str">
        <f>'Input Refrigeration Measures'!K21</f>
        <v/>
      </c>
    </row>
    <row r="69" spans="1:14" x14ac:dyDescent="0.2">
      <c r="A69" s="32" t="s">
        <v>343</v>
      </c>
      <c r="B69" s="30">
        <f t="shared" si="2"/>
        <v>0</v>
      </c>
      <c r="C69" s="30">
        <f>'Input Refrigeration Measures'!B22</f>
        <v>17</v>
      </c>
      <c r="D69" s="30" t="str">
        <f>'Input Refrigeration Measures'!C22</f>
        <v/>
      </c>
      <c r="E69" s="30" t="str">
        <f>'Input Refrigeration Measures'!F22</f>
        <v/>
      </c>
      <c r="F69" s="31">
        <f>'Input Refrigeration Measures'!G22</f>
        <v>0</v>
      </c>
      <c r="G69" s="31" t="str">
        <f>'Input Refrigeration Measures'!L22</f>
        <v/>
      </c>
      <c r="H69" s="138" t="str">
        <f>'Input Refrigeration Measures'!M22</f>
        <v/>
      </c>
      <c r="I69" s="45" t="str">
        <f>IFERROR(N69*MIN(Table_Measure_Caps[[#Totals],[Estimated Raw Incentive Total]], Table_Measure_Caps[[#Totals],[Gross Measure Cost Total]], Value_Project_CAP)/Table_Measure_Caps[[#Totals],[Estimated Raw Incentive Total]], "")</f>
        <v/>
      </c>
      <c r="J69" s="45">
        <f>'Input Refrigeration Measures'!H22</f>
        <v>0</v>
      </c>
      <c r="K69" s="30">
        <f>'Input Refrigeration Measures'!I22</f>
        <v>0</v>
      </c>
      <c r="L69" s="29" t="str">
        <f t="shared" si="3"/>
        <v>Version 5.0</v>
      </c>
      <c r="M69" s="104">
        <f>'Input Refrigeration Measures'!E22</f>
        <v>0</v>
      </c>
      <c r="N69" s="103" t="str">
        <f>'Input Refrigeration Measures'!K22</f>
        <v/>
      </c>
    </row>
    <row r="70" spans="1:14" x14ac:dyDescent="0.2">
      <c r="A70" s="32" t="s">
        <v>343</v>
      </c>
      <c r="B70" s="30">
        <f t="shared" si="2"/>
        <v>0</v>
      </c>
      <c r="C70" s="30">
        <f>'Input Refrigeration Measures'!B23</f>
        <v>18</v>
      </c>
      <c r="D70" s="30" t="str">
        <f>'Input Refrigeration Measures'!C23</f>
        <v/>
      </c>
      <c r="E70" s="30" t="str">
        <f>'Input Refrigeration Measures'!F23</f>
        <v/>
      </c>
      <c r="F70" s="31">
        <f>'Input Refrigeration Measures'!G23</f>
        <v>0</v>
      </c>
      <c r="G70" s="31" t="str">
        <f>'Input Refrigeration Measures'!L23</f>
        <v/>
      </c>
      <c r="H70" s="138" t="str">
        <f>'Input Refrigeration Measures'!M23</f>
        <v/>
      </c>
      <c r="I70" s="45" t="str">
        <f>IFERROR(N70*MIN(Table_Measure_Caps[[#Totals],[Estimated Raw Incentive Total]], Table_Measure_Caps[[#Totals],[Gross Measure Cost Total]], Value_Project_CAP)/Table_Measure_Caps[[#Totals],[Estimated Raw Incentive Total]], "")</f>
        <v/>
      </c>
      <c r="J70" s="45">
        <f>'Input Refrigeration Measures'!H23</f>
        <v>0</v>
      </c>
      <c r="K70" s="30">
        <f>'Input Refrigeration Measures'!I23</f>
        <v>0</v>
      </c>
      <c r="L70" s="29" t="str">
        <f t="shared" si="3"/>
        <v>Version 5.0</v>
      </c>
      <c r="M70" s="104">
        <f>'Input Refrigeration Measures'!E23</f>
        <v>0</v>
      </c>
      <c r="N70" s="103" t="str">
        <f>'Input Refrigeration Measures'!K23</f>
        <v/>
      </c>
    </row>
    <row r="71" spans="1:14" x14ac:dyDescent="0.2">
      <c r="A71" s="32" t="s">
        <v>343</v>
      </c>
      <c r="B71" s="30">
        <f t="shared" si="2"/>
        <v>0</v>
      </c>
      <c r="C71" s="30">
        <f>'Input Refrigeration Measures'!B24</f>
        <v>19</v>
      </c>
      <c r="D71" s="30" t="str">
        <f>'Input Refrigeration Measures'!C24</f>
        <v/>
      </c>
      <c r="E71" s="30" t="str">
        <f>'Input Refrigeration Measures'!F24</f>
        <v/>
      </c>
      <c r="F71" s="31">
        <f>'Input Refrigeration Measures'!G24</f>
        <v>0</v>
      </c>
      <c r="G71" s="31" t="str">
        <f>'Input Refrigeration Measures'!L24</f>
        <v/>
      </c>
      <c r="H71" s="138" t="str">
        <f>'Input Refrigeration Measures'!M24</f>
        <v/>
      </c>
      <c r="I71" s="45" t="str">
        <f>IFERROR(N71*MIN(Table_Measure_Caps[[#Totals],[Estimated Raw Incentive Total]], Table_Measure_Caps[[#Totals],[Gross Measure Cost Total]], Value_Project_CAP)/Table_Measure_Caps[[#Totals],[Estimated Raw Incentive Total]], "")</f>
        <v/>
      </c>
      <c r="J71" s="45">
        <f>'Input Refrigeration Measures'!H24</f>
        <v>0</v>
      </c>
      <c r="K71" s="30">
        <f>'Input Refrigeration Measures'!I24</f>
        <v>0</v>
      </c>
      <c r="L71" s="29" t="str">
        <f t="shared" si="3"/>
        <v>Version 5.0</v>
      </c>
      <c r="M71" s="104">
        <f>'Input Refrigeration Measures'!E24</f>
        <v>0</v>
      </c>
      <c r="N71" s="103" t="str">
        <f>'Input Refrigeration Measures'!K24</f>
        <v/>
      </c>
    </row>
    <row r="72" spans="1:14" x14ac:dyDescent="0.2">
      <c r="A72" s="32" t="s">
        <v>343</v>
      </c>
      <c r="B72" s="30">
        <f t="shared" si="2"/>
        <v>0</v>
      </c>
      <c r="C72" s="30">
        <f>'Input Refrigeration Measures'!B25</f>
        <v>20</v>
      </c>
      <c r="D72" s="30" t="str">
        <f>'Input Refrigeration Measures'!C25</f>
        <v/>
      </c>
      <c r="E72" s="30" t="str">
        <f>'Input Refrigeration Measures'!F25</f>
        <v/>
      </c>
      <c r="F72" s="31">
        <f>'Input Refrigeration Measures'!G25</f>
        <v>0</v>
      </c>
      <c r="G72" s="31" t="str">
        <f>'Input Refrigeration Measures'!L25</f>
        <v/>
      </c>
      <c r="H72" s="138" t="str">
        <f>'Input Refrigeration Measures'!M25</f>
        <v/>
      </c>
      <c r="I72" s="45" t="str">
        <f>IFERROR(N72*MIN(Table_Measure_Caps[[#Totals],[Estimated Raw Incentive Total]], Table_Measure_Caps[[#Totals],[Gross Measure Cost Total]], Value_Project_CAP)/Table_Measure_Caps[[#Totals],[Estimated Raw Incentive Total]], "")</f>
        <v/>
      </c>
      <c r="J72" s="45">
        <f>'Input Refrigeration Measures'!H25</f>
        <v>0</v>
      </c>
      <c r="K72" s="30">
        <f>'Input Refrigeration Measures'!I25</f>
        <v>0</v>
      </c>
      <c r="L72" s="29" t="str">
        <f t="shared" si="3"/>
        <v>Version 5.0</v>
      </c>
      <c r="M72" s="104">
        <f>'Input Refrigeration Measures'!E25</f>
        <v>0</v>
      </c>
      <c r="N72" s="103" t="str">
        <f>'Input Refrigeration Measures'!K25</f>
        <v/>
      </c>
    </row>
    <row r="73" spans="1:14" x14ac:dyDescent="0.2">
      <c r="A73" s="32" t="s">
        <v>343</v>
      </c>
      <c r="B73" s="30">
        <f t="shared" si="2"/>
        <v>0</v>
      </c>
      <c r="C73" s="30">
        <f>'Input Refrigeration Measures'!B26</f>
        <v>21</v>
      </c>
      <c r="D73" s="30" t="str">
        <f>'Input Refrigeration Measures'!C26</f>
        <v/>
      </c>
      <c r="E73" s="30" t="str">
        <f>'Input Refrigeration Measures'!F26</f>
        <v/>
      </c>
      <c r="F73" s="31">
        <f>'Input Refrigeration Measures'!G26</f>
        <v>0</v>
      </c>
      <c r="G73" s="31" t="str">
        <f>'Input Refrigeration Measures'!L26</f>
        <v/>
      </c>
      <c r="H73" s="138" t="str">
        <f>'Input Refrigeration Measures'!M26</f>
        <v/>
      </c>
      <c r="I73" s="45" t="str">
        <f>IFERROR(N73*MIN(Table_Measure_Caps[[#Totals],[Estimated Raw Incentive Total]], Table_Measure_Caps[[#Totals],[Gross Measure Cost Total]], Value_Project_CAP)/Table_Measure_Caps[[#Totals],[Estimated Raw Incentive Total]], "")</f>
        <v/>
      </c>
      <c r="J73" s="45">
        <f>'Input Refrigeration Measures'!H26</f>
        <v>0</v>
      </c>
      <c r="K73" s="30">
        <f>'Input Refrigeration Measures'!I26</f>
        <v>0</v>
      </c>
      <c r="L73" s="29" t="str">
        <f t="shared" si="3"/>
        <v>Version 5.0</v>
      </c>
      <c r="M73" s="104">
        <f>'Input Refrigeration Measures'!E26</f>
        <v>0</v>
      </c>
      <c r="N73" s="103" t="str">
        <f>'Input Refrigeration Measures'!K26</f>
        <v/>
      </c>
    </row>
    <row r="74" spans="1:14" x14ac:dyDescent="0.2">
      <c r="A74" s="32" t="s">
        <v>343</v>
      </c>
      <c r="B74" s="30">
        <f t="shared" si="2"/>
        <v>0</v>
      </c>
      <c r="C74" s="30">
        <f>'Input Refrigeration Measures'!B27</f>
        <v>22</v>
      </c>
      <c r="D74" s="30" t="str">
        <f>'Input Refrigeration Measures'!C27</f>
        <v/>
      </c>
      <c r="E74" s="30" t="str">
        <f>'Input Refrigeration Measures'!F27</f>
        <v/>
      </c>
      <c r="F74" s="31">
        <f>'Input Refrigeration Measures'!G27</f>
        <v>0</v>
      </c>
      <c r="G74" s="31" t="str">
        <f>'Input Refrigeration Measures'!L27</f>
        <v/>
      </c>
      <c r="H74" s="138" t="str">
        <f>'Input Refrigeration Measures'!M27</f>
        <v/>
      </c>
      <c r="I74" s="45" t="str">
        <f>IFERROR(N74*MIN(Table_Measure_Caps[[#Totals],[Estimated Raw Incentive Total]], Table_Measure_Caps[[#Totals],[Gross Measure Cost Total]], Value_Project_CAP)/Table_Measure_Caps[[#Totals],[Estimated Raw Incentive Total]], "")</f>
        <v/>
      </c>
      <c r="J74" s="45">
        <f>'Input Refrigeration Measures'!H27</f>
        <v>0</v>
      </c>
      <c r="K74" s="30">
        <f>'Input Refrigeration Measures'!I27</f>
        <v>0</v>
      </c>
      <c r="L74" s="29" t="str">
        <f t="shared" si="3"/>
        <v>Version 5.0</v>
      </c>
      <c r="M74" s="104">
        <f>'Input Refrigeration Measures'!E27</f>
        <v>0</v>
      </c>
      <c r="N74" s="103" t="str">
        <f>'Input Refrigeration Measures'!K27</f>
        <v/>
      </c>
    </row>
    <row r="75" spans="1:14" x14ac:dyDescent="0.2">
      <c r="A75" s="32" t="s">
        <v>343</v>
      </c>
      <c r="B75" s="30">
        <f t="shared" si="2"/>
        <v>0</v>
      </c>
      <c r="C75" s="30">
        <f>'Input Refrigeration Measures'!B28</f>
        <v>23</v>
      </c>
      <c r="D75" s="30" t="str">
        <f>'Input Refrigeration Measures'!C28</f>
        <v/>
      </c>
      <c r="E75" s="30" t="str">
        <f>'Input Refrigeration Measures'!F28</f>
        <v/>
      </c>
      <c r="F75" s="31">
        <f>'Input Refrigeration Measures'!G28</f>
        <v>0</v>
      </c>
      <c r="G75" s="31" t="str">
        <f>'Input Refrigeration Measures'!L28</f>
        <v/>
      </c>
      <c r="H75" s="138" t="str">
        <f>'Input Refrigeration Measures'!M28</f>
        <v/>
      </c>
      <c r="I75" s="45" t="str">
        <f>IFERROR(N75*MIN(Table_Measure_Caps[[#Totals],[Estimated Raw Incentive Total]], Table_Measure_Caps[[#Totals],[Gross Measure Cost Total]], Value_Project_CAP)/Table_Measure_Caps[[#Totals],[Estimated Raw Incentive Total]], "")</f>
        <v/>
      </c>
      <c r="J75" s="45">
        <f>'Input Refrigeration Measures'!H28</f>
        <v>0</v>
      </c>
      <c r="K75" s="30">
        <f>'Input Refrigeration Measures'!I28</f>
        <v>0</v>
      </c>
      <c r="L75" s="29" t="str">
        <f t="shared" si="3"/>
        <v>Version 5.0</v>
      </c>
      <c r="M75" s="104">
        <f>'Input Refrigeration Measures'!E28</f>
        <v>0</v>
      </c>
      <c r="N75" s="103" t="str">
        <f>'Input Refrigeration Measures'!K28</f>
        <v/>
      </c>
    </row>
    <row r="76" spans="1:14" x14ac:dyDescent="0.2">
      <c r="A76" s="32" t="s">
        <v>343</v>
      </c>
      <c r="B76" s="30">
        <f t="shared" si="2"/>
        <v>0</v>
      </c>
      <c r="C76" s="30">
        <f>'Input Refrigeration Measures'!B29</f>
        <v>24</v>
      </c>
      <c r="D76" s="30" t="str">
        <f>'Input Refrigeration Measures'!C29</f>
        <v/>
      </c>
      <c r="E76" s="30" t="str">
        <f>'Input Refrigeration Measures'!F29</f>
        <v/>
      </c>
      <c r="F76" s="31">
        <f>'Input Refrigeration Measures'!G29</f>
        <v>0</v>
      </c>
      <c r="G76" s="31" t="str">
        <f>'Input Refrigeration Measures'!L29</f>
        <v/>
      </c>
      <c r="H76" s="138" t="str">
        <f>'Input Refrigeration Measures'!M29</f>
        <v/>
      </c>
      <c r="I76" s="45" t="str">
        <f>IFERROR(N76*MIN(Table_Measure_Caps[[#Totals],[Estimated Raw Incentive Total]], Table_Measure_Caps[[#Totals],[Gross Measure Cost Total]], Value_Project_CAP)/Table_Measure_Caps[[#Totals],[Estimated Raw Incentive Total]], "")</f>
        <v/>
      </c>
      <c r="J76" s="45">
        <f>'Input Refrigeration Measures'!H29</f>
        <v>0</v>
      </c>
      <c r="K76" s="30">
        <f>'Input Refrigeration Measures'!I29</f>
        <v>0</v>
      </c>
      <c r="L76" s="29" t="str">
        <f t="shared" si="3"/>
        <v>Version 5.0</v>
      </c>
      <c r="M76" s="104">
        <f>'Input Refrigeration Measures'!E29</f>
        <v>0</v>
      </c>
      <c r="N76" s="103" t="str">
        <f>'Input Refrigeration Measures'!K29</f>
        <v/>
      </c>
    </row>
    <row r="77" spans="1:14" x14ac:dyDescent="0.2">
      <c r="A77" s="32" t="s">
        <v>343</v>
      </c>
      <c r="B77" s="30">
        <f t="shared" si="2"/>
        <v>0</v>
      </c>
      <c r="C77" s="30">
        <f>'Input Refrigeration Measures'!B30</f>
        <v>25</v>
      </c>
      <c r="D77" s="30" t="str">
        <f>'Input Refrigeration Measures'!C30</f>
        <v/>
      </c>
      <c r="E77" s="30" t="str">
        <f>'Input Refrigeration Measures'!F30</f>
        <v/>
      </c>
      <c r="F77" s="31">
        <f>'Input Refrigeration Measures'!G30</f>
        <v>0</v>
      </c>
      <c r="G77" s="31" t="str">
        <f>'Input Refrigeration Measures'!L30</f>
        <v/>
      </c>
      <c r="H77" s="138" t="str">
        <f>'Input Refrigeration Measures'!M30</f>
        <v/>
      </c>
      <c r="I77" s="45" t="str">
        <f>IFERROR(N77*MIN(Table_Measure_Caps[[#Totals],[Estimated Raw Incentive Total]], Table_Measure_Caps[[#Totals],[Gross Measure Cost Total]], Value_Project_CAP)/Table_Measure_Caps[[#Totals],[Estimated Raw Incentive Total]], "")</f>
        <v/>
      </c>
      <c r="J77" s="45">
        <f>'Input Refrigeration Measures'!H30</f>
        <v>0</v>
      </c>
      <c r="K77" s="30">
        <f>'Input Refrigeration Measures'!I30</f>
        <v>0</v>
      </c>
      <c r="L77" s="29" t="str">
        <f t="shared" si="3"/>
        <v>Version 5.0</v>
      </c>
      <c r="M77" s="104">
        <f>'Input Refrigeration Measures'!E30</f>
        <v>0</v>
      </c>
      <c r="N77" s="103" t="str">
        <f>'Input Refrigeration Measures'!K30</f>
        <v/>
      </c>
    </row>
    <row r="78" spans="1:14" x14ac:dyDescent="0.2">
      <c r="A78" s="32" t="s">
        <v>343</v>
      </c>
      <c r="B78" s="30">
        <f t="shared" si="2"/>
        <v>0</v>
      </c>
      <c r="C78" s="30">
        <f>'Input Refrigeration Measures'!B31</f>
        <v>26</v>
      </c>
      <c r="D78" s="30" t="str">
        <f>'Input Refrigeration Measures'!C31</f>
        <v/>
      </c>
      <c r="E78" s="30" t="str">
        <f>'Input Refrigeration Measures'!F31</f>
        <v/>
      </c>
      <c r="F78" s="31">
        <f>'Input Refrigeration Measures'!G31</f>
        <v>0</v>
      </c>
      <c r="G78" s="31" t="str">
        <f>'Input Refrigeration Measures'!L31</f>
        <v/>
      </c>
      <c r="H78" s="138" t="str">
        <f>'Input Refrigeration Measures'!M31</f>
        <v/>
      </c>
      <c r="I78" s="45" t="str">
        <f>IFERROR(N78*MIN(Table_Measure_Caps[[#Totals],[Estimated Raw Incentive Total]], Table_Measure_Caps[[#Totals],[Gross Measure Cost Total]], Value_Project_CAP)/Table_Measure_Caps[[#Totals],[Estimated Raw Incentive Total]], "")</f>
        <v/>
      </c>
      <c r="J78" s="45">
        <f>'Input Refrigeration Measures'!H31</f>
        <v>0</v>
      </c>
      <c r="K78" s="30">
        <f>'Input Refrigeration Measures'!I31</f>
        <v>0</v>
      </c>
      <c r="L78" s="29" t="str">
        <f t="shared" si="3"/>
        <v>Version 5.0</v>
      </c>
      <c r="M78" s="104">
        <f>'Input Refrigeration Measures'!E31</f>
        <v>0</v>
      </c>
      <c r="N78" s="103" t="str">
        <f>'Input Refrigeration Measures'!K31</f>
        <v/>
      </c>
    </row>
    <row r="79" spans="1:14" x14ac:dyDescent="0.2">
      <c r="A79" s="32" t="s">
        <v>343</v>
      </c>
      <c r="B79" s="30">
        <f t="shared" si="2"/>
        <v>0</v>
      </c>
      <c r="C79" s="30">
        <f>'Input Refrigeration Measures'!B32</f>
        <v>27</v>
      </c>
      <c r="D79" s="30" t="str">
        <f>'Input Refrigeration Measures'!C32</f>
        <v/>
      </c>
      <c r="E79" s="30" t="str">
        <f>'Input Refrigeration Measures'!F32</f>
        <v/>
      </c>
      <c r="F79" s="31">
        <f>'Input Refrigeration Measures'!G32</f>
        <v>0</v>
      </c>
      <c r="G79" s="31" t="str">
        <f>'Input Refrigeration Measures'!L32</f>
        <v/>
      </c>
      <c r="H79" s="138" t="str">
        <f>'Input Refrigeration Measures'!M32</f>
        <v/>
      </c>
      <c r="I79" s="45" t="str">
        <f>IFERROR(N79*MIN(Table_Measure_Caps[[#Totals],[Estimated Raw Incentive Total]], Table_Measure_Caps[[#Totals],[Gross Measure Cost Total]], Value_Project_CAP)/Table_Measure_Caps[[#Totals],[Estimated Raw Incentive Total]], "")</f>
        <v/>
      </c>
      <c r="J79" s="45">
        <f>'Input Refrigeration Measures'!H32</f>
        <v>0</v>
      </c>
      <c r="K79" s="30">
        <f>'Input Refrigeration Measures'!I32</f>
        <v>0</v>
      </c>
      <c r="L79" s="29" t="str">
        <f t="shared" si="3"/>
        <v>Version 5.0</v>
      </c>
      <c r="M79" s="104">
        <f>'Input Refrigeration Measures'!E32</f>
        <v>0</v>
      </c>
      <c r="N79" s="103" t="str">
        <f>'Input Refrigeration Measures'!K32</f>
        <v/>
      </c>
    </row>
    <row r="80" spans="1:14" x14ac:dyDescent="0.2">
      <c r="A80" s="32" t="s">
        <v>343</v>
      </c>
      <c r="B80" s="30">
        <f t="shared" si="2"/>
        <v>0</v>
      </c>
      <c r="C80" s="30">
        <f>'Input Refrigeration Measures'!B33</f>
        <v>28</v>
      </c>
      <c r="D80" s="30" t="str">
        <f>'Input Refrigeration Measures'!C33</f>
        <v/>
      </c>
      <c r="E80" s="30" t="str">
        <f>'Input Refrigeration Measures'!F33</f>
        <v/>
      </c>
      <c r="F80" s="31">
        <f>'Input Refrigeration Measures'!G33</f>
        <v>0</v>
      </c>
      <c r="G80" s="31" t="str">
        <f>'Input Refrigeration Measures'!L33</f>
        <v/>
      </c>
      <c r="H80" s="138" t="str">
        <f>'Input Refrigeration Measures'!M33</f>
        <v/>
      </c>
      <c r="I80" s="45" t="str">
        <f>IFERROR(N80*MIN(Table_Measure_Caps[[#Totals],[Estimated Raw Incentive Total]], Table_Measure_Caps[[#Totals],[Gross Measure Cost Total]], Value_Project_CAP)/Table_Measure_Caps[[#Totals],[Estimated Raw Incentive Total]], "")</f>
        <v/>
      </c>
      <c r="J80" s="45">
        <f>'Input Refrigeration Measures'!H33</f>
        <v>0</v>
      </c>
      <c r="K80" s="30">
        <f>'Input Refrigeration Measures'!I33</f>
        <v>0</v>
      </c>
      <c r="L80" s="29" t="str">
        <f t="shared" si="3"/>
        <v>Version 5.0</v>
      </c>
      <c r="M80" s="104">
        <f>'Input Refrigeration Measures'!E33</f>
        <v>0</v>
      </c>
      <c r="N80" s="103" t="str">
        <f>'Input Refrigeration Measures'!K33</f>
        <v/>
      </c>
    </row>
    <row r="81" spans="1:14" x14ac:dyDescent="0.2">
      <c r="A81" s="32" t="s">
        <v>343</v>
      </c>
      <c r="B81" s="30">
        <f t="shared" si="2"/>
        <v>0</v>
      </c>
      <c r="C81" s="30">
        <f>'Input Refrigeration Measures'!B34</f>
        <v>29</v>
      </c>
      <c r="D81" s="30" t="str">
        <f>'Input Refrigeration Measures'!C34</f>
        <v/>
      </c>
      <c r="E81" s="30" t="str">
        <f>'Input Refrigeration Measures'!F34</f>
        <v/>
      </c>
      <c r="F81" s="31">
        <f>'Input Refrigeration Measures'!G34</f>
        <v>0</v>
      </c>
      <c r="G81" s="31" t="str">
        <f>'Input Refrigeration Measures'!L34</f>
        <v/>
      </c>
      <c r="H81" s="138" t="str">
        <f>'Input Refrigeration Measures'!M34</f>
        <v/>
      </c>
      <c r="I81" s="45" t="str">
        <f>IFERROR(N81*MIN(Table_Measure_Caps[[#Totals],[Estimated Raw Incentive Total]], Table_Measure_Caps[[#Totals],[Gross Measure Cost Total]], Value_Project_CAP)/Table_Measure_Caps[[#Totals],[Estimated Raw Incentive Total]], "")</f>
        <v/>
      </c>
      <c r="J81" s="45">
        <f>'Input Refrigeration Measures'!H34</f>
        <v>0</v>
      </c>
      <c r="K81" s="30">
        <f>'Input Refrigeration Measures'!I34</f>
        <v>0</v>
      </c>
      <c r="L81" s="29" t="str">
        <f t="shared" si="3"/>
        <v>Version 5.0</v>
      </c>
      <c r="M81" s="104">
        <f>'Input Refrigeration Measures'!E34</f>
        <v>0</v>
      </c>
      <c r="N81" s="103" t="str">
        <f>'Input Refrigeration Measures'!K34</f>
        <v/>
      </c>
    </row>
    <row r="82" spans="1:14" x14ac:dyDescent="0.2">
      <c r="A82" s="32" t="s">
        <v>343</v>
      </c>
      <c r="B82" s="30">
        <f t="shared" si="2"/>
        <v>0</v>
      </c>
      <c r="C82" s="30">
        <f>'Input Refrigeration Measures'!B35</f>
        <v>30</v>
      </c>
      <c r="D82" s="30" t="str">
        <f>'Input Refrigeration Measures'!C35</f>
        <v/>
      </c>
      <c r="E82" s="30" t="str">
        <f>'Input Refrigeration Measures'!F35</f>
        <v/>
      </c>
      <c r="F82" s="31">
        <f>'Input Refrigeration Measures'!G35</f>
        <v>0</v>
      </c>
      <c r="G82" s="31" t="str">
        <f>'Input Refrigeration Measures'!L35</f>
        <v/>
      </c>
      <c r="H82" s="138" t="str">
        <f>'Input Refrigeration Measures'!M35</f>
        <v/>
      </c>
      <c r="I82" s="45" t="str">
        <f>IFERROR(N82*MIN(Table_Measure_Caps[[#Totals],[Estimated Raw Incentive Total]], Table_Measure_Caps[[#Totals],[Gross Measure Cost Total]], Value_Project_CAP)/Table_Measure_Caps[[#Totals],[Estimated Raw Incentive Total]], "")</f>
        <v/>
      </c>
      <c r="J82" s="45">
        <f>'Input Refrigeration Measures'!H35</f>
        <v>0</v>
      </c>
      <c r="K82" s="30">
        <f>'Input Refrigeration Measures'!I35</f>
        <v>0</v>
      </c>
      <c r="L82" s="29" t="str">
        <f t="shared" si="3"/>
        <v>Version 5.0</v>
      </c>
      <c r="M82" s="104">
        <f>'Input Refrigeration Measures'!E35</f>
        <v>0</v>
      </c>
      <c r="N82" s="103" t="str">
        <f>'Input Refrigeration Measures'!K35</f>
        <v/>
      </c>
    </row>
    <row r="83" spans="1:14" x14ac:dyDescent="0.2">
      <c r="A83" s="32" t="s">
        <v>343</v>
      </c>
      <c r="B83" s="30">
        <f t="shared" si="2"/>
        <v>0</v>
      </c>
      <c r="C83" s="30">
        <f>'Input Refrigeration Measures'!B36</f>
        <v>31</v>
      </c>
      <c r="D83" s="30" t="str">
        <f>'Input Refrigeration Measures'!C36</f>
        <v/>
      </c>
      <c r="E83" s="30" t="str">
        <f>'Input Refrigeration Measures'!F36</f>
        <v/>
      </c>
      <c r="F83" s="31">
        <f>'Input Refrigeration Measures'!G36</f>
        <v>0</v>
      </c>
      <c r="G83" s="31" t="str">
        <f>'Input Refrigeration Measures'!L36</f>
        <v/>
      </c>
      <c r="H83" s="138" t="str">
        <f>'Input Refrigeration Measures'!M36</f>
        <v/>
      </c>
      <c r="I83" s="45" t="str">
        <f>IFERROR(N83*MIN(Table_Measure_Caps[[#Totals],[Estimated Raw Incentive Total]], Table_Measure_Caps[[#Totals],[Gross Measure Cost Total]], Value_Project_CAP)/Table_Measure_Caps[[#Totals],[Estimated Raw Incentive Total]], "")</f>
        <v/>
      </c>
      <c r="J83" s="45">
        <f>'Input Refrigeration Measures'!H36</f>
        <v>0</v>
      </c>
      <c r="K83" s="30">
        <f>'Input Refrigeration Measures'!I36</f>
        <v>0</v>
      </c>
      <c r="L83" s="29" t="str">
        <f t="shared" si="3"/>
        <v>Version 5.0</v>
      </c>
      <c r="M83" s="104">
        <f>'Input Refrigeration Measures'!E36</f>
        <v>0</v>
      </c>
      <c r="N83" s="103" t="str">
        <f>'Input Refrigeration Measures'!K36</f>
        <v/>
      </c>
    </row>
    <row r="84" spans="1:14" x14ac:dyDescent="0.2">
      <c r="A84" s="32" t="s">
        <v>343</v>
      </c>
      <c r="B84" s="30">
        <f t="shared" si="2"/>
        <v>0</v>
      </c>
      <c r="C84" s="30">
        <f>'Input Refrigeration Measures'!B37</f>
        <v>32</v>
      </c>
      <c r="D84" s="30" t="str">
        <f>'Input Refrigeration Measures'!C37</f>
        <v/>
      </c>
      <c r="E84" s="30" t="str">
        <f>'Input Refrigeration Measures'!F37</f>
        <v/>
      </c>
      <c r="F84" s="31">
        <f>'Input Refrigeration Measures'!G37</f>
        <v>0</v>
      </c>
      <c r="G84" s="31" t="str">
        <f>'Input Refrigeration Measures'!L37</f>
        <v/>
      </c>
      <c r="H84" s="138" t="str">
        <f>'Input Refrigeration Measures'!M37</f>
        <v/>
      </c>
      <c r="I84" s="45" t="str">
        <f>IFERROR(N84*MIN(Table_Measure_Caps[[#Totals],[Estimated Raw Incentive Total]], Table_Measure_Caps[[#Totals],[Gross Measure Cost Total]], Value_Project_CAP)/Table_Measure_Caps[[#Totals],[Estimated Raw Incentive Total]], "")</f>
        <v/>
      </c>
      <c r="J84" s="45">
        <f>'Input Refrigeration Measures'!H37</f>
        <v>0</v>
      </c>
      <c r="K84" s="30">
        <f>'Input Refrigeration Measures'!I37</f>
        <v>0</v>
      </c>
      <c r="L84" s="29" t="str">
        <f t="shared" si="3"/>
        <v>Version 5.0</v>
      </c>
      <c r="M84" s="104">
        <f>'Input Refrigeration Measures'!E37</f>
        <v>0</v>
      </c>
      <c r="N84" s="103" t="str">
        <f>'Input Refrigeration Measures'!K37</f>
        <v/>
      </c>
    </row>
    <row r="85" spans="1:14" x14ac:dyDescent="0.2">
      <c r="A85" s="32" t="s">
        <v>343</v>
      </c>
      <c r="B85" s="30">
        <f t="shared" si="2"/>
        <v>0</v>
      </c>
      <c r="C85" s="30">
        <f>'Input Refrigeration Measures'!B38</f>
        <v>33</v>
      </c>
      <c r="D85" s="30" t="str">
        <f>'Input Refrigeration Measures'!C38</f>
        <v/>
      </c>
      <c r="E85" s="30" t="str">
        <f>'Input Refrigeration Measures'!F38</f>
        <v/>
      </c>
      <c r="F85" s="31">
        <f>'Input Refrigeration Measures'!G38</f>
        <v>0</v>
      </c>
      <c r="G85" s="31" t="str">
        <f>'Input Refrigeration Measures'!L38</f>
        <v/>
      </c>
      <c r="H85" s="138" t="str">
        <f>'Input Refrigeration Measures'!M38</f>
        <v/>
      </c>
      <c r="I85" s="45" t="str">
        <f>IFERROR(N85*MIN(Table_Measure_Caps[[#Totals],[Estimated Raw Incentive Total]], Table_Measure_Caps[[#Totals],[Gross Measure Cost Total]], Value_Project_CAP)/Table_Measure_Caps[[#Totals],[Estimated Raw Incentive Total]], "")</f>
        <v/>
      </c>
      <c r="J85" s="45">
        <f>'Input Refrigeration Measures'!H38</f>
        <v>0</v>
      </c>
      <c r="K85" s="30">
        <f>'Input Refrigeration Measures'!I38</f>
        <v>0</v>
      </c>
      <c r="L85" s="29" t="str">
        <f t="shared" si="3"/>
        <v>Version 5.0</v>
      </c>
      <c r="M85" s="104">
        <f>'Input Refrigeration Measures'!E38</f>
        <v>0</v>
      </c>
      <c r="N85" s="103" t="str">
        <f>'Input Refrigeration Measures'!K38</f>
        <v/>
      </c>
    </row>
    <row r="86" spans="1:14" x14ac:dyDescent="0.2">
      <c r="A86" s="32" t="s">
        <v>343</v>
      </c>
      <c r="B86" s="30">
        <f t="shared" si="2"/>
        <v>0</v>
      </c>
      <c r="C86" s="30">
        <f>'Input Refrigeration Measures'!B39</f>
        <v>34</v>
      </c>
      <c r="D86" s="30" t="str">
        <f>'Input Refrigeration Measures'!C39</f>
        <v/>
      </c>
      <c r="E86" s="30" t="str">
        <f>'Input Refrigeration Measures'!F39</f>
        <v/>
      </c>
      <c r="F86" s="31">
        <f>'Input Refrigeration Measures'!G39</f>
        <v>0</v>
      </c>
      <c r="G86" s="31" t="str">
        <f>'Input Refrigeration Measures'!L39</f>
        <v/>
      </c>
      <c r="H86" s="138" t="str">
        <f>'Input Refrigeration Measures'!M39</f>
        <v/>
      </c>
      <c r="I86" s="45" t="str">
        <f>IFERROR(N86*MIN(Table_Measure_Caps[[#Totals],[Estimated Raw Incentive Total]], Table_Measure_Caps[[#Totals],[Gross Measure Cost Total]], Value_Project_CAP)/Table_Measure_Caps[[#Totals],[Estimated Raw Incentive Total]], "")</f>
        <v/>
      </c>
      <c r="J86" s="45">
        <f>'Input Refrigeration Measures'!H39</f>
        <v>0</v>
      </c>
      <c r="K86" s="30">
        <f>'Input Refrigeration Measures'!I39</f>
        <v>0</v>
      </c>
      <c r="L86" s="29" t="str">
        <f t="shared" si="3"/>
        <v>Version 5.0</v>
      </c>
      <c r="M86" s="104">
        <f>'Input Refrigeration Measures'!E39</f>
        <v>0</v>
      </c>
      <c r="N86" s="103" t="str">
        <f>'Input Refrigeration Measures'!K39</f>
        <v/>
      </c>
    </row>
    <row r="87" spans="1:14" x14ac:dyDescent="0.2">
      <c r="A87" s="32" t="s">
        <v>343</v>
      </c>
      <c r="B87" s="30">
        <f t="shared" si="2"/>
        <v>0</v>
      </c>
      <c r="C87" s="30">
        <f>'Input Refrigeration Measures'!B40</f>
        <v>35</v>
      </c>
      <c r="D87" s="30" t="str">
        <f>'Input Refrigeration Measures'!C40</f>
        <v/>
      </c>
      <c r="E87" s="30" t="str">
        <f>'Input Refrigeration Measures'!F40</f>
        <v/>
      </c>
      <c r="F87" s="31">
        <f>'Input Refrigeration Measures'!G40</f>
        <v>0</v>
      </c>
      <c r="G87" s="31" t="str">
        <f>'Input Refrigeration Measures'!L40</f>
        <v/>
      </c>
      <c r="H87" s="138" t="str">
        <f>'Input Refrigeration Measures'!M40</f>
        <v/>
      </c>
      <c r="I87" s="45" t="str">
        <f>IFERROR(N87*MIN(Table_Measure_Caps[[#Totals],[Estimated Raw Incentive Total]], Table_Measure_Caps[[#Totals],[Gross Measure Cost Total]], Value_Project_CAP)/Table_Measure_Caps[[#Totals],[Estimated Raw Incentive Total]], "")</f>
        <v/>
      </c>
      <c r="J87" s="45">
        <f>'Input Refrigeration Measures'!H40</f>
        <v>0</v>
      </c>
      <c r="K87" s="30">
        <f>'Input Refrigeration Measures'!I40</f>
        <v>0</v>
      </c>
      <c r="L87" s="29" t="str">
        <f t="shared" si="3"/>
        <v>Version 5.0</v>
      </c>
      <c r="M87" s="104">
        <f>'Input Refrigeration Measures'!E40</f>
        <v>0</v>
      </c>
      <c r="N87" s="103" t="str">
        <f>'Input Refrigeration Measures'!K40</f>
        <v/>
      </c>
    </row>
    <row r="88" spans="1:14" x14ac:dyDescent="0.2">
      <c r="A88" s="32" t="s">
        <v>343</v>
      </c>
      <c r="B88" s="30">
        <f t="shared" si="2"/>
        <v>0</v>
      </c>
      <c r="C88" s="30">
        <f>'Input Refrigeration Measures'!B41</f>
        <v>36</v>
      </c>
      <c r="D88" s="30" t="str">
        <f>'Input Refrigeration Measures'!C41</f>
        <v/>
      </c>
      <c r="E88" s="30" t="str">
        <f>'Input Refrigeration Measures'!F41</f>
        <v/>
      </c>
      <c r="F88" s="31">
        <f>'Input Refrigeration Measures'!G41</f>
        <v>0</v>
      </c>
      <c r="G88" s="31" t="str">
        <f>'Input Refrigeration Measures'!L41</f>
        <v/>
      </c>
      <c r="H88" s="138" t="str">
        <f>'Input Refrigeration Measures'!M41</f>
        <v/>
      </c>
      <c r="I88" s="45" t="str">
        <f>IFERROR(N88*MIN(Table_Measure_Caps[[#Totals],[Estimated Raw Incentive Total]], Table_Measure_Caps[[#Totals],[Gross Measure Cost Total]], Value_Project_CAP)/Table_Measure_Caps[[#Totals],[Estimated Raw Incentive Total]], "")</f>
        <v/>
      </c>
      <c r="J88" s="45">
        <f>'Input Refrigeration Measures'!H41</f>
        <v>0</v>
      </c>
      <c r="K88" s="30">
        <f>'Input Refrigeration Measures'!I41</f>
        <v>0</v>
      </c>
      <c r="L88" s="29" t="str">
        <f t="shared" si="3"/>
        <v>Version 5.0</v>
      </c>
      <c r="M88" s="104">
        <f>'Input Refrigeration Measures'!E41</f>
        <v>0</v>
      </c>
      <c r="N88" s="103" t="str">
        <f>'Input Refrigeration Measures'!K41</f>
        <v/>
      </c>
    </row>
    <row r="89" spans="1:14" x14ac:dyDescent="0.2">
      <c r="A89" s="32" t="s">
        <v>343</v>
      </c>
      <c r="B89" s="30">
        <f t="shared" si="2"/>
        <v>0</v>
      </c>
      <c r="C89" s="30">
        <f>'Input Refrigeration Measures'!B42</f>
        <v>37</v>
      </c>
      <c r="D89" s="30" t="str">
        <f>'Input Refrigeration Measures'!C42</f>
        <v/>
      </c>
      <c r="E89" s="30" t="str">
        <f>'Input Refrigeration Measures'!F42</f>
        <v/>
      </c>
      <c r="F89" s="31">
        <f>'Input Refrigeration Measures'!G42</f>
        <v>0</v>
      </c>
      <c r="G89" s="31" t="str">
        <f>'Input Refrigeration Measures'!L42</f>
        <v/>
      </c>
      <c r="H89" s="138" t="str">
        <f>'Input Refrigeration Measures'!M42</f>
        <v/>
      </c>
      <c r="I89" s="45" t="str">
        <f>IFERROR(N89*MIN(Table_Measure_Caps[[#Totals],[Estimated Raw Incentive Total]], Table_Measure_Caps[[#Totals],[Gross Measure Cost Total]], Value_Project_CAP)/Table_Measure_Caps[[#Totals],[Estimated Raw Incentive Total]], "")</f>
        <v/>
      </c>
      <c r="J89" s="45">
        <f>'Input Refrigeration Measures'!H42</f>
        <v>0</v>
      </c>
      <c r="K89" s="30">
        <f>'Input Refrigeration Measures'!I42</f>
        <v>0</v>
      </c>
      <c r="L89" s="29" t="str">
        <f t="shared" si="3"/>
        <v>Version 5.0</v>
      </c>
      <c r="M89" s="104">
        <f>'Input Refrigeration Measures'!E42</f>
        <v>0</v>
      </c>
      <c r="N89" s="103" t="str">
        <f>'Input Refrigeration Measures'!K42</f>
        <v/>
      </c>
    </row>
    <row r="90" spans="1:14" x14ac:dyDescent="0.2">
      <c r="A90" s="32" t="s">
        <v>343</v>
      </c>
      <c r="B90" s="30">
        <f t="shared" si="2"/>
        <v>0</v>
      </c>
      <c r="C90" s="30">
        <f>'Input Refrigeration Measures'!B43</f>
        <v>38</v>
      </c>
      <c r="D90" s="30" t="str">
        <f>'Input Refrigeration Measures'!C43</f>
        <v/>
      </c>
      <c r="E90" s="30" t="str">
        <f>'Input Refrigeration Measures'!F43</f>
        <v/>
      </c>
      <c r="F90" s="31">
        <f>'Input Refrigeration Measures'!G43</f>
        <v>0</v>
      </c>
      <c r="G90" s="31" t="str">
        <f>'Input Refrigeration Measures'!L43</f>
        <v/>
      </c>
      <c r="H90" s="138" t="str">
        <f>'Input Refrigeration Measures'!M43</f>
        <v/>
      </c>
      <c r="I90" s="45" t="str">
        <f>IFERROR(N90*MIN(Table_Measure_Caps[[#Totals],[Estimated Raw Incentive Total]], Table_Measure_Caps[[#Totals],[Gross Measure Cost Total]], Value_Project_CAP)/Table_Measure_Caps[[#Totals],[Estimated Raw Incentive Total]], "")</f>
        <v/>
      </c>
      <c r="J90" s="45">
        <f>'Input Refrigeration Measures'!H43</f>
        <v>0</v>
      </c>
      <c r="K90" s="30">
        <f>'Input Refrigeration Measures'!I43</f>
        <v>0</v>
      </c>
      <c r="L90" s="29" t="str">
        <f t="shared" si="3"/>
        <v>Version 5.0</v>
      </c>
      <c r="M90" s="104">
        <f>'Input Refrigeration Measures'!E43</f>
        <v>0</v>
      </c>
      <c r="N90" s="103" t="str">
        <f>'Input Refrigeration Measures'!K43</f>
        <v/>
      </c>
    </row>
    <row r="91" spans="1:14" x14ac:dyDescent="0.2">
      <c r="A91" s="32" t="s">
        <v>343</v>
      </c>
      <c r="B91" s="30">
        <f t="shared" si="2"/>
        <v>0</v>
      </c>
      <c r="C91" s="30">
        <f>'Input Refrigeration Measures'!B44</f>
        <v>39</v>
      </c>
      <c r="D91" s="30" t="str">
        <f>'Input Refrigeration Measures'!C44</f>
        <v/>
      </c>
      <c r="E91" s="30" t="str">
        <f>'Input Refrigeration Measures'!F44</f>
        <v/>
      </c>
      <c r="F91" s="31">
        <f>'Input Refrigeration Measures'!G44</f>
        <v>0</v>
      </c>
      <c r="G91" s="31" t="str">
        <f>'Input Refrigeration Measures'!L44</f>
        <v/>
      </c>
      <c r="H91" s="138" t="str">
        <f>'Input Refrigeration Measures'!M44</f>
        <v/>
      </c>
      <c r="I91" s="45" t="str">
        <f>IFERROR(N91*MIN(Table_Measure_Caps[[#Totals],[Estimated Raw Incentive Total]], Table_Measure_Caps[[#Totals],[Gross Measure Cost Total]], Value_Project_CAP)/Table_Measure_Caps[[#Totals],[Estimated Raw Incentive Total]], "")</f>
        <v/>
      </c>
      <c r="J91" s="45">
        <f>'Input Refrigeration Measures'!H44</f>
        <v>0</v>
      </c>
      <c r="K91" s="30">
        <f>'Input Refrigeration Measures'!I44</f>
        <v>0</v>
      </c>
      <c r="L91" s="29" t="str">
        <f t="shared" si="3"/>
        <v>Version 5.0</v>
      </c>
      <c r="M91" s="104">
        <f>'Input Refrigeration Measures'!E44</f>
        <v>0</v>
      </c>
      <c r="N91" s="103" t="str">
        <f>'Input Refrigeration Measures'!K44</f>
        <v/>
      </c>
    </row>
    <row r="92" spans="1:14" x14ac:dyDescent="0.2">
      <c r="A92" s="32" t="s">
        <v>343</v>
      </c>
      <c r="B92" s="30">
        <f t="shared" si="2"/>
        <v>0</v>
      </c>
      <c r="C92" s="30">
        <f>'Input Refrigeration Measures'!B45</f>
        <v>40</v>
      </c>
      <c r="D92" s="30" t="str">
        <f>'Input Refrigeration Measures'!C45</f>
        <v/>
      </c>
      <c r="E92" s="30" t="str">
        <f>'Input Refrigeration Measures'!F45</f>
        <v/>
      </c>
      <c r="F92" s="31">
        <f>'Input Refrigeration Measures'!G45</f>
        <v>0</v>
      </c>
      <c r="G92" s="31" t="str">
        <f>'Input Refrigeration Measures'!L45</f>
        <v/>
      </c>
      <c r="H92" s="138" t="str">
        <f>'Input Refrigeration Measures'!M45</f>
        <v/>
      </c>
      <c r="I92" s="45" t="str">
        <f>IFERROR(N92*MIN(Table_Measure_Caps[[#Totals],[Estimated Raw Incentive Total]], Table_Measure_Caps[[#Totals],[Gross Measure Cost Total]], Value_Project_CAP)/Table_Measure_Caps[[#Totals],[Estimated Raw Incentive Total]], "")</f>
        <v/>
      </c>
      <c r="J92" s="45">
        <f>'Input Refrigeration Measures'!H45</f>
        <v>0</v>
      </c>
      <c r="K92" s="30">
        <f>'Input Refrigeration Measures'!I45</f>
        <v>0</v>
      </c>
      <c r="L92" s="29" t="str">
        <f t="shared" si="3"/>
        <v>Version 5.0</v>
      </c>
      <c r="M92" s="104">
        <f>'Input Refrigeration Measures'!E45</f>
        <v>0</v>
      </c>
      <c r="N92" s="103" t="str">
        <f>'Input Refrigeration Measures'!K45</f>
        <v/>
      </c>
    </row>
    <row r="93" spans="1:14" x14ac:dyDescent="0.2">
      <c r="A93" s="32" t="s">
        <v>343</v>
      </c>
      <c r="B93" s="30">
        <f t="shared" si="2"/>
        <v>0</v>
      </c>
      <c r="C93" s="30">
        <f>'Input Refrigeration Measures'!B46</f>
        <v>41</v>
      </c>
      <c r="D93" s="30" t="str">
        <f>'Input Refrigeration Measures'!C46</f>
        <v/>
      </c>
      <c r="E93" s="30" t="str">
        <f>'Input Refrigeration Measures'!F46</f>
        <v/>
      </c>
      <c r="F93" s="31">
        <f>'Input Refrigeration Measures'!G46</f>
        <v>0</v>
      </c>
      <c r="G93" s="31" t="str">
        <f>'Input Refrigeration Measures'!L46</f>
        <v/>
      </c>
      <c r="H93" s="138" t="str">
        <f>'Input Refrigeration Measures'!M46</f>
        <v/>
      </c>
      <c r="I93" s="45" t="str">
        <f>IFERROR(N93*MIN(Table_Measure_Caps[[#Totals],[Estimated Raw Incentive Total]], Table_Measure_Caps[[#Totals],[Gross Measure Cost Total]], Value_Project_CAP)/Table_Measure_Caps[[#Totals],[Estimated Raw Incentive Total]], "")</f>
        <v/>
      </c>
      <c r="J93" s="45">
        <f>'Input Refrigeration Measures'!H46</f>
        <v>0</v>
      </c>
      <c r="K93" s="30">
        <f>'Input Refrigeration Measures'!I46</f>
        <v>0</v>
      </c>
      <c r="L93" s="29" t="str">
        <f t="shared" si="3"/>
        <v>Version 5.0</v>
      </c>
      <c r="M93" s="104">
        <f>'Input Refrigeration Measures'!E46</f>
        <v>0</v>
      </c>
      <c r="N93" s="103" t="str">
        <f>'Input Refrigeration Measures'!K46</f>
        <v/>
      </c>
    </row>
    <row r="94" spans="1:14" x14ac:dyDescent="0.2">
      <c r="A94" s="32" t="s">
        <v>343</v>
      </c>
      <c r="B94" s="30">
        <f t="shared" si="2"/>
        <v>0</v>
      </c>
      <c r="C94" s="30">
        <f>'Input Refrigeration Measures'!B47</f>
        <v>42</v>
      </c>
      <c r="D94" s="30" t="str">
        <f>'Input Refrigeration Measures'!C47</f>
        <v/>
      </c>
      <c r="E94" s="30" t="str">
        <f>'Input Refrigeration Measures'!F47</f>
        <v/>
      </c>
      <c r="F94" s="31">
        <f>'Input Refrigeration Measures'!G47</f>
        <v>0</v>
      </c>
      <c r="G94" s="31" t="str">
        <f>'Input Refrigeration Measures'!L47</f>
        <v/>
      </c>
      <c r="H94" s="138" t="str">
        <f>'Input Refrigeration Measures'!M47</f>
        <v/>
      </c>
      <c r="I94" s="45" t="str">
        <f>IFERROR(N94*MIN(Table_Measure_Caps[[#Totals],[Estimated Raw Incentive Total]], Table_Measure_Caps[[#Totals],[Gross Measure Cost Total]], Value_Project_CAP)/Table_Measure_Caps[[#Totals],[Estimated Raw Incentive Total]], "")</f>
        <v/>
      </c>
      <c r="J94" s="45">
        <f>'Input Refrigeration Measures'!H47</f>
        <v>0</v>
      </c>
      <c r="K94" s="30">
        <f>'Input Refrigeration Measures'!I47</f>
        <v>0</v>
      </c>
      <c r="L94" s="29" t="str">
        <f t="shared" si="3"/>
        <v>Version 5.0</v>
      </c>
      <c r="M94" s="104">
        <f>'Input Refrigeration Measures'!E47</f>
        <v>0</v>
      </c>
      <c r="N94" s="103" t="str">
        <f>'Input Refrigeration Measures'!K47</f>
        <v/>
      </c>
    </row>
    <row r="95" spans="1:14" x14ac:dyDescent="0.2">
      <c r="A95" s="32" t="s">
        <v>343</v>
      </c>
      <c r="B95" s="30">
        <f t="shared" si="2"/>
        <v>0</v>
      </c>
      <c r="C95" s="30">
        <f>'Input Refrigeration Measures'!B48</f>
        <v>43</v>
      </c>
      <c r="D95" s="30" t="str">
        <f>'Input Refrigeration Measures'!C48</f>
        <v/>
      </c>
      <c r="E95" s="30" t="str">
        <f>'Input Refrigeration Measures'!F48</f>
        <v/>
      </c>
      <c r="F95" s="31">
        <f>'Input Refrigeration Measures'!G48</f>
        <v>0</v>
      </c>
      <c r="G95" s="31" t="str">
        <f>'Input Refrigeration Measures'!L48</f>
        <v/>
      </c>
      <c r="H95" s="138" t="str">
        <f>'Input Refrigeration Measures'!M48</f>
        <v/>
      </c>
      <c r="I95" s="45" t="str">
        <f>IFERROR(N95*MIN(Table_Measure_Caps[[#Totals],[Estimated Raw Incentive Total]], Table_Measure_Caps[[#Totals],[Gross Measure Cost Total]], Value_Project_CAP)/Table_Measure_Caps[[#Totals],[Estimated Raw Incentive Total]], "")</f>
        <v/>
      </c>
      <c r="J95" s="45">
        <f>'Input Refrigeration Measures'!H48</f>
        <v>0</v>
      </c>
      <c r="K95" s="30">
        <f>'Input Refrigeration Measures'!I48</f>
        <v>0</v>
      </c>
      <c r="L95" s="29" t="str">
        <f t="shared" si="3"/>
        <v>Version 5.0</v>
      </c>
      <c r="M95" s="104">
        <f>'Input Refrigeration Measures'!E48</f>
        <v>0</v>
      </c>
      <c r="N95" s="103" t="str">
        <f>'Input Refrigeration Measures'!K48</f>
        <v/>
      </c>
    </row>
    <row r="96" spans="1:14" x14ac:dyDescent="0.2">
      <c r="A96" s="32" t="s">
        <v>343</v>
      </c>
      <c r="B96" s="30">
        <f t="shared" si="2"/>
        <v>0</v>
      </c>
      <c r="C96" s="30">
        <f>'Input Refrigeration Measures'!B49</f>
        <v>44</v>
      </c>
      <c r="D96" s="30" t="str">
        <f>'Input Refrigeration Measures'!C49</f>
        <v/>
      </c>
      <c r="E96" s="30" t="str">
        <f>'Input Refrigeration Measures'!F49</f>
        <v/>
      </c>
      <c r="F96" s="31">
        <f>'Input Refrigeration Measures'!G49</f>
        <v>0</v>
      </c>
      <c r="G96" s="31" t="str">
        <f>'Input Refrigeration Measures'!L49</f>
        <v/>
      </c>
      <c r="H96" s="138" t="str">
        <f>'Input Refrigeration Measures'!M49</f>
        <v/>
      </c>
      <c r="I96" s="45" t="str">
        <f>IFERROR(N96*MIN(Table_Measure_Caps[[#Totals],[Estimated Raw Incentive Total]], Table_Measure_Caps[[#Totals],[Gross Measure Cost Total]], Value_Project_CAP)/Table_Measure_Caps[[#Totals],[Estimated Raw Incentive Total]], "")</f>
        <v/>
      </c>
      <c r="J96" s="45">
        <f>'Input Refrigeration Measures'!H49</f>
        <v>0</v>
      </c>
      <c r="K96" s="30">
        <f>'Input Refrigeration Measures'!I49</f>
        <v>0</v>
      </c>
      <c r="L96" s="29" t="str">
        <f t="shared" si="3"/>
        <v>Version 5.0</v>
      </c>
      <c r="M96" s="104">
        <f>'Input Refrigeration Measures'!E49</f>
        <v>0</v>
      </c>
      <c r="N96" s="103" t="str">
        <f>'Input Refrigeration Measures'!K49</f>
        <v/>
      </c>
    </row>
    <row r="97" spans="1:14" x14ac:dyDescent="0.2">
      <c r="A97" s="32" t="s">
        <v>343</v>
      </c>
      <c r="B97" s="30">
        <f t="shared" si="2"/>
        <v>0</v>
      </c>
      <c r="C97" s="30">
        <f>'Input Refrigeration Measures'!B50</f>
        <v>45</v>
      </c>
      <c r="D97" s="30" t="str">
        <f>'Input Refrigeration Measures'!C50</f>
        <v/>
      </c>
      <c r="E97" s="30" t="str">
        <f>'Input Refrigeration Measures'!F50</f>
        <v/>
      </c>
      <c r="F97" s="31">
        <f>'Input Refrigeration Measures'!G50</f>
        <v>0</v>
      </c>
      <c r="G97" s="31" t="str">
        <f>'Input Refrigeration Measures'!L50</f>
        <v/>
      </c>
      <c r="H97" s="138" t="str">
        <f>'Input Refrigeration Measures'!M50</f>
        <v/>
      </c>
      <c r="I97" s="45" t="str">
        <f>IFERROR(N97*MIN(Table_Measure_Caps[[#Totals],[Estimated Raw Incentive Total]], Table_Measure_Caps[[#Totals],[Gross Measure Cost Total]], Value_Project_CAP)/Table_Measure_Caps[[#Totals],[Estimated Raw Incentive Total]], "")</f>
        <v/>
      </c>
      <c r="J97" s="45">
        <f>'Input Refrigeration Measures'!H50</f>
        <v>0</v>
      </c>
      <c r="K97" s="30">
        <f>'Input Refrigeration Measures'!I50</f>
        <v>0</v>
      </c>
      <c r="L97" s="29" t="str">
        <f t="shared" si="3"/>
        <v>Version 5.0</v>
      </c>
      <c r="M97" s="104">
        <f>'Input Refrigeration Measures'!E50</f>
        <v>0</v>
      </c>
      <c r="N97" s="103" t="str">
        <f>'Input Refrigeration Measures'!K50</f>
        <v/>
      </c>
    </row>
    <row r="98" spans="1:14" x14ac:dyDescent="0.2">
      <c r="A98" s="32" t="s">
        <v>343</v>
      </c>
      <c r="B98" s="30">
        <f t="shared" si="2"/>
        <v>0</v>
      </c>
      <c r="C98" s="30">
        <f>'Input Refrigeration Measures'!B51</f>
        <v>46</v>
      </c>
      <c r="D98" s="30" t="str">
        <f>'Input Refrigeration Measures'!C51</f>
        <v/>
      </c>
      <c r="E98" s="30" t="str">
        <f>'Input Refrigeration Measures'!F51</f>
        <v/>
      </c>
      <c r="F98" s="31">
        <f>'Input Refrigeration Measures'!G51</f>
        <v>0</v>
      </c>
      <c r="G98" s="31" t="str">
        <f>'Input Refrigeration Measures'!L51</f>
        <v/>
      </c>
      <c r="H98" s="138" t="str">
        <f>'Input Refrigeration Measures'!M51</f>
        <v/>
      </c>
      <c r="I98" s="45" t="str">
        <f>IFERROR(N98*MIN(Table_Measure_Caps[[#Totals],[Estimated Raw Incentive Total]], Table_Measure_Caps[[#Totals],[Gross Measure Cost Total]], Value_Project_CAP)/Table_Measure_Caps[[#Totals],[Estimated Raw Incentive Total]], "")</f>
        <v/>
      </c>
      <c r="J98" s="45">
        <f>'Input Refrigeration Measures'!H51</f>
        <v>0</v>
      </c>
      <c r="K98" s="30">
        <f>'Input Refrigeration Measures'!I51</f>
        <v>0</v>
      </c>
      <c r="L98" s="29" t="str">
        <f t="shared" si="3"/>
        <v>Version 5.0</v>
      </c>
      <c r="M98" s="104">
        <f>'Input Refrigeration Measures'!E51</f>
        <v>0</v>
      </c>
      <c r="N98" s="103" t="str">
        <f>'Input Refrigeration Measures'!K51</f>
        <v/>
      </c>
    </row>
    <row r="99" spans="1:14" x14ac:dyDescent="0.2">
      <c r="A99" s="32" t="s">
        <v>343</v>
      </c>
      <c r="B99" s="30">
        <f t="shared" si="2"/>
        <v>0</v>
      </c>
      <c r="C99" s="30">
        <f>'Input Refrigeration Measures'!B52</f>
        <v>47</v>
      </c>
      <c r="D99" s="30" t="str">
        <f>'Input Refrigeration Measures'!C52</f>
        <v/>
      </c>
      <c r="E99" s="30" t="str">
        <f>'Input Refrigeration Measures'!F52</f>
        <v/>
      </c>
      <c r="F99" s="31">
        <f>'Input Refrigeration Measures'!G52</f>
        <v>0</v>
      </c>
      <c r="G99" s="31" t="str">
        <f>'Input Refrigeration Measures'!L52</f>
        <v/>
      </c>
      <c r="H99" s="138" t="str">
        <f>'Input Refrigeration Measures'!M52</f>
        <v/>
      </c>
      <c r="I99" s="45" t="str">
        <f>IFERROR(N99*MIN(Table_Measure_Caps[[#Totals],[Estimated Raw Incentive Total]], Table_Measure_Caps[[#Totals],[Gross Measure Cost Total]], Value_Project_CAP)/Table_Measure_Caps[[#Totals],[Estimated Raw Incentive Total]], "")</f>
        <v/>
      </c>
      <c r="J99" s="45">
        <f>'Input Refrigeration Measures'!H52</f>
        <v>0</v>
      </c>
      <c r="K99" s="30">
        <f>'Input Refrigeration Measures'!I52</f>
        <v>0</v>
      </c>
      <c r="L99" s="29" t="str">
        <f t="shared" si="3"/>
        <v>Version 5.0</v>
      </c>
      <c r="M99" s="104">
        <f>'Input Refrigeration Measures'!E52</f>
        <v>0</v>
      </c>
      <c r="N99" s="103" t="str">
        <f>'Input Refrigeration Measures'!K52</f>
        <v/>
      </c>
    </row>
    <row r="100" spans="1:14" x14ac:dyDescent="0.2">
      <c r="A100" s="32" t="s">
        <v>343</v>
      </c>
      <c r="B100" s="30">
        <f t="shared" si="2"/>
        <v>0</v>
      </c>
      <c r="C100" s="30">
        <f>'Input Refrigeration Measures'!B53</f>
        <v>48</v>
      </c>
      <c r="D100" s="30" t="str">
        <f>'Input Refrigeration Measures'!C53</f>
        <v/>
      </c>
      <c r="E100" s="30" t="str">
        <f>'Input Refrigeration Measures'!F53</f>
        <v/>
      </c>
      <c r="F100" s="31">
        <f>'Input Refrigeration Measures'!G53</f>
        <v>0</v>
      </c>
      <c r="G100" s="31" t="str">
        <f>'Input Refrigeration Measures'!L53</f>
        <v/>
      </c>
      <c r="H100" s="138" t="str">
        <f>'Input Refrigeration Measures'!M53</f>
        <v/>
      </c>
      <c r="I100" s="45" t="str">
        <f>IFERROR(N100*MIN(Table_Measure_Caps[[#Totals],[Estimated Raw Incentive Total]], Table_Measure_Caps[[#Totals],[Gross Measure Cost Total]], Value_Project_CAP)/Table_Measure_Caps[[#Totals],[Estimated Raw Incentive Total]], "")</f>
        <v/>
      </c>
      <c r="J100" s="45">
        <f>'Input Refrigeration Measures'!H53</f>
        <v>0</v>
      </c>
      <c r="K100" s="30">
        <f>'Input Refrigeration Measures'!I53</f>
        <v>0</v>
      </c>
      <c r="L100" s="29" t="str">
        <f t="shared" si="3"/>
        <v>Version 5.0</v>
      </c>
      <c r="M100" s="104">
        <f>'Input Refrigeration Measures'!E53</f>
        <v>0</v>
      </c>
      <c r="N100" s="103" t="str">
        <f>'Input Refrigeration Measures'!K53</f>
        <v/>
      </c>
    </row>
    <row r="101" spans="1:14" x14ac:dyDescent="0.2">
      <c r="A101" s="32" t="s">
        <v>343</v>
      </c>
      <c r="B101" s="30">
        <f t="shared" si="2"/>
        <v>0</v>
      </c>
      <c r="C101" s="30">
        <f>'Input Refrigeration Measures'!B54</f>
        <v>49</v>
      </c>
      <c r="D101" s="30" t="str">
        <f>'Input Refrigeration Measures'!C54</f>
        <v/>
      </c>
      <c r="E101" s="30" t="str">
        <f>'Input Refrigeration Measures'!F54</f>
        <v/>
      </c>
      <c r="F101" s="31">
        <f>'Input Refrigeration Measures'!G54</f>
        <v>0</v>
      </c>
      <c r="G101" s="31" t="str">
        <f>'Input Refrigeration Measures'!L54</f>
        <v/>
      </c>
      <c r="H101" s="138" t="str">
        <f>'Input Refrigeration Measures'!M54</f>
        <v/>
      </c>
      <c r="I101" s="45" t="str">
        <f>IFERROR(N101*MIN(Table_Measure_Caps[[#Totals],[Estimated Raw Incentive Total]], Table_Measure_Caps[[#Totals],[Gross Measure Cost Total]], Value_Project_CAP)/Table_Measure_Caps[[#Totals],[Estimated Raw Incentive Total]], "")</f>
        <v/>
      </c>
      <c r="J101" s="45">
        <f>'Input Refrigeration Measures'!H54</f>
        <v>0</v>
      </c>
      <c r="K101" s="30">
        <f>'Input Refrigeration Measures'!I54</f>
        <v>0</v>
      </c>
      <c r="L101" s="29" t="str">
        <f t="shared" si="3"/>
        <v>Version 5.0</v>
      </c>
      <c r="M101" s="104">
        <f>'Input Refrigeration Measures'!E54</f>
        <v>0</v>
      </c>
      <c r="N101" s="103" t="str">
        <f>'Input Refrigeration Measures'!K54</f>
        <v/>
      </c>
    </row>
    <row r="102" spans="1:14" x14ac:dyDescent="0.2">
      <c r="A102" s="32" t="s">
        <v>343</v>
      </c>
      <c r="B102" s="30">
        <f t="shared" si="2"/>
        <v>0</v>
      </c>
      <c r="C102" s="30">
        <f>'Input Refrigeration Measures'!B55</f>
        <v>50</v>
      </c>
      <c r="D102" s="30" t="str">
        <f>'Input Refrigeration Measures'!C55</f>
        <v/>
      </c>
      <c r="E102" s="30" t="str">
        <f>'Input Refrigeration Measures'!F55</f>
        <v/>
      </c>
      <c r="F102" s="31">
        <f>'Input Refrigeration Measures'!G55</f>
        <v>0</v>
      </c>
      <c r="G102" s="31" t="str">
        <f>'Input Refrigeration Measures'!L55</f>
        <v/>
      </c>
      <c r="H102" s="138" t="str">
        <f>'Input Refrigeration Measures'!M55</f>
        <v/>
      </c>
      <c r="I102" s="45" t="str">
        <f>IFERROR(N102*MIN(Table_Measure_Caps[[#Totals],[Estimated Raw Incentive Total]], Table_Measure_Caps[[#Totals],[Gross Measure Cost Total]], Value_Project_CAP)/Table_Measure_Caps[[#Totals],[Estimated Raw Incentive Total]], "")</f>
        <v/>
      </c>
      <c r="J102" s="45">
        <f>'Input Refrigeration Measures'!H55</f>
        <v>0</v>
      </c>
      <c r="K102" s="30">
        <f>'Input Refrigeration Measures'!I55</f>
        <v>0</v>
      </c>
      <c r="L102" s="29" t="str">
        <f t="shared" si="3"/>
        <v>Version 5.0</v>
      </c>
      <c r="M102" s="104">
        <f>'Input Refrigeration Measures'!E55</f>
        <v>0</v>
      </c>
      <c r="N102" s="103" t="str">
        <f>'Input Refrigeration Measures'!K55</f>
        <v/>
      </c>
    </row>
    <row r="103" spans="1:14" x14ac:dyDescent="0.2">
      <c r="A103" s="13" t="s">
        <v>487</v>
      </c>
      <c r="B103" s="12">
        <f t="shared" si="0"/>
        <v>0</v>
      </c>
      <c r="C103" s="12">
        <f>'Input Comm Kitchen Measures'!B5</f>
        <v>1</v>
      </c>
      <c r="D103" s="12" t="str">
        <f>'Input Comm Kitchen Measures'!C5</f>
        <v/>
      </c>
      <c r="E103" s="12" t="s">
        <v>540</v>
      </c>
      <c r="F103" s="14">
        <f>1</f>
        <v>1</v>
      </c>
      <c r="G103" s="14" t="str">
        <f>'Input Comm Kitchen Measures'!L5</f>
        <v/>
      </c>
      <c r="H103" s="137" t="str">
        <f>'Input Comm Kitchen Measures'!M5</f>
        <v/>
      </c>
      <c r="I103" s="44" t="str">
        <f>IFERROR(N103*MIN(Table_Measure_Caps[[#Totals],[Estimated Raw Incentive Total]], Table_Measure_Caps[[#Totals],[Gross Measure Cost Total]], Value_Project_CAP)/Table_Measure_Caps[[#Totals],[Estimated Raw Incentive Total]], "")</f>
        <v/>
      </c>
      <c r="J103" s="44">
        <f>'Input Comm Kitchen Measures'!H5</f>
        <v>0</v>
      </c>
      <c r="K103" s="12">
        <f>'Input Comm Kitchen Measures'!I5</f>
        <v>0</v>
      </c>
      <c r="L103" s="29" t="str">
        <f t="shared" si="3"/>
        <v>Version 5.0</v>
      </c>
      <c r="M103" s="97">
        <f>'Input Comm Kitchen Measures'!E5</f>
        <v>0</v>
      </c>
      <c r="N103" s="41" t="str">
        <f>'Input Comm Kitchen Measures'!K5</f>
        <v/>
      </c>
    </row>
    <row r="104" spans="1:14" x14ac:dyDescent="0.2">
      <c r="A104" s="13" t="s">
        <v>487</v>
      </c>
      <c r="B104" s="12">
        <f t="shared" si="0"/>
        <v>0</v>
      </c>
      <c r="C104" s="12">
        <f>'Input Comm Kitchen Measures'!B6</f>
        <v>2</v>
      </c>
      <c r="D104" s="12" t="str">
        <f>'Input Comm Kitchen Measures'!C6</f>
        <v/>
      </c>
      <c r="E104" s="12" t="s">
        <v>540</v>
      </c>
      <c r="F104" s="14">
        <f>1</f>
        <v>1</v>
      </c>
      <c r="G104" s="14" t="str">
        <f>'Input Comm Kitchen Measures'!L6</f>
        <v/>
      </c>
      <c r="H104" s="137" t="str">
        <f>'Input Comm Kitchen Measures'!M6</f>
        <v/>
      </c>
      <c r="I104" s="44" t="str">
        <f>IFERROR(N104*MIN(Table_Measure_Caps[[#Totals],[Estimated Raw Incentive Total]], Table_Measure_Caps[[#Totals],[Gross Measure Cost Total]], Value_Project_CAP)/Table_Measure_Caps[[#Totals],[Estimated Raw Incentive Total]], "")</f>
        <v/>
      </c>
      <c r="J104" s="44">
        <f>'Input Comm Kitchen Measures'!H6</f>
        <v>0</v>
      </c>
      <c r="K104" s="12">
        <f>'Input Comm Kitchen Measures'!I6</f>
        <v>0</v>
      </c>
      <c r="L104" s="29" t="str">
        <f t="shared" si="3"/>
        <v>Version 5.0</v>
      </c>
      <c r="M104" s="97">
        <f>'Input Comm Kitchen Measures'!E6</f>
        <v>0</v>
      </c>
      <c r="N104" s="41" t="str">
        <f>'Input Comm Kitchen Measures'!K6</f>
        <v/>
      </c>
    </row>
    <row r="105" spans="1:14" x14ac:dyDescent="0.2">
      <c r="A105" s="13" t="s">
        <v>487</v>
      </c>
      <c r="B105" s="12">
        <f t="shared" ref="B105:B132" si="4">Input_ProjectNumber</f>
        <v>0</v>
      </c>
      <c r="C105" s="12">
        <f>'Input Comm Kitchen Measures'!B7</f>
        <v>3</v>
      </c>
      <c r="D105" s="12" t="str">
        <f>'Input Comm Kitchen Measures'!C7</f>
        <v/>
      </c>
      <c r="E105" s="12" t="s">
        <v>540</v>
      </c>
      <c r="F105" s="14">
        <f>1</f>
        <v>1</v>
      </c>
      <c r="G105" s="14" t="str">
        <f>'Input Comm Kitchen Measures'!L7</f>
        <v/>
      </c>
      <c r="H105" s="137" t="str">
        <f>'Input Comm Kitchen Measures'!M7</f>
        <v/>
      </c>
      <c r="I105" s="44" t="str">
        <f>IFERROR(N105*MIN(Table_Measure_Caps[[#Totals],[Estimated Raw Incentive Total]], Table_Measure_Caps[[#Totals],[Gross Measure Cost Total]], Value_Project_CAP)/Table_Measure_Caps[[#Totals],[Estimated Raw Incentive Total]], "")</f>
        <v/>
      </c>
      <c r="J105" s="44">
        <f>'Input Comm Kitchen Measures'!H7</f>
        <v>0</v>
      </c>
      <c r="K105" s="12">
        <f>'Input Comm Kitchen Measures'!I7</f>
        <v>0</v>
      </c>
      <c r="L105" s="29" t="str">
        <f t="shared" si="3"/>
        <v>Version 5.0</v>
      </c>
      <c r="M105" s="97">
        <f>'Input Comm Kitchen Measures'!E7</f>
        <v>0</v>
      </c>
      <c r="N105" s="41" t="str">
        <f>'Input Comm Kitchen Measures'!K7</f>
        <v/>
      </c>
    </row>
    <row r="106" spans="1:14" x14ac:dyDescent="0.2">
      <c r="A106" s="13" t="s">
        <v>487</v>
      </c>
      <c r="B106" s="12">
        <f t="shared" si="4"/>
        <v>0</v>
      </c>
      <c r="C106" s="12">
        <f>'Input Comm Kitchen Measures'!B8</f>
        <v>4</v>
      </c>
      <c r="D106" s="12" t="str">
        <f>'Input Comm Kitchen Measures'!C8</f>
        <v/>
      </c>
      <c r="E106" s="12" t="s">
        <v>540</v>
      </c>
      <c r="F106" s="14">
        <f>1</f>
        <v>1</v>
      </c>
      <c r="G106" s="14" t="str">
        <f>'Input Comm Kitchen Measures'!L8</f>
        <v/>
      </c>
      <c r="H106" s="137" t="str">
        <f>'Input Comm Kitchen Measures'!M8</f>
        <v/>
      </c>
      <c r="I106" s="44" t="str">
        <f>IFERROR(N106*MIN(Table_Measure_Caps[[#Totals],[Estimated Raw Incentive Total]], Table_Measure_Caps[[#Totals],[Gross Measure Cost Total]], Value_Project_CAP)/Table_Measure_Caps[[#Totals],[Estimated Raw Incentive Total]], "")</f>
        <v/>
      </c>
      <c r="J106" s="44">
        <f>'Input Comm Kitchen Measures'!H8</f>
        <v>0</v>
      </c>
      <c r="K106" s="12">
        <f>'Input Comm Kitchen Measures'!I8</f>
        <v>0</v>
      </c>
      <c r="L106" s="29" t="str">
        <f t="shared" si="3"/>
        <v>Version 5.0</v>
      </c>
      <c r="M106" s="97">
        <f>'Input Comm Kitchen Measures'!E8</f>
        <v>0</v>
      </c>
      <c r="N106" s="41" t="str">
        <f>'Input Comm Kitchen Measures'!K8</f>
        <v/>
      </c>
    </row>
    <row r="107" spans="1:14" x14ac:dyDescent="0.2">
      <c r="A107" s="13" t="s">
        <v>487</v>
      </c>
      <c r="B107" s="12">
        <f t="shared" si="4"/>
        <v>0</v>
      </c>
      <c r="C107" s="12">
        <f>'Input Comm Kitchen Measures'!B9</f>
        <v>5</v>
      </c>
      <c r="D107" s="12" t="str">
        <f>'Input Comm Kitchen Measures'!C9</f>
        <v/>
      </c>
      <c r="E107" s="12" t="s">
        <v>540</v>
      </c>
      <c r="F107" s="14">
        <f>1</f>
        <v>1</v>
      </c>
      <c r="G107" s="14" t="str">
        <f>'Input Comm Kitchen Measures'!L9</f>
        <v/>
      </c>
      <c r="H107" s="137" t="str">
        <f>'Input Comm Kitchen Measures'!M9</f>
        <v/>
      </c>
      <c r="I107" s="44" t="str">
        <f>IFERROR(N107*MIN(Table_Measure_Caps[[#Totals],[Estimated Raw Incentive Total]], Table_Measure_Caps[[#Totals],[Gross Measure Cost Total]], Value_Project_CAP)/Table_Measure_Caps[[#Totals],[Estimated Raw Incentive Total]], "")</f>
        <v/>
      </c>
      <c r="J107" s="44">
        <f>'Input Comm Kitchen Measures'!H9</f>
        <v>0</v>
      </c>
      <c r="K107" s="12">
        <f>'Input Comm Kitchen Measures'!I9</f>
        <v>0</v>
      </c>
      <c r="L107" s="29" t="str">
        <f t="shared" si="3"/>
        <v>Version 5.0</v>
      </c>
      <c r="M107" s="97">
        <f>'Input Comm Kitchen Measures'!E9</f>
        <v>0</v>
      </c>
      <c r="N107" s="41" t="str">
        <f>'Input Comm Kitchen Measures'!K9</f>
        <v/>
      </c>
    </row>
    <row r="108" spans="1:14" x14ac:dyDescent="0.2">
      <c r="A108" s="13" t="s">
        <v>487</v>
      </c>
      <c r="B108" s="12">
        <f t="shared" si="4"/>
        <v>0</v>
      </c>
      <c r="C108" s="12">
        <f>'Input Comm Kitchen Measures'!B10</f>
        <v>6</v>
      </c>
      <c r="D108" s="12" t="str">
        <f>'Input Comm Kitchen Measures'!C10</f>
        <v/>
      </c>
      <c r="E108" s="12" t="s">
        <v>540</v>
      </c>
      <c r="F108" s="14">
        <f>1</f>
        <v>1</v>
      </c>
      <c r="G108" s="14" t="str">
        <f>'Input Comm Kitchen Measures'!L10</f>
        <v/>
      </c>
      <c r="H108" s="137" t="str">
        <f>'Input Comm Kitchen Measures'!M10</f>
        <v/>
      </c>
      <c r="I108" s="44" t="str">
        <f>IFERROR(N108*MIN(Table_Measure_Caps[[#Totals],[Estimated Raw Incentive Total]], Table_Measure_Caps[[#Totals],[Gross Measure Cost Total]], Value_Project_CAP)/Table_Measure_Caps[[#Totals],[Estimated Raw Incentive Total]], "")</f>
        <v/>
      </c>
      <c r="J108" s="44">
        <f>'Input Comm Kitchen Measures'!H10</f>
        <v>0</v>
      </c>
      <c r="K108" s="12">
        <f>'Input Comm Kitchen Measures'!I10</f>
        <v>0</v>
      </c>
      <c r="L108" s="29" t="str">
        <f t="shared" si="3"/>
        <v>Version 5.0</v>
      </c>
      <c r="M108" s="97">
        <f>'Input Comm Kitchen Measures'!E10</f>
        <v>0</v>
      </c>
      <c r="N108" s="41" t="str">
        <f>'Input Comm Kitchen Measures'!K10</f>
        <v/>
      </c>
    </row>
    <row r="109" spans="1:14" x14ac:dyDescent="0.2">
      <c r="A109" s="13" t="s">
        <v>487</v>
      </c>
      <c r="B109" s="12">
        <f t="shared" si="4"/>
        <v>0</v>
      </c>
      <c r="C109" s="12">
        <f>'Input Comm Kitchen Measures'!B11</f>
        <v>7</v>
      </c>
      <c r="D109" s="12" t="str">
        <f>'Input Comm Kitchen Measures'!C11</f>
        <v/>
      </c>
      <c r="E109" s="12" t="s">
        <v>540</v>
      </c>
      <c r="F109" s="14">
        <f>1</f>
        <v>1</v>
      </c>
      <c r="G109" s="14" t="str">
        <f>'Input Comm Kitchen Measures'!L11</f>
        <v/>
      </c>
      <c r="H109" s="137" t="str">
        <f>'Input Comm Kitchen Measures'!M11</f>
        <v/>
      </c>
      <c r="I109" s="44" t="str">
        <f>IFERROR(N109*MIN(Table_Measure_Caps[[#Totals],[Estimated Raw Incentive Total]], Table_Measure_Caps[[#Totals],[Gross Measure Cost Total]], Value_Project_CAP)/Table_Measure_Caps[[#Totals],[Estimated Raw Incentive Total]], "")</f>
        <v/>
      </c>
      <c r="J109" s="44">
        <f>'Input Comm Kitchen Measures'!H11</f>
        <v>0</v>
      </c>
      <c r="K109" s="12">
        <f>'Input Comm Kitchen Measures'!I11</f>
        <v>0</v>
      </c>
      <c r="L109" s="29" t="str">
        <f t="shared" si="3"/>
        <v>Version 5.0</v>
      </c>
      <c r="M109" s="97">
        <f>'Input Comm Kitchen Measures'!E11</f>
        <v>0</v>
      </c>
      <c r="N109" s="41" t="str">
        <f>'Input Comm Kitchen Measures'!K11</f>
        <v/>
      </c>
    </row>
    <row r="110" spans="1:14" x14ac:dyDescent="0.2">
      <c r="A110" s="13" t="s">
        <v>487</v>
      </c>
      <c r="B110" s="12">
        <f t="shared" si="4"/>
        <v>0</v>
      </c>
      <c r="C110" s="12">
        <f>'Input Comm Kitchen Measures'!B12</f>
        <v>8</v>
      </c>
      <c r="D110" s="12" t="str">
        <f>'Input Comm Kitchen Measures'!C12</f>
        <v/>
      </c>
      <c r="E110" s="12" t="s">
        <v>540</v>
      </c>
      <c r="F110" s="14">
        <f>1</f>
        <v>1</v>
      </c>
      <c r="G110" s="14" t="str">
        <f>'Input Comm Kitchen Measures'!L12</f>
        <v/>
      </c>
      <c r="H110" s="137" t="str">
        <f>'Input Comm Kitchen Measures'!M12</f>
        <v/>
      </c>
      <c r="I110" s="44" t="str">
        <f>IFERROR(N110*MIN(Table_Measure_Caps[[#Totals],[Estimated Raw Incentive Total]], Table_Measure_Caps[[#Totals],[Gross Measure Cost Total]], Value_Project_CAP)/Table_Measure_Caps[[#Totals],[Estimated Raw Incentive Total]], "")</f>
        <v/>
      </c>
      <c r="J110" s="44">
        <f>'Input Comm Kitchen Measures'!H12</f>
        <v>0</v>
      </c>
      <c r="K110" s="12">
        <f>'Input Comm Kitchen Measures'!I12</f>
        <v>0</v>
      </c>
      <c r="L110" s="29" t="str">
        <f t="shared" si="3"/>
        <v>Version 5.0</v>
      </c>
      <c r="M110" s="97">
        <f>'Input Comm Kitchen Measures'!E12</f>
        <v>0</v>
      </c>
      <c r="N110" s="41" t="str">
        <f>'Input Comm Kitchen Measures'!K12</f>
        <v/>
      </c>
    </row>
    <row r="111" spans="1:14" x14ac:dyDescent="0.2">
      <c r="A111" s="13" t="s">
        <v>487</v>
      </c>
      <c r="B111" s="12">
        <f t="shared" si="4"/>
        <v>0</v>
      </c>
      <c r="C111" s="12">
        <f>'Input Comm Kitchen Measures'!B13</f>
        <v>9</v>
      </c>
      <c r="D111" s="12" t="str">
        <f>'Input Comm Kitchen Measures'!C13</f>
        <v/>
      </c>
      <c r="E111" s="12" t="s">
        <v>540</v>
      </c>
      <c r="F111" s="14">
        <f>1</f>
        <v>1</v>
      </c>
      <c r="G111" s="14" t="str">
        <f>'Input Comm Kitchen Measures'!L13</f>
        <v/>
      </c>
      <c r="H111" s="137" t="str">
        <f>'Input Comm Kitchen Measures'!M13</f>
        <v/>
      </c>
      <c r="I111" s="44" t="str">
        <f>IFERROR(N111*MIN(Table_Measure_Caps[[#Totals],[Estimated Raw Incentive Total]], Table_Measure_Caps[[#Totals],[Gross Measure Cost Total]], Value_Project_CAP)/Table_Measure_Caps[[#Totals],[Estimated Raw Incentive Total]], "")</f>
        <v/>
      </c>
      <c r="J111" s="44">
        <f>'Input Comm Kitchen Measures'!H13</f>
        <v>0</v>
      </c>
      <c r="K111" s="12">
        <f>'Input Comm Kitchen Measures'!I13</f>
        <v>0</v>
      </c>
      <c r="L111" s="29" t="str">
        <f t="shared" si="3"/>
        <v>Version 5.0</v>
      </c>
      <c r="M111" s="97">
        <f>'Input Comm Kitchen Measures'!E13</f>
        <v>0</v>
      </c>
      <c r="N111" s="41" t="str">
        <f>'Input Comm Kitchen Measures'!K13</f>
        <v/>
      </c>
    </row>
    <row r="112" spans="1:14" x14ac:dyDescent="0.2">
      <c r="A112" s="13" t="s">
        <v>487</v>
      </c>
      <c r="B112" s="12">
        <f t="shared" si="4"/>
        <v>0</v>
      </c>
      <c r="C112" s="12">
        <f>'Input Comm Kitchen Measures'!B14</f>
        <v>10</v>
      </c>
      <c r="D112" s="12" t="str">
        <f>'Input Comm Kitchen Measures'!C14</f>
        <v/>
      </c>
      <c r="E112" s="12" t="s">
        <v>540</v>
      </c>
      <c r="F112" s="14">
        <f>1</f>
        <v>1</v>
      </c>
      <c r="G112" s="14" t="str">
        <f>'Input Comm Kitchen Measures'!L14</f>
        <v/>
      </c>
      <c r="H112" s="137" t="str">
        <f>'Input Comm Kitchen Measures'!M14</f>
        <v/>
      </c>
      <c r="I112" s="44" t="str">
        <f>IFERROR(N112*MIN(Table_Measure_Caps[[#Totals],[Estimated Raw Incentive Total]], Table_Measure_Caps[[#Totals],[Gross Measure Cost Total]], Value_Project_CAP)/Table_Measure_Caps[[#Totals],[Estimated Raw Incentive Total]], "")</f>
        <v/>
      </c>
      <c r="J112" s="44">
        <f>'Input Comm Kitchen Measures'!H14</f>
        <v>0</v>
      </c>
      <c r="K112" s="12">
        <f>'Input Comm Kitchen Measures'!I14</f>
        <v>0</v>
      </c>
      <c r="L112" s="29" t="str">
        <f t="shared" si="3"/>
        <v>Version 5.0</v>
      </c>
      <c r="M112" s="97">
        <f>'Input Comm Kitchen Measures'!E14</f>
        <v>0</v>
      </c>
      <c r="N112" s="41" t="str">
        <f>'Input Comm Kitchen Measures'!K14</f>
        <v/>
      </c>
    </row>
    <row r="113" spans="1:14" x14ac:dyDescent="0.2">
      <c r="A113" s="13" t="s">
        <v>487</v>
      </c>
      <c r="B113" s="12">
        <f t="shared" si="4"/>
        <v>0</v>
      </c>
      <c r="C113" s="12">
        <f>'Input Comm Kitchen Measures'!B15</f>
        <v>11</v>
      </c>
      <c r="D113" s="12" t="str">
        <f>'Input Comm Kitchen Measures'!C15</f>
        <v/>
      </c>
      <c r="E113" s="12" t="s">
        <v>540</v>
      </c>
      <c r="F113" s="14">
        <f>1</f>
        <v>1</v>
      </c>
      <c r="G113" s="14" t="str">
        <f>'Input Comm Kitchen Measures'!L15</f>
        <v/>
      </c>
      <c r="H113" s="137" t="str">
        <f>'Input Comm Kitchen Measures'!M15</f>
        <v/>
      </c>
      <c r="I113" s="44" t="str">
        <f>IFERROR(N113*MIN(Table_Measure_Caps[[#Totals],[Estimated Raw Incentive Total]], Table_Measure_Caps[[#Totals],[Gross Measure Cost Total]], Value_Project_CAP)/Table_Measure_Caps[[#Totals],[Estimated Raw Incentive Total]], "")</f>
        <v/>
      </c>
      <c r="J113" s="44">
        <f>'Input Comm Kitchen Measures'!H15</f>
        <v>0</v>
      </c>
      <c r="K113" s="12">
        <f>'Input Comm Kitchen Measures'!I15</f>
        <v>0</v>
      </c>
      <c r="L113" s="29" t="str">
        <f t="shared" si="3"/>
        <v>Version 5.0</v>
      </c>
      <c r="M113" s="97">
        <f>'Input Comm Kitchen Measures'!E15</f>
        <v>0</v>
      </c>
      <c r="N113" s="41" t="str">
        <f>'Input Comm Kitchen Measures'!K15</f>
        <v/>
      </c>
    </row>
    <row r="114" spans="1:14" x14ac:dyDescent="0.2">
      <c r="A114" s="13" t="s">
        <v>487</v>
      </c>
      <c r="B114" s="12">
        <f t="shared" si="4"/>
        <v>0</v>
      </c>
      <c r="C114" s="12">
        <f>'Input Comm Kitchen Measures'!B16</f>
        <v>12</v>
      </c>
      <c r="D114" s="12" t="str">
        <f>'Input Comm Kitchen Measures'!C16</f>
        <v/>
      </c>
      <c r="E114" s="12" t="s">
        <v>540</v>
      </c>
      <c r="F114" s="14">
        <f>1</f>
        <v>1</v>
      </c>
      <c r="G114" s="14" t="str">
        <f>'Input Comm Kitchen Measures'!L16</f>
        <v/>
      </c>
      <c r="H114" s="137" t="str">
        <f>'Input Comm Kitchen Measures'!M16</f>
        <v/>
      </c>
      <c r="I114" s="44" t="str">
        <f>IFERROR(N114*MIN(Table_Measure_Caps[[#Totals],[Estimated Raw Incentive Total]], Table_Measure_Caps[[#Totals],[Gross Measure Cost Total]], Value_Project_CAP)/Table_Measure_Caps[[#Totals],[Estimated Raw Incentive Total]], "")</f>
        <v/>
      </c>
      <c r="J114" s="44">
        <f>'Input Comm Kitchen Measures'!H16</f>
        <v>0</v>
      </c>
      <c r="K114" s="12">
        <f>'Input Comm Kitchen Measures'!I16</f>
        <v>0</v>
      </c>
      <c r="L114" s="29" t="str">
        <f t="shared" si="3"/>
        <v>Version 5.0</v>
      </c>
      <c r="M114" s="97">
        <f>'Input Comm Kitchen Measures'!E16</f>
        <v>0</v>
      </c>
      <c r="N114" s="41" t="str">
        <f>'Input Comm Kitchen Measures'!K16</f>
        <v/>
      </c>
    </row>
    <row r="115" spans="1:14" x14ac:dyDescent="0.2">
      <c r="A115" s="13" t="s">
        <v>487</v>
      </c>
      <c r="B115" s="12">
        <f t="shared" si="4"/>
        <v>0</v>
      </c>
      <c r="C115" s="12">
        <f>'Input Comm Kitchen Measures'!B17</f>
        <v>13</v>
      </c>
      <c r="D115" s="12" t="str">
        <f>'Input Comm Kitchen Measures'!C17</f>
        <v/>
      </c>
      <c r="E115" s="12" t="s">
        <v>540</v>
      </c>
      <c r="F115" s="14">
        <f>1</f>
        <v>1</v>
      </c>
      <c r="G115" s="14" t="str">
        <f>'Input Comm Kitchen Measures'!L17</f>
        <v/>
      </c>
      <c r="H115" s="137" t="str">
        <f>'Input Comm Kitchen Measures'!M17</f>
        <v/>
      </c>
      <c r="I115" s="44" t="str">
        <f>IFERROR(N115*MIN(Table_Measure_Caps[[#Totals],[Estimated Raw Incentive Total]], Table_Measure_Caps[[#Totals],[Gross Measure Cost Total]], Value_Project_CAP)/Table_Measure_Caps[[#Totals],[Estimated Raw Incentive Total]], "")</f>
        <v/>
      </c>
      <c r="J115" s="44">
        <f>'Input Comm Kitchen Measures'!H17</f>
        <v>0</v>
      </c>
      <c r="K115" s="12">
        <f>'Input Comm Kitchen Measures'!I17</f>
        <v>0</v>
      </c>
      <c r="L115" s="29" t="str">
        <f t="shared" si="3"/>
        <v>Version 5.0</v>
      </c>
      <c r="M115" s="97">
        <f>'Input Comm Kitchen Measures'!E17</f>
        <v>0</v>
      </c>
      <c r="N115" s="41" t="str">
        <f>'Input Comm Kitchen Measures'!K17</f>
        <v/>
      </c>
    </row>
    <row r="116" spans="1:14" x14ac:dyDescent="0.2">
      <c r="A116" s="13" t="s">
        <v>487</v>
      </c>
      <c r="B116" s="12">
        <f t="shared" si="4"/>
        <v>0</v>
      </c>
      <c r="C116" s="12">
        <f>'Input Comm Kitchen Measures'!B18</f>
        <v>14</v>
      </c>
      <c r="D116" s="12" t="str">
        <f>'Input Comm Kitchen Measures'!C18</f>
        <v/>
      </c>
      <c r="E116" s="12" t="s">
        <v>540</v>
      </c>
      <c r="F116" s="14">
        <f>1</f>
        <v>1</v>
      </c>
      <c r="G116" s="14" t="str">
        <f>'Input Comm Kitchen Measures'!L18</f>
        <v/>
      </c>
      <c r="H116" s="137" t="str">
        <f>'Input Comm Kitchen Measures'!M18</f>
        <v/>
      </c>
      <c r="I116" s="44" t="str">
        <f>IFERROR(N116*MIN(Table_Measure_Caps[[#Totals],[Estimated Raw Incentive Total]], Table_Measure_Caps[[#Totals],[Gross Measure Cost Total]], Value_Project_CAP)/Table_Measure_Caps[[#Totals],[Estimated Raw Incentive Total]], "")</f>
        <v/>
      </c>
      <c r="J116" s="44">
        <f>'Input Comm Kitchen Measures'!H18</f>
        <v>0</v>
      </c>
      <c r="K116" s="12">
        <f>'Input Comm Kitchen Measures'!I18</f>
        <v>0</v>
      </c>
      <c r="L116" s="29" t="str">
        <f t="shared" si="3"/>
        <v>Version 5.0</v>
      </c>
      <c r="M116" s="97">
        <f>'Input Comm Kitchen Measures'!E18</f>
        <v>0</v>
      </c>
      <c r="N116" s="41" t="str">
        <f>'Input Comm Kitchen Measures'!K18</f>
        <v/>
      </c>
    </row>
    <row r="117" spans="1:14" x14ac:dyDescent="0.2">
      <c r="A117" s="13" t="s">
        <v>487</v>
      </c>
      <c r="B117" s="12">
        <f t="shared" si="4"/>
        <v>0</v>
      </c>
      <c r="C117" s="12">
        <f>'Input Comm Kitchen Measures'!B19</f>
        <v>15</v>
      </c>
      <c r="D117" s="12" t="str">
        <f>'Input Comm Kitchen Measures'!C19</f>
        <v/>
      </c>
      <c r="E117" s="12" t="s">
        <v>540</v>
      </c>
      <c r="F117" s="14">
        <f>1</f>
        <v>1</v>
      </c>
      <c r="G117" s="14" t="str">
        <f>'Input Comm Kitchen Measures'!L19</f>
        <v/>
      </c>
      <c r="H117" s="137" t="str">
        <f>'Input Comm Kitchen Measures'!M19</f>
        <v/>
      </c>
      <c r="I117" s="44" t="str">
        <f>IFERROR(N117*MIN(Table_Measure_Caps[[#Totals],[Estimated Raw Incentive Total]], Table_Measure_Caps[[#Totals],[Gross Measure Cost Total]], Value_Project_CAP)/Table_Measure_Caps[[#Totals],[Estimated Raw Incentive Total]], "")</f>
        <v/>
      </c>
      <c r="J117" s="44">
        <f>'Input Comm Kitchen Measures'!H19</f>
        <v>0</v>
      </c>
      <c r="K117" s="12">
        <f>'Input Comm Kitchen Measures'!I19</f>
        <v>0</v>
      </c>
      <c r="L117" s="29" t="str">
        <f t="shared" si="3"/>
        <v>Version 5.0</v>
      </c>
      <c r="M117" s="97">
        <f>'Input Comm Kitchen Measures'!E19</f>
        <v>0</v>
      </c>
      <c r="N117" s="41" t="str">
        <f>'Input Comm Kitchen Measures'!K19</f>
        <v/>
      </c>
    </row>
    <row r="118" spans="1:14" x14ac:dyDescent="0.2">
      <c r="A118" s="13" t="s">
        <v>487</v>
      </c>
      <c r="B118" s="12">
        <f t="shared" si="4"/>
        <v>0</v>
      </c>
      <c r="C118" s="12">
        <f>'Input Comm Kitchen Measures'!B20</f>
        <v>16</v>
      </c>
      <c r="D118" s="12" t="str">
        <f>'Input Comm Kitchen Measures'!C20</f>
        <v/>
      </c>
      <c r="E118" s="12" t="s">
        <v>540</v>
      </c>
      <c r="F118" s="14">
        <f>1</f>
        <v>1</v>
      </c>
      <c r="G118" s="14" t="str">
        <f>'Input Comm Kitchen Measures'!L20</f>
        <v/>
      </c>
      <c r="H118" s="137" t="str">
        <f>'Input Comm Kitchen Measures'!M20</f>
        <v/>
      </c>
      <c r="I118" s="44" t="str">
        <f>IFERROR(N118*MIN(Table_Measure_Caps[[#Totals],[Estimated Raw Incentive Total]], Table_Measure_Caps[[#Totals],[Gross Measure Cost Total]], Value_Project_CAP)/Table_Measure_Caps[[#Totals],[Estimated Raw Incentive Total]], "")</f>
        <v/>
      </c>
      <c r="J118" s="44">
        <f>'Input Comm Kitchen Measures'!H20</f>
        <v>0</v>
      </c>
      <c r="K118" s="12">
        <f>'Input Comm Kitchen Measures'!I20</f>
        <v>0</v>
      </c>
      <c r="L118" s="29" t="str">
        <f t="shared" si="3"/>
        <v>Version 5.0</v>
      </c>
      <c r="M118" s="97">
        <f>'Input Comm Kitchen Measures'!E20</f>
        <v>0</v>
      </c>
      <c r="N118" s="41" t="str">
        <f>'Input Comm Kitchen Measures'!K20</f>
        <v/>
      </c>
    </row>
    <row r="119" spans="1:14" x14ac:dyDescent="0.2">
      <c r="A119" s="13" t="s">
        <v>487</v>
      </c>
      <c r="B119" s="12">
        <f t="shared" si="4"/>
        <v>0</v>
      </c>
      <c r="C119" s="12">
        <f>'Input Comm Kitchen Measures'!B21</f>
        <v>17</v>
      </c>
      <c r="D119" s="12" t="str">
        <f>'Input Comm Kitchen Measures'!C21</f>
        <v/>
      </c>
      <c r="E119" s="12" t="s">
        <v>540</v>
      </c>
      <c r="F119" s="14">
        <f>1</f>
        <v>1</v>
      </c>
      <c r="G119" s="14" t="str">
        <f>'Input Comm Kitchen Measures'!L21</f>
        <v/>
      </c>
      <c r="H119" s="137" t="str">
        <f>'Input Comm Kitchen Measures'!M21</f>
        <v/>
      </c>
      <c r="I119" s="44" t="str">
        <f>IFERROR(N119*MIN(Table_Measure_Caps[[#Totals],[Estimated Raw Incentive Total]], Table_Measure_Caps[[#Totals],[Gross Measure Cost Total]], Value_Project_CAP)/Table_Measure_Caps[[#Totals],[Estimated Raw Incentive Total]], "")</f>
        <v/>
      </c>
      <c r="J119" s="44">
        <f>'Input Comm Kitchen Measures'!H21</f>
        <v>0</v>
      </c>
      <c r="K119" s="12">
        <f>'Input Comm Kitchen Measures'!I21</f>
        <v>0</v>
      </c>
      <c r="L119" s="29" t="str">
        <f t="shared" si="3"/>
        <v>Version 5.0</v>
      </c>
      <c r="M119" s="97">
        <f>'Input Comm Kitchen Measures'!E21</f>
        <v>0</v>
      </c>
      <c r="N119" s="41" t="str">
        <f>'Input Comm Kitchen Measures'!K21</f>
        <v/>
      </c>
    </row>
    <row r="120" spans="1:14" x14ac:dyDescent="0.2">
      <c r="A120" s="13" t="s">
        <v>487</v>
      </c>
      <c r="B120" s="12">
        <f t="shared" si="4"/>
        <v>0</v>
      </c>
      <c r="C120" s="12">
        <f>'Input Comm Kitchen Measures'!B22</f>
        <v>18</v>
      </c>
      <c r="D120" s="12" t="str">
        <f>'Input Comm Kitchen Measures'!C22</f>
        <v/>
      </c>
      <c r="E120" s="12" t="s">
        <v>540</v>
      </c>
      <c r="F120" s="14">
        <f>1</f>
        <v>1</v>
      </c>
      <c r="G120" s="14" t="str">
        <f>'Input Comm Kitchen Measures'!L22</f>
        <v/>
      </c>
      <c r="H120" s="137" t="str">
        <f>'Input Comm Kitchen Measures'!M22</f>
        <v/>
      </c>
      <c r="I120" s="44" t="str">
        <f>IFERROR(N120*MIN(Table_Measure_Caps[[#Totals],[Estimated Raw Incentive Total]], Table_Measure_Caps[[#Totals],[Gross Measure Cost Total]], Value_Project_CAP)/Table_Measure_Caps[[#Totals],[Estimated Raw Incentive Total]], "")</f>
        <v/>
      </c>
      <c r="J120" s="44">
        <f>'Input Comm Kitchen Measures'!H22</f>
        <v>0</v>
      </c>
      <c r="K120" s="12">
        <f>'Input Comm Kitchen Measures'!I22</f>
        <v>0</v>
      </c>
      <c r="L120" s="29" t="str">
        <f t="shared" si="3"/>
        <v>Version 5.0</v>
      </c>
      <c r="M120" s="97">
        <f>'Input Comm Kitchen Measures'!E22</f>
        <v>0</v>
      </c>
      <c r="N120" s="41" t="str">
        <f>'Input Comm Kitchen Measures'!K22</f>
        <v/>
      </c>
    </row>
    <row r="121" spans="1:14" x14ac:dyDescent="0.2">
      <c r="A121" s="13" t="s">
        <v>487</v>
      </c>
      <c r="B121" s="12">
        <f t="shared" si="4"/>
        <v>0</v>
      </c>
      <c r="C121" s="12">
        <f>'Input Comm Kitchen Measures'!B23</f>
        <v>19</v>
      </c>
      <c r="D121" s="12" t="str">
        <f>'Input Comm Kitchen Measures'!C23</f>
        <v/>
      </c>
      <c r="E121" s="12" t="s">
        <v>540</v>
      </c>
      <c r="F121" s="14">
        <f>1</f>
        <v>1</v>
      </c>
      <c r="G121" s="14" t="str">
        <f>'Input Comm Kitchen Measures'!L23</f>
        <v/>
      </c>
      <c r="H121" s="137" t="str">
        <f>'Input Comm Kitchen Measures'!M23</f>
        <v/>
      </c>
      <c r="I121" s="44" t="str">
        <f>IFERROR(N121*MIN(Table_Measure_Caps[[#Totals],[Estimated Raw Incentive Total]], Table_Measure_Caps[[#Totals],[Gross Measure Cost Total]], Value_Project_CAP)/Table_Measure_Caps[[#Totals],[Estimated Raw Incentive Total]], "")</f>
        <v/>
      </c>
      <c r="J121" s="44">
        <f>'Input Comm Kitchen Measures'!H23</f>
        <v>0</v>
      </c>
      <c r="K121" s="12">
        <f>'Input Comm Kitchen Measures'!I23</f>
        <v>0</v>
      </c>
      <c r="L121" s="29" t="str">
        <f t="shared" si="3"/>
        <v>Version 5.0</v>
      </c>
      <c r="M121" s="97">
        <f>'Input Comm Kitchen Measures'!E23</f>
        <v>0</v>
      </c>
      <c r="N121" s="41" t="str">
        <f>'Input Comm Kitchen Measures'!K23</f>
        <v/>
      </c>
    </row>
    <row r="122" spans="1:14" x14ac:dyDescent="0.2">
      <c r="A122" s="13" t="s">
        <v>487</v>
      </c>
      <c r="B122" s="12">
        <f t="shared" si="4"/>
        <v>0</v>
      </c>
      <c r="C122" s="12">
        <f>'Input Comm Kitchen Measures'!B24</f>
        <v>20</v>
      </c>
      <c r="D122" s="12" t="str">
        <f>'Input Comm Kitchen Measures'!C24</f>
        <v/>
      </c>
      <c r="E122" s="12" t="s">
        <v>540</v>
      </c>
      <c r="F122" s="14">
        <f>1</f>
        <v>1</v>
      </c>
      <c r="G122" s="14" t="str">
        <f>'Input Comm Kitchen Measures'!L24</f>
        <v/>
      </c>
      <c r="H122" s="137" t="str">
        <f>'Input Comm Kitchen Measures'!M24</f>
        <v/>
      </c>
      <c r="I122" s="44" t="str">
        <f>IFERROR(N122*MIN(Table_Measure_Caps[[#Totals],[Estimated Raw Incentive Total]], Table_Measure_Caps[[#Totals],[Gross Measure Cost Total]], Value_Project_CAP)/Table_Measure_Caps[[#Totals],[Estimated Raw Incentive Total]], "")</f>
        <v/>
      </c>
      <c r="J122" s="44">
        <f>'Input Comm Kitchen Measures'!H24</f>
        <v>0</v>
      </c>
      <c r="K122" s="12">
        <f>'Input Comm Kitchen Measures'!I24</f>
        <v>0</v>
      </c>
      <c r="L122" s="29" t="str">
        <f t="shared" si="3"/>
        <v>Version 5.0</v>
      </c>
      <c r="M122" s="97">
        <f>'Input Comm Kitchen Measures'!E24</f>
        <v>0</v>
      </c>
      <c r="N122" s="41" t="str">
        <f>'Input Comm Kitchen Measures'!K24</f>
        <v/>
      </c>
    </row>
    <row r="123" spans="1:14" x14ac:dyDescent="0.2">
      <c r="A123" s="13" t="s">
        <v>487</v>
      </c>
      <c r="B123" s="12">
        <f t="shared" si="4"/>
        <v>0</v>
      </c>
      <c r="C123" s="12">
        <f>'Input Comm Kitchen Measures'!B25</f>
        <v>21</v>
      </c>
      <c r="D123" s="12" t="str">
        <f>'Input Comm Kitchen Measures'!C25</f>
        <v/>
      </c>
      <c r="E123" s="12" t="s">
        <v>540</v>
      </c>
      <c r="F123" s="14">
        <f>1</f>
        <v>1</v>
      </c>
      <c r="G123" s="14" t="str">
        <f>'Input Comm Kitchen Measures'!L25</f>
        <v/>
      </c>
      <c r="H123" s="137" t="str">
        <f>'Input Comm Kitchen Measures'!M25</f>
        <v/>
      </c>
      <c r="I123" s="44" t="str">
        <f>IFERROR(N123*MIN(Table_Measure_Caps[[#Totals],[Estimated Raw Incentive Total]], Table_Measure_Caps[[#Totals],[Gross Measure Cost Total]], Value_Project_CAP)/Table_Measure_Caps[[#Totals],[Estimated Raw Incentive Total]], "")</f>
        <v/>
      </c>
      <c r="J123" s="44">
        <f>'Input Comm Kitchen Measures'!H25</f>
        <v>0</v>
      </c>
      <c r="K123" s="12">
        <f>'Input Comm Kitchen Measures'!I25</f>
        <v>0</v>
      </c>
      <c r="L123" s="29" t="str">
        <f t="shared" si="3"/>
        <v>Version 5.0</v>
      </c>
      <c r="M123" s="97">
        <f>'Input Comm Kitchen Measures'!E25</f>
        <v>0</v>
      </c>
      <c r="N123" s="41" t="str">
        <f>'Input Comm Kitchen Measures'!K25</f>
        <v/>
      </c>
    </row>
    <row r="124" spans="1:14" x14ac:dyDescent="0.2">
      <c r="A124" s="13" t="s">
        <v>487</v>
      </c>
      <c r="B124" s="12">
        <f t="shared" si="4"/>
        <v>0</v>
      </c>
      <c r="C124" s="12">
        <f>'Input Comm Kitchen Measures'!B26</f>
        <v>22</v>
      </c>
      <c r="D124" s="12" t="str">
        <f>'Input Comm Kitchen Measures'!C26</f>
        <v/>
      </c>
      <c r="E124" s="12" t="s">
        <v>540</v>
      </c>
      <c r="F124" s="14">
        <f>1</f>
        <v>1</v>
      </c>
      <c r="G124" s="14" t="str">
        <f>'Input Comm Kitchen Measures'!L26</f>
        <v/>
      </c>
      <c r="H124" s="137" t="str">
        <f>'Input Comm Kitchen Measures'!M26</f>
        <v/>
      </c>
      <c r="I124" s="44" t="str">
        <f>IFERROR(N124*MIN(Table_Measure_Caps[[#Totals],[Estimated Raw Incentive Total]], Table_Measure_Caps[[#Totals],[Gross Measure Cost Total]], Value_Project_CAP)/Table_Measure_Caps[[#Totals],[Estimated Raw Incentive Total]], "")</f>
        <v/>
      </c>
      <c r="J124" s="44">
        <f>'Input Comm Kitchen Measures'!H26</f>
        <v>0</v>
      </c>
      <c r="K124" s="12">
        <f>'Input Comm Kitchen Measures'!I26</f>
        <v>0</v>
      </c>
      <c r="L124" s="29" t="str">
        <f t="shared" si="3"/>
        <v>Version 5.0</v>
      </c>
      <c r="M124" s="97">
        <f>'Input Comm Kitchen Measures'!E26</f>
        <v>0</v>
      </c>
      <c r="N124" s="41" t="str">
        <f>'Input Comm Kitchen Measures'!K26</f>
        <v/>
      </c>
    </row>
    <row r="125" spans="1:14" x14ac:dyDescent="0.2">
      <c r="A125" s="13" t="s">
        <v>487</v>
      </c>
      <c r="B125" s="12">
        <f t="shared" si="4"/>
        <v>0</v>
      </c>
      <c r="C125" s="12">
        <f>'Input Comm Kitchen Measures'!B27</f>
        <v>23</v>
      </c>
      <c r="D125" s="12" t="str">
        <f>'Input Comm Kitchen Measures'!C27</f>
        <v/>
      </c>
      <c r="E125" s="12" t="s">
        <v>540</v>
      </c>
      <c r="F125" s="14">
        <f>1</f>
        <v>1</v>
      </c>
      <c r="G125" s="14" t="str">
        <f>'Input Comm Kitchen Measures'!L27</f>
        <v/>
      </c>
      <c r="H125" s="137" t="str">
        <f>'Input Comm Kitchen Measures'!M27</f>
        <v/>
      </c>
      <c r="I125" s="44" t="str">
        <f>IFERROR(N125*MIN(Table_Measure_Caps[[#Totals],[Estimated Raw Incentive Total]], Table_Measure_Caps[[#Totals],[Gross Measure Cost Total]], Value_Project_CAP)/Table_Measure_Caps[[#Totals],[Estimated Raw Incentive Total]], "")</f>
        <v/>
      </c>
      <c r="J125" s="44">
        <f>'Input Comm Kitchen Measures'!H27</f>
        <v>0</v>
      </c>
      <c r="K125" s="12">
        <f>'Input Comm Kitchen Measures'!I27</f>
        <v>0</v>
      </c>
      <c r="L125" s="29" t="str">
        <f t="shared" si="3"/>
        <v>Version 5.0</v>
      </c>
      <c r="M125" s="97">
        <f>'Input Comm Kitchen Measures'!E27</f>
        <v>0</v>
      </c>
      <c r="N125" s="41" t="str">
        <f>'Input Comm Kitchen Measures'!K27</f>
        <v/>
      </c>
    </row>
    <row r="126" spans="1:14" x14ac:dyDescent="0.2">
      <c r="A126" s="13" t="s">
        <v>487</v>
      </c>
      <c r="B126" s="12">
        <f t="shared" si="4"/>
        <v>0</v>
      </c>
      <c r="C126" s="12">
        <f>'Input Comm Kitchen Measures'!B28</f>
        <v>24</v>
      </c>
      <c r="D126" s="12" t="str">
        <f>'Input Comm Kitchen Measures'!C28</f>
        <v/>
      </c>
      <c r="E126" s="12" t="s">
        <v>540</v>
      </c>
      <c r="F126" s="14">
        <f>1</f>
        <v>1</v>
      </c>
      <c r="G126" s="14" t="str">
        <f>'Input Comm Kitchen Measures'!L28</f>
        <v/>
      </c>
      <c r="H126" s="137" t="str">
        <f>'Input Comm Kitchen Measures'!M28</f>
        <v/>
      </c>
      <c r="I126" s="44" t="str">
        <f>IFERROR(N126*MIN(Table_Measure_Caps[[#Totals],[Estimated Raw Incentive Total]], Table_Measure_Caps[[#Totals],[Gross Measure Cost Total]], Value_Project_CAP)/Table_Measure_Caps[[#Totals],[Estimated Raw Incentive Total]], "")</f>
        <v/>
      </c>
      <c r="J126" s="44">
        <f>'Input Comm Kitchen Measures'!H28</f>
        <v>0</v>
      </c>
      <c r="K126" s="12">
        <f>'Input Comm Kitchen Measures'!I28</f>
        <v>0</v>
      </c>
      <c r="L126" s="29" t="str">
        <f t="shared" si="3"/>
        <v>Version 5.0</v>
      </c>
      <c r="M126" s="97">
        <f>'Input Comm Kitchen Measures'!E28</f>
        <v>0</v>
      </c>
      <c r="N126" s="41" t="str">
        <f>'Input Comm Kitchen Measures'!K28</f>
        <v/>
      </c>
    </row>
    <row r="127" spans="1:14" x14ac:dyDescent="0.2">
      <c r="A127" s="13" t="s">
        <v>487</v>
      </c>
      <c r="B127" s="12">
        <f t="shared" si="4"/>
        <v>0</v>
      </c>
      <c r="C127" s="12">
        <f>'Input Comm Kitchen Measures'!B29</f>
        <v>25</v>
      </c>
      <c r="D127" s="12" t="str">
        <f>'Input Comm Kitchen Measures'!C29</f>
        <v/>
      </c>
      <c r="E127" s="12" t="s">
        <v>540</v>
      </c>
      <c r="F127" s="14">
        <f>1</f>
        <v>1</v>
      </c>
      <c r="G127" s="14" t="str">
        <f>'Input Comm Kitchen Measures'!L29</f>
        <v/>
      </c>
      <c r="H127" s="137" t="str">
        <f>'Input Comm Kitchen Measures'!M29</f>
        <v/>
      </c>
      <c r="I127" s="44" t="str">
        <f>IFERROR(N127*MIN(Table_Measure_Caps[[#Totals],[Estimated Raw Incentive Total]], Table_Measure_Caps[[#Totals],[Gross Measure Cost Total]], Value_Project_CAP)/Table_Measure_Caps[[#Totals],[Estimated Raw Incentive Total]], "")</f>
        <v/>
      </c>
      <c r="J127" s="44">
        <f>'Input Comm Kitchen Measures'!H29</f>
        <v>0</v>
      </c>
      <c r="K127" s="12">
        <f>'Input Comm Kitchen Measures'!I29</f>
        <v>0</v>
      </c>
      <c r="L127" s="29" t="str">
        <f t="shared" si="3"/>
        <v>Version 5.0</v>
      </c>
      <c r="M127" s="97">
        <f>'Input Comm Kitchen Measures'!E29</f>
        <v>0</v>
      </c>
      <c r="N127" s="41" t="str">
        <f>'Input Comm Kitchen Measures'!K29</f>
        <v/>
      </c>
    </row>
    <row r="128" spans="1:14" x14ac:dyDescent="0.2">
      <c r="A128" s="13" t="s">
        <v>487</v>
      </c>
      <c r="B128" s="12">
        <f t="shared" si="4"/>
        <v>0</v>
      </c>
      <c r="C128" s="12">
        <f>'Input Comm Kitchen Measures'!B30</f>
        <v>26</v>
      </c>
      <c r="D128" s="12" t="str">
        <f>'Input Comm Kitchen Measures'!C30</f>
        <v/>
      </c>
      <c r="E128" s="12" t="s">
        <v>540</v>
      </c>
      <c r="F128" s="14">
        <f>1</f>
        <v>1</v>
      </c>
      <c r="G128" s="14" t="str">
        <f>'Input Comm Kitchen Measures'!L30</f>
        <v/>
      </c>
      <c r="H128" s="137" t="str">
        <f>'Input Comm Kitchen Measures'!M30</f>
        <v/>
      </c>
      <c r="I128" s="44" t="str">
        <f>IFERROR(N128*MIN(Table_Measure_Caps[[#Totals],[Estimated Raw Incentive Total]], Table_Measure_Caps[[#Totals],[Gross Measure Cost Total]], Value_Project_CAP)/Table_Measure_Caps[[#Totals],[Estimated Raw Incentive Total]], "")</f>
        <v/>
      </c>
      <c r="J128" s="44">
        <f>'Input Comm Kitchen Measures'!H30</f>
        <v>0</v>
      </c>
      <c r="K128" s="12">
        <f>'Input Comm Kitchen Measures'!I30</f>
        <v>0</v>
      </c>
      <c r="L128" s="29" t="str">
        <f t="shared" si="3"/>
        <v>Version 5.0</v>
      </c>
      <c r="M128" s="97">
        <f>'Input Comm Kitchen Measures'!E30</f>
        <v>0</v>
      </c>
      <c r="N128" s="41" t="str">
        <f>'Input Comm Kitchen Measures'!K30</f>
        <v/>
      </c>
    </row>
    <row r="129" spans="1:14" x14ac:dyDescent="0.2">
      <c r="A129" s="13" t="s">
        <v>487</v>
      </c>
      <c r="B129" s="12">
        <f t="shared" si="4"/>
        <v>0</v>
      </c>
      <c r="C129" s="12">
        <f>'Input Comm Kitchen Measures'!B31</f>
        <v>27</v>
      </c>
      <c r="D129" s="12" t="str">
        <f>'Input Comm Kitchen Measures'!C31</f>
        <v/>
      </c>
      <c r="E129" s="12" t="s">
        <v>540</v>
      </c>
      <c r="F129" s="14">
        <f>1</f>
        <v>1</v>
      </c>
      <c r="G129" s="14" t="str">
        <f>'Input Comm Kitchen Measures'!L31</f>
        <v/>
      </c>
      <c r="H129" s="137" t="str">
        <f>'Input Comm Kitchen Measures'!M31</f>
        <v/>
      </c>
      <c r="I129" s="44" t="str">
        <f>IFERROR(N129*MIN(Table_Measure_Caps[[#Totals],[Estimated Raw Incentive Total]], Table_Measure_Caps[[#Totals],[Gross Measure Cost Total]], Value_Project_CAP)/Table_Measure_Caps[[#Totals],[Estimated Raw Incentive Total]], "")</f>
        <v/>
      </c>
      <c r="J129" s="44">
        <f>'Input Comm Kitchen Measures'!H31</f>
        <v>0</v>
      </c>
      <c r="K129" s="12">
        <f>'Input Comm Kitchen Measures'!I31</f>
        <v>0</v>
      </c>
      <c r="L129" s="29" t="str">
        <f t="shared" si="3"/>
        <v>Version 5.0</v>
      </c>
      <c r="M129" s="97">
        <f>'Input Comm Kitchen Measures'!E31</f>
        <v>0</v>
      </c>
      <c r="N129" s="41" t="str">
        <f>'Input Comm Kitchen Measures'!K31</f>
        <v/>
      </c>
    </row>
    <row r="130" spans="1:14" x14ac:dyDescent="0.2">
      <c r="A130" s="13" t="s">
        <v>487</v>
      </c>
      <c r="B130" s="12">
        <f t="shared" si="4"/>
        <v>0</v>
      </c>
      <c r="C130" s="12">
        <f>'Input Comm Kitchen Measures'!B32</f>
        <v>28</v>
      </c>
      <c r="D130" s="12" t="str">
        <f>'Input Comm Kitchen Measures'!C32</f>
        <v/>
      </c>
      <c r="E130" s="12" t="s">
        <v>540</v>
      </c>
      <c r="F130" s="14">
        <f>1</f>
        <v>1</v>
      </c>
      <c r="G130" s="14" t="str">
        <f>'Input Comm Kitchen Measures'!L32</f>
        <v/>
      </c>
      <c r="H130" s="137" t="str">
        <f>'Input Comm Kitchen Measures'!M32</f>
        <v/>
      </c>
      <c r="I130" s="44" t="str">
        <f>IFERROR(N130*MIN(Table_Measure_Caps[[#Totals],[Estimated Raw Incentive Total]], Table_Measure_Caps[[#Totals],[Gross Measure Cost Total]], Value_Project_CAP)/Table_Measure_Caps[[#Totals],[Estimated Raw Incentive Total]], "")</f>
        <v/>
      </c>
      <c r="J130" s="44">
        <f>'Input Comm Kitchen Measures'!H32</f>
        <v>0</v>
      </c>
      <c r="K130" s="12">
        <f>'Input Comm Kitchen Measures'!I32</f>
        <v>0</v>
      </c>
      <c r="L130" s="29" t="str">
        <f t="shared" ref="L130:L193" si="5">Value_Application_Version</f>
        <v>Version 5.0</v>
      </c>
      <c r="M130" s="97">
        <f>'Input Comm Kitchen Measures'!E32</f>
        <v>0</v>
      </c>
      <c r="N130" s="41" t="str">
        <f>'Input Comm Kitchen Measures'!K32</f>
        <v/>
      </c>
    </row>
    <row r="131" spans="1:14" x14ac:dyDescent="0.2">
      <c r="A131" s="13" t="s">
        <v>487</v>
      </c>
      <c r="B131" s="12">
        <f t="shared" si="4"/>
        <v>0</v>
      </c>
      <c r="C131" s="12">
        <f>'Input Comm Kitchen Measures'!B33</f>
        <v>29</v>
      </c>
      <c r="D131" s="12" t="str">
        <f>'Input Comm Kitchen Measures'!C33</f>
        <v/>
      </c>
      <c r="E131" s="12" t="s">
        <v>540</v>
      </c>
      <c r="F131" s="14">
        <f>1</f>
        <v>1</v>
      </c>
      <c r="G131" s="14" t="str">
        <f>'Input Comm Kitchen Measures'!L33</f>
        <v/>
      </c>
      <c r="H131" s="137" t="str">
        <f>'Input Comm Kitchen Measures'!M33</f>
        <v/>
      </c>
      <c r="I131" s="44" t="str">
        <f>IFERROR(N131*MIN(Table_Measure_Caps[[#Totals],[Estimated Raw Incentive Total]], Table_Measure_Caps[[#Totals],[Gross Measure Cost Total]], Value_Project_CAP)/Table_Measure_Caps[[#Totals],[Estimated Raw Incentive Total]], "")</f>
        <v/>
      </c>
      <c r="J131" s="44">
        <f>'Input Comm Kitchen Measures'!H33</f>
        <v>0</v>
      </c>
      <c r="K131" s="12">
        <f>'Input Comm Kitchen Measures'!I33</f>
        <v>0</v>
      </c>
      <c r="L131" s="29" t="str">
        <f t="shared" si="5"/>
        <v>Version 5.0</v>
      </c>
      <c r="M131" s="97">
        <f>'Input Comm Kitchen Measures'!E33</f>
        <v>0</v>
      </c>
      <c r="N131" s="41" t="str">
        <f>'Input Comm Kitchen Measures'!K33</f>
        <v/>
      </c>
    </row>
    <row r="132" spans="1:14" x14ac:dyDescent="0.2">
      <c r="A132" s="13" t="s">
        <v>487</v>
      </c>
      <c r="B132" s="12">
        <f t="shared" si="4"/>
        <v>0</v>
      </c>
      <c r="C132" s="12">
        <f>'Input Comm Kitchen Measures'!B34</f>
        <v>30</v>
      </c>
      <c r="D132" s="12" t="str">
        <f>'Input Comm Kitchen Measures'!C34</f>
        <v/>
      </c>
      <c r="E132" s="12" t="s">
        <v>540</v>
      </c>
      <c r="F132" s="14">
        <f>1</f>
        <v>1</v>
      </c>
      <c r="G132" s="14" t="str">
        <f>'Input Comm Kitchen Measures'!L34</f>
        <v/>
      </c>
      <c r="H132" s="137" t="str">
        <f>'Input Comm Kitchen Measures'!M34</f>
        <v/>
      </c>
      <c r="I132" s="44" t="str">
        <f>IFERROR(N132*MIN(Table_Measure_Caps[[#Totals],[Estimated Raw Incentive Total]], Table_Measure_Caps[[#Totals],[Gross Measure Cost Total]], Value_Project_CAP)/Table_Measure_Caps[[#Totals],[Estimated Raw Incentive Total]], "")</f>
        <v/>
      </c>
      <c r="J132" s="44">
        <f>'Input Comm Kitchen Measures'!H34</f>
        <v>0</v>
      </c>
      <c r="K132" s="12">
        <f>'Input Comm Kitchen Measures'!I34</f>
        <v>0</v>
      </c>
      <c r="L132" s="29" t="str">
        <f t="shared" si="5"/>
        <v>Version 5.0</v>
      </c>
      <c r="M132" s="97">
        <f>'Input Comm Kitchen Measures'!E34</f>
        <v>0</v>
      </c>
      <c r="N132" s="41" t="str">
        <f>'Input Comm Kitchen Measures'!K34</f>
        <v/>
      </c>
    </row>
    <row r="133" spans="1:14" x14ac:dyDescent="0.2">
      <c r="A133" s="114" t="s">
        <v>404</v>
      </c>
      <c r="B133" s="115">
        <f t="shared" ref="B133:B164" si="6">Input_ProjectNumber</f>
        <v>0</v>
      </c>
      <c r="C133" s="115">
        <v>1</v>
      </c>
      <c r="D133" s="115" t="str">
        <f>'Input Window Film Measures'!C5</f>
        <v/>
      </c>
      <c r="E133" s="115" t="str">
        <f>'Input Window Film Measures'!F5</f>
        <v/>
      </c>
      <c r="F133" s="115">
        <f>'Input Window Film Measures'!H5</f>
        <v>0</v>
      </c>
      <c r="G133" s="116" t="str">
        <f>'Input Window Film Measures'!M5</f>
        <v/>
      </c>
      <c r="H133" s="139" t="str">
        <f>'Input Window Film Measures'!N5</f>
        <v/>
      </c>
      <c r="I133" s="118" t="str">
        <f>IFERROR(N133*MIN(Table_Measure_Caps[[#Totals],[Estimated Raw Incentive Total]], Table_Measure_Caps[[#Totals],[Gross Measure Cost Total]], Value_Project_CAP)/Table_Measure_Caps[[#Totals],[Estimated Raw Incentive Total]], "")</f>
        <v/>
      </c>
      <c r="J133" s="118">
        <f>'Input Window Film Measures'!I5</f>
        <v>0</v>
      </c>
      <c r="K133" s="115">
        <f>'Input Window Film Measures'!J5</f>
        <v>0</v>
      </c>
      <c r="L133" s="119" t="str">
        <f t="shared" si="5"/>
        <v>Version 5.0</v>
      </c>
      <c r="M133" s="120">
        <f>'Input Window Film Measures'!E5</f>
        <v>0</v>
      </c>
      <c r="N133" s="117" t="str">
        <f>'Input Window Film Measures'!L5</f>
        <v/>
      </c>
    </row>
    <row r="134" spans="1:14" x14ac:dyDescent="0.2">
      <c r="A134" s="114" t="s">
        <v>404</v>
      </c>
      <c r="B134" s="121">
        <f t="shared" si="6"/>
        <v>0</v>
      </c>
      <c r="C134" s="121">
        <v>2</v>
      </c>
      <c r="D134" s="115" t="str">
        <f>'Input Window Film Measures'!C6</f>
        <v/>
      </c>
      <c r="E134" s="115" t="str">
        <f>'Input Window Film Measures'!F6</f>
        <v/>
      </c>
      <c r="F134" s="115">
        <f>'Input Window Film Measures'!H6</f>
        <v>0</v>
      </c>
      <c r="G134" s="116" t="str">
        <f>'Input Window Film Measures'!M6</f>
        <v/>
      </c>
      <c r="H134" s="139" t="str">
        <f>'Input Window Film Measures'!N6</f>
        <v/>
      </c>
      <c r="I134" s="118" t="str">
        <f>IFERROR(N134*MIN(Table_Measure_Caps[[#Totals],[Estimated Raw Incentive Total]], Table_Measure_Caps[[#Totals],[Gross Measure Cost Total]], Value_Project_CAP)/Table_Measure_Caps[[#Totals],[Estimated Raw Incentive Total]], "")</f>
        <v/>
      </c>
      <c r="J134" s="118">
        <f>'Input Window Film Measures'!I6</f>
        <v>0</v>
      </c>
      <c r="K134" s="115">
        <f>'Input Window Film Measures'!J6</f>
        <v>0</v>
      </c>
      <c r="L134" s="119" t="str">
        <f t="shared" si="5"/>
        <v>Version 5.0</v>
      </c>
      <c r="M134" s="120">
        <f>'Input Window Film Measures'!E6</f>
        <v>0</v>
      </c>
      <c r="N134" s="117" t="str">
        <f>'Input Window Film Measures'!L6</f>
        <v/>
      </c>
    </row>
    <row r="135" spans="1:14" x14ac:dyDescent="0.2">
      <c r="A135" s="114" t="s">
        <v>404</v>
      </c>
      <c r="B135" s="115">
        <f t="shared" si="6"/>
        <v>0</v>
      </c>
      <c r="C135" s="115">
        <v>3</v>
      </c>
      <c r="D135" s="115" t="str">
        <f>'Input Window Film Measures'!C7</f>
        <v/>
      </c>
      <c r="E135" s="115" t="str">
        <f>'Input Window Film Measures'!F7</f>
        <v/>
      </c>
      <c r="F135" s="115">
        <f>'Input Window Film Measures'!H7</f>
        <v>0</v>
      </c>
      <c r="G135" s="116" t="str">
        <f>'Input Window Film Measures'!M7</f>
        <v/>
      </c>
      <c r="H135" s="139" t="str">
        <f>'Input Window Film Measures'!N7</f>
        <v/>
      </c>
      <c r="I135" s="118" t="str">
        <f>IFERROR(N135*MIN(Table_Measure_Caps[[#Totals],[Estimated Raw Incentive Total]], Table_Measure_Caps[[#Totals],[Gross Measure Cost Total]], Value_Project_CAP)/Table_Measure_Caps[[#Totals],[Estimated Raw Incentive Total]], "")</f>
        <v/>
      </c>
      <c r="J135" s="118">
        <f>'Input Window Film Measures'!I7</f>
        <v>0</v>
      </c>
      <c r="K135" s="115">
        <f>'Input Window Film Measures'!J7</f>
        <v>0</v>
      </c>
      <c r="L135" s="119" t="str">
        <f t="shared" si="5"/>
        <v>Version 5.0</v>
      </c>
      <c r="M135" s="120">
        <f>'Input Window Film Measures'!E7</f>
        <v>0</v>
      </c>
      <c r="N135" s="117" t="str">
        <f>'Input Window Film Measures'!L7</f>
        <v/>
      </c>
    </row>
    <row r="136" spans="1:14" x14ac:dyDescent="0.2">
      <c r="A136" s="114" t="s">
        <v>404</v>
      </c>
      <c r="B136" s="121">
        <f t="shared" si="6"/>
        <v>0</v>
      </c>
      <c r="C136" s="121">
        <v>4</v>
      </c>
      <c r="D136" s="115" t="str">
        <f>'Input Window Film Measures'!C8</f>
        <v/>
      </c>
      <c r="E136" s="115" t="str">
        <f>'Input Window Film Measures'!F8</f>
        <v/>
      </c>
      <c r="F136" s="115">
        <f>'Input Window Film Measures'!H8</f>
        <v>0</v>
      </c>
      <c r="G136" s="116" t="str">
        <f>'Input Window Film Measures'!M8</f>
        <v/>
      </c>
      <c r="H136" s="139" t="str">
        <f>'Input Window Film Measures'!N8</f>
        <v/>
      </c>
      <c r="I136" s="118" t="str">
        <f>IFERROR(N136*MIN(Table_Measure_Caps[[#Totals],[Estimated Raw Incentive Total]], Table_Measure_Caps[[#Totals],[Gross Measure Cost Total]], Value_Project_CAP)/Table_Measure_Caps[[#Totals],[Estimated Raw Incentive Total]], "")</f>
        <v/>
      </c>
      <c r="J136" s="118">
        <f>'Input Window Film Measures'!I8</f>
        <v>0</v>
      </c>
      <c r="K136" s="115">
        <f>'Input Window Film Measures'!J8</f>
        <v>0</v>
      </c>
      <c r="L136" s="119" t="str">
        <f t="shared" si="5"/>
        <v>Version 5.0</v>
      </c>
      <c r="M136" s="120">
        <f>'Input Window Film Measures'!E8</f>
        <v>0</v>
      </c>
      <c r="N136" s="117" t="str">
        <f>'Input Window Film Measures'!L8</f>
        <v/>
      </c>
    </row>
    <row r="137" spans="1:14" x14ac:dyDescent="0.2">
      <c r="A137" s="114" t="s">
        <v>404</v>
      </c>
      <c r="B137" s="115">
        <f t="shared" si="6"/>
        <v>0</v>
      </c>
      <c r="C137" s="115">
        <v>5</v>
      </c>
      <c r="D137" s="115" t="str">
        <f>'Input Window Film Measures'!C9</f>
        <v/>
      </c>
      <c r="E137" s="115" t="str">
        <f>'Input Window Film Measures'!F9</f>
        <v/>
      </c>
      <c r="F137" s="115">
        <f>'Input Window Film Measures'!H9</f>
        <v>0</v>
      </c>
      <c r="G137" s="116" t="str">
        <f>'Input Window Film Measures'!M9</f>
        <v/>
      </c>
      <c r="H137" s="139" t="str">
        <f>'Input Window Film Measures'!N9</f>
        <v/>
      </c>
      <c r="I137" s="118" t="str">
        <f>IFERROR(N137*MIN(Table_Measure_Caps[[#Totals],[Estimated Raw Incentive Total]], Table_Measure_Caps[[#Totals],[Gross Measure Cost Total]], Value_Project_CAP)/Table_Measure_Caps[[#Totals],[Estimated Raw Incentive Total]], "")</f>
        <v/>
      </c>
      <c r="J137" s="118">
        <f>'Input Window Film Measures'!I9</f>
        <v>0</v>
      </c>
      <c r="K137" s="115">
        <f>'Input Window Film Measures'!J9</f>
        <v>0</v>
      </c>
      <c r="L137" s="119" t="str">
        <f t="shared" si="5"/>
        <v>Version 5.0</v>
      </c>
      <c r="M137" s="120">
        <f>'Input Window Film Measures'!E9</f>
        <v>0</v>
      </c>
      <c r="N137" s="117" t="str">
        <f>'Input Window Film Measures'!L9</f>
        <v/>
      </c>
    </row>
    <row r="138" spans="1:14" x14ac:dyDescent="0.2">
      <c r="A138" s="114" t="s">
        <v>404</v>
      </c>
      <c r="B138" s="121">
        <f t="shared" si="6"/>
        <v>0</v>
      </c>
      <c r="C138" s="121">
        <v>6</v>
      </c>
      <c r="D138" s="115" t="str">
        <f>'Input Window Film Measures'!C10</f>
        <v/>
      </c>
      <c r="E138" s="115" t="str">
        <f>'Input Window Film Measures'!F10</f>
        <v/>
      </c>
      <c r="F138" s="115">
        <f>'Input Window Film Measures'!H10</f>
        <v>0</v>
      </c>
      <c r="G138" s="116" t="str">
        <f>'Input Window Film Measures'!M10</f>
        <v/>
      </c>
      <c r="H138" s="139" t="str">
        <f>'Input Window Film Measures'!N10</f>
        <v/>
      </c>
      <c r="I138" s="118" t="str">
        <f>IFERROR(N138*MIN(Table_Measure_Caps[[#Totals],[Estimated Raw Incentive Total]], Table_Measure_Caps[[#Totals],[Gross Measure Cost Total]], Value_Project_CAP)/Table_Measure_Caps[[#Totals],[Estimated Raw Incentive Total]], "")</f>
        <v/>
      </c>
      <c r="J138" s="118">
        <f>'Input Window Film Measures'!I10</f>
        <v>0</v>
      </c>
      <c r="K138" s="115">
        <f>'Input Window Film Measures'!J10</f>
        <v>0</v>
      </c>
      <c r="L138" s="119" t="str">
        <f t="shared" si="5"/>
        <v>Version 5.0</v>
      </c>
      <c r="M138" s="120">
        <f>'Input Window Film Measures'!E10</f>
        <v>0</v>
      </c>
      <c r="N138" s="117" t="str">
        <f>'Input Window Film Measures'!L10</f>
        <v/>
      </c>
    </row>
    <row r="139" spans="1:14" x14ac:dyDescent="0.2">
      <c r="A139" s="114" t="s">
        <v>404</v>
      </c>
      <c r="B139" s="115">
        <f t="shared" si="6"/>
        <v>0</v>
      </c>
      <c r="C139" s="115">
        <v>7</v>
      </c>
      <c r="D139" s="115" t="str">
        <f>'Input Window Film Measures'!C11</f>
        <v/>
      </c>
      <c r="E139" s="115" t="str">
        <f>'Input Window Film Measures'!F11</f>
        <v/>
      </c>
      <c r="F139" s="115">
        <f>'Input Window Film Measures'!H11</f>
        <v>0</v>
      </c>
      <c r="G139" s="116" t="str">
        <f>'Input Window Film Measures'!M11</f>
        <v/>
      </c>
      <c r="H139" s="139" t="str">
        <f>'Input Window Film Measures'!N11</f>
        <v/>
      </c>
      <c r="I139" s="118" t="str">
        <f>IFERROR(N139*MIN(Table_Measure_Caps[[#Totals],[Estimated Raw Incentive Total]], Table_Measure_Caps[[#Totals],[Gross Measure Cost Total]], Value_Project_CAP)/Table_Measure_Caps[[#Totals],[Estimated Raw Incentive Total]], "")</f>
        <v/>
      </c>
      <c r="J139" s="118">
        <f>'Input Window Film Measures'!I11</f>
        <v>0</v>
      </c>
      <c r="K139" s="115">
        <f>'Input Window Film Measures'!J11</f>
        <v>0</v>
      </c>
      <c r="L139" s="119" t="str">
        <f t="shared" si="5"/>
        <v>Version 5.0</v>
      </c>
      <c r="M139" s="120">
        <f>'Input Window Film Measures'!E11</f>
        <v>0</v>
      </c>
      <c r="N139" s="117" t="str">
        <f>'Input Window Film Measures'!L11</f>
        <v/>
      </c>
    </row>
    <row r="140" spans="1:14" x14ac:dyDescent="0.2">
      <c r="A140" s="114" t="s">
        <v>404</v>
      </c>
      <c r="B140" s="121">
        <f t="shared" si="6"/>
        <v>0</v>
      </c>
      <c r="C140" s="121">
        <v>8</v>
      </c>
      <c r="D140" s="115" t="str">
        <f>'Input Window Film Measures'!C12</f>
        <v/>
      </c>
      <c r="E140" s="115" t="str">
        <f>'Input Window Film Measures'!F12</f>
        <v/>
      </c>
      <c r="F140" s="115">
        <f>'Input Window Film Measures'!H12</f>
        <v>0</v>
      </c>
      <c r="G140" s="116" t="str">
        <f>'Input Window Film Measures'!M12</f>
        <v/>
      </c>
      <c r="H140" s="139" t="str">
        <f>'Input Window Film Measures'!N12</f>
        <v/>
      </c>
      <c r="I140" s="118" t="str">
        <f>IFERROR(N140*MIN(Table_Measure_Caps[[#Totals],[Estimated Raw Incentive Total]], Table_Measure_Caps[[#Totals],[Gross Measure Cost Total]], Value_Project_CAP)/Table_Measure_Caps[[#Totals],[Estimated Raw Incentive Total]], "")</f>
        <v/>
      </c>
      <c r="J140" s="118">
        <f>'Input Window Film Measures'!I12</f>
        <v>0</v>
      </c>
      <c r="K140" s="115">
        <f>'Input Window Film Measures'!J12</f>
        <v>0</v>
      </c>
      <c r="L140" s="119" t="str">
        <f t="shared" si="5"/>
        <v>Version 5.0</v>
      </c>
      <c r="M140" s="120">
        <f>'Input Window Film Measures'!E12</f>
        <v>0</v>
      </c>
      <c r="N140" s="117" t="str">
        <f>'Input Window Film Measures'!L12</f>
        <v/>
      </c>
    </row>
    <row r="141" spans="1:14" x14ac:dyDescent="0.2">
      <c r="A141" s="114" t="s">
        <v>404</v>
      </c>
      <c r="B141" s="115">
        <f t="shared" si="6"/>
        <v>0</v>
      </c>
      <c r="C141" s="115">
        <v>9</v>
      </c>
      <c r="D141" s="115" t="str">
        <f>'Input Window Film Measures'!C13</f>
        <v/>
      </c>
      <c r="E141" s="115" t="str">
        <f>'Input Window Film Measures'!F13</f>
        <v/>
      </c>
      <c r="F141" s="115">
        <f>'Input Window Film Measures'!H13</f>
        <v>0</v>
      </c>
      <c r="G141" s="116" t="str">
        <f>'Input Window Film Measures'!M13</f>
        <v/>
      </c>
      <c r="H141" s="139" t="str">
        <f>'Input Window Film Measures'!N13</f>
        <v/>
      </c>
      <c r="I141" s="118" t="str">
        <f>IFERROR(N141*MIN(Table_Measure_Caps[[#Totals],[Estimated Raw Incentive Total]], Table_Measure_Caps[[#Totals],[Gross Measure Cost Total]], Value_Project_CAP)/Table_Measure_Caps[[#Totals],[Estimated Raw Incentive Total]], "")</f>
        <v/>
      </c>
      <c r="J141" s="118">
        <f>'Input Window Film Measures'!I13</f>
        <v>0</v>
      </c>
      <c r="K141" s="115">
        <f>'Input Window Film Measures'!J13</f>
        <v>0</v>
      </c>
      <c r="L141" s="119" t="str">
        <f t="shared" si="5"/>
        <v>Version 5.0</v>
      </c>
      <c r="M141" s="120">
        <f>'Input Window Film Measures'!E13</f>
        <v>0</v>
      </c>
      <c r="N141" s="117" t="str">
        <f>'Input Window Film Measures'!L13</f>
        <v/>
      </c>
    </row>
    <row r="142" spans="1:14" x14ac:dyDescent="0.2">
      <c r="A142" s="114" t="s">
        <v>404</v>
      </c>
      <c r="B142" s="121">
        <f t="shared" si="6"/>
        <v>0</v>
      </c>
      <c r="C142" s="121">
        <v>10</v>
      </c>
      <c r="D142" s="115" t="str">
        <f>'Input Window Film Measures'!C14</f>
        <v/>
      </c>
      <c r="E142" s="115" t="str">
        <f>'Input Window Film Measures'!F14</f>
        <v/>
      </c>
      <c r="F142" s="115">
        <f>'Input Window Film Measures'!H14</f>
        <v>0</v>
      </c>
      <c r="G142" s="116" t="str">
        <f>'Input Window Film Measures'!M14</f>
        <v/>
      </c>
      <c r="H142" s="139" t="str">
        <f>'Input Window Film Measures'!N14</f>
        <v/>
      </c>
      <c r="I142" s="118" t="str">
        <f>IFERROR(N142*MIN(Table_Measure_Caps[[#Totals],[Estimated Raw Incentive Total]], Table_Measure_Caps[[#Totals],[Gross Measure Cost Total]], Value_Project_CAP)/Table_Measure_Caps[[#Totals],[Estimated Raw Incentive Total]], "")</f>
        <v/>
      </c>
      <c r="J142" s="118">
        <f>'Input Window Film Measures'!I14</f>
        <v>0</v>
      </c>
      <c r="K142" s="115">
        <f>'Input Window Film Measures'!J14</f>
        <v>0</v>
      </c>
      <c r="L142" s="119" t="str">
        <f t="shared" si="5"/>
        <v>Version 5.0</v>
      </c>
      <c r="M142" s="120">
        <f>'Input Window Film Measures'!E14</f>
        <v>0</v>
      </c>
      <c r="N142" s="117" t="str">
        <f>'Input Window Film Measures'!L14</f>
        <v/>
      </c>
    </row>
    <row r="143" spans="1:14" x14ac:dyDescent="0.2">
      <c r="A143" s="114" t="s">
        <v>404</v>
      </c>
      <c r="B143" s="115">
        <f t="shared" si="6"/>
        <v>0</v>
      </c>
      <c r="C143" s="115">
        <v>11</v>
      </c>
      <c r="D143" s="115" t="str">
        <f>'Input Window Film Measures'!C15</f>
        <v/>
      </c>
      <c r="E143" s="115" t="str">
        <f>'Input Window Film Measures'!F15</f>
        <v/>
      </c>
      <c r="F143" s="115">
        <f>'Input Window Film Measures'!H15</f>
        <v>0</v>
      </c>
      <c r="G143" s="116" t="str">
        <f>'Input Window Film Measures'!M15</f>
        <v/>
      </c>
      <c r="H143" s="139" t="str">
        <f>'Input Window Film Measures'!N15</f>
        <v/>
      </c>
      <c r="I143" s="118" t="str">
        <f>IFERROR(N143*MIN(Table_Measure_Caps[[#Totals],[Estimated Raw Incentive Total]], Table_Measure_Caps[[#Totals],[Gross Measure Cost Total]], Value_Project_CAP)/Table_Measure_Caps[[#Totals],[Estimated Raw Incentive Total]], "")</f>
        <v/>
      </c>
      <c r="J143" s="118">
        <f>'Input Window Film Measures'!I15</f>
        <v>0</v>
      </c>
      <c r="K143" s="115">
        <f>'Input Window Film Measures'!J15</f>
        <v>0</v>
      </c>
      <c r="L143" s="119" t="str">
        <f t="shared" si="5"/>
        <v>Version 5.0</v>
      </c>
      <c r="M143" s="120">
        <f>'Input Window Film Measures'!E15</f>
        <v>0</v>
      </c>
      <c r="N143" s="117" t="str">
        <f>'Input Window Film Measures'!L15</f>
        <v/>
      </c>
    </row>
    <row r="144" spans="1:14" x14ac:dyDescent="0.2">
      <c r="A144" s="114" t="s">
        <v>404</v>
      </c>
      <c r="B144" s="121">
        <f t="shared" si="6"/>
        <v>0</v>
      </c>
      <c r="C144" s="121">
        <v>12</v>
      </c>
      <c r="D144" s="115" t="str">
        <f>'Input Window Film Measures'!C16</f>
        <v/>
      </c>
      <c r="E144" s="115" t="str">
        <f>'Input Window Film Measures'!F16</f>
        <v/>
      </c>
      <c r="F144" s="115">
        <f>'Input Window Film Measures'!H16</f>
        <v>0</v>
      </c>
      <c r="G144" s="116" t="str">
        <f>'Input Window Film Measures'!M16</f>
        <v/>
      </c>
      <c r="H144" s="139" t="str">
        <f>'Input Window Film Measures'!N16</f>
        <v/>
      </c>
      <c r="I144" s="118" t="str">
        <f>IFERROR(N144*MIN(Table_Measure_Caps[[#Totals],[Estimated Raw Incentive Total]], Table_Measure_Caps[[#Totals],[Gross Measure Cost Total]], Value_Project_CAP)/Table_Measure_Caps[[#Totals],[Estimated Raw Incentive Total]], "")</f>
        <v/>
      </c>
      <c r="J144" s="118">
        <f>'Input Window Film Measures'!I16</f>
        <v>0</v>
      </c>
      <c r="K144" s="115">
        <f>'Input Window Film Measures'!J16</f>
        <v>0</v>
      </c>
      <c r="L144" s="119" t="str">
        <f t="shared" si="5"/>
        <v>Version 5.0</v>
      </c>
      <c r="M144" s="120">
        <f>'Input Window Film Measures'!E16</f>
        <v>0</v>
      </c>
      <c r="N144" s="117" t="str">
        <f>'Input Window Film Measures'!L16</f>
        <v/>
      </c>
    </row>
    <row r="145" spans="1:14" x14ac:dyDescent="0.2">
      <c r="A145" s="114" t="s">
        <v>404</v>
      </c>
      <c r="B145" s="115">
        <f t="shared" si="6"/>
        <v>0</v>
      </c>
      <c r="C145" s="115">
        <v>13</v>
      </c>
      <c r="D145" s="115" t="str">
        <f>'Input Window Film Measures'!C17</f>
        <v/>
      </c>
      <c r="E145" s="115" t="str">
        <f>'Input Window Film Measures'!F17</f>
        <v/>
      </c>
      <c r="F145" s="115">
        <f>'Input Window Film Measures'!H17</f>
        <v>0</v>
      </c>
      <c r="G145" s="116" t="str">
        <f>'Input Window Film Measures'!M17</f>
        <v/>
      </c>
      <c r="H145" s="139" t="str">
        <f>'Input Window Film Measures'!N17</f>
        <v/>
      </c>
      <c r="I145" s="118" t="str">
        <f>IFERROR(N145*MIN(Table_Measure_Caps[[#Totals],[Estimated Raw Incentive Total]], Table_Measure_Caps[[#Totals],[Gross Measure Cost Total]], Value_Project_CAP)/Table_Measure_Caps[[#Totals],[Estimated Raw Incentive Total]], "")</f>
        <v/>
      </c>
      <c r="J145" s="118">
        <f>'Input Window Film Measures'!I17</f>
        <v>0</v>
      </c>
      <c r="K145" s="115">
        <f>'Input Window Film Measures'!J17</f>
        <v>0</v>
      </c>
      <c r="L145" s="119" t="str">
        <f t="shared" si="5"/>
        <v>Version 5.0</v>
      </c>
      <c r="M145" s="120">
        <f>'Input Window Film Measures'!E17</f>
        <v>0</v>
      </c>
      <c r="N145" s="117" t="str">
        <f>'Input Window Film Measures'!L17</f>
        <v/>
      </c>
    </row>
    <row r="146" spans="1:14" x14ac:dyDescent="0.2">
      <c r="A146" s="114" t="s">
        <v>404</v>
      </c>
      <c r="B146" s="121">
        <f t="shared" si="6"/>
        <v>0</v>
      </c>
      <c r="C146" s="121">
        <v>14</v>
      </c>
      <c r="D146" s="115" t="str">
        <f>'Input Window Film Measures'!C18</f>
        <v/>
      </c>
      <c r="E146" s="115" t="str">
        <f>'Input Window Film Measures'!F18</f>
        <v/>
      </c>
      <c r="F146" s="115">
        <f>'Input Window Film Measures'!H18</f>
        <v>0</v>
      </c>
      <c r="G146" s="116" t="str">
        <f>'Input Window Film Measures'!M18</f>
        <v/>
      </c>
      <c r="H146" s="139" t="str">
        <f>'Input Window Film Measures'!N18</f>
        <v/>
      </c>
      <c r="I146" s="118" t="str">
        <f>IFERROR(N146*MIN(Table_Measure_Caps[[#Totals],[Estimated Raw Incentive Total]], Table_Measure_Caps[[#Totals],[Gross Measure Cost Total]], Value_Project_CAP)/Table_Measure_Caps[[#Totals],[Estimated Raw Incentive Total]], "")</f>
        <v/>
      </c>
      <c r="J146" s="118">
        <f>'Input Window Film Measures'!I18</f>
        <v>0</v>
      </c>
      <c r="K146" s="115">
        <f>'Input Window Film Measures'!J18</f>
        <v>0</v>
      </c>
      <c r="L146" s="119" t="str">
        <f t="shared" si="5"/>
        <v>Version 5.0</v>
      </c>
      <c r="M146" s="120">
        <f>'Input Window Film Measures'!E18</f>
        <v>0</v>
      </c>
      <c r="N146" s="117" t="str">
        <f>'Input Window Film Measures'!L18</f>
        <v/>
      </c>
    </row>
    <row r="147" spans="1:14" x14ac:dyDescent="0.2">
      <c r="A147" s="114" t="s">
        <v>404</v>
      </c>
      <c r="B147" s="115">
        <f t="shared" si="6"/>
        <v>0</v>
      </c>
      <c r="C147" s="115">
        <v>15</v>
      </c>
      <c r="D147" s="115" t="str">
        <f>'Input Window Film Measures'!C19</f>
        <v/>
      </c>
      <c r="E147" s="115" t="str">
        <f>'Input Window Film Measures'!F19</f>
        <v/>
      </c>
      <c r="F147" s="115">
        <f>'Input Window Film Measures'!H19</f>
        <v>0</v>
      </c>
      <c r="G147" s="116" t="str">
        <f>'Input Window Film Measures'!M19</f>
        <v/>
      </c>
      <c r="H147" s="139" t="str">
        <f>'Input Window Film Measures'!N19</f>
        <v/>
      </c>
      <c r="I147" s="118" t="str">
        <f>IFERROR(N147*MIN(Table_Measure_Caps[[#Totals],[Estimated Raw Incentive Total]], Table_Measure_Caps[[#Totals],[Gross Measure Cost Total]], Value_Project_CAP)/Table_Measure_Caps[[#Totals],[Estimated Raw Incentive Total]], "")</f>
        <v/>
      </c>
      <c r="J147" s="118">
        <f>'Input Window Film Measures'!I19</f>
        <v>0</v>
      </c>
      <c r="K147" s="115">
        <f>'Input Window Film Measures'!J19</f>
        <v>0</v>
      </c>
      <c r="L147" s="119" t="str">
        <f t="shared" si="5"/>
        <v>Version 5.0</v>
      </c>
      <c r="M147" s="120">
        <f>'Input Window Film Measures'!E19</f>
        <v>0</v>
      </c>
      <c r="N147" s="117" t="str">
        <f>'Input Window Film Measures'!L19</f>
        <v/>
      </c>
    </row>
    <row r="148" spans="1:14" x14ac:dyDescent="0.2">
      <c r="A148" s="114" t="s">
        <v>404</v>
      </c>
      <c r="B148" s="121">
        <f t="shared" si="6"/>
        <v>0</v>
      </c>
      <c r="C148" s="121">
        <v>16</v>
      </c>
      <c r="D148" s="115" t="str">
        <f>'Input Window Film Measures'!C20</f>
        <v/>
      </c>
      <c r="E148" s="115" t="str">
        <f>'Input Window Film Measures'!F20</f>
        <v/>
      </c>
      <c r="F148" s="115">
        <f>'Input Window Film Measures'!H20</f>
        <v>0</v>
      </c>
      <c r="G148" s="116" t="str">
        <f>'Input Window Film Measures'!M20</f>
        <v/>
      </c>
      <c r="H148" s="139" t="str">
        <f>'Input Window Film Measures'!N20</f>
        <v/>
      </c>
      <c r="I148" s="118" t="str">
        <f>IFERROR(N148*MIN(Table_Measure_Caps[[#Totals],[Estimated Raw Incentive Total]], Table_Measure_Caps[[#Totals],[Gross Measure Cost Total]], Value_Project_CAP)/Table_Measure_Caps[[#Totals],[Estimated Raw Incentive Total]], "")</f>
        <v/>
      </c>
      <c r="J148" s="118">
        <f>'Input Window Film Measures'!I20</f>
        <v>0</v>
      </c>
      <c r="K148" s="115">
        <f>'Input Window Film Measures'!J20</f>
        <v>0</v>
      </c>
      <c r="L148" s="119" t="str">
        <f t="shared" si="5"/>
        <v>Version 5.0</v>
      </c>
      <c r="M148" s="120">
        <f>'Input Window Film Measures'!E20</f>
        <v>0</v>
      </c>
      <c r="N148" s="117" t="str">
        <f>'Input Window Film Measures'!L20</f>
        <v/>
      </c>
    </row>
    <row r="149" spans="1:14" x14ac:dyDescent="0.2">
      <c r="A149" s="114" t="s">
        <v>404</v>
      </c>
      <c r="B149" s="115">
        <f t="shared" si="6"/>
        <v>0</v>
      </c>
      <c r="C149" s="115">
        <v>17</v>
      </c>
      <c r="D149" s="115" t="str">
        <f>'Input Window Film Measures'!C21</f>
        <v/>
      </c>
      <c r="E149" s="115" t="str">
        <f>'Input Window Film Measures'!F21</f>
        <v/>
      </c>
      <c r="F149" s="115">
        <f>'Input Window Film Measures'!H21</f>
        <v>0</v>
      </c>
      <c r="G149" s="116" t="str">
        <f>'Input Window Film Measures'!M21</f>
        <v/>
      </c>
      <c r="H149" s="139" t="str">
        <f>'Input Window Film Measures'!N21</f>
        <v/>
      </c>
      <c r="I149" s="118" t="str">
        <f>IFERROR(N149*MIN(Table_Measure_Caps[[#Totals],[Estimated Raw Incentive Total]], Table_Measure_Caps[[#Totals],[Gross Measure Cost Total]], Value_Project_CAP)/Table_Measure_Caps[[#Totals],[Estimated Raw Incentive Total]], "")</f>
        <v/>
      </c>
      <c r="J149" s="118">
        <f>'Input Window Film Measures'!I21</f>
        <v>0</v>
      </c>
      <c r="K149" s="115">
        <f>'Input Window Film Measures'!J21</f>
        <v>0</v>
      </c>
      <c r="L149" s="119" t="str">
        <f t="shared" si="5"/>
        <v>Version 5.0</v>
      </c>
      <c r="M149" s="120">
        <f>'Input Window Film Measures'!E21</f>
        <v>0</v>
      </c>
      <c r="N149" s="117" t="str">
        <f>'Input Window Film Measures'!L21</f>
        <v/>
      </c>
    </row>
    <row r="150" spans="1:14" x14ac:dyDescent="0.2">
      <c r="A150" s="114" t="s">
        <v>404</v>
      </c>
      <c r="B150" s="121">
        <f t="shared" si="6"/>
        <v>0</v>
      </c>
      <c r="C150" s="121">
        <v>18</v>
      </c>
      <c r="D150" s="115" t="str">
        <f>'Input Window Film Measures'!C22</f>
        <v/>
      </c>
      <c r="E150" s="115" t="str">
        <f>'Input Window Film Measures'!F22</f>
        <v/>
      </c>
      <c r="F150" s="115">
        <f>'Input Window Film Measures'!H22</f>
        <v>0</v>
      </c>
      <c r="G150" s="116" t="str">
        <f>'Input Window Film Measures'!M22</f>
        <v/>
      </c>
      <c r="H150" s="139" t="str">
        <f>'Input Window Film Measures'!N22</f>
        <v/>
      </c>
      <c r="I150" s="118" t="str">
        <f>IFERROR(N150*MIN(Table_Measure_Caps[[#Totals],[Estimated Raw Incentive Total]], Table_Measure_Caps[[#Totals],[Gross Measure Cost Total]], Value_Project_CAP)/Table_Measure_Caps[[#Totals],[Estimated Raw Incentive Total]], "")</f>
        <v/>
      </c>
      <c r="J150" s="118">
        <f>'Input Window Film Measures'!I22</f>
        <v>0</v>
      </c>
      <c r="K150" s="115">
        <f>'Input Window Film Measures'!J22</f>
        <v>0</v>
      </c>
      <c r="L150" s="119" t="str">
        <f t="shared" si="5"/>
        <v>Version 5.0</v>
      </c>
      <c r="M150" s="120">
        <f>'Input Window Film Measures'!E22</f>
        <v>0</v>
      </c>
      <c r="N150" s="117" t="str">
        <f>'Input Window Film Measures'!L22</f>
        <v/>
      </c>
    </row>
    <row r="151" spans="1:14" x14ac:dyDescent="0.2">
      <c r="A151" s="114" t="s">
        <v>404</v>
      </c>
      <c r="B151" s="115">
        <f t="shared" si="6"/>
        <v>0</v>
      </c>
      <c r="C151" s="115">
        <v>19</v>
      </c>
      <c r="D151" s="115" t="str">
        <f>'Input Window Film Measures'!C23</f>
        <v/>
      </c>
      <c r="E151" s="115" t="str">
        <f>'Input Window Film Measures'!F23</f>
        <v/>
      </c>
      <c r="F151" s="115">
        <f>'Input Window Film Measures'!H23</f>
        <v>0</v>
      </c>
      <c r="G151" s="116" t="str">
        <f>'Input Window Film Measures'!M23</f>
        <v/>
      </c>
      <c r="H151" s="139" t="str">
        <f>'Input Window Film Measures'!N23</f>
        <v/>
      </c>
      <c r="I151" s="118" t="str">
        <f>IFERROR(N151*MIN(Table_Measure_Caps[[#Totals],[Estimated Raw Incentive Total]], Table_Measure_Caps[[#Totals],[Gross Measure Cost Total]], Value_Project_CAP)/Table_Measure_Caps[[#Totals],[Estimated Raw Incentive Total]], "")</f>
        <v/>
      </c>
      <c r="J151" s="118">
        <f>'Input Window Film Measures'!I23</f>
        <v>0</v>
      </c>
      <c r="K151" s="115">
        <f>'Input Window Film Measures'!J23</f>
        <v>0</v>
      </c>
      <c r="L151" s="119" t="str">
        <f t="shared" si="5"/>
        <v>Version 5.0</v>
      </c>
      <c r="M151" s="120">
        <f>'Input Window Film Measures'!E23</f>
        <v>0</v>
      </c>
      <c r="N151" s="117" t="str">
        <f>'Input Window Film Measures'!L23</f>
        <v/>
      </c>
    </row>
    <row r="152" spans="1:14" x14ac:dyDescent="0.2">
      <c r="A152" s="114" t="s">
        <v>404</v>
      </c>
      <c r="B152" s="121">
        <f t="shared" si="6"/>
        <v>0</v>
      </c>
      <c r="C152" s="121">
        <v>20</v>
      </c>
      <c r="D152" s="115" t="str">
        <f>'Input Window Film Measures'!C24</f>
        <v/>
      </c>
      <c r="E152" s="115" t="str">
        <f>'Input Window Film Measures'!F24</f>
        <v/>
      </c>
      <c r="F152" s="115">
        <f>'Input Window Film Measures'!H24</f>
        <v>0</v>
      </c>
      <c r="G152" s="116" t="str">
        <f>'Input Window Film Measures'!M24</f>
        <v/>
      </c>
      <c r="H152" s="139" t="str">
        <f>'Input Window Film Measures'!N24</f>
        <v/>
      </c>
      <c r="I152" s="118" t="str">
        <f>IFERROR(N152*MIN(Table_Measure_Caps[[#Totals],[Estimated Raw Incentive Total]], Table_Measure_Caps[[#Totals],[Gross Measure Cost Total]], Value_Project_CAP)/Table_Measure_Caps[[#Totals],[Estimated Raw Incentive Total]], "")</f>
        <v/>
      </c>
      <c r="J152" s="118">
        <f>'Input Window Film Measures'!I24</f>
        <v>0</v>
      </c>
      <c r="K152" s="115">
        <f>'Input Window Film Measures'!J24</f>
        <v>0</v>
      </c>
      <c r="L152" s="119" t="str">
        <f t="shared" si="5"/>
        <v>Version 5.0</v>
      </c>
      <c r="M152" s="120">
        <f>'Input Window Film Measures'!E24</f>
        <v>0</v>
      </c>
      <c r="N152" s="117" t="str">
        <f>'Input Window Film Measures'!L24</f>
        <v/>
      </c>
    </row>
    <row r="153" spans="1:14" x14ac:dyDescent="0.2">
      <c r="A153" s="114" t="s">
        <v>404</v>
      </c>
      <c r="B153" s="115">
        <f t="shared" si="6"/>
        <v>0</v>
      </c>
      <c r="C153" s="115">
        <v>21</v>
      </c>
      <c r="D153" s="115" t="str">
        <f>'Input Window Film Measures'!C25</f>
        <v/>
      </c>
      <c r="E153" s="115" t="str">
        <f>'Input Window Film Measures'!F25</f>
        <v/>
      </c>
      <c r="F153" s="115">
        <f>'Input Window Film Measures'!H25</f>
        <v>0</v>
      </c>
      <c r="G153" s="116" t="str">
        <f>'Input Window Film Measures'!M25</f>
        <v/>
      </c>
      <c r="H153" s="139" t="str">
        <f>'Input Window Film Measures'!N25</f>
        <v/>
      </c>
      <c r="I153" s="118" t="str">
        <f>IFERROR(N153*MIN(Table_Measure_Caps[[#Totals],[Estimated Raw Incentive Total]], Table_Measure_Caps[[#Totals],[Gross Measure Cost Total]], Value_Project_CAP)/Table_Measure_Caps[[#Totals],[Estimated Raw Incentive Total]], "")</f>
        <v/>
      </c>
      <c r="J153" s="118">
        <f>'Input Window Film Measures'!I25</f>
        <v>0</v>
      </c>
      <c r="K153" s="115">
        <f>'Input Window Film Measures'!J25</f>
        <v>0</v>
      </c>
      <c r="L153" s="119" t="str">
        <f t="shared" si="5"/>
        <v>Version 5.0</v>
      </c>
      <c r="M153" s="120">
        <f>'Input Window Film Measures'!E25</f>
        <v>0</v>
      </c>
      <c r="N153" s="117" t="str">
        <f>'Input Window Film Measures'!L25</f>
        <v/>
      </c>
    </row>
    <row r="154" spans="1:14" x14ac:dyDescent="0.2">
      <c r="A154" s="114" t="s">
        <v>404</v>
      </c>
      <c r="B154" s="121">
        <f t="shared" si="6"/>
        <v>0</v>
      </c>
      <c r="C154" s="121">
        <v>22</v>
      </c>
      <c r="D154" s="115" t="str">
        <f>'Input Window Film Measures'!C26</f>
        <v/>
      </c>
      <c r="E154" s="115" t="str">
        <f>'Input Window Film Measures'!F26</f>
        <v/>
      </c>
      <c r="F154" s="115">
        <f>'Input Window Film Measures'!H26</f>
        <v>0</v>
      </c>
      <c r="G154" s="116" t="str">
        <f>'Input Window Film Measures'!M26</f>
        <v/>
      </c>
      <c r="H154" s="139" t="str">
        <f>'Input Window Film Measures'!N26</f>
        <v/>
      </c>
      <c r="I154" s="118" t="str">
        <f>IFERROR(N154*MIN(Table_Measure_Caps[[#Totals],[Estimated Raw Incentive Total]], Table_Measure_Caps[[#Totals],[Gross Measure Cost Total]], Value_Project_CAP)/Table_Measure_Caps[[#Totals],[Estimated Raw Incentive Total]], "")</f>
        <v/>
      </c>
      <c r="J154" s="118">
        <f>'Input Window Film Measures'!I26</f>
        <v>0</v>
      </c>
      <c r="K154" s="115">
        <f>'Input Window Film Measures'!J26</f>
        <v>0</v>
      </c>
      <c r="L154" s="119" t="str">
        <f t="shared" si="5"/>
        <v>Version 5.0</v>
      </c>
      <c r="M154" s="120">
        <f>'Input Window Film Measures'!E26</f>
        <v>0</v>
      </c>
      <c r="N154" s="117" t="str">
        <f>'Input Window Film Measures'!L26</f>
        <v/>
      </c>
    </row>
    <row r="155" spans="1:14" x14ac:dyDescent="0.2">
      <c r="A155" s="114" t="s">
        <v>404</v>
      </c>
      <c r="B155" s="115">
        <f t="shared" si="6"/>
        <v>0</v>
      </c>
      <c r="C155" s="115">
        <v>23</v>
      </c>
      <c r="D155" s="115" t="str">
        <f>'Input Window Film Measures'!C27</f>
        <v/>
      </c>
      <c r="E155" s="115" t="str">
        <f>'Input Window Film Measures'!F27</f>
        <v/>
      </c>
      <c r="F155" s="115">
        <f>'Input Window Film Measures'!H27</f>
        <v>0</v>
      </c>
      <c r="G155" s="116" t="str">
        <f>'Input Window Film Measures'!M27</f>
        <v/>
      </c>
      <c r="H155" s="139" t="str">
        <f>'Input Window Film Measures'!N27</f>
        <v/>
      </c>
      <c r="I155" s="118" t="str">
        <f>IFERROR(N155*MIN(Table_Measure_Caps[[#Totals],[Estimated Raw Incentive Total]], Table_Measure_Caps[[#Totals],[Gross Measure Cost Total]], Value_Project_CAP)/Table_Measure_Caps[[#Totals],[Estimated Raw Incentive Total]], "")</f>
        <v/>
      </c>
      <c r="J155" s="118">
        <f>'Input Window Film Measures'!I27</f>
        <v>0</v>
      </c>
      <c r="K155" s="115">
        <f>'Input Window Film Measures'!J27</f>
        <v>0</v>
      </c>
      <c r="L155" s="119" t="str">
        <f t="shared" si="5"/>
        <v>Version 5.0</v>
      </c>
      <c r="M155" s="120">
        <f>'Input Window Film Measures'!E27</f>
        <v>0</v>
      </c>
      <c r="N155" s="117" t="str">
        <f>'Input Window Film Measures'!L27</f>
        <v/>
      </c>
    </row>
    <row r="156" spans="1:14" x14ac:dyDescent="0.2">
      <c r="A156" s="114" t="s">
        <v>404</v>
      </c>
      <c r="B156" s="121">
        <f t="shared" si="6"/>
        <v>0</v>
      </c>
      <c r="C156" s="121">
        <v>24</v>
      </c>
      <c r="D156" s="115" t="str">
        <f>'Input Window Film Measures'!C28</f>
        <v/>
      </c>
      <c r="E156" s="115" t="str">
        <f>'Input Window Film Measures'!F28</f>
        <v/>
      </c>
      <c r="F156" s="115">
        <f>'Input Window Film Measures'!H28</f>
        <v>0</v>
      </c>
      <c r="G156" s="116" t="str">
        <f>'Input Window Film Measures'!M28</f>
        <v/>
      </c>
      <c r="H156" s="139" t="str">
        <f>'Input Window Film Measures'!N28</f>
        <v/>
      </c>
      <c r="I156" s="118" t="str">
        <f>IFERROR(N156*MIN(Table_Measure_Caps[[#Totals],[Estimated Raw Incentive Total]], Table_Measure_Caps[[#Totals],[Gross Measure Cost Total]], Value_Project_CAP)/Table_Measure_Caps[[#Totals],[Estimated Raw Incentive Total]], "")</f>
        <v/>
      </c>
      <c r="J156" s="118">
        <f>'Input Window Film Measures'!I28</f>
        <v>0</v>
      </c>
      <c r="K156" s="115">
        <f>'Input Window Film Measures'!J28</f>
        <v>0</v>
      </c>
      <c r="L156" s="119" t="str">
        <f t="shared" si="5"/>
        <v>Version 5.0</v>
      </c>
      <c r="M156" s="120">
        <f>'Input Window Film Measures'!E28</f>
        <v>0</v>
      </c>
      <c r="N156" s="117" t="str">
        <f>'Input Window Film Measures'!L28</f>
        <v/>
      </c>
    </row>
    <row r="157" spans="1:14" x14ac:dyDescent="0.2">
      <c r="A157" s="114" t="s">
        <v>404</v>
      </c>
      <c r="B157" s="115">
        <f t="shared" si="6"/>
        <v>0</v>
      </c>
      <c r="C157" s="115">
        <v>25</v>
      </c>
      <c r="D157" s="115" t="str">
        <f>'Input Window Film Measures'!C29</f>
        <v/>
      </c>
      <c r="E157" s="115" t="str">
        <f>'Input Window Film Measures'!F29</f>
        <v/>
      </c>
      <c r="F157" s="115">
        <f>'Input Window Film Measures'!H29</f>
        <v>0</v>
      </c>
      <c r="G157" s="116" t="str">
        <f>'Input Window Film Measures'!M29</f>
        <v/>
      </c>
      <c r="H157" s="139" t="str">
        <f>'Input Window Film Measures'!N29</f>
        <v/>
      </c>
      <c r="I157" s="118" t="str">
        <f>IFERROR(N157*MIN(Table_Measure_Caps[[#Totals],[Estimated Raw Incentive Total]], Table_Measure_Caps[[#Totals],[Gross Measure Cost Total]], Value_Project_CAP)/Table_Measure_Caps[[#Totals],[Estimated Raw Incentive Total]], "")</f>
        <v/>
      </c>
      <c r="J157" s="118">
        <f>'Input Window Film Measures'!I29</f>
        <v>0</v>
      </c>
      <c r="K157" s="115">
        <f>'Input Window Film Measures'!J29</f>
        <v>0</v>
      </c>
      <c r="L157" s="119" t="str">
        <f t="shared" si="5"/>
        <v>Version 5.0</v>
      </c>
      <c r="M157" s="120">
        <f>'Input Window Film Measures'!E29</f>
        <v>0</v>
      </c>
      <c r="N157" s="117" t="str">
        <f>'Input Window Film Measures'!L29</f>
        <v/>
      </c>
    </row>
    <row r="158" spans="1:14" x14ac:dyDescent="0.2">
      <c r="A158" s="114" t="s">
        <v>404</v>
      </c>
      <c r="B158" s="121">
        <f t="shared" si="6"/>
        <v>0</v>
      </c>
      <c r="C158" s="121">
        <v>26</v>
      </c>
      <c r="D158" s="115" t="str">
        <f>'Input Window Film Measures'!C30</f>
        <v/>
      </c>
      <c r="E158" s="115" t="str">
        <f>'Input Window Film Measures'!F30</f>
        <v/>
      </c>
      <c r="F158" s="115">
        <f>'Input Window Film Measures'!H30</f>
        <v>0</v>
      </c>
      <c r="G158" s="116" t="str">
        <f>'Input Window Film Measures'!M30</f>
        <v/>
      </c>
      <c r="H158" s="139" t="str">
        <f>'Input Window Film Measures'!N30</f>
        <v/>
      </c>
      <c r="I158" s="118" t="str">
        <f>IFERROR(N158*MIN(Table_Measure_Caps[[#Totals],[Estimated Raw Incentive Total]], Table_Measure_Caps[[#Totals],[Gross Measure Cost Total]], Value_Project_CAP)/Table_Measure_Caps[[#Totals],[Estimated Raw Incentive Total]], "")</f>
        <v/>
      </c>
      <c r="J158" s="118">
        <f>'Input Window Film Measures'!I30</f>
        <v>0</v>
      </c>
      <c r="K158" s="115">
        <f>'Input Window Film Measures'!J30</f>
        <v>0</v>
      </c>
      <c r="L158" s="119" t="str">
        <f t="shared" si="5"/>
        <v>Version 5.0</v>
      </c>
      <c r="M158" s="120">
        <f>'Input Window Film Measures'!E30</f>
        <v>0</v>
      </c>
      <c r="N158" s="117" t="str">
        <f>'Input Window Film Measures'!L30</f>
        <v/>
      </c>
    </row>
    <row r="159" spans="1:14" x14ac:dyDescent="0.2">
      <c r="A159" s="114" t="s">
        <v>404</v>
      </c>
      <c r="B159" s="115">
        <f t="shared" si="6"/>
        <v>0</v>
      </c>
      <c r="C159" s="115">
        <v>27</v>
      </c>
      <c r="D159" s="115" t="str">
        <f>'Input Window Film Measures'!C31</f>
        <v/>
      </c>
      <c r="E159" s="115" t="str">
        <f>'Input Window Film Measures'!F31</f>
        <v/>
      </c>
      <c r="F159" s="115">
        <f>'Input Window Film Measures'!H31</f>
        <v>0</v>
      </c>
      <c r="G159" s="116" t="str">
        <f>'Input Window Film Measures'!M31</f>
        <v/>
      </c>
      <c r="H159" s="139" t="str">
        <f>'Input Window Film Measures'!N31</f>
        <v/>
      </c>
      <c r="I159" s="118" t="str">
        <f>IFERROR(N159*MIN(Table_Measure_Caps[[#Totals],[Estimated Raw Incentive Total]], Table_Measure_Caps[[#Totals],[Gross Measure Cost Total]], Value_Project_CAP)/Table_Measure_Caps[[#Totals],[Estimated Raw Incentive Total]], "")</f>
        <v/>
      </c>
      <c r="J159" s="118">
        <f>'Input Window Film Measures'!I31</f>
        <v>0</v>
      </c>
      <c r="K159" s="115">
        <f>'Input Window Film Measures'!J31</f>
        <v>0</v>
      </c>
      <c r="L159" s="119" t="str">
        <f t="shared" si="5"/>
        <v>Version 5.0</v>
      </c>
      <c r="M159" s="120">
        <f>'Input Window Film Measures'!E31</f>
        <v>0</v>
      </c>
      <c r="N159" s="117" t="str">
        <f>'Input Window Film Measures'!L31</f>
        <v/>
      </c>
    </row>
    <row r="160" spans="1:14" x14ac:dyDescent="0.2">
      <c r="A160" s="114" t="s">
        <v>404</v>
      </c>
      <c r="B160" s="121">
        <f t="shared" si="6"/>
        <v>0</v>
      </c>
      <c r="C160" s="121">
        <v>28</v>
      </c>
      <c r="D160" s="115" t="str">
        <f>'Input Window Film Measures'!C32</f>
        <v/>
      </c>
      <c r="E160" s="115" t="str">
        <f>'Input Window Film Measures'!F32</f>
        <v/>
      </c>
      <c r="F160" s="115">
        <f>'Input Window Film Measures'!H32</f>
        <v>0</v>
      </c>
      <c r="G160" s="116" t="str">
        <f>'Input Window Film Measures'!M32</f>
        <v/>
      </c>
      <c r="H160" s="139" t="str">
        <f>'Input Window Film Measures'!N32</f>
        <v/>
      </c>
      <c r="I160" s="118" t="str">
        <f>IFERROR(N160*MIN(Table_Measure_Caps[[#Totals],[Estimated Raw Incentive Total]], Table_Measure_Caps[[#Totals],[Gross Measure Cost Total]], Value_Project_CAP)/Table_Measure_Caps[[#Totals],[Estimated Raw Incentive Total]], "")</f>
        <v/>
      </c>
      <c r="J160" s="118">
        <f>'Input Window Film Measures'!I32</f>
        <v>0</v>
      </c>
      <c r="K160" s="115">
        <f>'Input Window Film Measures'!J32</f>
        <v>0</v>
      </c>
      <c r="L160" s="119" t="str">
        <f t="shared" si="5"/>
        <v>Version 5.0</v>
      </c>
      <c r="M160" s="120">
        <f>'Input Window Film Measures'!E32</f>
        <v>0</v>
      </c>
      <c r="N160" s="117" t="str">
        <f>'Input Window Film Measures'!L32</f>
        <v/>
      </c>
    </row>
    <row r="161" spans="1:14" x14ac:dyDescent="0.2">
      <c r="A161" s="114" t="s">
        <v>404</v>
      </c>
      <c r="B161" s="115">
        <f t="shared" si="6"/>
        <v>0</v>
      </c>
      <c r="C161" s="115">
        <v>29</v>
      </c>
      <c r="D161" s="115" t="str">
        <f>'Input Window Film Measures'!C33</f>
        <v/>
      </c>
      <c r="E161" s="115" t="str">
        <f>'Input Window Film Measures'!F33</f>
        <v/>
      </c>
      <c r="F161" s="115">
        <f>'Input Window Film Measures'!H33</f>
        <v>0</v>
      </c>
      <c r="G161" s="116" t="str">
        <f>'Input Window Film Measures'!M33</f>
        <v/>
      </c>
      <c r="H161" s="139" t="str">
        <f>'Input Window Film Measures'!N33</f>
        <v/>
      </c>
      <c r="I161" s="118" t="str">
        <f>IFERROR(N161*MIN(Table_Measure_Caps[[#Totals],[Estimated Raw Incentive Total]], Table_Measure_Caps[[#Totals],[Gross Measure Cost Total]], Value_Project_CAP)/Table_Measure_Caps[[#Totals],[Estimated Raw Incentive Total]], "")</f>
        <v/>
      </c>
      <c r="J161" s="118">
        <f>'Input Window Film Measures'!I33</f>
        <v>0</v>
      </c>
      <c r="K161" s="115">
        <f>'Input Window Film Measures'!J33</f>
        <v>0</v>
      </c>
      <c r="L161" s="119" t="str">
        <f t="shared" si="5"/>
        <v>Version 5.0</v>
      </c>
      <c r="M161" s="120">
        <f>'Input Window Film Measures'!E33</f>
        <v>0</v>
      </c>
      <c r="N161" s="117" t="str">
        <f>'Input Window Film Measures'!L33</f>
        <v/>
      </c>
    </row>
    <row r="162" spans="1:14" x14ac:dyDescent="0.2">
      <c r="A162" s="114" t="s">
        <v>404</v>
      </c>
      <c r="B162" s="121">
        <f t="shared" si="6"/>
        <v>0</v>
      </c>
      <c r="C162" s="121">
        <v>30</v>
      </c>
      <c r="D162" s="115" t="str">
        <f>'Input Window Film Measures'!C34</f>
        <v/>
      </c>
      <c r="E162" s="115" t="str">
        <f>'Input Window Film Measures'!F34</f>
        <v/>
      </c>
      <c r="F162" s="115">
        <f>'Input Window Film Measures'!H34</f>
        <v>0</v>
      </c>
      <c r="G162" s="116" t="str">
        <f>'Input Window Film Measures'!M34</f>
        <v/>
      </c>
      <c r="H162" s="139" t="str">
        <f>'Input Window Film Measures'!N34</f>
        <v/>
      </c>
      <c r="I162" s="118" t="str">
        <f>IFERROR(N162*MIN(Table_Measure_Caps[[#Totals],[Estimated Raw Incentive Total]], Table_Measure_Caps[[#Totals],[Gross Measure Cost Total]], Value_Project_CAP)/Table_Measure_Caps[[#Totals],[Estimated Raw Incentive Total]], "")</f>
        <v/>
      </c>
      <c r="J162" s="118">
        <f>'Input Window Film Measures'!I34</f>
        <v>0</v>
      </c>
      <c r="K162" s="115">
        <f>'Input Window Film Measures'!J34</f>
        <v>0</v>
      </c>
      <c r="L162" s="119" t="str">
        <f t="shared" si="5"/>
        <v>Version 5.0</v>
      </c>
      <c r="M162" s="120">
        <f>'Input Window Film Measures'!E34</f>
        <v>0</v>
      </c>
      <c r="N162" s="117" t="str">
        <f>'Input Window Film Measures'!L34</f>
        <v/>
      </c>
    </row>
    <row r="163" spans="1:14" x14ac:dyDescent="0.2">
      <c r="A163" s="122" t="s">
        <v>408</v>
      </c>
      <c r="B163" s="123">
        <f t="shared" si="6"/>
        <v>0</v>
      </c>
      <c r="C163" s="123">
        <v>1</v>
      </c>
      <c r="D163" s="123" t="str">
        <f>'Input Misc Measures'!C5</f>
        <v/>
      </c>
      <c r="E163" s="123" t="str">
        <f>'Input Misc Measures'!F5</f>
        <v/>
      </c>
      <c r="F163" s="123">
        <f>'Input Misc Measures'!G5</f>
        <v>0</v>
      </c>
      <c r="G163" s="124" t="str">
        <f>'Input Misc Measures'!L5</f>
        <v/>
      </c>
      <c r="H163" s="140" t="str">
        <f>'Input Misc Measures'!M5</f>
        <v/>
      </c>
      <c r="I163" s="126" t="str">
        <f>IFERROR(N163*MIN(Table_Measure_Caps[[#Totals],[Estimated Raw Incentive Total]], Table_Measure_Caps[[#Totals],[Gross Measure Cost Total]], Value_Project_CAP)/Table_Measure_Caps[[#Totals],[Estimated Raw Incentive Total]], "")</f>
        <v/>
      </c>
      <c r="J163" s="126">
        <f>'Input Misc Measures'!H5</f>
        <v>0</v>
      </c>
      <c r="K163" s="123">
        <f>'Input Misc Measures'!I5</f>
        <v>0</v>
      </c>
      <c r="L163" s="127" t="str">
        <f t="shared" si="5"/>
        <v>Version 5.0</v>
      </c>
      <c r="M163" s="128">
        <f>'Input Misc Measures'!E5</f>
        <v>0</v>
      </c>
      <c r="N163" s="125" t="str">
        <f>'Input Misc Measures'!K5</f>
        <v/>
      </c>
    </row>
    <row r="164" spans="1:14" x14ac:dyDescent="0.2">
      <c r="A164" s="122" t="s">
        <v>408</v>
      </c>
      <c r="B164" s="123">
        <f t="shared" si="6"/>
        <v>0</v>
      </c>
      <c r="C164" s="123">
        <v>2</v>
      </c>
      <c r="D164" s="123" t="str">
        <f>'Input Misc Measures'!C6</f>
        <v/>
      </c>
      <c r="E164" s="123" t="str">
        <f>'Input Misc Measures'!F6</f>
        <v/>
      </c>
      <c r="F164" s="123">
        <f>'Input Misc Measures'!G6</f>
        <v>0</v>
      </c>
      <c r="G164" s="124" t="str">
        <f>'Input Misc Measures'!L6</f>
        <v/>
      </c>
      <c r="H164" s="140" t="str">
        <f>'Input Misc Measures'!M6</f>
        <v/>
      </c>
      <c r="I164" s="126" t="str">
        <f>IFERROR(N164*MIN(Table_Measure_Caps[[#Totals],[Estimated Raw Incentive Total]], Table_Measure_Caps[[#Totals],[Gross Measure Cost Total]], Value_Project_CAP)/Table_Measure_Caps[[#Totals],[Estimated Raw Incentive Total]], "")</f>
        <v/>
      </c>
      <c r="J164" s="126">
        <f>'Input Misc Measures'!H6</f>
        <v>0</v>
      </c>
      <c r="K164" s="123">
        <f>'Input Misc Measures'!I6</f>
        <v>0</v>
      </c>
      <c r="L164" s="127" t="str">
        <f t="shared" si="5"/>
        <v>Version 5.0</v>
      </c>
      <c r="M164" s="128">
        <f>'Input Misc Measures'!E6</f>
        <v>0</v>
      </c>
      <c r="N164" s="125" t="str">
        <f>'Input Misc Measures'!K6</f>
        <v/>
      </c>
    </row>
    <row r="165" spans="1:14" x14ac:dyDescent="0.2">
      <c r="A165" s="122" t="s">
        <v>408</v>
      </c>
      <c r="B165" s="123">
        <f t="shared" ref="B165:B196" si="7">Input_ProjectNumber</f>
        <v>0</v>
      </c>
      <c r="C165" s="123">
        <v>3</v>
      </c>
      <c r="D165" s="123" t="str">
        <f>'Input Misc Measures'!C7</f>
        <v/>
      </c>
      <c r="E165" s="123" t="str">
        <f>'Input Misc Measures'!F7</f>
        <v/>
      </c>
      <c r="F165" s="123">
        <f>'Input Misc Measures'!G7</f>
        <v>0</v>
      </c>
      <c r="G165" s="124" t="str">
        <f>'Input Misc Measures'!L7</f>
        <v/>
      </c>
      <c r="H165" s="140" t="str">
        <f>'Input Misc Measures'!M7</f>
        <v/>
      </c>
      <c r="I165" s="126" t="str">
        <f>IFERROR(N165*MIN(Table_Measure_Caps[[#Totals],[Estimated Raw Incentive Total]], Table_Measure_Caps[[#Totals],[Gross Measure Cost Total]], Value_Project_CAP)/Table_Measure_Caps[[#Totals],[Estimated Raw Incentive Total]], "")</f>
        <v/>
      </c>
      <c r="J165" s="126">
        <f>'Input Misc Measures'!H7</f>
        <v>0</v>
      </c>
      <c r="K165" s="123">
        <f>'Input Misc Measures'!I7</f>
        <v>0</v>
      </c>
      <c r="L165" s="127" t="str">
        <f t="shared" si="5"/>
        <v>Version 5.0</v>
      </c>
      <c r="M165" s="128">
        <f>'Input Misc Measures'!E7</f>
        <v>0</v>
      </c>
      <c r="N165" s="125" t="str">
        <f>'Input Misc Measures'!K7</f>
        <v/>
      </c>
    </row>
    <row r="166" spans="1:14" x14ac:dyDescent="0.2">
      <c r="A166" s="122" t="s">
        <v>408</v>
      </c>
      <c r="B166" s="123">
        <f t="shared" si="7"/>
        <v>0</v>
      </c>
      <c r="C166" s="123">
        <v>4</v>
      </c>
      <c r="D166" s="123" t="str">
        <f>'Input Misc Measures'!C8</f>
        <v/>
      </c>
      <c r="E166" s="123" t="str">
        <f>'Input Misc Measures'!F8</f>
        <v/>
      </c>
      <c r="F166" s="123">
        <f>'Input Misc Measures'!G8</f>
        <v>0</v>
      </c>
      <c r="G166" s="124" t="str">
        <f>'Input Misc Measures'!L8</f>
        <v/>
      </c>
      <c r="H166" s="140" t="str">
        <f>'Input Misc Measures'!M8</f>
        <v/>
      </c>
      <c r="I166" s="126" t="str">
        <f>IFERROR(N166*MIN(Table_Measure_Caps[[#Totals],[Estimated Raw Incentive Total]], Table_Measure_Caps[[#Totals],[Gross Measure Cost Total]], Value_Project_CAP)/Table_Measure_Caps[[#Totals],[Estimated Raw Incentive Total]], "")</f>
        <v/>
      </c>
      <c r="J166" s="126">
        <f>'Input Misc Measures'!H8</f>
        <v>0</v>
      </c>
      <c r="K166" s="123">
        <f>'Input Misc Measures'!I8</f>
        <v>0</v>
      </c>
      <c r="L166" s="127" t="str">
        <f t="shared" si="5"/>
        <v>Version 5.0</v>
      </c>
      <c r="M166" s="128">
        <f>'Input Misc Measures'!E8</f>
        <v>0</v>
      </c>
      <c r="N166" s="125" t="str">
        <f>'Input Misc Measures'!K8</f>
        <v/>
      </c>
    </row>
    <row r="167" spans="1:14" x14ac:dyDescent="0.2">
      <c r="A167" s="122" t="s">
        <v>408</v>
      </c>
      <c r="B167" s="123">
        <f t="shared" si="7"/>
        <v>0</v>
      </c>
      <c r="C167" s="123">
        <v>5</v>
      </c>
      <c r="D167" s="123" t="str">
        <f>'Input Misc Measures'!C9</f>
        <v/>
      </c>
      <c r="E167" s="123" t="str">
        <f>'Input Misc Measures'!F9</f>
        <v/>
      </c>
      <c r="F167" s="123">
        <f>'Input Misc Measures'!G9</f>
        <v>0</v>
      </c>
      <c r="G167" s="124" t="str">
        <f>'Input Misc Measures'!L9</f>
        <v/>
      </c>
      <c r="H167" s="140" t="str">
        <f>'Input Misc Measures'!M9</f>
        <v/>
      </c>
      <c r="I167" s="126" t="str">
        <f>IFERROR(N167*MIN(Table_Measure_Caps[[#Totals],[Estimated Raw Incentive Total]], Table_Measure_Caps[[#Totals],[Gross Measure Cost Total]], Value_Project_CAP)/Table_Measure_Caps[[#Totals],[Estimated Raw Incentive Total]], "")</f>
        <v/>
      </c>
      <c r="J167" s="126">
        <f>'Input Misc Measures'!H9</f>
        <v>0</v>
      </c>
      <c r="K167" s="123">
        <f>'Input Misc Measures'!I9</f>
        <v>0</v>
      </c>
      <c r="L167" s="127" t="str">
        <f t="shared" si="5"/>
        <v>Version 5.0</v>
      </c>
      <c r="M167" s="128">
        <f>'Input Misc Measures'!E9</f>
        <v>0</v>
      </c>
      <c r="N167" s="125" t="str">
        <f>'Input Misc Measures'!K9</f>
        <v/>
      </c>
    </row>
    <row r="168" spans="1:14" x14ac:dyDescent="0.2">
      <c r="A168" s="122" t="s">
        <v>408</v>
      </c>
      <c r="B168" s="123">
        <f t="shared" si="7"/>
        <v>0</v>
      </c>
      <c r="C168" s="123">
        <v>6</v>
      </c>
      <c r="D168" s="123" t="str">
        <f>'Input Misc Measures'!C10</f>
        <v/>
      </c>
      <c r="E168" s="123" t="str">
        <f>'Input Misc Measures'!F10</f>
        <v/>
      </c>
      <c r="F168" s="123">
        <f>'Input Misc Measures'!G10</f>
        <v>0</v>
      </c>
      <c r="G168" s="124" t="str">
        <f>'Input Misc Measures'!L10</f>
        <v/>
      </c>
      <c r="H168" s="140" t="str">
        <f>'Input Misc Measures'!M10</f>
        <v/>
      </c>
      <c r="I168" s="126" t="str">
        <f>IFERROR(N168*MIN(Table_Measure_Caps[[#Totals],[Estimated Raw Incentive Total]], Table_Measure_Caps[[#Totals],[Gross Measure Cost Total]], Value_Project_CAP)/Table_Measure_Caps[[#Totals],[Estimated Raw Incentive Total]], "")</f>
        <v/>
      </c>
      <c r="J168" s="126">
        <f>'Input Misc Measures'!H10</f>
        <v>0</v>
      </c>
      <c r="K168" s="123">
        <f>'Input Misc Measures'!I10</f>
        <v>0</v>
      </c>
      <c r="L168" s="127" t="str">
        <f t="shared" si="5"/>
        <v>Version 5.0</v>
      </c>
      <c r="M168" s="128">
        <f>'Input Misc Measures'!E10</f>
        <v>0</v>
      </c>
      <c r="N168" s="125" t="str">
        <f>'Input Misc Measures'!K10</f>
        <v/>
      </c>
    </row>
    <row r="169" spans="1:14" x14ac:dyDescent="0.2">
      <c r="A169" s="122" t="s">
        <v>408</v>
      </c>
      <c r="B169" s="123">
        <f t="shared" si="7"/>
        <v>0</v>
      </c>
      <c r="C169" s="123">
        <v>7</v>
      </c>
      <c r="D169" s="123" t="str">
        <f>'Input Misc Measures'!C11</f>
        <v/>
      </c>
      <c r="E169" s="123" t="str">
        <f>'Input Misc Measures'!F11</f>
        <v/>
      </c>
      <c r="F169" s="123">
        <f>'Input Misc Measures'!G11</f>
        <v>0</v>
      </c>
      <c r="G169" s="124" t="str">
        <f>'Input Misc Measures'!L11</f>
        <v/>
      </c>
      <c r="H169" s="140" t="str">
        <f>'Input Misc Measures'!M11</f>
        <v/>
      </c>
      <c r="I169" s="126" t="str">
        <f>IFERROR(N169*MIN(Table_Measure_Caps[[#Totals],[Estimated Raw Incentive Total]], Table_Measure_Caps[[#Totals],[Gross Measure Cost Total]], Value_Project_CAP)/Table_Measure_Caps[[#Totals],[Estimated Raw Incentive Total]], "")</f>
        <v/>
      </c>
      <c r="J169" s="126">
        <f>'Input Misc Measures'!H11</f>
        <v>0</v>
      </c>
      <c r="K169" s="123">
        <f>'Input Misc Measures'!I11</f>
        <v>0</v>
      </c>
      <c r="L169" s="127" t="str">
        <f t="shared" si="5"/>
        <v>Version 5.0</v>
      </c>
      <c r="M169" s="128">
        <f>'Input Misc Measures'!E11</f>
        <v>0</v>
      </c>
      <c r="N169" s="125" t="str">
        <f>'Input Misc Measures'!K11</f>
        <v/>
      </c>
    </row>
    <row r="170" spans="1:14" x14ac:dyDescent="0.2">
      <c r="A170" s="122" t="s">
        <v>408</v>
      </c>
      <c r="B170" s="123">
        <f t="shared" si="7"/>
        <v>0</v>
      </c>
      <c r="C170" s="123">
        <v>8</v>
      </c>
      <c r="D170" s="123" t="str">
        <f>'Input Misc Measures'!C12</f>
        <v/>
      </c>
      <c r="E170" s="123" t="str">
        <f>'Input Misc Measures'!F12</f>
        <v/>
      </c>
      <c r="F170" s="123">
        <f>'Input Misc Measures'!G12</f>
        <v>0</v>
      </c>
      <c r="G170" s="124" t="str">
        <f>'Input Misc Measures'!L12</f>
        <v/>
      </c>
      <c r="H170" s="140" t="str">
        <f>'Input Misc Measures'!M12</f>
        <v/>
      </c>
      <c r="I170" s="126" t="str">
        <f>IFERROR(N170*MIN(Table_Measure_Caps[[#Totals],[Estimated Raw Incentive Total]], Table_Measure_Caps[[#Totals],[Gross Measure Cost Total]], Value_Project_CAP)/Table_Measure_Caps[[#Totals],[Estimated Raw Incentive Total]], "")</f>
        <v/>
      </c>
      <c r="J170" s="126">
        <f>'Input Misc Measures'!H12</f>
        <v>0</v>
      </c>
      <c r="K170" s="123">
        <f>'Input Misc Measures'!I12</f>
        <v>0</v>
      </c>
      <c r="L170" s="127" t="str">
        <f t="shared" si="5"/>
        <v>Version 5.0</v>
      </c>
      <c r="M170" s="128">
        <f>'Input Misc Measures'!E12</f>
        <v>0</v>
      </c>
      <c r="N170" s="125" t="str">
        <f>'Input Misc Measures'!K12</f>
        <v/>
      </c>
    </row>
    <row r="171" spans="1:14" x14ac:dyDescent="0.2">
      <c r="A171" s="122" t="s">
        <v>408</v>
      </c>
      <c r="B171" s="123">
        <f t="shared" si="7"/>
        <v>0</v>
      </c>
      <c r="C171" s="123">
        <v>9</v>
      </c>
      <c r="D171" s="123" t="str">
        <f>'Input Misc Measures'!C13</f>
        <v/>
      </c>
      <c r="E171" s="123" t="str">
        <f>'Input Misc Measures'!F13</f>
        <v/>
      </c>
      <c r="F171" s="123">
        <f>'Input Misc Measures'!G13</f>
        <v>0</v>
      </c>
      <c r="G171" s="124" t="str">
        <f>'Input Misc Measures'!L13</f>
        <v/>
      </c>
      <c r="H171" s="140" t="str">
        <f>'Input Misc Measures'!M13</f>
        <v/>
      </c>
      <c r="I171" s="126" t="str">
        <f>IFERROR(N171*MIN(Table_Measure_Caps[[#Totals],[Estimated Raw Incentive Total]], Table_Measure_Caps[[#Totals],[Gross Measure Cost Total]], Value_Project_CAP)/Table_Measure_Caps[[#Totals],[Estimated Raw Incentive Total]], "")</f>
        <v/>
      </c>
      <c r="J171" s="126">
        <f>'Input Misc Measures'!H13</f>
        <v>0</v>
      </c>
      <c r="K171" s="123">
        <f>'Input Misc Measures'!I13</f>
        <v>0</v>
      </c>
      <c r="L171" s="127" t="str">
        <f t="shared" si="5"/>
        <v>Version 5.0</v>
      </c>
      <c r="M171" s="128">
        <f>'Input Misc Measures'!E13</f>
        <v>0</v>
      </c>
      <c r="N171" s="125" t="str">
        <f>'Input Misc Measures'!K13</f>
        <v/>
      </c>
    </row>
    <row r="172" spans="1:14" x14ac:dyDescent="0.2">
      <c r="A172" s="122" t="s">
        <v>408</v>
      </c>
      <c r="B172" s="123">
        <f t="shared" si="7"/>
        <v>0</v>
      </c>
      <c r="C172" s="123">
        <v>10</v>
      </c>
      <c r="D172" s="123" t="str">
        <f>'Input Misc Measures'!C14</f>
        <v/>
      </c>
      <c r="E172" s="123" t="str">
        <f>'Input Misc Measures'!F14</f>
        <v/>
      </c>
      <c r="F172" s="123">
        <f>'Input Misc Measures'!G14</f>
        <v>0</v>
      </c>
      <c r="G172" s="124" t="str">
        <f>'Input Misc Measures'!L14</f>
        <v/>
      </c>
      <c r="H172" s="140" t="str">
        <f>'Input Misc Measures'!M14</f>
        <v/>
      </c>
      <c r="I172" s="126" t="str">
        <f>IFERROR(N172*MIN(Table_Measure_Caps[[#Totals],[Estimated Raw Incentive Total]], Table_Measure_Caps[[#Totals],[Gross Measure Cost Total]], Value_Project_CAP)/Table_Measure_Caps[[#Totals],[Estimated Raw Incentive Total]], "")</f>
        <v/>
      </c>
      <c r="J172" s="126">
        <f>'Input Misc Measures'!H14</f>
        <v>0</v>
      </c>
      <c r="K172" s="123">
        <f>'Input Misc Measures'!I14</f>
        <v>0</v>
      </c>
      <c r="L172" s="127" t="str">
        <f t="shared" si="5"/>
        <v>Version 5.0</v>
      </c>
      <c r="M172" s="128">
        <f>'Input Misc Measures'!E14</f>
        <v>0</v>
      </c>
      <c r="N172" s="125" t="str">
        <f>'Input Misc Measures'!K14</f>
        <v/>
      </c>
    </row>
    <row r="173" spans="1:14" x14ac:dyDescent="0.2">
      <c r="A173" s="122" t="s">
        <v>408</v>
      </c>
      <c r="B173" s="123">
        <f t="shared" si="7"/>
        <v>0</v>
      </c>
      <c r="C173" s="123">
        <v>11</v>
      </c>
      <c r="D173" s="123" t="str">
        <f>'Input Misc Measures'!C15</f>
        <v/>
      </c>
      <c r="E173" s="123" t="str">
        <f>'Input Misc Measures'!F15</f>
        <v/>
      </c>
      <c r="F173" s="123">
        <f>'Input Misc Measures'!G15</f>
        <v>0</v>
      </c>
      <c r="G173" s="124" t="str">
        <f>'Input Misc Measures'!L15</f>
        <v/>
      </c>
      <c r="H173" s="140" t="str">
        <f>'Input Misc Measures'!M15</f>
        <v/>
      </c>
      <c r="I173" s="126" t="str">
        <f>IFERROR(N173*MIN(Table_Measure_Caps[[#Totals],[Estimated Raw Incentive Total]], Table_Measure_Caps[[#Totals],[Gross Measure Cost Total]], Value_Project_CAP)/Table_Measure_Caps[[#Totals],[Estimated Raw Incentive Total]], "")</f>
        <v/>
      </c>
      <c r="J173" s="126">
        <f>'Input Misc Measures'!H15</f>
        <v>0</v>
      </c>
      <c r="K173" s="123">
        <f>'Input Misc Measures'!I15</f>
        <v>0</v>
      </c>
      <c r="L173" s="127" t="str">
        <f t="shared" si="5"/>
        <v>Version 5.0</v>
      </c>
      <c r="M173" s="128">
        <f>'Input Misc Measures'!E15</f>
        <v>0</v>
      </c>
      <c r="N173" s="125" t="str">
        <f>'Input Misc Measures'!K15</f>
        <v/>
      </c>
    </row>
    <row r="174" spans="1:14" x14ac:dyDescent="0.2">
      <c r="A174" s="122" t="s">
        <v>408</v>
      </c>
      <c r="B174" s="123">
        <f t="shared" si="7"/>
        <v>0</v>
      </c>
      <c r="C174" s="123">
        <v>12</v>
      </c>
      <c r="D174" s="123" t="str">
        <f>'Input Misc Measures'!C16</f>
        <v/>
      </c>
      <c r="E174" s="123" t="str">
        <f>'Input Misc Measures'!F16</f>
        <v/>
      </c>
      <c r="F174" s="123">
        <f>'Input Misc Measures'!G16</f>
        <v>0</v>
      </c>
      <c r="G174" s="124" t="str">
        <f>'Input Misc Measures'!L16</f>
        <v/>
      </c>
      <c r="H174" s="140" t="str">
        <f>'Input Misc Measures'!M16</f>
        <v/>
      </c>
      <c r="I174" s="126" t="str">
        <f>IFERROR(N174*MIN(Table_Measure_Caps[[#Totals],[Estimated Raw Incentive Total]], Table_Measure_Caps[[#Totals],[Gross Measure Cost Total]], Value_Project_CAP)/Table_Measure_Caps[[#Totals],[Estimated Raw Incentive Total]], "")</f>
        <v/>
      </c>
      <c r="J174" s="126">
        <f>'Input Misc Measures'!H16</f>
        <v>0</v>
      </c>
      <c r="K174" s="123">
        <f>'Input Misc Measures'!I16</f>
        <v>0</v>
      </c>
      <c r="L174" s="127" t="str">
        <f t="shared" si="5"/>
        <v>Version 5.0</v>
      </c>
      <c r="M174" s="128">
        <f>'Input Misc Measures'!E16</f>
        <v>0</v>
      </c>
      <c r="N174" s="125" t="str">
        <f>'Input Misc Measures'!K16</f>
        <v/>
      </c>
    </row>
    <row r="175" spans="1:14" x14ac:dyDescent="0.2">
      <c r="A175" s="122" t="s">
        <v>408</v>
      </c>
      <c r="B175" s="123">
        <f t="shared" si="7"/>
        <v>0</v>
      </c>
      <c r="C175" s="123">
        <v>13</v>
      </c>
      <c r="D175" s="123" t="str">
        <f>'Input Misc Measures'!C17</f>
        <v/>
      </c>
      <c r="E175" s="123" t="str">
        <f>'Input Misc Measures'!F17</f>
        <v/>
      </c>
      <c r="F175" s="123">
        <f>'Input Misc Measures'!G17</f>
        <v>0</v>
      </c>
      <c r="G175" s="124" t="str">
        <f>'Input Misc Measures'!L17</f>
        <v/>
      </c>
      <c r="H175" s="140" t="str">
        <f>'Input Misc Measures'!M17</f>
        <v/>
      </c>
      <c r="I175" s="126" t="str">
        <f>IFERROR(N175*MIN(Table_Measure_Caps[[#Totals],[Estimated Raw Incentive Total]], Table_Measure_Caps[[#Totals],[Gross Measure Cost Total]], Value_Project_CAP)/Table_Measure_Caps[[#Totals],[Estimated Raw Incentive Total]], "")</f>
        <v/>
      </c>
      <c r="J175" s="126">
        <f>'Input Misc Measures'!H17</f>
        <v>0</v>
      </c>
      <c r="K175" s="123">
        <f>'Input Misc Measures'!I17</f>
        <v>0</v>
      </c>
      <c r="L175" s="127" t="str">
        <f t="shared" si="5"/>
        <v>Version 5.0</v>
      </c>
      <c r="M175" s="128">
        <f>'Input Misc Measures'!E17</f>
        <v>0</v>
      </c>
      <c r="N175" s="125" t="str">
        <f>'Input Misc Measures'!K17</f>
        <v/>
      </c>
    </row>
    <row r="176" spans="1:14" x14ac:dyDescent="0.2">
      <c r="A176" s="122" t="s">
        <v>408</v>
      </c>
      <c r="B176" s="123">
        <f t="shared" si="7"/>
        <v>0</v>
      </c>
      <c r="C176" s="123">
        <v>14</v>
      </c>
      <c r="D176" s="123" t="str">
        <f>'Input Misc Measures'!C18</f>
        <v/>
      </c>
      <c r="E176" s="123" t="str">
        <f>'Input Misc Measures'!F18</f>
        <v/>
      </c>
      <c r="F176" s="123">
        <f>'Input Misc Measures'!G18</f>
        <v>0</v>
      </c>
      <c r="G176" s="124" t="str">
        <f>'Input Misc Measures'!L18</f>
        <v/>
      </c>
      <c r="H176" s="140" t="str">
        <f>'Input Misc Measures'!M18</f>
        <v/>
      </c>
      <c r="I176" s="126" t="str">
        <f>IFERROR(N176*MIN(Table_Measure_Caps[[#Totals],[Estimated Raw Incentive Total]], Table_Measure_Caps[[#Totals],[Gross Measure Cost Total]], Value_Project_CAP)/Table_Measure_Caps[[#Totals],[Estimated Raw Incentive Total]], "")</f>
        <v/>
      </c>
      <c r="J176" s="126">
        <f>'Input Misc Measures'!H18</f>
        <v>0</v>
      </c>
      <c r="K176" s="123">
        <f>'Input Misc Measures'!I18</f>
        <v>0</v>
      </c>
      <c r="L176" s="127" t="str">
        <f t="shared" si="5"/>
        <v>Version 5.0</v>
      </c>
      <c r="M176" s="128">
        <f>'Input Misc Measures'!E18</f>
        <v>0</v>
      </c>
      <c r="N176" s="125" t="str">
        <f>'Input Misc Measures'!K18</f>
        <v/>
      </c>
    </row>
    <row r="177" spans="1:14" x14ac:dyDescent="0.2">
      <c r="A177" s="122" t="s">
        <v>408</v>
      </c>
      <c r="B177" s="123">
        <f t="shared" si="7"/>
        <v>0</v>
      </c>
      <c r="C177" s="123">
        <v>15</v>
      </c>
      <c r="D177" s="123" t="str">
        <f>'Input Misc Measures'!C19</f>
        <v/>
      </c>
      <c r="E177" s="123" t="str">
        <f>'Input Misc Measures'!F19</f>
        <v/>
      </c>
      <c r="F177" s="123">
        <f>'Input Misc Measures'!G19</f>
        <v>0</v>
      </c>
      <c r="G177" s="124" t="str">
        <f>'Input Misc Measures'!L19</f>
        <v/>
      </c>
      <c r="H177" s="140" t="str">
        <f>'Input Misc Measures'!M19</f>
        <v/>
      </c>
      <c r="I177" s="126" t="str">
        <f>IFERROR(N177*MIN(Table_Measure_Caps[[#Totals],[Estimated Raw Incentive Total]], Table_Measure_Caps[[#Totals],[Gross Measure Cost Total]], Value_Project_CAP)/Table_Measure_Caps[[#Totals],[Estimated Raw Incentive Total]], "")</f>
        <v/>
      </c>
      <c r="J177" s="126">
        <f>'Input Misc Measures'!H19</f>
        <v>0</v>
      </c>
      <c r="K177" s="123">
        <f>'Input Misc Measures'!I19</f>
        <v>0</v>
      </c>
      <c r="L177" s="127" t="str">
        <f t="shared" si="5"/>
        <v>Version 5.0</v>
      </c>
      <c r="M177" s="128">
        <f>'Input Misc Measures'!E19</f>
        <v>0</v>
      </c>
      <c r="N177" s="125" t="str">
        <f>'Input Misc Measures'!K19</f>
        <v/>
      </c>
    </row>
    <row r="178" spans="1:14" x14ac:dyDescent="0.2">
      <c r="A178" s="122" t="s">
        <v>408</v>
      </c>
      <c r="B178" s="123">
        <f t="shared" si="7"/>
        <v>0</v>
      </c>
      <c r="C178" s="123">
        <v>16</v>
      </c>
      <c r="D178" s="123" t="str">
        <f>'Input Misc Measures'!C20</f>
        <v/>
      </c>
      <c r="E178" s="123" t="str">
        <f>'Input Misc Measures'!F20</f>
        <v/>
      </c>
      <c r="F178" s="123">
        <f>'Input Misc Measures'!G20</f>
        <v>0</v>
      </c>
      <c r="G178" s="124" t="str">
        <f>'Input Misc Measures'!L20</f>
        <v/>
      </c>
      <c r="H178" s="140" t="str">
        <f>'Input Misc Measures'!M20</f>
        <v/>
      </c>
      <c r="I178" s="126" t="str">
        <f>IFERROR(N178*MIN(Table_Measure_Caps[[#Totals],[Estimated Raw Incentive Total]], Table_Measure_Caps[[#Totals],[Gross Measure Cost Total]], Value_Project_CAP)/Table_Measure_Caps[[#Totals],[Estimated Raw Incentive Total]], "")</f>
        <v/>
      </c>
      <c r="J178" s="126">
        <f>'Input Misc Measures'!H20</f>
        <v>0</v>
      </c>
      <c r="K178" s="123">
        <f>'Input Misc Measures'!I20</f>
        <v>0</v>
      </c>
      <c r="L178" s="127" t="str">
        <f t="shared" si="5"/>
        <v>Version 5.0</v>
      </c>
      <c r="M178" s="128">
        <f>'Input Misc Measures'!E20</f>
        <v>0</v>
      </c>
      <c r="N178" s="125" t="str">
        <f>'Input Misc Measures'!K20</f>
        <v/>
      </c>
    </row>
    <row r="179" spans="1:14" x14ac:dyDescent="0.2">
      <c r="A179" s="122" t="s">
        <v>408</v>
      </c>
      <c r="B179" s="123">
        <f t="shared" si="7"/>
        <v>0</v>
      </c>
      <c r="C179" s="123">
        <v>17</v>
      </c>
      <c r="D179" s="123" t="str">
        <f>'Input Misc Measures'!C21</f>
        <v/>
      </c>
      <c r="E179" s="123" t="str">
        <f>'Input Misc Measures'!F21</f>
        <v/>
      </c>
      <c r="F179" s="123">
        <f>'Input Misc Measures'!G21</f>
        <v>0</v>
      </c>
      <c r="G179" s="124" t="str">
        <f>'Input Misc Measures'!L21</f>
        <v/>
      </c>
      <c r="H179" s="140" t="str">
        <f>'Input Misc Measures'!M21</f>
        <v/>
      </c>
      <c r="I179" s="126" t="str">
        <f>IFERROR(N179*MIN(Table_Measure_Caps[[#Totals],[Estimated Raw Incentive Total]], Table_Measure_Caps[[#Totals],[Gross Measure Cost Total]], Value_Project_CAP)/Table_Measure_Caps[[#Totals],[Estimated Raw Incentive Total]], "")</f>
        <v/>
      </c>
      <c r="J179" s="126">
        <f>'Input Misc Measures'!H21</f>
        <v>0</v>
      </c>
      <c r="K179" s="123">
        <f>'Input Misc Measures'!I21</f>
        <v>0</v>
      </c>
      <c r="L179" s="127" t="str">
        <f t="shared" si="5"/>
        <v>Version 5.0</v>
      </c>
      <c r="M179" s="128">
        <f>'Input Misc Measures'!E21</f>
        <v>0</v>
      </c>
      <c r="N179" s="125" t="str">
        <f>'Input Misc Measures'!K21</f>
        <v/>
      </c>
    </row>
    <row r="180" spans="1:14" x14ac:dyDescent="0.2">
      <c r="A180" s="122" t="s">
        <v>408</v>
      </c>
      <c r="B180" s="123">
        <f t="shared" si="7"/>
        <v>0</v>
      </c>
      <c r="C180" s="123">
        <v>18</v>
      </c>
      <c r="D180" s="123" t="str">
        <f>'Input Misc Measures'!C22</f>
        <v/>
      </c>
      <c r="E180" s="123" t="str">
        <f>'Input Misc Measures'!F22</f>
        <v/>
      </c>
      <c r="F180" s="123">
        <f>'Input Misc Measures'!G22</f>
        <v>0</v>
      </c>
      <c r="G180" s="124" t="str">
        <f>'Input Misc Measures'!L22</f>
        <v/>
      </c>
      <c r="H180" s="140" t="str">
        <f>'Input Misc Measures'!M22</f>
        <v/>
      </c>
      <c r="I180" s="126" t="str">
        <f>IFERROR(N180*MIN(Table_Measure_Caps[[#Totals],[Estimated Raw Incentive Total]], Table_Measure_Caps[[#Totals],[Gross Measure Cost Total]], Value_Project_CAP)/Table_Measure_Caps[[#Totals],[Estimated Raw Incentive Total]], "")</f>
        <v/>
      </c>
      <c r="J180" s="126">
        <f>'Input Misc Measures'!H22</f>
        <v>0</v>
      </c>
      <c r="K180" s="123">
        <f>'Input Misc Measures'!I22</f>
        <v>0</v>
      </c>
      <c r="L180" s="127" t="str">
        <f t="shared" si="5"/>
        <v>Version 5.0</v>
      </c>
      <c r="M180" s="128">
        <f>'Input Misc Measures'!E22</f>
        <v>0</v>
      </c>
      <c r="N180" s="125" t="str">
        <f>'Input Misc Measures'!K22</f>
        <v/>
      </c>
    </row>
    <row r="181" spans="1:14" x14ac:dyDescent="0.2">
      <c r="A181" s="122" t="s">
        <v>408</v>
      </c>
      <c r="B181" s="123">
        <f t="shared" si="7"/>
        <v>0</v>
      </c>
      <c r="C181" s="123">
        <v>19</v>
      </c>
      <c r="D181" s="123" t="str">
        <f>'Input Misc Measures'!C23</f>
        <v/>
      </c>
      <c r="E181" s="123" t="str">
        <f>'Input Misc Measures'!F23</f>
        <v/>
      </c>
      <c r="F181" s="123">
        <f>'Input Misc Measures'!G23</f>
        <v>0</v>
      </c>
      <c r="G181" s="124" t="str">
        <f>'Input Misc Measures'!L23</f>
        <v/>
      </c>
      <c r="H181" s="140" t="str">
        <f>'Input Misc Measures'!M23</f>
        <v/>
      </c>
      <c r="I181" s="126" t="str">
        <f>IFERROR(N181*MIN(Table_Measure_Caps[[#Totals],[Estimated Raw Incentive Total]], Table_Measure_Caps[[#Totals],[Gross Measure Cost Total]], Value_Project_CAP)/Table_Measure_Caps[[#Totals],[Estimated Raw Incentive Total]], "")</f>
        <v/>
      </c>
      <c r="J181" s="126">
        <f>'Input Misc Measures'!H23</f>
        <v>0</v>
      </c>
      <c r="K181" s="123">
        <f>'Input Misc Measures'!I23</f>
        <v>0</v>
      </c>
      <c r="L181" s="127" t="str">
        <f t="shared" si="5"/>
        <v>Version 5.0</v>
      </c>
      <c r="M181" s="128">
        <f>'Input Misc Measures'!E23</f>
        <v>0</v>
      </c>
      <c r="N181" s="125" t="str">
        <f>'Input Misc Measures'!K23</f>
        <v/>
      </c>
    </row>
    <row r="182" spans="1:14" x14ac:dyDescent="0.2">
      <c r="A182" s="122" t="s">
        <v>408</v>
      </c>
      <c r="B182" s="123">
        <f t="shared" si="7"/>
        <v>0</v>
      </c>
      <c r="C182" s="123">
        <v>20</v>
      </c>
      <c r="D182" s="123" t="str">
        <f>'Input Misc Measures'!C24</f>
        <v/>
      </c>
      <c r="E182" s="123" t="str">
        <f>'Input Misc Measures'!F24</f>
        <v/>
      </c>
      <c r="F182" s="123">
        <f>'Input Misc Measures'!G24</f>
        <v>0</v>
      </c>
      <c r="G182" s="124" t="str">
        <f>'Input Misc Measures'!L24</f>
        <v/>
      </c>
      <c r="H182" s="140" t="str">
        <f>'Input Misc Measures'!M24</f>
        <v/>
      </c>
      <c r="I182" s="126" t="str">
        <f>IFERROR(N182*MIN(Table_Measure_Caps[[#Totals],[Estimated Raw Incentive Total]], Table_Measure_Caps[[#Totals],[Gross Measure Cost Total]], Value_Project_CAP)/Table_Measure_Caps[[#Totals],[Estimated Raw Incentive Total]], "")</f>
        <v/>
      </c>
      <c r="J182" s="126">
        <f>'Input Misc Measures'!H24</f>
        <v>0</v>
      </c>
      <c r="K182" s="123">
        <f>'Input Misc Measures'!I24</f>
        <v>0</v>
      </c>
      <c r="L182" s="127" t="str">
        <f t="shared" si="5"/>
        <v>Version 5.0</v>
      </c>
      <c r="M182" s="128">
        <f>'Input Misc Measures'!E24</f>
        <v>0</v>
      </c>
      <c r="N182" s="125" t="str">
        <f>'Input Misc Measures'!K24</f>
        <v/>
      </c>
    </row>
    <row r="183" spans="1:14" x14ac:dyDescent="0.2">
      <c r="A183" s="122" t="s">
        <v>408</v>
      </c>
      <c r="B183" s="123">
        <f t="shared" si="7"/>
        <v>0</v>
      </c>
      <c r="C183" s="123">
        <v>21</v>
      </c>
      <c r="D183" s="123" t="str">
        <f>'Input Misc Measures'!C25</f>
        <v/>
      </c>
      <c r="E183" s="123" t="str">
        <f>'Input Misc Measures'!F25</f>
        <v/>
      </c>
      <c r="F183" s="123">
        <f>'Input Misc Measures'!G25</f>
        <v>0</v>
      </c>
      <c r="G183" s="124" t="str">
        <f>'Input Misc Measures'!L25</f>
        <v/>
      </c>
      <c r="H183" s="140" t="str">
        <f>'Input Misc Measures'!M25</f>
        <v/>
      </c>
      <c r="I183" s="126" t="str">
        <f>IFERROR(N183*MIN(Table_Measure_Caps[[#Totals],[Estimated Raw Incentive Total]], Table_Measure_Caps[[#Totals],[Gross Measure Cost Total]], Value_Project_CAP)/Table_Measure_Caps[[#Totals],[Estimated Raw Incentive Total]], "")</f>
        <v/>
      </c>
      <c r="J183" s="126">
        <f>'Input Misc Measures'!H25</f>
        <v>0</v>
      </c>
      <c r="K183" s="123">
        <f>'Input Misc Measures'!I25</f>
        <v>0</v>
      </c>
      <c r="L183" s="127" t="str">
        <f t="shared" si="5"/>
        <v>Version 5.0</v>
      </c>
      <c r="M183" s="128">
        <f>'Input Misc Measures'!E25</f>
        <v>0</v>
      </c>
      <c r="N183" s="125" t="str">
        <f>'Input Misc Measures'!K25</f>
        <v/>
      </c>
    </row>
    <row r="184" spans="1:14" x14ac:dyDescent="0.2">
      <c r="A184" s="122" t="s">
        <v>408</v>
      </c>
      <c r="B184" s="123">
        <f t="shared" si="7"/>
        <v>0</v>
      </c>
      <c r="C184" s="123">
        <v>22</v>
      </c>
      <c r="D184" s="123" t="str">
        <f>'Input Misc Measures'!C26</f>
        <v/>
      </c>
      <c r="E184" s="123" t="str">
        <f>'Input Misc Measures'!F26</f>
        <v/>
      </c>
      <c r="F184" s="123">
        <f>'Input Misc Measures'!G26</f>
        <v>0</v>
      </c>
      <c r="G184" s="124" t="str">
        <f>'Input Misc Measures'!L26</f>
        <v/>
      </c>
      <c r="H184" s="140" t="str">
        <f>'Input Misc Measures'!M26</f>
        <v/>
      </c>
      <c r="I184" s="126" t="str">
        <f>IFERROR(N184*MIN(Table_Measure_Caps[[#Totals],[Estimated Raw Incentive Total]], Table_Measure_Caps[[#Totals],[Gross Measure Cost Total]], Value_Project_CAP)/Table_Measure_Caps[[#Totals],[Estimated Raw Incentive Total]], "")</f>
        <v/>
      </c>
      <c r="J184" s="126">
        <f>'Input Misc Measures'!H26</f>
        <v>0</v>
      </c>
      <c r="K184" s="123">
        <f>'Input Misc Measures'!I26</f>
        <v>0</v>
      </c>
      <c r="L184" s="127" t="str">
        <f t="shared" si="5"/>
        <v>Version 5.0</v>
      </c>
      <c r="M184" s="128">
        <f>'Input Misc Measures'!E26</f>
        <v>0</v>
      </c>
      <c r="N184" s="125" t="str">
        <f>'Input Misc Measures'!K26</f>
        <v/>
      </c>
    </row>
    <row r="185" spans="1:14" x14ac:dyDescent="0.2">
      <c r="A185" s="122" t="s">
        <v>408</v>
      </c>
      <c r="B185" s="123">
        <f t="shared" si="7"/>
        <v>0</v>
      </c>
      <c r="C185" s="123">
        <v>23</v>
      </c>
      <c r="D185" s="123" t="str">
        <f>'Input Misc Measures'!C27</f>
        <v/>
      </c>
      <c r="E185" s="123" t="str">
        <f>'Input Misc Measures'!F27</f>
        <v/>
      </c>
      <c r="F185" s="123">
        <f>'Input Misc Measures'!G27</f>
        <v>0</v>
      </c>
      <c r="G185" s="124" t="str">
        <f>'Input Misc Measures'!L27</f>
        <v/>
      </c>
      <c r="H185" s="140" t="str">
        <f>'Input Misc Measures'!M27</f>
        <v/>
      </c>
      <c r="I185" s="126" t="str">
        <f>IFERROR(N185*MIN(Table_Measure_Caps[[#Totals],[Estimated Raw Incentive Total]], Table_Measure_Caps[[#Totals],[Gross Measure Cost Total]], Value_Project_CAP)/Table_Measure_Caps[[#Totals],[Estimated Raw Incentive Total]], "")</f>
        <v/>
      </c>
      <c r="J185" s="126">
        <f>'Input Misc Measures'!H27</f>
        <v>0</v>
      </c>
      <c r="K185" s="123">
        <f>'Input Misc Measures'!I27</f>
        <v>0</v>
      </c>
      <c r="L185" s="127" t="str">
        <f t="shared" si="5"/>
        <v>Version 5.0</v>
      </c>
      <c r="M185" s="128">
        <f>'Input Misc Measures'!E27</f>
        <v>0</v>
      </c>
      <c r="N185" s="125" t="str">
        <f>'Input Misc Measures'!K27</f>
        <v/>
      </c>
    </row>
    <row r="186" spans="1:14" x14ac:dyDescent="0.2">
      <c r="A186" s="122" t="s">
        <v>408</v>
      </c>
      <c r="B186" s="123">
        <f t="shared" si="7"/>
        <v>0</v>
      </c>
      <c r="C186" s="123">
        <v>24</v>
      </c>
      <c r="D186" s="123" t="str">
        <f>'Input Misc Measures'!C28</f>
        <v/>
      </c>
      <c r="E186" s="123" t="str">
        <f>'Input Misc Measures'!F28</f>
        <v/>
      </c>
      <c r="F186" s="123">
        <f>'Input Misc Measures'!G28</f>
        <v>0</v>
      </c>
      <c r="G186" s="124" t="str">
        <f>'Input Misc Measures'!L28</f>
        <v/>
      </c>
      <c r="H186" s="140" t="str">
        <f>'Input Misc Measures'!M28</f>
        <v/>
      </c>
      <c r="I186" s="126" t="str">
        <f>IFERROR(N186*MIN(Table_Measure_Caps[[#Totals],[Estimated Raw Incentive Total]], Table_Measure_Caps[[#Totals],[Gross Measure Cost Total]], Value_Project_CAP)/Table_Measure_Caps[[#Totals],[Estimated Raw Incentive Total]], "")</f>
        <v/>
      </c>
      <c r="J186" s="126">
        <f>'Input Misc Measures'!H28</f>
        <v>0</v>
      </c>
      <c r="K186" s="123">
        <f>'Input Misc Measures'!I28</f>
        <v>0</v>
      </c>
      <c r="L186" s="127" t="str">
        <f t="shared" si="5"/>
        <v>Version 5.0</v>
      </c>
      <c r="M186" s="128">
        <f>'Input Misc Measures'!E28</f>
        <v>0</v>
      </c>
      <c r="N186" s="125" t="str">
        <f>'Input Misc Measures'!K28</f>
        <v/>
      </c>
    </row>
    <row r="187" spans="1:14" x14ac:dyDescent="0.2">
      <c r="A187" s="122" t="s">
        <v>408</v>
      </c>
      <c r="B187" s="123">
        <f t="shared" si="7"/>
        <v>0</v>
      </c>
      <c r="C187" s="123">
        <v>25</v>
      </c>
      <c r="D187" s="123" t="str">
        <f>'Input Misc Measures'!C29</f>
        <v/>
      </c>
      <c r="E187" s="123" t="str">
        <f>'Input Misc Measures'!F29</f>
        <v/>
      </c>
      <c r="F187" s="123">
        <f>'Input Misc Measures'!G29</f>
        <v>0</v>
      </c>
      <c r="G187" s="124" t="str">
        <f>'Input Misc Measures'!L29</f>
        <v/>
      </c>
      <c r="H187" s="140" t="str">
        <f>'Input Misc Measures'!M29</f>
        <v/>
      </c>
      <c r="I187" s="126" t="str">
        <f>IFERROR(N187*MIN(Table_Measure_Caps[[#Totals],[Estimated Raw Incentive Total]], Table_Measure_Caps[[#Totals],[Gross Measure Cost Total]], Value_Project_CAP)/Table_Measure_Caps[[#Totals],[Estimated Raw Incentive Total]], "")</f>
        <v/>
      </c>
      <c r="J187" s="126">
        <f>'Input Misc Measures'!H29</f>
        <v>0</v>
      </c>
      <c r="K187" s="123">
        <f>'Input Misc Measures'!I29</f>
        <v>0</v>
      </c>
      <c r="L187" s="127" t="str">
        <f t="shared" si="5"/>
        <v>Version 5.0</v>
      </c>
      <c r="M187" s="128">
        <f>'Input Misc Measures'!E29</f>
        <v>0</v>
      </c>
      <c r="N187" s="125" t="str">
        <f>'Input Misc Measures'!K29</f>
        <v/>
      </c>
    </row>
    <row r="188" spans="1:14" x14ac:dyDescent="0.2">
      <c r="A188" s="122" t="s">
        <v>408</v>
      </c>
      <c r="B188" s="123">
        <f t="shared" si="7"/>
        <v>0</v>
      </c>
      <c r="C188" s="123">
        <v>26</v>
      </c>
      <c r="D188" s="123" t="str">
        <f>'Input Misc Measures'!C30</f>
        <v/>
      </c>
      <c r="E188" s="123" t="str">
        <f>'Input Misc Measures'!F30</f>
        <v/>
      </c>
      <c r="F188" s="123">
        <f>'Input Misc Measures'!G30</f>
        <v>0</v>
      </c>
      <c r="G188" s="124" t="str">
        <f>'Input Misc Measures'!L30</f>
        <v/>
      </c>
      <c r="H188" s="140" t="str">
        <f>'Input Misc Measures'!M30</f>
        <v/>
      </c>
      <c r="I188" s="126" t="str">
        <f>IFERROR(N188*MIN(Table_Measure_Caps[[#Totals],[Estimated Raw Incentive Total]], Table_Measure_Caps[[#Totals],[Gross Measure Cost Total]], Value_Project_CAP)/Table_Measure_Caps[[#Totals],[Estimated Raw Incentive Total]], "")</f>
        <v/>
      </c>
      <c r="J188" s="126">
        <f>'Input Misc Measures'!H30</f>
        <v>0</v>
      </c>
      <c r="K188" s="123">
        <f>'Input Misc Measures'!I30</f>
        <v>0</v>
      </c>
      <c r="L188" s="127" t="str">
        <f t="shared" si="5"/>
        <v>Version 5.0</v>
      </c>
      <c r="M188" s="128">
        <f>'Input Misc Measures'!E30</f>
        <v>0</v>
      </c>
      <c r="N188" s="125" t="str">
        <f>'Input Misc Measures'!K30</f>
        <v/>
      </c>
    </row>
    <row r="189" spans="1:14" x14ac:dyDescent="0.2">
      <c r="A189" s="122" t="s">
        <v>408</v>
      </c>
      <c r="B189" s="123">
        <f t="shared" si="7"/>
        <v>0</v>
      </c>
      <c r="C189" s="123">
        <v>27</v>
      </c>
      <c r="D189" s="123" t="str">
        <f>'Input Misc Measures'!C31</f>
        <v/>
      </c>
      <c r="E189" s="123" t="str">
        <f>'Input Misc Measures'!F31</f>
        <v/>
      </c>
      <c r="F189" s="123">
        <f>'Input Misc Measures'!G31</f>
        <v>0</v>
      </c>
      <c r="G189" s="124" t="str">
        <f>'Input Misc Measures'!L31</f>
        <v/>
      </c>
      <c r="H189" s="140" t="str">
        <f>'Input Misc Measures'!M31</f>
        <v/>
      </c>
      <c r="I189" s="126" t="str">
        <f>IFERROR(N189*MIN(Table_Measure_Caps[[#Totals],[Estimated Raw Incentive Total]], Table_Measure_Caps[[#Totals],[Gross Measure Cost Total]], Value_Project_CAP)/Table_Measure_Caps[[#Totals],[Estimated Raw Incentive Total]], "")</f>
        <v/>
      </c>
      <c r="J189" s="126">
        <f>'Input Misc Measures'!H31</f>
        <v>0</v>
      </c>
      <c r="K189" s="123">
        <f>'Input Misc Measures'!I31</f>
        <v>0</v>
      </c>
      <c r="L189" s="127" t="str">
        <f t="shared" si="5"/>
        <v>Version 5.0</v>
      </c>
      <c r="M189" s="128">
        <f>'Input Misc Measures'!E31</f>
        <v>0</v>
      </c>
      <c r="N189" s="125" t="str">
        <f>'Input Misc Measures'!K31</f>
        <v/>
      </c>
    </row>
    <row r="190" spans="1:14" x14ac:dyDescent="0.2">
      <c r="A190" s="122" t="s">
        <v>408</v>
      </c>
      <c r="B190" s="123">
        <f t="shared" si="7"/>
        <v>0</v>
      </c>
      <c r="C190" s="123">
        <v>28</v>
      </c>
      <c r="D190" s="123" t="str">
        <f>'Input Misc Measures'!C32</f>
        <v/>
      </c>
      <c r="E190" s="123" t="str">
        <f>'Input Misc Measures'!F32</f>
        <v/>
      </c>
      <c r="F190" s="123">
        <f>'Input Misc Measures'!G32</f>
        <v>0</v>
      </c>
      <c r="G190" s="124" t="str">
        <f>'Input Misc Measures'!L32</f>
        <v/>
      </c>
      <c r="H190" s="140" t="str">
        <f>'Input Misc Measures'!M32</f>
        <v/>
      </c>
      <c r="I190" s="126" t="str">
        <f>IFERROR(N190*MIN(Table_Measure_Caps[[#Totals],[Estimated Raw Incentive Total]], Table_Measure_Caps[[#Totals],[Gross Measure Cost Total]], Value_Project_CAP)/Table_Measure_Caps[[#Totals],[Estimated Raw Incentive Total]], "")</f>
        <v/>
      </c>
      <c r="J190" s="126">
        <f>'Input Misc Measures'!H32</f>
        <v>0</v>
      </c>
      <c r="K190" s="123">
        <f>'Input Misc Measures'!I32</f>
        <v>0</v>
      </c>
      <c r="L190" s="127" t="str">
        <f t="shared" si="5"/>
        <v>Version 5.0</v>
      </c>
      <c r="M190" s="128">
        <f>'Input Misc Measures'!E32</f>
        <v>0</v>
      </c>
      <c r="N190" s="125" t="str">
        <f>'Input Misc Measures'!K32</f>
        <v/>
      </c>
    </row>
    <row r="191" spans="1:14" x14ac:dyDescent="0.2">
      <c r="A191" s="122" t="s">
        <v>408</v>
      </c>
      <c r="B191" s="123">
        <f t="shared" si="7"/>
        <v>0</v>
      </c>
      <c r="C191" s="123">
        <v>29</v>
      </c>
      <c r="D191" s="123" t="str">
        <f>'Input Misc Measures'!C33</f>
        <v/>
      </c>
      <c r="E191" s="123" t="str">
        <f>'Input Misc Measures'!F33</f>
        <v/>
      </c>
      <c r="F191" s="123">
        <f>'Input Misc Measures'!G33</f>
        <v>0</v>
      </c>
      <c r="G191" s="124" t="str">
        <f>'Input Misc Measures'!L33</f>
        <v/>
      </c>
      <c r="H191" s="140" t="str">
        <f>'Input Misc Measures'!M33</f>
        <v/>
      </c>
      <c r="I191" s="126" t="str">
        <f>IFERROR(N191*MIN(Table_Measure_Caps[[#Totals],[Estimated Raw Incentive Total]], Table_Measure_Caps[[#Totals],[Gross Measure Cost Total]], Value_Project_CAP)/Table_Measure_Caps[[#Totals],[Estimated Raw Incentive Total]], "")</f>
        <v/>
      </c>
      <c r="J191" s="126">
        <f>'Input Misc Measures'!H33</f>
        <v>0</v>
      </c>
      <c r="K191" s="123">
        <f>'Input Misc Measures'!I33</f>
        <v>0</v>
      </c>
      <c r="L191" s="127" t="str">
        <f t="shared" si="5"/>
        <v>Version 5.0</v>
      </c>
      <c r="M191" s="128">
        <f>'Input Misc Measures'!E33</f>
        <v>0</v>
      </c>
      <c r="N191" s="125" t="str">
        <f>'Input Misc Measures'!K33</f>
        <v/>
      </c>
    </row>
    <row r="192" spans="1:14" x14ac:dyDescent="0.2">
      <c r="A192" s="122" t="s">
        <v>408</v>
      </c>
      <c r="B192" s="123">
        <f t="shared" si="7"/>
        <v>0</v>
      </c>
      <c r="C192" s="123">
        <v>30</v>
      </c>
      <c r="D192" s="123" t="str">
        <f>'Input Misc Measures'!C34</f>
        <v/>
      </c>
      <c r="E192" s="123" t="str">
        <f>'Input Misc Measures'!F34</f>
        <v/>
      </c>
      <c r="F192" s="123">
        <f>'Input Misc Measures'!G34</f>
        <v>0</v>
      </c>
      <c r="G192" s="124" t="str">
        <f>'Input Misc Measures'!L34</f>
        <v/>
      </c>
      <c r="H192" s="140" t="str">
        <f>'Input Misc Measures'!M34</f>
        <v/>
      </c>
      <c r="I192" s="126" t="str">
        <f>IFERROR(N192*MIN(Table_Measure_Caps[[#Totals],[Estimated Raw Incentive Total]], Table_Measure_Caps[[#Totals],[Gross Measure Cost Total]], Value_Project_CAP)/Table_Measure_Caps[[#Totals],[Estimated Raw Incentive Total]], "")</f>
        <v/>
      </c>
      <c r="J192" s="126">
        <f>'Input Misc Measures'!H34</f>
        <v>0</v>
      </c>
      <c r="K192" s="123">
        <f>'Input Misc Measures'!I34</f>
        <v>0</v>
      </c>
      <c r="L192" s="127" t="str">
        <f t="shared" si="5"/>
        <v>Version 5.0</v>
      </c>
      <c r="M192" s="128">
        <f>'Input Misc Measures'!E34</f>
        <v>0</v>
      </c>
      <c r="N192" s="125" t="str">
        <f>'Input Misc Measures'!K34</f>
        <v/>
      </c>
    </row>
    <row r="193" spans="1:14" x14ac:dyDescent="0.2">
      <c r="A193" s="129" t="s">
        <v>409</v>
      </c>
      <c r="B193" s="130">
        <f t="shared" si="7"/>
        <v>0</v>
      </c>
      <c r="C193" s="130">
        <v>1</v>
      </c>
      <c r="D193" s="130" t="str">
        <f>'Input Custom Measures'!C5</f>
        <v/>
      </c>
      <c r="E193" s="130"/>
      <c r="F193" s="130"/>
      <c r="G193" s="131" t="str">
        <f>'Input Custom Measures'!S5</f>
        <v/>
      </c>
      <c r="H193" s="141" t="str">
        <f>'Input Custom Measures'!T5</f>
        <v/>
      </c>
      <c r="I193" s="133" t="str">
        <f>IFERROR(N193*MIN(Table_Measure_Caps[[#Totals],[Estimated Raw Incentive Total]], Table_Measure_Caps[[#Totals],[Gross Measure Cost Total]], Value_Project_CAP)/Table_Measure_Caps[[#Totals],[Estimated Raw Incentive Total]], "")</f>
        <v/>
      </c>
      <c r="J193" s="133">
        <f>'Input Custom Measures'!P5</f>
        <v>0</v>
      </c>
      <c r="K193" s="130">
        <f>'Input Custom Measures'!Q5</f>
        <v>0</v>
      </c>
      <c r="L193" s="134" t="str">
        <f t="shared" si="5"/>
        <v>Version 5.0</v>
      </c>
      <c r="M193" s="135">
        <f>'Input Custom Measures'!G5</f>
        <v>0</v>
      </c>
      <c r="N193" s="132" t="str">
        <f>'Input Custom Measures'!R5</f>
        <v/>
      </c>
    </row>
    <row r="194" spans="1:14" x14ac:dyDescent="0.2">
      <c r="A194" s="129" t="s">
        <v>409</v>
      </c>
      <c r="B194" s="130">
        <f t="shared" si="7"/>
        <v>0</v>
      </c>
      <c r="C194" s="130">
        <v>2</v>
      </c>
      <c r="D194" s="130" t="str">
        <f>'Input Custom Measures'!C6</f>
        <v/>
      </c>
      <c r="E194" s="130"/>
      <c r="F194" s="130"/>
      <c r="G194" s="131" t="str">
        <f>'Input Custom Measures'!S6</f>
        <v/>
      </c>
      <c r="H194" s="141" t="str">
        <f>'Input Custom Measures'!T6</f>
        <v/>
      </c>
      <c r="I194" s="133" t="str">
        <f>IFERROR(N194*MIN(Table_Measure_Caps[[#Totals],[Estimated Raw Incentive Total]], Table_Measure_Caps[[#Totals],[Gross Measure Cost Total]], Value_Project_CAP)/Table_Measure_Caps[[#Totals],[Estimated Raw Incentive Total]], "")</f>
        <v/>
      </c>
      <c r="J194" s="133">
        <f>'Input Custom Measures'!P6</f>
        <v>0</v>
      </c>
      <c r="K194" s="130">
        <f>'Input Custom Measures'!Q6</f>
        <v>0</v>
      </c>
      <c r="L194" s="134" t="str">
        <f t="shared" ref="L194:L212" si="8">Value_Application_Version</f>
        <v>Version 5.0</v>
      </c>
      <c r="M194" s="135">
        <f>'Input Custom Measures'!G6</f>
        <v>0</v>
      </c>
      <c r="N194" s="132" t="str">
        <f>'Input Custom Measures'!R6</f>
        <v/>
      </c>
    </row>
    <row r="195" spans="1:14" x14ac:dyDescent="0.2">
      <c r="A195" s="129" t="s">
        <v>409</v>
      </c>
      <c r="B195" s="130">
        <f t="shared" si="7"/>
        <v>0</v>
      </c>
      <c r="C195" s="130">
        <v>3</v>
      </c>
      <c r="D195" s="130" t="str">
        <f>'Input Custom Measures'!C7</f>
        <v/>
      </c>
      <c r="E195" s="130"/>
      <c r="F195" s="130"/>
      <c r="G195" s="131" t="str">
        <f>'Input Custom Measures'!S7</f>
        <v/>
      </c>
      <c r="H195" s="141" t="str">
        <f>'Input Custom Measures'!T7</f>
        <v/>
      </c>
      <c r="I195" s="133" t="str">
        <f>IFERROR(N195*MIN(Table_Measure_Caps[[#Totals],[Estimated Raw Incentive Total]], Table_Measure_Caps[[#Totals],[Gross Measure Cost Total]], Value_Project_CAP)/Table_Measure_Caps[[#Totals],[Estimated Raw Incentive Total]], "")</f>
        <v/>
      </c>
      <c r="J195" s="133">
        <f>'Input Custom Measures'!P7</f>
        <v>0</v>
      </c>
      <c r="K195" s="130">
        <f>'Input Custom Measures'!Q7</f>
        <v>0</v>
      </c>
      <c r="L195" s="134" t="str">
        <f t="shared" si="8"/>
        <v>Version 5.0</v>
      </c>
      <c r="M195" s="135">
        <f>'Input Custom Measures'!G7</f>
        <v>0</v>
      </c>
      <c r="N195" s="132" t="str">
        <f>'Input Custom Measures'!R7</f>
        <v/>
      </c>
    </row>
    <row r="196" spans="1:14" x14ac:dyDescent="0.2">
      <c r="A196" s="129" t="s">
        <v>409</v>
      </c>
      <c r="B196" s="130">
        <f t="shared" si="7"/>
        <v>0</v>
      </c>
      <c r="C196" s="130">
        <v>4</v>
      </c>
      <c r="D196" s="130" t="str">
        <f>'Input Custom Measures'!C8</f>
        <v/>
      </c>
      <c r="E196" s="130"/>
      <c r="F196" s="130"/>
      <c r="G196" s="131" t="str">
        <f>'Input Custom Measures'!S8</f>
        <v/>
      </c>
      <c r="H196" s="141" t="str">
        <f>'Input Custom Measures'!T8</f>
        <v/>
      </c>
      <c r="I196" s="133" t="str">
        <f>IFERROR(N196*MIN(Table_Measure_Caps[[#Totals],[Estimated Raw Incentive Total]], Table_Measure_Caps[[#Totals],[Gross Measure Cost Total]], Value_Project_CAP)/Table_Measure_Caps[[#Totals],[Estimated Raw Incentive Total]], "")</f>
        <v/>
      </c>
      <c r="J196" s="133">
        <f>'Input Custom Measures'!P8</f>
        <v>0</v>
      </c>
      <c r="K196" s="130">
        <f>'Input Custom Measures'!Q8</f>
        <v>0</v>
      </c>
      <c r="L196" s="134" t="str">
        <f t="shared" si="8"/>
        <v>Version 5.0</v>
      </c>
      <c r="M196" s="135">
        <f>'Input Custom Measures'!G8</f>
        <v>0</v>
      </c>
      <c r="N196" s="132" t="str">
        <f>'Input Custom Measures'!R8</f>
        <v/>
      </c>
    </row>
    <row r="197" spans="1:14" x14ac:dyDescent="0.2">
      <c r="A197" s="129" t="s">
        <v>409</v>
      </c>
      <c r="B197" s="130">
        <f t="shared" ref="B197:B212" si="9">Input_ProjectNumber</f>
        <v>0</v>
      </c>
      <c r="C197" s="130">
        <v>5</v>
      </c>
      <c r="D197" s="130" t="str">
        <f>'Input Custom Measures'!C9</f>
        <v/>
      </c>
      <c r="E197" s="130"/>
      <c r="F197" s="130"/>
      <c r="G197" s="131" t="str">
        <f>'Input Custom Measures'!S9</f>
        <v/>
      </c>
      <c r="H197" s="141" t="str">
        <f>'Input Custom Measures'!T9</f>
        <v/>
      </c>
      <c r="I197" s="133" t="str">
        <f>IFERROR(N197*MIN(Table_Measure_Caps[[#Totals],[Estimated Raw Incentive Total]], Table_Measure_Caps[[#Totals],[Gross Measure Cost Total]], Value_Project_CAP)/Table_Measure_Caps[[#Totals],[Estimated Raw Incentive Total]], "")</f>
        <v/>
      </c>
      <c r="J197" s="133">
        <f>'Input Custom Measures'!P9</f>
        <v>0</v>
      </c>
      <c r="K197" s="130">
        <f>'Input Custom Measures'!Q9</f>
        <v>0</v>
      </c>
      <c r="L197" s="134" t="str">
        <f t="shared" si="8"/>
        <v>Version 5.0</v>
      </c>
      <c r="M197" s="135">
        <f>'Input Custom Measures'!G9</f>
        <v>0</v>
      </c>
      <c r="N197" s="132" t="str">
        <f>'Input Custom Measures'!R9</f>
        <v/>
      </c>
    </row>
    <row r="198" spans="1:14" x14ac:dyDescent="0.2">
      <c r="A198" s="129" t="s">
        <v>409</v>
      </c>
      <c r="B198" s="130">
        <f t="shared" si="9"/>
        <v>0</v>
      </c>
      <c r="C198" s="130">
        <v>6</v>
      </c>
      <c r="D198" s="130" t="str">
        <f>'Input Custom Measures'!C10</f>
        <v/>
      </c>
      <c r="E198" s="130"/>
      <c r="F198" s="130"/>
      <c r="G198" s="131" t="str">
        <f>'Input Custom Measures'!S10</f>
        <v/>
      </c>
      <c r="H198" s="141" t="str">
        <f>'Input Custom Measures'!T10</f>
        <v/>
      </c>
      <c r="I198" s="133" t="str">
        <f>IFERROR(N198*MIN(Table_Measure_Caps[[#Totals],[Estimated Raw Incentive Total]], Table_Measure_Caps[[#Totals],[Gross Measure Cost Total]], Value_Project_CAP)/Table_Measure_Caps[[#Totals],[Estimated Raw Incentive Total]], "")</f>
        <v/>
      </c>
      <c r="J198" s="133">
        <f>'Input Custom Measures'!P10</f>
        <v>0</v>
      </c>
      <c r="K198" s="130">
        <f>'Input Custom Measures'!Q10</f>
        <v>0</v>
      </c>
      <c r="L198" s="134" t="str">
        <f t="shared" si="8"/>
        <v>Version 5.0</v>
      </c>
      <c r="M198" s="135">
        <f>'Input Custom Measures'!G10</f>
        <v>0</v>
      </c>
      <c r="N198" s="132" t="str">
        <f>'Input Custom Measures'!R10</f>
        <v/>
      </c>
    </row>
    <row r="199" spans="1:14" x14ac:dyDescent="0.2">
      <c r="A199" s="129" t="s">
        <v>409</v>
      </c>
      <c r="B199" s="130">
        <f t="shared" si="9"/>
        <v>0</v>
      </c>
      <c r="C199" s="130">
        <v>7</v>
      </c>
      <c r="D199" s="130" t="str">
        <f>'Input Custom Measures'!C11</f>
        <v/>
      </c>
      <c r="E199" s="130"/>
      <c r="F199" s="130"/>
      <c r="G199" s="131" t="str">
        <f>'Input Custom Measures'!S11</f>
        <v/>
      </c>
      <c r="H199" s="141" t="str">
        <f>'Input Custom Measures'!T11</f>
        <v/>
      </c>
      <c r="I199" s="133" t="str">
        <f>IFERROR(N199*MIN(Table_Measure_Caps[[#Totals],[Estimated Raw Incentive Total]], Table_Measure_Caps[[#Totals],[Gross Measure Cost Total]], Value_Project_CAP)/Table_Measure_Caps[[#Totals],[Estimated Raw Incentive Total]], "")</f>
        <v/>
      </c>
      <c r="J199" s="133">
        <f>'Input Custom Measures'!P11</f>
        <v>0</v>
      </c>
      <c r="K199" s="130">
        <f>'Input Custom Measures'!Q11</f>
        <v>0</v>
      </c>
      <c r="L199" s="134" t="str">
        <f t="shared" si="8"/>
        <v>Version 5.0</v>
      </c>
      <c r="M199" s="135">
        <f>'Input Custom Measures'!G11</f>
        <v>0</v>
      </c>
      <c r="N199" s="132" t="str">
        <f>'Input Custom Measures'!R11</f>
        <v/>
      </c>
    </row>
    <row r="200" spans="1:14" x14ac:dyDescent="0.2">
      <c r="A200" s="129" t="s">
        <v>409</v>
      </c>
      <c r="B200" s="130">
        <f t="shared" si="9"/>
        <v>0</v>
      </c>
      <c r="C200" s="130">
        <v>8</v>
      </c>
      <c r="D200" s="130" t="str">
        <f>'Input Custom Measures'!C12</f>
        <v/>
      </c>
      <c r="E200" s="130"/>
      <c r="F200" s="130"/>
      <c r="G200" s="131" t="str">
        <f>'Input Custom Measures'!S12</f>
        <v/>
      </c>
      <c r="H200" s="141" t="str">
        <f>'Input Custom Measures'!T12</f>
        <v/>
      </c>
      <c r="I200" s="133" t="str">
        <f>IFERROR(N200*MIN(Table_Measure_Caps[[#Totals],[Estimated Raw Incentive Total]], Table_Measure_Caps[[#Totals],[Gross Measure Cost Total]], Value_Project_CAP)/Table_Measure_Caps[[#Totals],[Estimated Raw Incentive Total]], "")</f>
        <v/>
      </c>
      <c r="J200" s="133">
        <f>'Input Custom Measures'!P12</f>
        <v>0</v>
      </c>
      <c r="K200" s="130">
        <f>'Input Custom Measures'!Q12</f>
        <v>0</v>
      </c>
      <c r="L200" s="134" t="str">
        <f t="shared" si="8"/>
        <v>Version 5.0</v>
      </c>
      <c r="M200" s="135">
        <f>'Input Custom Measures'!G12</f>
        <v>0</v>
      </c>
      <c r="N200" s="132" t="str">
        <f>'Input Custom Measures'!R12</f>
        <v/>
      </c>
    </row>
    <row r="201" spans="1:14" x14ac:dyDescent="0.2">
      <c r="A201" s="129" t="s">
        <v>409</v>
      </c>
      <c r="B201" s="130">
        <f t="shared" si="9"/>
        <v>0</v>
      </c>
      <c r="C201" s="130">
        <v>9</v>
      </c>
      <c r="D201" s="130" t="str">
        <f>'Input Custom Measures'!C13</f>
        <v/>
      </c>
      <c r="E201" s="130"/>
      <c r="F201" s="130"/>
      <c r="G201" s="131" t="str">
        <f>'Input Custom Measures'!S13</f>
        <v/>
      </c>
      <c r="H201" s="141" t="str">
        <f>'Input Custom Measures'!T13</f>
        <v/>
      </c>
      <c r="I201" s="133" t="str">
        <f>IFERROR(N201*MIN(Table_Measure_Caps[[#Totals],[Estimated Raw Incentive Total]], Table_Measure_Caps[[#Totals],[Gross Measure Cost Total]], Value_Project_CAP)/Table_Measure_Caps[[#Totals],[Estimated Raw Incentive Total]], "")</f>
        <v/>
      </c>
      <c r="J201" s="133">
        <f>'Input Custom Measures'!P13</f>
        <v>0</v>
      </c>
      <c r="K201" s="130">
        <f>'Input Custom Measures'!Q13</f>
        <v>0</v>
      </c>
      <c r="L201" s="134" t="str">
        <f t="shared" si="8"/>
        <v>Version 5.0</v>
      </c>
      <c r="M201" s="135">
        <f>'Input Custom Measures'!G13</f>
        <v>0</v>
      </c>
      <c r="N201" s="132" t="str">
        <f>'Input Custom Measures'!R13</f>
        <v/>
      </c>
    </row>
    <row r="202" spans="1:14" x14ac:dyDescent="0.2">
      <c r="A202" s="129" t="s">
        <v>409</v>
      </c>
      <c r="B202" s="130">
        <f t="shared" si="9"/>
        <v>0</v>
      </c>
      <c r="C202" s="130">
        <v>10</v>
      </c>
      <c r="D202" s="130" t="str">
        <f>'Input Custom Measures'!C14</f>
        <v/>
      </c>
      <c r="E202" s="130"/>
      <c r="F202" s="130"/>
      <c r="G202" s="131" t="str">
        <f>'Input Custom Measures'!S14</f>
        <v/>
      </c>
      <c r="H202" s="141" t="str">
        <f>'Input Custom Measures'!T14</f>
        <v/>
      </c>
      <c r="I202" s="133" t="str">
        <f>IFERROR(N202*MIN(Table_Measure_Caps[[#Totals],[Estimated Raw Incentive Total]], Table_Measure_Caps[[#Totals],[Gross Measure Cost Total]], Value_Project_CAP)/Table_Measure_Caps[[#Totals],[Estimated Raw Incentive Total]], "")</f>
        <v/>
      </c>
      <c r="J202" s="133">
        <f>'Input Custom Measures'!P14</f>
        <v>0</v>
      </c>
      <c r="K202" s="130">
        <f>'Input Custom Measures'!Q14</f>
        <v>0</v>
      </c>
      <c r="L202" s="134" t="str">
        <f t="shared" si="8"/>
        <v>Version 5.0</v>
      </c>
      <c r="M202" s="135">
        <f>'Input Custom Measures'!G14</f>
        <v>0</v>
      </c>
      <c r="N202" s="132" t="str">
        <f>'Input Custom Measures'!R14</f>
        <v/>
      </c>
    </row>
    <row r="203" spans="1:14" x14ac:dyDescent="0.2">
      <c r="A203" s="129" t="s">
        <v>409</v>
      </c>
      <c r="B203" s="130">
        <f t="shared" si="9"/>
        <v>0</v>
      </c>
      <c r="C203" s="130">
        <v>11</v>
      </c>
      <c r="D203" s="130" t="str">
        <f>'Input Custom Measures'!C15</f>
        <v/>
      </c>
      <c r="E203" s="130"/>
      <c r="F203" s="130"/>
      <c r="G203" s="131" t="str">
        <f>'Input Custom Measures'!S15</f>
        <v/>
      </c>
      <c r="H203" s="141" t="str">
        <f>'Input Custom Measures'!T15</f>
        <v/>
      </c>
      <c r="I203" s="133" t="str">
        <f>IFERROR(N203*MIN(Table_Measure_Caps[[#Totals],[Estimated Raw Incentive Total]], Table_Measure_Caps[[#Totals],[Gross Measure Cost Total]], Value_Project_CAP)/Table_Measure_Caps[[#Totals],[Estimated Raw Incentive Total]], "")</f>
        <v/>
      </c>
      <c r="J203" s="133">
        <f>'Input Custom Measures'!P15</f>
        <v>0</v>
      </c>
      <c r="K203" s="130">
        <f>'Input Custom Measures'!Q15</f>
        <v>0</v>
      </c>
      <c r="L203" s="134" t="str">
        <f t="shared" si="8"/>
        <v>Version 5.0</v>
      </c>
      <c r="M203" s="135">
        <f>'Input Custom Measures'!G15</f>
        <v>0</v>
      </c>
      <c r="N203" s="132" t="str">
        <f>'Input Custom Measures'!R15</f>
        <v/>
      </c>
    </row>
    <row r="204" spans="1:14" x14ac:dyDescent="0.2">
      <c r="A204" s="129" t="s">
        <v>409</v>
      </c>
      <c r="B204" s="130">
        <f t="shared" si="9"/>
        <v>0</v>
      </c>
      <c r="C204" s="130">
        <v>12</v>
      </c>
      <c r="D204" s="130" t="str">
        <f>'Input Custom Measures'!C16</f>
        <v/>
      </c>
      <c r="E204" s="130"/>
      <c r="F204" s="130"/>
      <c r="G204" s="131" t="str">
        <f>'Input Custom Measures'!S16</f>
        <v/>
      </c>
      <c r="H204" s="141" t="str">
        <f>'Input Custom Measures'!T16</f>
        <v/>
      </c>
      <c r="I204" s="133" t="str">
        <f>IFERROR(N204*MIN(Table_Measure_Caps[[#Totals],[Estimated Raw Incentive Total]], Table_Measure_Caps[[#Totals],[Gross Measure Cost Total]], Value_Project_CAP)/Table_Measure_Caps[[#Totals],[Estimated Raw Incentive Total]], "")</f>
        <v/>
      </c>
      <c r="J204" s="133">
        <f>'Input Custom Measures'!P16</f>
        <v>0</v>
      </c>
      <c r="K204" s="130">
        <f>'Input Custom Measures'!Q16</f>
        <v>0</v>
      </c>
      <c r="L204" s="134" t="str">
        <f t="shared" si="8"/>
        <v>Version 5.0</v>
      </c>
      <c r="M204" s="135">
        <f>'Input Custom Measures'!G16</f>
        <v>0</v>
      </c>
      <c r="N204" s="132" t="str">
        <f>'Input Custom Measures'!R16</f>
        <v/>
      </c>
    </row>
    <row r="205" spans="1:14" x14ac:dyDescent="0.2">
      <c r="A205" s="129" t="s">
        <v>409</v>
      </c>
      <c r="B205" s="130">
        <f t="shared" si="9"/>
        <v>0</v>
      </c>
      <c r="C205" s="130">
        <v>13</v>
      </c>
      <c r="D205" s="130" t="str">
        <f>'Input Custom Measures'!C17</f>
        <v/>
      </c>
      <c r="E205" s="130"/>
      <c r="F205" s="130"/>
      <c r="G205" s="131" t="str">
        <f>'Input Custom Measures'!S17</f>
        <v/>
      </c>
      <c r="H205" s="141" t="str">
        <f>'Input Custom Measures'!T17</f>
        <v/>
      </c>
      <c r="I205" s="133" t="str">
        <f>IFERROR(N205*MIN(Table_Measure_Caps[[#Totals],[Estimated Raw Incentive Total]], Table_Measure_Caps[[#Totals],[Gross Measure Cost Total]], Value_Project_CAP)/Table_Measure_Caps[[#Totals],[Estimated Raw Incentive Total]], "")</f>
        <v/>
      </c>
      <c r="J205" s="133">
        <f>'Input Custom Measures'!P17</f>
        <v>0</v>
      </c>
      <c r="K205" s="130">
        <f>'Input Custom Measures'!Q17</f>
        <v>0</v>
      </c>
      <c r="L205" s="134" t="str">
        <f t="shared" si="8"/>
        <v>Version 5.0</v>
      </c>
      <c r="M205" s="135">
        <f>'Input Custom Measures'!G17</f>
        <v>0</v>
      </c>
      <c r="N205" s="132" t="str">
        <f>'Input Custom Measures'!R17</f>
        <v/>
      </c>
    </row>
    <row r="206" spans="1:14" x14ac:dyDescent="0.2">
      <c r="A206" s="129" t="s">
        <v>409</v>
      </c>
      <c r="B206" s="130">
        <f t="shared" si="9"/>
        <v>0</v>
      </c>
      <c r="C206" s="130">
        <v>14</v>
      </c>
      <c r="D206" s="130" t="str">
        <f>'Input Custom Measures'!C18</f>
        <v/>
      </c>
      <c r="E206" s="130"/>
      <c r="F206" s="130"/>
      <c r="G206" s="131" t="str">
        <f>'Input Custom Measures'!S18</f>
        <v/>
      </c>
      <c r="H206" s="141" t="str">
        <f>'Input Custom Measures'!T18</f>
        <v/>
      </c>
      <c r="I206" s="133" t="str">
        <f>IFERROR(N206*MIN(Table_Measure_Caps[[#Totals],[Estimated Raw Incentive Total]], Table_Measure_Caps[[#Totals],[Gross Measure Cost Total]], Value_Project_CAP)/Table_Measure_Caps[[#Totals],[Estimated Raw Incentive Total]], "")</f>
        <v/>
      </c>
      <c r="J206" s="133">
        <f>'Input Custom Measures'!P18</f>
        <v>0</v>
      </c>
      <c r="K206" s="130">
        <f>'Input Custom Measures'!Q18</f>
        <v>0</v>
      </c>
      <c r="L206" s="134" t="str">
        <f t="shared" si="8"/>
        <v>Version 5.0</v>
      </c>
      <c r="M206" s="135">
        <f>'Input Custom Measures'!G18</f>
        <v>0</v>
      </c>
      <c r="N206" s="132" t="str">
        <f>'Input Custom Measures'!R18</f>
        <v/>
      </c>
    </row>
    <row r="207" spans="1:14" x14ac:dyDescent="0.2">
      <c r="A207" s="129" t="s">
        <v>409</v>
      </c>
      <c r="B207" s="130">
        <f t="shared" si="9"/>
        <v>0</v>
      </c>
      <c r="C207" s="130">
        <v>15</v>
      </c>
      <c r="D207" s="130" t="str">
        <f>'Input Custom Measures'!C19</f>
        <v/>
      </c>
      <c r="E207" s="130"/>
      <c r="F207" s="130"/>
      <c r="G207" s="131" t="str">
        <f>'Input Custom Measures'!S19</f>
        <v/>
      </c>
      <c r="H207" s="141" t="str">
        <f>'Input Custom Measures'!T19</f>
        <v/>
      </c>
      <c r="I207" s="133" t="str">
        <f>IFERROR(N207*MIN(Table_Measure_Caps[[#Totals],[Estimated Raw Incentive Total]], Table_Measure_Caps[[#Totals],[Gross Measure Cost Total]], Value_Project_CAP)/Table_Measure_Caps[[#Totals],[Estimated Raw Incentive Total]], "")</f>
        <v/>
      </c>
      <c r="J207" s="133">
        <f>'Input Custom Measures'!P19</f>
        <v>0</v>
      </c>
      <c r="K207" s="130">
        <f>'Input Custom Measures'!Q19</f>
        <v>0</v>
      </c>
      <c r="L207" s="134" t="str">
        <f t="shared" si="8"/>
        <v>Version 5.0</v>
      </c>
      <c r="M207" s="135">
        <f>'Input Custom Measures'!G19</f>
        <v>0</v>
      </c>
      <c r="N207" s="132" t="str">
        <f>'Input Custom Measures'!R19</f>
        <v/>
      </c>
    </row>
    <row r="208" spans="1:14" x14ac:dyDescent="0.2">
      <c r="A208" s="129" t="s">
        <v>409</v>
      </c>
      <c r="B208" s="130">
        <f t="shared" si="9"/>
        <v>0</v>
      </c>
      <c r="C208" s="130">
        <v>16</v>
      </c>
      <c r="D208" s="130" t="str">
        <f>'Input Custom Measures'!C20</f>
        <v/>
      </c>
      <c r="E208" s="130"/>
      <c r="F208" s="130"/>
      <c r="G208" s="131" t="str">
        <f>'Input Custom Measures'!S20</f>
        <v/>
      </c>
      <c r="H208" s="141" t="str">
        <f>'Input Custom Measures'!T20</f>
        <v/>
      </c>
      <c r="I208" s="133" t="str">
        <f>IFERROR(N208*MIN(Table_Measure_Caps[[#Totals],[Estimated Raw Incentive Total]], Table_Measure_Caps[[#Totals],[Gross Measure Cost Total]], Value_Project_CAP)/Table_Measure_Caps[[#Totals],[Estimated Raw Incentive Total]], "")</f>
        <v/>
      </c>
      <c r="J208" s="133">
        <f>'Input Custom Measures'!P20</f>
        <v>0</v>
      </c>
      <c r="K208" s="130">
        <f>'Input Custom Measures'!Q20</f>
        <v>0</v>
      </c>
      <c r="L208" s="134" t="str">
        <f t="shared" si="8"/>
        <v>Version 5.0</v>
      </c>
      <c r="M208" s="135">
        <f>'Input Custom Measures'!G20</f>
        <v>0</v>
      </c>
      <c r="N208" s="132" t="str">
        <f>'Input Custom Measures'!R20</f>
        <v/>
      </c>
    </row>
    <row r="209" spans="1:14" x14ac:dyDescent="0.2">
      <c r="A209" s="129" t="s">
        <v>409</v>
      </c>
      <c r="B209" s="130">
        <f t="shared" si="9"/>
        <v>0</v>
      </c>
      <c r="C209" s="130">
        <v>17</v>
      </c>
      <c r="D209" s="130" t="str">
        <f>'Input Custom Measures'!C21</f>
        <v/>
      </c>
      <c r="E209" s="130"/>
      <c r="F209" s="130"/>
      <c r="G209" s="131" t="str">
        <f>'Input Custom Measures'!S21</f>
        <v/>
      </c>
      <c r="H209" s="141" t="str">
        <f>'Input Custom Measures'!T21</f>
        <v/>
      </c>
      <c r="I209" s="133" t="str">
        <f>IFERROR(N209*MIN(Table_Measure_Caps[[#Totals],[Estimated Raw Incentive Total]], Table_Measure_Caps[[#Totals],[Gross Measure Cost Total]], Value_Project_CAP)/Table_Measure_Caps[[#Totals],[Estimated Raw Incentive Total]], "")</f>
        <v/>
      </c>
      <c r="J209" s="133">
        <f>'Input Custom Measures'!P21</f>
        <v>0</v>
      </c>
      <c r="K209" s="130">
        <f>'Input Custom Measures'!Q21</f>
        <v>0</v>
      </c>
      <c r="L209" s="134" t="str">
        <f t="shared" si="8"/>
        <v>Version 5.0</v>
      </c>
      <c r="M209" s="135">
        <f>'Input Custom Measures'!G21</f>
        <v>0</v>
      </c>
      <c r="N209" s="132" t="str">
        <f>'Input Custom Measures'!R21</f>
        <v/>
      </c>
    </row>
    <row r="210" spans="1:14" x14ac:dyDescent="0.2">
      <c r="A210" s="129" t="s">
        <v>409</v>
      </c>
      <c r="B210" s="130">
        <f t="shared" si="9"/>
        <v>0</v>
      </c>
      <c r="C210" s="130">
        <v>18</v>
      </c>
      <c r="D210" s="130" t="str">
        <f>'Input Custom Measures'!C22</f>
        <v/>
      </c>
      <c r="E210" s="130"/>
      <c r="F210" s="130"/>
      <c r="G210" s="131" t="str">
        <f>'Input Custom Measures'!S22</f>
        <v/>
      </c>
      <c r="H210" s="141" t="str">
        <f>'Input Custom Measures'!T22</f>
        <v/>
      </c>
      <c r="I210" s="133" t="str">
        <f>IFERROR(N210*MIN(Table_Measure_Caps[[#Totals],[Estimated Raw Incentive Total]], Table_Measure_Caps[[#Totals],[Gross Measure Cost Total]], Value_Project_CAP)/Table_Measure_Caps[[#Totals],[Estimated Raw Incentive Total]], "")</f>
        <v/>
      </c>
      <c r="J210" s="133">
        <f>'Input Custom Measures'!P22</f>
        <v>0</v>
      </c>
      <c r="K210" s="130">
        <f>'Input Custom Measures'!Q22</f>
        <v>0</v>
      </c>
      <c r="L210" s="134" t="str">
        <f t="shared" si="8"/>
        <v>Version 5.0</v>
      </c>
      <c r="M210" s="135">
        <f>'Input Custom Measures'!G22</f>
        <v>0</v>
      </c>
      <c r="N210" s="132" t="str">
        <f>'Input Custom Measures'!R22</f>
        <v/>
      </c>
    </row>
    <row r="211" spans="1:14" x14ac:dyDescent="0.2">
      <c r="A211" s="129" t="s">
        <v>409</v>
      </c>
      <c r="B211" s="130">
        <f t="shared" si="9"/>
        <v>0</v>
      </c>
      <c r="C211" s="130">
        <v>19</v>
      </c>
      <c r="D211" s="130" t="str">
        <f>'Input Custom Measures'!C23</f>
        <v/>
      </c>
      <c r="E211" s="130"/>
      <c r="F211" s="130"/>
      <c r="G211" s="131" t="str">
        <f>'Input Custom Measures'!S23</f>
        <v/>
      </c>
      <c r="H211" s="141" t="str">
        <f>'Input Custom Measures'!T23</f>
        <v/>
      </c>
      <c r="I211" s="133" t="str">
        <f>IFERROR(N211*MIN(Table_Measure_Caps[[#Totals],[Estimated Raw Incentive Total]], Table_Measure_Caps[[#Totals],[Gross Measure Cost Total]], Value_Project_CAP)/Table_Measure_Caps[[#Totals],[Estimated Raw Incentive Total]], "")</f>
        <v/>
      </c>
      <c r="J211" s="133">
        <f>'Input Custom Measures'!P23</f>
        <v>0</v>
      </c>
      <c r="K211" s="130">
        <f>'Input Custom Measures'!Q23</f>
        <v>0</v>
      </c>
      <c r="L211" s="134" t="str">
        <f t="shared" si="8"/>
        <v>Version 5.0</v>
      </c>
      <c r="M211" s="135">
        <f>'Input Custom Measures'!G23</f>
        <v>0</v>
      </c>
      <c r="N211" s="132" t="str">
        <f>'Input Custom Measures'!R23</f>
        <v/>
      </c>
    </row>
    <row r="212" spans="1:14" x14ac:dyDescent="0.2">
      <c r="A212" s="129" t="s">
        <v>409</v>
      </c>
      <c r="B212" s="130">
        <f t="shared" si="9"/>
        <v>0</v>
      </c>
      <c r="C212" s="130">
        <v>20</v>
      </c>
      <c r="D212" s="130" t="str">
        <f>'Input Custom Measures'!C24</f>
        <v/>
      </c>
      <c r="E212" s="130"/>
      <c r="F212" s="130"/>
      <c r="G212" s="131" t="str">
        <f>'Input Custom Measures'!S24</f>
        <v/>
      </c>
      <c r="H212" s="141" t="str">
        <f>'Input Custom Measures'!T24</f>
        <v/>
      </c>
      <c r="I212" s="133" t="str">
        <f>IFERROR(N212*MIN(Table_Measure_Caps[[#Totals],[Estimated Raw Incentive Total]], Table_Measure_Caps[[#Totals],[Gross Measure Cost Total]], Value_Project_CAP)/Table_Measure_Caps[[#Totals],[Estimated Raw Incentive Total]], "")</f>
        <v/>
      </c>
      <c r="J212" s="133">
        <f>'Input Custom Measures'!P24</f>
        <v>0</v>
      </c>
      <c r="K212" s="130">
        <f>'Input Custom Measures'!Q24</f>
        <v>0</v>
      </c>
      <c r="L212" s="134" t="str">
        <f t="shared" si="8"/>
        <v>Version 5.0</v>
      </c>
      <c r="M212" s="135">
        <f>'Input Custom Measures'!G24</f>
        <v>0</v>
      </c>
      <c r="N212" s="132" t="str">
        <f>'Input Custom Measures'!R24</f>
        <v/>
      </c>
    </row>
  </sheetData>
  <conditionalFormatting sqref="A1:H1 J1:N1">
    <cfRule type="containsBlanks" dxfId="19" priority="3">
      <formula>LEN(TRIM(A1))=0</formula>
    </cfRule>
  </conditionalFormatting>
  <conditionalFormatting sqref="I1">
    <cfRule type="containsBlanks" dxfId="18" priority="1">
      <formula>LEN(TRIM(I1))=0</formula>
    </cfRule>
  </conditionalFormatting>
  <pageMargins left="0.7" right="0.7" top="0.75" bottom="0.75" header="0.3" footer="0.3"/>
  <pageSetup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5B4A9-5E9A-452F-86B3-C3D4BCAB39EE}">
  <sheetPr>
    <tabColor rgb="FFED1653"/>
  </sheetPr>
  <dimension ref="A1:E26"/>
  <sheetViews>
    <sheetView showGridLines="0" workbookViewId="0">
      <selection activeCell="B5" sqref="B5"/>
    </sheetView>
  </sheetViews>
  <sheetFormatPr defaultRowHeight="15" x14ac:dyDescent="0.25"/>
  <cols>
    <col min="1" max="1" width="6" style="229" bestFit="1" customWidth="1"/>
    <col min="2" max="2" width="22.42578125" style="229" bestFit="1" customWidth="1"/>
    <col min="3" max="3" width="72.85546875" style="229" bestFit="1" customWidth="1"/>
    <col min="4" max="4" width="10.7109375" style="229" bestFit="1" customWidth="1"/>
    <col min="5" max="5" width="13.28515625" style="229" bestFit="1" customWidth="1"/>
    <col min="6" max="16384" width="9.140625" style="229"/>
  </cols>
  <sheetData>
    <row r="1" spans="1:5" x14ac:dyDescent="0.25">
      <c r="A1" s="228" t="s">
        <v>570</v>
      </c>
      <c r="B1" s="228" t="s">
        <v>571</v>
      </c>
      <c r="C1" s="228" t="s">
        <v>572</v>
      </c>
      <c r="D1" s="228" t="s">
        <v>169</v>
      </c>
      <c r="E1" s="228" t="s">
        <v>573</v>
      </c>
    </row>
    <row r="2" spans="1:5" ht="45" x14ac:dyDescent="0.25">
      <c r="A2" s="230">
        <v>1</v>
      </c>
      <c r="B2" s="231" t="s">
        <v>575</v>
      </c>
      <c r="C2" s="233" t="s">
        <v>576</v>
      </c>
      <c r="D2" s="232">
        <v>45300</v>
      </c>
      <c r="E2" s="230" t="s">
        <v>574</v>
      </c>
    </row>
    <row r="3" spans="1:5" x14ac:dyDescent="0.25">
      <c r="A3" s="230">
        <v>2</v>
      </c>
      <c r="B3" s="235" t="s">
        <v>577</v>
      </c>
      <c r="C3" s="236" t="s">
        <v>578</v>
      </c>
      <c r="D3" s="237">
        <v>45316</v>
      </c>
      <c r="E3" s="238" t="s">
        <v>574</v>
      </c>
    </row>
    <row r="4" spans="1:5" x14ac:dyDescent="0.25">
      <c r="A4" s="230">
        <v>3</v>
      </c>
      <c r="B4" s="276" t="s">
        <v>590</v>
      </c>
      <c r="C4" s="277" t="s">
        <v>591</v>
      </c>
      <c r="D4" s="232">
        <v>45644</v>
      </c>
      <c r="E4" s="278" t="s">
        <v>574</v>
      </c>
    </row>
    <row r="5" spans="1:5" x14ac:dyDescent="0.25">
      <c r="A5" s="230">
        <v>4</v>
      </c>
      <c r="B5" s="231"/>
      <c r="C5" s="233"/>
      <c r="D5" s="232"/>
      <c r="E5" s="230"/>
    </row>
    <row r="6" spans="1:5" x14ac:dyDescent="0.25">
      <c r="A6" s="230">
        <v>5</v>
      </c>
      <c r="B6" s="231"/>
      <c r="C6" s="233"/>
      <c r="D6" s="232"/>
      <c r="E6" s="230"/>
    </row>
    <row r="7" spans="1:5" x14ac:dyDescent="0.25">
      <c r="A7" s="230">
        <v>6</v>
      </c>
      <c r="B7" s="231"/>
      <c r="C7" s="233"/>
      <c r="D7" s="232"/>
      <c r="E7" s="230"/>
    </row>
    <row r="8" spans="1:5" x14ac:dyDescent="0.25">
      <c r="A8" s="230">
        <v>7</v>
      </c>
      <c r="B8" s="231"/>
      <c r="C8" s="233"/>
      <c r="D8" s="232"/>
      <c r="E8" s="230"/>
    </row>
    <row r="9" spans="1:5" x14ac:dyDescent="0.25">
      <c r="A9" s="230">
        <v>8</v>
      </c>
      <c r="B9" s="231"/>
      <c r="C9" s="233"/>
      <c r="D9" s="230"/>
      <c r="E9" s="230"/>
    </row>
    <row r="10" spans="1:5" x14ac:dyDescent="0.25">
      <c r="A10" s="230">
        <v>9</v>
      </c>
      <c r="B10" s="231"/>
      <c r="C10" s="233"/>
      <c r="D10" s="230"/>
      <c r="E10" s="230"/>
    </row>
    <row r="11" spans="1:5" x14ac:dyDescent="0.25">
      <c r="A11" s="230">
        <v>10</v>
      </c>
      <c r="B11" s="231"/>
      <c r="C11" s="233"/>
      <c r="D11" s="230"/>
      <c r="E11" s="230"/>
    </row>
    <row r="12" spans="1:5" x14ac:dyDescent="0.25">
      <c r="A12" s="230">
        <v>11</v>
      </c>
      <c r="B12" s="231"/>
      <c r="C12" s="233"/>
      <c r="D12" s="230"/>
      <c r="E12" s="230"/>
    </row>
    <row r="13" spans="1:5" x14ac:dyDescent="0.25">
      <c r="A13" s="230">
        <v>12</v>
      </c>
      <c r="B13" s="231"/>
      <c r="C13" s="233"/>
      <c r="D13" s="230"/>
      <c r="E13" s="230"/>
    </row>
    <row r="14" spans="1:5" x14ac:dyDescent="0.25">
      <c r="A14" s="230">
        <v>13</v>
      </c>
      <c r="B14" s="231"/>
      <c r="C14" s="233"/>
      <c r="D14" s="230"/>
      <c r="E14" s="230"/>
    </row>
    <row r="15" spans="1:5" x14ac:dyDescent="0.25">
      <c r="A15" s="230">
        <v>14</v>
      </c>
      <c r="B15" s="231"/>
      <c r="C15" s="233"/>
      <c r="D15" s="230"/>
      <c r="E15" s="230"/>
    </row>
    <row r="16" spans="1:5" x14ac:dyDescent="0.25">
      <c r="A16" s="230">
        <v>15</v>
      </c>
      <c r="B16" s="231"/>
      <c r="C16" s="233"/>
      <c r="D16" s="230"/>
      <c r="E16" s="230"/>
    </row>
    <row r="17" spans="1:5" x14ac:dyDescent="0.25">
      <c r="A17" s="230">
        <v>16</v>
      </c>
      <c r="B17" s="231"/>
      <c r="C17" s="233"/>
      <c r="D17" s="230"/>
      <c r="E17" s="230"/>
    </row>
    <row r="18" spans="1:5" x14ac:dyDescent="0.25">
      <c r="A18" s="230">
        <v>17</v>
      </c>
      <c r="B18" s="231"/>
      <c r="C18" s="233"/>
      <c r="D18" s="230"/>
      <c r="E18" s="230"/>
    </row>
    <row r="19" spans="1:5" x14ac:dyDescent="0.25">
      <c r="A19" s="230">
        <v>18</v>
      </c>
      <c r="B19" s="231"/>
      <c r="C19" s="233"/>
      <c r="D19" s="230"/>
      <c r="E19" s="230"/>
    </row>
    <row r="20" spans="1:5" x14ac:dyDescent="0.25">
      <c r="A20" s="230">
        <v>19</v>
      </c>
      <c r="B20" s="231"/>
      <c r="C20" s="233"/>
      <c r="D20" s="230"/>
      <c r="E20" s="230"/>
    </row>
    <row r="21" spans="1:5" x14ac:dyDescent="0.25">
      <c r="A21" s="230">
        <v>20</v>
      </c>
      <c r="B21" s="231"/>
      <c r="C21" s="233"/>
      <c r="D21" s="230"/>
      <c r="E21" s="230"/>
    </row>
    <row r="22" spans="1:5" x14ac:dyDescent="0.25">
      <c r="A22" s="230">
        <v>21</v>
      </c>
      <c r="B22" s="231"/>
      <c r="C22" s="233"/>
      <c r="D22" s="230"/>
      <c r="E22" s="230"/>
    </row>
    <row r="23" spans="1:5" x14ac:dyDescent="0.25">
      <c r="A23" s="230">
        <v>22</v>
      </c>
      <c r="B23" s="231"/>
      <c r="C23" s="233"/>
      <c r="D23" s="230"/>
      <c r="E23" s="230"/>
    </row>
    <row r="24" spans="1:5" x14ac:dyDescent="0.25">
      <c r="A24" s="230">
        <v>23</v>
      </c>
      <c r="B24" s="231"/>
      <c r="C24" s="233"/>
      <c r="D24" s="230"/>
      <c r="E24" s="230"/>
    </row>
    <row r="25" spans="1:5" x14ac:dyDescent="0.25">
      <c r="A25" s="230">
        <v>24</v>
      </c>
      <c r="B25" s="231"/>
      <c r="C25" s="233"/>
      <c r="D25" s="230"/>
      <c r="E25" s="230"/>
    </row>
    <row r="26" spans="1:5" x14ac:dyDescent="0.25">
      <c r="A26" s="230">
        <v>25</v>
      </c>
      <c r="B26" s="231"/>
      <c r="C26" s="233"/>
      <c r="D26" s="230"/>
      <c r="E26" s="230"/>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A9AE3-CEC9-4067-9447-DEB8AA30A8EF}">
  <sheetPr codeName="Sheet1">
    <tabColor theme="6"/>
    <pageSetUpPr fitToPage="1"/>
  </sheetPr>
  <dimension ref="B1:H54"/>
  <sheetViews>
    <sheetView showGridLines="0" showRowColHeaders="0" workbookViewId="0">
      <selection activeCell="C4" sqref="C4"/>
    </sheetView>
  </sheetViews>
  <sheetFormatPr defaultRowHeight="12.75" x14ac:dyDescent="0.2"/>
  <cols>
    <col min="1" max="1" width="2.28515625" customWidth="1"/>
    <col min="2" max="2" width="31.85546875" style="10" customWidth="1"/>
    <col min="3" max="3" width="39.140625" style="46" customWidth="1"/>
    <col min="4" max="4" width="1.7109375" customWidth="1"/>
    <col min="5" max="5" width="31.85546875" style="10" customWidth="1"/>
    <col min="6" max="6" width="39.140625" customWidth="1"/>
    <col min="8" max="8" width="45.85546875" customWidth="1"/>
  </cols>
  <sheetData>
    <row r="1" spans="2:8" ht="37.5" customHeight="1" x14ac:dyDescent="0.2">
      <c r="B1" s="293" t="s">
        <v>553</v>
      </c>
      <c r="C1" s="293"/>
      <c r="D1" s="293"/>
      <c r="E1" s="293"/>
      <c r="F1" s="149"/>
    </row>
    <row r="3" spans="2:8" ht="15.75" x14ac:dyDescent="0.2">
      <c r="B3" s="295" t="s">
        <v>12</v>
      </c>
      <c r="C3" s="295"/>
      <c r="E3" s="295" t="s">
        <v>13</v>
      </c>
      <c r="F3" s="295"/>
      <c r="H3" s="10"/>
    </row>
    <row r="4" spans="2:8" ht="12.75" customHeight="1" x14ac:dyDescent="0.2">
      <c r="B4" s="47" t="s">
        <v>14</v>
      </c>
      <c r="C4" s="49"/>
      <c r="E4" s="316" t="s">
        <v>15</v>
      </c>
      <c r="F4" s="317"/>
      <c r="H4" s="10"/>
    </row>
    <row r="5" spans="2:8" x14ac:dyDescent="0.2">
      <c r="B5" s="47" t="s">
        <v>16</v>
      </c>
      <c r="C5" s="49"/>
      <c r="E5" s="316"/>
      <c r="F5" s="317"/>
    </row>
    <row r="6" spans="2:8" ht="25.5" x14ac:dyDescent="0.2">
      <c r="B6" s="47" t="s">
        <v>17</v>
      </c>
      <c r="C6" s="49"/>
      <c r="E6" s="316"/>
      <c r="F6" s="317"/>
    </row>
    <row r="7" spans="2:8" x14ac:dyDescent="0.2">
      <c r="B7" s="47" t="s">
        <v>18</v>
      </c>
      <c r="C7" s="49"/>
      <c r="E7" s="316"/>
      <c r="F7" s="317"/>
    </row>
    <row r="8" spans="2:8" x14ac:dyDescent="0.2">
      <c r="B8" s="47" t="s">
        <v>19</v>
      </c>
      <c r="C8" s="49"/>
      <c r="E8" s="47" t="s">
        <v>20</v>
      </c>
      <c r="F8" s="50"/>
    </row>
    <row r="9" spans="2:8" x14ac:dyDescent="0.2">
      <c r="B9" s="47" t="s">
        <v>21</v>
      </c>
      <c r="C9" s="49"/>
      <c r="E9" s="47" t="s">
        <v>22</v>
      </c>
      <c r="F9" s="50"/>
    </row>
    <row r="10" spans="2:8" x14ac:dyDescent="0.2">
      <c r="B10" s="47" t="s">
        <v>23</v>
      </c>
      <c r="C10" s="49"/>
      <c r="E10" s="47" t="s">
        <v>24</v>
      </c>
      <c r="F10" s="49"/>
    </row>
    <row r="11" spans="2:8" x14ac:dyDescent="0.2">
      <c r="B11" s="47" t="s">
        <v>26</v>
      </c>
      <c r="C11" s="49"/>
      <c r="E11" s="47" t="s">
        <v>27</v>
      </c>
      <c r="F11" s="49"/>
    </row>
    <row r="12" spans="2:8" x14ac:dyDescent="0.2">
      <c r="B12" s="47" t="s">
        <v>29</v>
      </c>
      <c r="C12" s="49"/>
      <c r="E12" s="47" t="s">
        <v>30</v>
      </c>
      <c r="F12" s="49"/>
    </row>
    <row r="13" spans="2:8" ht="15.75" x14ac:dyDescent="0.2">
      <c r="B13" s="47" t="s">
        <v>31</v>
      </c>
      <c r="C13" s="49"/>
      <c r="E13" s="295" t="s">
        <v>32</v>
      </c>
      <c r="F13" s="295"/>
    </row>
    <row r="14" spans="2:8" ht="25.5" x14ac:dyDescent="0.2">
      <c r="B14" s="47" t="s">
        <v>33</v>
      </c>
      <c r="C14" s="49"/>
      <c r="D14" s="1"/>
      <c r="E14" s="47" t="s">
        <v>34</v>
      </c>
      <c r="F14" s="49"/>
    </row>
    <row r="15" spans="2:8" ht="15.75" x14ac:dyDescent="0.2">
      <c r="B15" s="295" t="s">
        <v>35</v>
      </c>
      <c r="C15" s="295"/>
      <c r="D15" s="1"/>
      <c r="E15" s="47" t="s">
        <v>36</v>
      </c>
      <c r="F15" s="49"/>
    </row>
    <row r="16" spans="2:8" x14ac:dyDescent="0.2">
      <c r="B16" s="47" t="s">
        <v>37</v>
      </c>
      <c r="C16" s="49"/>
      <c r="D16" s="1"/>
      <c r="E16" s="47" t="s">
        <v>38</v>
      </c>
      <c r="F16" s="49"/>
    </row>
    <row r="17" spans="2:6" x14ac:dyDescent="0.2">
      <c r="B17" s="47" t="s">
        <v>39</v>
      </c>
      <c r="C17" s="49"/>
      <c r="D17" s="1"/>
      <c r="E17" s="47" t="s">
        <v>18</v>
      </c>
      <c r="F17" s="49"/>
    </row>
    <row r="18" spans="2:6" x14ac:dyDescent="0.2">
      <c r="B18" s="47" t="s">
        <v>40</v>
      </c>
      <c r="C18" s="49"/>
      <c r="D18" s="1"/>
      <c r="E18" s="47" t="s">
        <v>19</v>
      </c>
      <c r="F18" s="49"/>
    </row>
    <row r="19" spans="2:6" x14ac:dyDescent="0.2">
      <c r="B19" s="47" t="s">
        <v>18</v>
      </c>
      <c r="C19" s="49"/>
      <c r="D19" s="1"/>
      <c r="E19" s="47" t="s">
        <v>41</v>
      </c>
      <c r="F19" s="49"/>
    </row>
    <row r="20" spans="2:6" x14ac:dyDescent="0.2">
      <c r="B20" s="47" t="s">
        <v>19</v>
      </c>
      <c r="C20" s="49"/>
      <c r="D20" s="1"/>
      <c r="E20" s="47" t="s">
        <v>23</v>
      </c>
      <c r="F20" s="49"/>
    </row>
    <row r="21" spans="2:6" x14ac:dyDescent="0.2">
      <c r="B21" s="47" t="s">
        <v>21</v>
      </c>
      <c r="C21" s="49"/>
      <c r="D21" s="1"/>
      <c r="E21" s="47" t="s">
        <v>42</v>
      </c>
      <c r="F21" s="49"/>
    </row>
    <row r="22" spans="2:6" x14ac:dyDescent="0.2">
      <c r="B22" s="47" t="s">
        <v>23</v>
      </c>
      <c r="C22" s="49"/>
      <c r="D22" s="1"/>
      <c r="E22" s="47" t="s">
        <v>43</v>
      </c>
      <c r="F22" s="49"/>
    </row>
    <row r="23" spans="2:6" x14ac:dyDescent="0.2">
      <c r="B23" s="47" t="s">
        <v>42</v>
      </c>
      <c r="C23" s="49"/>
      <c r="D23" s="1"/>
      <c r="E23" s="47" t="s">
        <v>44</v>
      </c>
      <c r="F23" s="49"/>
    </row>
    <row r="24" spans="2:6" x14ac:dyDescent="0.2">
      <c r="B24" s="47" t="s">
        <v>46</v>
      </c>
      <c r="C24" s="49"/>
      <c r="D24" s="1"/>
      <c r="E24" s="47" t="s">
        <v>47</v>
      </c>
      <c r="F24" s="49"/>
    </row>
    <row r="25" spans="2:6" ht="15.75" x14ac:dyDescent="0.2">
      <c r="B25" s="295" t="s">
        <v>48</v>
      </c>
      <c r="C25" s="295"/>
      <c r="D25" s="35"/>
      <c r="E25" s="47" t="s">
        <v>49</v>
      </c>
      <c r="F25" s="51"/>
    </row>
    <row r="26" spans="2:6" ht="25.5" x14ac:dyDescent="0.2">
      <c r="B26" s="47" t="s">
        <v>14</v>
      </c>
      <c r="C26" s="49"/>
      <c r="D26" s="35"/>
      <c r="E26" s="47" t="s">
        <v>50</v>
      </c>
      <c r="F26" s="49"/>
    </row>
    <row r="27" spans="2:6" x14ac:dyDescent="0.2">
      <c r="B27" s="47" t="s">
        <v>52</v>
      </c>
      <c r="C27" s="49"/>
      <c r="D27" s="1"/>
      <c r="E27" s="47" t="s">
        <v>53</v>
      </c>
      <c r="F27" s="52"/>
    </row>
    <row r="28" spans="2:6" x14ac:dyDescent="0.2">
      <c r="B28" s="47" t="s">
        <v>40</v>
      </c>
      <c r="C28" s="49"/>
      <c r="D28" s="1"/>
      <c r="E28" s="47" t="s">
        <v>54</v>
      </c>
      <c r="F28" s="49"/>
    </row>
    <row r="29" spans="2:6" x14ac:dyDescent="0.2">
      <c r="B29" s="47" t="s">
        <v>18</v>
      </c>
      <c r="C29" s="49"/>
      <c r="D29" s="35"/>
      <c r="E29" s="47" t="s">
        <v>56</v>
      </c>
      <c r="F29" s="49"/>
    </row>
    <row r="30" spans="2:6" x14ac:dyDescent="0.2">
      <c r="B30" s="47" t="s">
        <v>19</v>
      </c>
      <c r="C30" s="49"/>
      <c r="D30" s="35"/>
      <c r="E30" s="47" t="s">
        <v>58</v>
      </c>
      <c r="F30" s="49"/>
    </row>
    <row r="31" spans="2:6" ht="15.75" x14ac:dyDescent="0.2">
      <c r="B31" s="47" t="s">
        <v>21</v>
      </c>
      <c r="C31" s="49"/>
      <c r="D31" s="35"/>
      <c r="E31" s="314" t="s">
        <v>60</v>
      </c>
      <c r="F31" s="315"/>
    </row>
    <row r="32" spans="2:6" x14ac:dyDescent="0.2">
      <c r="B32" s="47" t="s">
        <v>23</v>
      </c>
      <c r="C32" s="49"/>
      <c r="D32" s="35"/>
      <c r="E32" s="47" t="s">
        <v>61</v>
      </c>
      <c r="F32" s="49"/>
    </row>
    <row r="33" spans="2:6" x14ac:dyDescent="0.2">
      <c r="B33" s="47" t="s">
        <v>42</v>
      </c>
      <c r="C33" s="49"/>
      <c r="D33" s="35"/>
      <c r="E33" s="47" t="s">
        <v>63</v>
      </c>
      <c r="F33" s="49"/>
    </row>
    <row r="34" spans="2:6" x14ac:dyDescent="0.2">
      <c r="B34" s="47" t="s">
        <v>64</v>
      </c>
      <c r="C34" s="49"/>
      <c r="D34" s="1"/>
      <c r="E34" s="47" t="s">
        <v>65</v>
      </c>
      <c r="F34" s="49"/>
    </row>
    <row r="35" spans="2:6" ht="15.75" x14ac:dyDescent="0.2">
      <c r="B35" s="314" t="s">
        <v>66</v>
      </c>
      <c r="C35" s="315"/>
      <c r="D35" s="1"/>
      <c r="E35" s="47" t="s">
        <v>67</v>
      </c>
      <c r="F35" s="49"/>
    </row>
    <row r="36" spans="2:6" ht="25.5" x14ac:dyDescent="0.2">
      <c r="B36" s="47" t="s">
        <v>68</v>
      </c>
      <c r="C36" s="49"/>
      <c r="D36" s="1"/>
      <c r="E36" s="47" t="s">
        <v>69</v>
      </c>
      <c r="F36" s="49"/>
    </row>
    <row r="37" spans="2:6" ht="25.5" x14ac:dyDescent="0.2">
      <c r="B37" s="47" t="s">
        <v>70</v>
      </c>
      <c r="C37" s="49"/>
      <c r="D37" s="1"/>
    </row>
    <row r="38" spans="2:6" x14ac:dyDescent="0.2">
      <c r="D38" s="1"/>
    </row>
    <row r="39" spans="2:6" x14ac:dyDescent="0.2">
      <c r="B39"/>
      <c r="C39"/>
      <c r="E39"/>
    </row>
    <row r="40" spans="2:6" x14ac:dyDescent="0.2">
      <c r="B40" t="s">
        <v>11</v>
      </c>
      <c r="C40"/>
      <c r="E40"/>
    </row>
    <row r="41" spans="2:6" x14ac:dyDescent="0.2">
      <c r="B41" t="str">
        <f>Value_Application_Version</f>
        <v>Version 5.0</v>
      </c>
      <c r="C41"/>
      <c r="E41"/>
    </row>
    <row r="42" spans="2:6" x14ac:dyDescent="0.2">
      <c r="B42"/>
      <c r="C42"/>
      <c r="E42"/>
    </row>
    <row r="47" spans="2:6" x14ac:dyDescent="0.2">
      <c r="D47" s="1"/>
    </row>
    <row r="48" spans="2:6" x14ac:dyDescent="0.2">
      <c r="D48" s="1"/>
    </row>
    <row r="49" spans="4:6" x14ac:dyDescent="0.2">
      <c r="D49" s="1"/>
    </row>
    <row r="50" spans="4:6" x14ac:dyDescent="0.2">
      <c r="D50" s="1"/>
    </row>
    <row r="51" spans="4:6" x14ac:dyDescent="0.2">
      <c r="D51" s="1"/>
    </row>
    <row r="54" spans="4:6" x14ac:dyDescent="0.2">
      <c r="E54" s="48"/>
      <c r="F54" s="33"/>
    </row>
  </sheetData>
  <sheetProtection algorithmName="SHA-512" hashValue="mbJ3RUjeqaG/qvip6nQsUumAO3HhfWS0NGVva5fMCEKHDy8zs5VVOtYk2iupHtI9NhVY4gOEMjktR+6D+9lNxw==" saltValue="hDp/sDIz8o3iQYOVon2hvA==" spinCount="100000" sheet="1" objects="1" scenarios="1"/>
  <mergeCells count="10">
    <mergeCell ref="B1:E1"/>
    <mergeCell ref="B35:C35"/>
    <mergeCell ref="E31:F31"/>
    <mergeCell ref="B3:C3"/>
    <mergeCell ref="B15:C15"/>
    <mergeCell ref="B25:C25"/>
    <mergeCell ref="E13:F13"/>
    <mergeCell ref="E3:F3"/>
    <mergeCell ref="E4:E7"/>
    <mergeCell ref="F4:F7"/>
  </mergeCells>
  <dataValidations count="12">
    <dataValidation type="list" allowBlank="1" showInputMessage="1" showErrorMessage="1" sqref="F28" xr:uid="{00000000-0002-0000-0000-000002000000}">
      <formula1>List_Bldg_Types</formula1>
    </dataValidation>
    <dataValidation type="list" allowBlank="1" showInputMessage="1" showErrorMessage="1" sqref="F10" xr:uid="{00000000-0002-0000-0000-000003000000}">
      <formula1>List_Program_Names</formula1>
    </dataValidation>
    <dataValidation type="list" allowBlank="1" showInputMessage="1" showErrorMessage="1" sqref="F11" xr:uid="{00000000-0002-0000-0000-000004000000}">
      <formula1>List_Project_Stage</formula1>
    </dataValidation>
    <dataValidation type="list" allowBlank="1" showInputMessage="1" showErrorMessage="1" sqref="C12" xr:uid="{0EBF6B33-1A25-49CE-80DE-696F82CF9E69}">
      <formula1>List_Biz_Class</formula1>
    </dataValidation>
    <dataValidation type="list" allowBlank="1" showInputMessage="1" showErrorMessage="1" sqref="C13" xr:uid="{0F89A28A-20F8-4D05-8E72-DB2A6565CB96}">
      <formula1>List_Y_N_U</formula1>
    </dataValidation>
    <dataValidation type="list" allowBlank="1" showInputMessage="1" showErrorMessage="1" sqref="C14" xr:uid="{120E868B-F5BC-44EE-B13D-327ECB6A0725}">
      <formula1>List_DBE_Option</formula1>
    </dataValidation>
    <dataValidation type="list" allowBlank="1" showInputMessage="1" showErrorMessage="1" sqref="C37" xr:uid="{CFD7840C-5FA5-4E75-9F4D-52B558FFD9A7}">
      <formula1>List_Source</formula1>
    </dataValidation>
    <dataValidation type="list" allowBlank="1" showInputMessage="1" showErrorMessage="1" sqref="C36 F32" xr:uid="{DC170A83-A959-4CA6-83A5-494973C08389}">
      <formula1>List_Contacts</formula1>
    </dataValidation>
    <dataValidation type="list" allowBlank="1" showInputMessage="1" showErrorMessage="1" sqref="F30" xr:uid="{4AF9D84C-08C0-47DC-940B-4578E57C7E71}">
      <formula1>List_Water_Heating</formula1>
    </dataValidation>
    <dataValidation type="list" allowBlank="1" showInputMessage="1" showErrorMessage="1" sqref="F29" xr:uid="{720DAE66-CD56-4ABB-8753-00BA9609686C}">
      <formula1>List_HVAC</formula1>
    </dataValidation>
    <dataValidation type="list" allowBlank="1" showInputMessage="1" showErrorMessage="1" sqref="F12" xr:uid="{86B206BE-1E08-4349-A3E6-E8C1334ABFB2}">
      <formula1>List_Install_Type</formula1>
    </dataValidation>
    <dataValidation type="list" allowBlank="1" showInputMessage="1" showErrorMessage="1" sqref="F36" xr:uid="{F81F37EC-9197-4D5A-BA82-93D78777D712}">
      <formula1>List_Tax_Entity</formula1>
    </dataValidation>
  </dataValidations>
  <pageMargins left="0.7" right="0.7" top="0.75" bottom="0.75" header="0.3" footer="0.3"/>
  <pageSetup scale="74"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C35E6E4-0A48-4ED8-A21A-5E971D523AA7}">
          <x14:formula1>
            <xm:f>References!$AG$4:$AG$5</xm:f>
          </x14:formula1>
          <xm:sqref>F26</xm:sqref>
        </x14:dataValidation>
        <x14:dataValidation type="list" allowBlank="1" showInputMessage="1" showErrorMessage="1" xr:uid="{8DBB6B1A-EC45-4445-AADC-6C9B4FC7FE62}">
          <x14:formula1>
            <xm:f>References!$AC$4:$AC$5</xm:f>
          </x14:formula1>
          <xm:sqref>F23 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81A1-AFAB-444F-B81D-A25FC6F3E02F}">
  <sheetPr>
    <tabColor theme="6"/>
  </sheetPr>
  <dimension ref="B1:E22"/>
  <sheetViews>
    <sheetView showGridLines="0" showRowColHeaders="0" workbookViewId="0">
      <selection activeCell="B18" sqref="B18"/>
    </sheetView>
  </sheetViews>
  <sheetFormatPr defaultRowHeight="12.75" x14ac:dyDescent="0.2"/>
  <cols>
    <col min="1" max="1" width="1.85546875" customWidth="1"/>
    <col min="2" max="2" width="52.42578125" customWidth="1"/>
    <col min="3" max="3" width="6.140625" customWidth="1"/>
    <col min="4" max="4" width="20.42578125" customWidth="1"/>
    <col min="5" max="5" width="29.42578125" customWidth="1"/>
  </cols>
  <sheetData>
    <row r="1" spans="2:5" ht="21" customHeight="1" x14ac:dyDescent="0.2">
      <c r="B1" s="293" t="s">
        <v>164</v>
      </c>
      <c r="C1" s="293"/>
      <c r="D1" s="293"/>
      <c r="E1" s="293"/>
    </row>
    <row r="2" spans="2:5" ht="12.75" customHeight="1" x14ac:dyDescent="0.2"/>
    <row r="3" spans="2:5" ht="12.75" customHeight="1" x14ac:dyDescent="0.2"/>
    <row r="4" spans="2:5" ht="12.75" customHeight="1" x14ac:dyDescent="0.2"/>
    <row r="5" spans="2:5" ht="12.75" customHeight="1" x14ac:dyDescent="0.2"/>
    <row r="7" spans="2:5" x14ac:dyDescent="0.2">
      <c r="B7" s="74" t="s">
        <v>165</v>
      </c>
    </row>
    <row r="9" spans="2:5" x14ac:dyDescent="0.2">
      <c r="B9" s="300" t="s">
        <v>166</v>
      </c>
      <c r="C9" s="300"/>
      <c r="D9" s="300"/>
      <c r="E9" s="300"/>
    </row>
    <row r="10" spans="2:5" x14ac:dyDescent="0.2">
      <c r="B10" s="300"/>
      <c r="C10" s="300"/>
      <c r="D10" s="300"/>
      <c r="E10" s="300"/>
    </row>
    <row r="11" spans="2:5" x14ac:dyDescent="0.2">
      <c r="B11" s="300"/>
      <c r="C11" s="300"/>
      <c r="D11" s="300"/>
      <c r="E11" s="300"/>
    </row>
    <row r="12" spans="2:5" ht="26.25" customHeight="1" x14ac:dyDescent="0.2">
      <c r="B12" s="300"/>
      <c r="C12" s="300"/>
      <c r="D12" s="300"/>
      <c r="E12" s="300"/>
    </row>
    <row r="13" spans="2:5" x14ac:dyDescent="0.2">
      <c r="B13" s="89"/>
      <c r="C13" s="89"/>
      <c r="D13" s="89"/>
      <c r="E13" s="89"/>
    </row>
    <row r="14" spans="2:5" x14ac:dyDescent="0.2">
      <c r="B14" s="93" t="s">
        <v>167</v>
      </c>
      <c r="C14" s="89"/>
      <c r="D14" s="89"/>
      <c r="E14" s="89"/>
    </row>
    <row r="15" spans="2:5" x14ac:dyDescent="0.2">
      <c r="B15" s="89"/>
      <c r="C15" s="89"/>
      <c r="D15" s="89"/>
      <c r="E15" s="89"/>
    </row>
    <row r="16" spans="2:5" x14ac:dyDescent="0.2">
      <c r="B16" s="89"/>
      <c r="C16" s="89"/>
      <c r="D16" s="89"/>
      <c r="E16" s="89"/>
    </row>
    <row r="17" spans="2:4" x14ac:dyDescent="0.2">
      <c r="B17" s="74" t="s">
        <v>168</v>
      </c>
      <c r="D17" s="74" t="s">
        <v>169</v>
      </c>
    </row>
    <row r="18" spans="2:4" x14ac:dyDescent="0.2">
      <c r="B18" s="92"/>
      <c r="D18" s="50"/>
    </row>
    <row r="19" spans="2:4" ht="12.75" customHeight="1" x14ac:dyDescent="0.2"/>
    <row r="21" spans="2:4" x14ac:dyDescent="0.2">
      <c r="B21" t="s">
        <v>11</v>
      </c>
    </row>
    <row r="22" spans="2:4" x14ac:dyDescent="0.2">
      <c r="B22" t="str">
        <f>Value_Application_Version</f>
        <v>Version 5.0</v>
      </c>
    </row>
  </sheetData>
  <sheetProtection algorithmName="SHA-512" hashValue="a5BB32qi8gLWkKivhFVnCbWAeRI0wCYD0Grk8wDpoU9PgtwlvYGQrjix6DrRHv4DHKrW7H/z50RZKAWA6JiB4Q==" saltValue="iY3CKNqm6ZI+bMke238Wlw==" spinCount="100000" sheet="1" objects="1" scenarios="1"/>
  <mergeCells count="2">
    <mergeCell ref="B1:E1"/>
    <mergeCell ref="B9:E12"/>
  </mergeCells>
  <hyperlinks>
    <hyperlink ref="B14" r:id="rId1" xr:uid="{31F080B0-8E2C-43C0-A77C-93D14170E888}"/>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3"/>
  </sheetPr>
  <dimension ref="A1:AZ204"/>
  <sheetViews>
    <sheetView showGridLines="0" showRowColHeaders="0" workbookViewId="0">
      <selection activeCell="E3" sqref="E3"/>
    </sheetView>
  </sheetViews>
  <sheetFormatPr defaultColWidth="9.140625" defaultRowHeight="12.75" customHeight="1" x14ac:dyDescent="0.2"/>
  <cols>
    <col min="1" max="1" width="2.140625" customWidth="1"/>
    <col min="2" max="2" width="5.28515625" customWidth="1"/>
    <col min="3" max="3" width="8.140625" customWidth="1"/>
    <col min="4" max="4" width="17.140625" customWidth="1"/>
    <col min="5" max="5" width="29.85546875" customWidth="1"/>
    <col min="6" max="6" width="19.7109375" style="70" customWidth="1"/>
    <col min="7" max="8" width="11.85546875" customWidth="1"/>
    <col min="9" max="9" width="23.85546875" customWidth="1"/>
    <col min="10" max="13" width="11.85546875" customWidth="1"/>
    <col min="14" max="14" width="12.5703125" customWidth="1"/>
    <col min="15" max="15" width="12.42578125" customWidth="1"/>
    <col min="16" max="16" width="10.85546875" bestFit="1" customWidth="1"/>
    <col min="17" max="17" width="10" customWidth="1"/>
    <col min="18" max="18" width="11" customWidth="1"/>
    <col min="19" max="19" width="12" customWidth="1"/>
    <col min="20" max="20" width="11.85546875" customWidth="1"/>
    <col min="21" max="21" width="10.85546875" bestFit="1" customWidth="1"/>
    <col min="22" max="22" width="12.28515625" customWidth="1"/>
    <col min="23" max="23" width="13.42578125" customWidth="1"/>
    <col min="24" max="24" width="9.5703125" customWidth="1"/>
  </cols>
  <sheetData>
    <row r="1" spans="1:52" ht="37.5" customHeight="1" x14ac:dyDescent="0.2">
      <c r="B1" s="293" t="s">
        <v>72</v>
      </c>
      <c r="C1" s="293"/>
      <c r="D1" s="293"/>
      <c r="E1" s="293"/>
      <c r="F1" s="293"/>
      <c r="G1" s="293"/>
      <c r="H1" s="293"/>
      <c r="I1" s="293"/>
      <c r="J1" s="293"/>
      <c r="K1" s="293"/>
      <c r="L1" s="293"/>
      <c r="M1" s="293"/>
      <c r="N1" s="293"/>
      <c r="O1" s="293"/>
      <c r="P1" s="293"/>
      <c r="Q1" s="293"/>
      <c r="R1" s="293"/>
      <c r="S1" s="293"/>
      <c r="T1" s="293"/>
      <c r="U1" s="293"/>
      <c r="V1" s="149"/>
      <c r="W1" s="149"/>
      <c r="X1" s="149"/>
    </row>
    <row r="2" spans="1:52" x14ac:dyDescent="0.2">
      <c r="F2"/>
      <c r="R2" s="4"/>
    </row>
    <row r="3" spans="1:52" x14ac:dyDescent="0.2">
      <c r="A3" s="4"/>
      <c r="D3" s="74" t="s">
        <v>73</v>
      </c>
      <c r="E3" s="279"/>
      <c r="G3" s="318" t="s">
        <v>75</v>
      </c>
      <c r="H3" s="318"/>
      <c r="I3" s="318"/>
      <c r="J3" s="318"/>
      <c r="K3" s="318"/>
      <c r="L3" s="318"/>
      <c r="M3" s="318"/>
      <c r="N3" s="318"/>
      <c r="O3" s="318"/>
      <c r="P3" s="318"/>
      <c r="Q3" s="82" t="s">
        <v>76</v>
      </c>
      <c r="R3" s="286">
        <f>SUM(R$5:R$54)</f>
        <v>0</v>
      </c>
      <c r="S3" s="287">
        <f>SUM(S$5:S$54)</f>
        <v>0</v>
      </c>
      <c r="T3" s="288">
        <f>SUM(T$5:T$54)</f>
        <v>0</v>
      </c>
      <c r="U3" s="289">
        <f>SUM(U$5:U$54)</f>
        <v>0</v>
      </c>
      <c r="V3" s="289">
        <f>SUM(Table_PrescriptLights_Input[Gross Measure Cost])</f>
        <v>0</v>
      </c>
      <c r="W3" s="289">
        <f>SUM(W$5:W$54)</f>
        <v>0</v>
      </c>
      <c r="X3" s="287" t="str">
        <f>IFERROR(W3/U3,"")</f>
        <v/>
      </c>
      <c r="Y3" s="4"/>
      <c r="Z3" s="4"/>
      <c r="AA3" s="4"/>
      <c r="AB3" s="4"/>
      <c r="AC3" s="4"/>
      <c r="AD3" s="4"/>
      <c r="AE3" s="4"/>
      <c r="AF3" s="4"/>
      <c r="AG3" s="4"/>
      <c r="AH3" s="4"/>
      <c r="AI3" s="4"/>
      <c r="AJ3" s="4"/>
      <c r="AK3" s="4"/>
      <c r="AL3" s="4"/>
      <c r="AM3" s="4"/>
      <c r="AN3" s="4"/>
      <c r="AO3" s="4"/>
      <c r="AP3" s="4"/>
      <c r="AQ3" s="4"/>
      <c r="AR3" s="4"/>
      <c r="AS3" s="4"/>
      <c r="AT3" s="4"/>
      <c r="AU3" s="4"/>
      <c r="AV3" s="4"/>
      <c r="AW3" s="4"/>
      <c r="AX3" s="4"/>
      <c r="AY3" s="4"/>
      <c r="AZ3" s="4"/>
    </row>
    <row r="4" spans="1:52" ht="38.25" x14ac:dyDescent="0.2">
      <c r="A4" s="16"/>
      <c r="B4" s="62" t="s">
        <v>77</v>
      </c>
      <c r="C4" s="63" t="s">
        <v>78</v>
      </c>
      <c r="D4" s="66" t="s">
        <v>79</v>
      </c>
      <c r="E4" s="63" t="s">
        <v>80</v>
      </c>
      <c r="F4" s="64" t="s">
        <v>81</v>
      </c>
      <c r="G4" s="53" t="s">
        <v>82</v>
      </c>
      <c r="H4" s="53" t="s">
        <v>585</v>
      </c>
      <c r="I4" s="53" t="s">
        <v>586</v>
      </c>
      <c r="J4" s="53" t="s">
        <v>83</v>
      </c>
      <c r="K4" s="53" t="s">
        <v>84</v>
      </c>
      <c r="L4" s="53" t="s">
        <v>85</v>
      </c>
      <c r="M4" s="53" t="s">
        <v>583</v>
      </c>
      <c r="N4" s="53" t="s">
        <v>584</v>
      </c>
      <c r="O4" s="65" t="s">
        <v>86</v>
      </c>
      <c r="P4" s="65" t="s">
        <v>87</v>
      </c>
      <c r="Q4" s="64" t="s">
        <v>88</v>
      </c>
      <c r="R4" s="64" t="s">
        <v>89</v>
      </c>
      <c r="S4" s="64" t="s">
        <v>90</v>
      </c>
      <c r="T4" s="64" t="s">
        <v>91</v>
      </c>
      <c r="U4" s="64" t="s">
        <v>92</v>
      </c>
      <c r="V4" s="64" t="s">
        <v>93</v>
      </c>
      <c r="W4" s="64" t="s">
        <v>94</v>
      </c>
      <c r="X4" s="64" t="s">
        <v>95</v>
      </c>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row>
    <row r="5" spans="1:52" x14ac:dyDescent="0.2">
      <c r="A5" s="3"/>
      <c r="B5" s="281">
        <v>1</v>
      </c>
      <c r="C5" s="282" t="str">
        <f>IFERROR(INDEX(Table_Prescript_Meas[Measure Number], MATCH(E5, Table_Prescript_Meas[Measure Description], 0)), "")</f>
        <v/>
      </c>
      <c r="D5" s="280"/>
      <c r="E5" s="279"/>
      <c r="F5" s="282" t="str">
        <f>IFERROR(INDEX(Table_Prescript_Meas[Units], MATCH(Table_PrescriptLights_Input[[#This Row],[Measure Number]], Table_Prescript_Meas[Measure Number], 0)), "")</f>
        <v/>
      </c>
      <c r="G5" s="153"/>
      <c r="H5" s="153"/>
      <c r="I5" s="239"/>
      <c r="J5" s="271"/>
      <c r="K5" s="271"/>
      <c r="L5" s="271"/>
      <c r="M5" s="240"/>
      <c r="N5" s="240"/>
      <c r="O5" s="155"/>
      <c r="P5" s="155"/>
      <c r="Q5"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 s="284" t="str">
        <f>IF(Table_PrescriptLights_Input[[#This Row],[Measure Number]]="","",IF(OR(Table_PrescriptLights_Input[[#This Row],[Measure Number]]=References!$F$4,Table_PrescriptLights_Input[[#This Row],[Measure Number]]=References!$F$5),Table_PrescriptLights_Input[[#This Row],[Number of Units]]*'HVAC Calcs'!$H3,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 s="285" t="str">
        <f>IF(Table_PrescriptLights_Input[[#This Row],[Measure Number]]="","",IF(OR(Table_PrescriptLights_Input[[#This Row],[Measure Number]]=References!$F$4,Table_PrescriptLights_Input[[#This Row],[Measure Number]]=References!$F$5),Table_PrescriptLights_Input[[#This Row],[Number of Units]]*'HVAC Calcs'!$I3,IF(OR(Table_PrescriptLights_Input[[#This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 s="283" t="str">
        <f>IFERROR(Table_PrescriptLights_Input[[#This Row],[Energy Savings (kWh)]]*Input_AvgkWhRate, "")</f>
        <v/>
      </c>
      <c r="V5" s="283" t="str">
        <f>IF(Table_PrescriptLights_Input[[#This Row],[HVAC Measure]]="", "",Table_PrescriptLights_Input[[#This Row],[Total Equipment Cost]]+Table_PrescriptLights_Input[[#This Row],[Total Labor Cost]])</f>
        <v/>
      </c>
      <c r="W5" s="283" t="str">
        <f>IFERROR(Table_PrescriptLights_Input[[#This Row],[Gross Measure Cost]]-Table_PrescriptLights_Input[[#This Row],[Estimated Incentive]], "")</f>
        <v/>
      </c>
      <c r="X5" s="284" t="str">
        <f t="shared" ref="X5:X54" si="0">IFERROR($W5/$U5,"")</f>
        <v/>
      </c>
      <c r="Y5" s="3"/>
      <c r="Z5" s="3"/>
      <c r="AA5" s="3"/>
      <c r="AB5" s="3"/>
      <c r="AC5" s="3"/>
      <c r="AD5" s="3"/>
      <c r="AE5" s="3"/>
      <c r="AF5" s="3"/>
      <c r="AG5" s="3"/>
      <c r="AH5" s="3"/>
      <c r="AI5" s="3"/>
      <c r="AJ5" s="3"/>
      <c r="AK5" s="3"/>
      <c r="AL5" s="3"/>
      <c r="AM5" s="3"/>
      <c r="AN5" s="3"/>
      <c r="AO5" s="3"/>
      <c r="AP5" s="3"/>
      <c r="AQ5" s="3"/>
      <c r="AR5" s="3"/>
      <c r="AS5" s="3"/>
      <c r="AT5" s="3"/>
      <c r="AU5" s="3"/>
      <c r="AV5" s="3"/>
      <c r="AW5" s="3"/>
      <c r="AX5" s="3"/>
      <c r="AY5" s="3"/>
      <c r="AZ5" s="3"/>
    </row>
    <row r="6" spans="1:52" x14ac:dyDescent="0.2">
      <c r="A6" s="3"/>
      <c r="B6" s="281">
        <v>2</v>
      </c>
      <c r="C6" s="282" t="str">
        <f>IFERROR(INDEX(Table_Prescript_Meas[Measure Number], MATCH(E6, Table_Prescript_Meas[Measure Description], 0)), "")</f>
        <v/>
      </c>
      <c r="D6" s="280"/>
      <c r="E6" s="279"/>
      <c r="F6" s="282" t="str">
        <f>IFERROR(INDEX(Table_Prescript_Meas[Units], MATCH(Table_PrescriptLights_Input[[#This Row],[Measure Number]], Table_Prescript_Meas[Measure Number], 0)), "")</f>
        <v/>
      </c>
      <c r="G6" s="153"/>
      <c r="H6" s="153"/>
      <c r="I6" s="239"/>
      <c r="J6" s="271"/>
      <c r="K6" s="271"/>
      <c r="L6" s="271"/>
      <c r="M6" s="240"/>
      <c r="N6" s="240"/>
      <c r="O6" s="155"/>
      <c r="P6" s="155"/>
      <c r="Q6"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6"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6" s="284" t="str">
        <f>IF(Table_PrescriptLights_Input[[#This Row],[Measure Number]]="","",IF(OR(Table_PrescriptLights_Input[[#This Row],[Measure Number]]=References!$F$4,Table_PrescriptLights_Input[[#This Row],[Measure Number]]=References!$F$5),Table_PrescriptLights_Input[[#This Row],[Number of Units]]*'HVAC Calcs'!$H4,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6" s="285" t="str">
        <f>IF(Table_PrescriptLights_Input[[#This Row],[Measure Number]]="","",IF(OR(Table_PrescriptLights_Input[[#This Row],[Measure Number]]=References!$F$4,Table_PrescriptLights_Input[[#This Row],[Measure Number]]=References!$F$5),Table_PrescriptLights_Input[[#This Row],[Number of Units]]*'HVAC Calcs'!$I4,IF(OR(Table_PrescriptLights_Input[[#This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6" s="283" t="str">
        <f>IFERROR(Table_PrescriptLights_Input[[#This Row],[Energy Savings (kWh)]]*Input_AvgkWhRate, "")</f>
        <v/>
      </c>
      <c r="V6" s="283" t="str">
        <f>IF(Table_PrescriptLights_Input[[#This Row],[HVAC Measure]]="", "",Table_PrescriptLights_Input[[#This Row],[Total Equipment Cost]]+Table_PrescriptLights_Input[[#This Row],[Total Labor Cost]])</f>
        <v/>
      </c>
      <c r="W6" s="283" t="str">
        <f>IFERROR(Table_PrescriptLights_Input[[#This Row],[Gross Measure Cost]]-Table_PrescriptLights_Input[[#This Row],[Estimated Incentive]], "")</f>
        <v/>
      </c>
      <c r="X6" s="284" t="str">
        <f t="shared" si="0"/>
        <v/>
      </c>
      <c r="Y6" s="3"/>
      <c r="Z6" s="3"/>
      <c r="AA6" s="3"/>
      <c r="AB6" s="3"/>
      <c r="AC6" s="3"/>
      <c r="AD6" s="3"/>
      <c r="AE6" s="3"/>
      <c r="AF6" s="3"/>
      <c r="AG6" s="3"/>
      <c r="AH6" s="3"/>
      <c r="AI6" s="3"/>
      <c r="AJ6" s="3"/>
      <c r="AK6" s="3"/>
      <c r="AL6" s="3"/>
      <c r="AM6" s="3"/>
      <c r="AN6" s="3"/>
      <c r="AO6" s="3"/>
      <c r="AP6" s="3"/>
      <c r="AQ6" s="3"/>
      <c r="AR6" s="3"/>
      <c r="AS6" s="3"/>
      <c r="AT6" s="3"/>
      <c r="AU6" s="3"/>
      <c r="AV6" s="3"/>
      <c r="AW6" s="3"/>
      <c r="AX6" s="3"/>
      <c r="AY6" s="3"/>
      <c r="AZ6" s="3"/>
    </row>
    <row r="7" spans="1:52" x14ac:dyDescent="0.2">
      <c r="A7" s="3"/>
      <c r="B7" s="281">
        <v>3</v>
      </c>
      <c r="C7" s="282" t="str">
        <f>IFERROR(INDEX(Table_Prescript_Meas[Measure Number], MATCH(E7, Table_Prescript_Meas[Measure Description], 0)), "")</f>
        <v/>
      </c>
      <c r="D7" s="280"/>
      <c r="E7" s="279"/>
      <c r="F7" s="282" t="str">
        <f>IFERROR(INDEX(Table_Prescript_Meas[Units], MATCH(Table_PrescriptLights_Input[[#This Row],[Measure Number]], Table_Prescript_Meas[Measure Number], 0)), "")</f>
        <v/>
      </c>
      <c r="G7" s="153"/>
      <c r="H7" s="153"/>
      <c r="I7" s="239"/>
      <c r="J7" s="271"/>
      <c r="K7" s="271"/>
      <c r="L7" s="271"/>
      <c r="M7" s="240"/>
      <c r="N7" s="240"/>
      <c r="O7" s="155"/>
      <c r="P7" s="155"/>
      <c r="Q7"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7"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7" s="284" t="str">
        <f>IF(Table_PrescriptLights_Input[[#This Row],[Measure Number]]="","",IF(OR(Table_PrescriptLights_Input[[#This Row],[Measure Number]]=References!$F$4,Table_PrescriptLights_Input[[#This Row],[Measure Number]]=References!$F$5),Table_PrescriptLights_Input[[#This Row],[Number of Units]]*'HVAC Calcs'!$H5,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7" s="285" t="str">
        <f>IF(Table_PrescriptLights_Input[[#This Row],[Measure Number]]="","",IF(OR(Table_PrescriptLights_Input[[#This Row],[Measure Number]]=References!$F$4,Table_PrescriptLights_Input[[#This Row],[Measure Number]]=References!$F$5),Table_PrescriptLights_Input[[#This Row],[Number of Units]]*'HVAC Calcs'!$I5,IF(OR(Table_PrescriptLights_Input[[#This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7" s="283" t="str">
        <f>IFERROR(Table_PrescriptLights_Input[[#This Row],[Energy Savings (kWh)]]*Input_AvgkWhRate, "")</f>
        <v/>
      </c>
      <c r="V7" s="283" t="str">
        <f>IF(Table_PrescriptLights_Input[[#This Row],[HVAC Measure]]="", "",Table_PrescriptLights_Input[[#This Row],[Total Equipment Cost]]+Table_PrescriptLights_Input[[#This Row],[Total Labor Cost]])</f>
        <v/>
      </c>
      <c r="W7" s="283" t="str">
        <f>IFERROR(Table_PrescriptLights_Input[[#This Row],[Gross Measure Cost]]-Table_PrescriptLights_Input[[#This Row],[Estimated Incentive]], "")</f>
        <v/>
      </c>
      <c r="X7" s="284" t="str">
        <f t="shared" si="0"/>
        <v/>
      </c>
      <c r="Y7" s="3"/>
      <c r="Z7" s="3"/>
      <c r="AA7" s="3"/>
      <c r="AB7" s="3"/>
      <c r="AC7" s="3"/>
      <c r="AD7" s="3"/>
      <c r="AE7" s="3"/>
      <c r="AF7" s="3"/>
      <c r="AG7" s="3"/>
      <c r="AH7" s="3"/>
      <c r="AI7" s="3"/>
      <c r="AJ7" s="3"/>
      <c r="AK7" s="3"/>
      <c r="AL7" s="3"/>
      <c r="AM7" s="3"/>
      <c r="AN7" s="3"/>
      <c r="AO7" s="3"/>
      <c r="AP7" s="3"/>
      <c r="AQ7" s="3"/>
      <c r="AR7" s="3"/>
      <c r="AS7" s="3"/>
      <c r="AT7" s="3"/>
      <c r="AU7" s="3"/>
      <c r="AV7" s="3"/>
      <c r="AW7" s="3"/>
      <c r="AX7" s="3"/>
      <c r="AY7" s="3"/>
      <c r="AZ7" s="3"/>
    </row>
    <row r="8" spans="1:52" x14ac:dyDescent="0.2">
      <c r="A8" s="3"/>
      <c r="B8" s="281">
        <v>4</v>
      </c>
      <c r="C8" s="282" t="str">
        <f>IFERROR(INDEX(Table_Prescript_Meas[Measure Number], MATCH(E8, Table_Prescript_Meas[Measure Description], 0)), "")</f>
        <v/>
      </c>
      <c r="D8" s="280"/>
      <c r="E8" s="279"/>
      <c r="F8" s="282" t="str">
        <f>IFERROR(INDEX(Table_Prescript_Meas[Units], MATCH(Table_PrescriptLights_Input[[#This Row],[Measure Number]], Table_Prescript_Meas[Measure Number], 0)), "")</f>
        <v/>
      </c>
      <c r="G8" s="153"/>
      <c r="H8" s="153"/>
      <c r="I8" s="239"/>
      <c r="J8" s="271"/>
      <c r="K8" s="271"/>
      <c r="L8" s="271"/>
      <c r="M8" s="240"/>
      <c r="N8" s="240"/>
      <c r="O8" s="155"/>
      <c r="P8" s="155"/>
      <c r="Q8"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8"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8" s="284" t="str">
        <f>IF(Table_PrescriptLights_Input[[#This Row],[Measure Number]]="","",IF(OR(Table_PrescriptLights_Input[[#This Row],[Measure Number]]=References!$F$4,Table_PrescriptLights_Input[[#This Row],[Measure Number]]=References!$F$5),Table_PrescriptLights_Input[[#This Row],[Number of Units]]*'HVAC Calcs'!$H6,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8" s="285" t="str">
        <f>IF(Table_PrescriptLights_Input[[#This Row],[Measure Number]]="","",IF(OR(Table_PrescriptLights_Input[[#This Row],[Measure Number]]=References!$F$4,Table_PrescriptLights_Input[[#This Row],[Measure Number]]=References!$F$5),Table_PrescriptLights_Input[[#This Row],[Number of Units]]*'HVAC Calcs'!$I6,IF(OR(Table_PrescriptLights_Input[[#This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8" s="283" t="str">
        <f>IFERROR(Table_PrescriptLights_Input[[#This Row],[Energy Savings (kWh)]]*Input_AvgkWhRate, "")</f>
        <v/>
      </c>
      <c r="V8" s="283" t="str">
        <f>IF(Table_PrescriptLights_Input[[#This Row],[HVAC Measure]]="", "",Table_PrescriptLights_Input[[#This Row],[Total Equipment Cost]]+Table_PrescriptLights_Input[[#This Row],[Total Labor Cost]])</f>
        <v/>
      </c>
      <c r="W8" s="283" t="str">
        <f>IFERROR(Table_PrescriptLights_Input[[#This Row],[Gross Measure Cost]]-Table_PrescriptLights_Input[[#This Row],[Estimated Incentive]], "")</f>
        <v/>
      </c>
      <c r="X8" s="284" t="str">
        <f t="shared" si="0"/>
        <v/>
      </c>
      <c r="Y8" s="3"/>
      <c r="Z8" s="3"/>
      <c r="AA8" s="3"/>
      <c r="AB8" s="3"/>
      <c r="AC8" s="3"/>
      <c r="AD8" s="3"/>
      <c r="AE8" s="3"/>
      <c r="AF8" s="3"/>
      <c r="AG8" s="3"/>
      <c r="AH8" s="3"/>
      <c r="AI8" s="3"/>
      <c r="AJ8" s="3"/>
      <c r="AK8" s="3"/>
      <c r="AL8" s="3"/>
      <c r="AM8" s="3"/>
      <c r="AN8" s="3"/>
      <c r="AO8" s="3"/>
      <c r="AP8" s="3"/>
      <c r="AQ8" s="3"/>
      <c r="AR8" s="3"/>
      <c r="AS8" s="3"/>
      <c r="AT8" s="3"/>
      <c r="AU8" s="3"/>
      <c r="AV8" s="3"/>
      <c r="AW8" s="3"/>
      <c r="AX8" s="3"/>
      <c r="AY8" s="3"/>
      <c r="AZ8" s="3"/>
    </row>
    <row r="9" spans="1:52" x14ac:dyDescent="0.2">
      <c r="A9" s="3"/>
      <c r="B9" s="281">
        <v>5</v>
      </c>
      <c r="C9" s="282" t="str">
        <f>IFERROR(INDEX(Table_Prescript_Meas[Measure Number], MATCH(E9, Table_Prescript_Meas[Measure Description], 0)), "")</f>
        <v/>
      </c>
      <c r="D9" s="280"/>
      <c r="E9" s="279"/>
      <c r="F9" s="282" t="str">
        <f>IFERROR(INDEX(Table_Prescript_Meas[Units], MATCH(Table_PrescriptLights_Input[[#This Row],[Measure Number]], Table_Prescript_Meas[Measure Number], 0)), "")</f>
        <v/>
      </c>
      <c r="G9" s="153"/>
      <c r="H9" s="153"/>
      <c r="I9" s="239"/>
      <c r="J9" s="271"/>
      <c r="K9" s="271"/>
      <c r="L9" s="271"/>
      <c r="M9" s="240"/>
      <c r="N9" s="240"/>
      <c r="O9" s="155"/>
      <c r="P9" s="155"/>
      <c r="Q9"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9"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9" s="284" t="str">
        <f>IF(Table_PrescriptLights_Input[[#This Row],[Measure Number]]="","",IF(OR(Table_PrescriptLights_Input[[#This Row],[Measure Number]]=References!$F$4,Table_PrescriptLights_Input[[#This Row],[Measure Number]]=References!$F$5),Table_PrescriptLights_Input[[#This Row],[Number of Units]]*'HVAC Calcs'!$H7,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9" s="285" t="str">
        <f>IF(Table_PrescriptLights_Input[[#This Row],[Measure Number]]="","",IF(OR(Table_PrescriptLights_Input[[#This Row],[Measure Number]]=References!$F$4,Table_PrescriptLights_Input[[#This Row],[Measure Number]]=References!$F$5),Table_PrescriptLights_Input[[#This Row],[Number of Units]]*'HVAC Calcs'!$I7,IF(OR(Table_PrescriptLights_Input[[#This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9" s="283" t="str">
        <f>IFERROR(Table_PrescriptLights_Input[[#This Row],[Energy Savings (kWh)]]*Input_AvgkWhRate, "")</f>
        <v/>
      </c>
      <c r="V9" s="283" t="str">
        <f>IF(Table_PrescriptLights_Input[[#This Row],[HVAC Measure]]="", "",Table_PrescriptLights_Input[[#This Row],[Total Equipment Cost]]+Table_PrescriptLights_Input[[#This Row],[Total Labor Cost]])</f>
        <v/>
      </c>
      <c r="W9" s="283" t="str">
        <f>IFERROR(Table_PrescriptLights_Input[[#This Row],[Gross Measure Cost]]-Table_PrescriptLights_Input[[#This Row],[Estimated Incentive]], "")</f>
        <v/>
      </c>
      <c r="X9" s="284" t="str">
        <f t="shared" si="0"/>
        <v/>
      </c>
      <c r="Y9" s="3"/>
      <c r="Z9" s="3"/>
      <c r="AA9" s="3"/>
      <c r="AB9" s="3"/>
      <c r="AC9" s="3"/>
      <c r="AD9" s="3"/>
      <c r="AE9" s="3"/>
      <c r="AF9" s="3"/>
      <c r="AG9" s="3"/>
      <c r="AH9" s="3"/>
      <c r="AI9" s="3"/>
      <c r="AJ9" s="3"/>
      <c r="AK9" s="3"/>
      <c r="AL9" s="3"/>
      <c r="AM9" s="3"/>
      <c r="AN9" s="3"/>
      <c r="AO9" s="3"/>
      <c r="AP9" s="3"/>
      <c r="AQ9" s="3"/>
      <c r="AR9" s="3"/>
      <c r="AS9" s="3"/>
      <c r="AT9" s="3"/>
      <c r="AU9" s="3"/>
      <c r="AV9" s="3"/>
      <c r="AW9" s="3"/>
      <c r="AX9" s="3"/>
      <c r="AY9" s="3"/>
      <c r="AZ9" s="3"/>
    </row>
    <row r="10" spans="1:52" x14ac:dyDescent="0.2">
      <c r="A10" s="3"/>
      <c r="B10" s="281">
        <v>6</v>
      </c>
      <c r="C10" s="282" t="str">
        <f>IFERROR(INDEX(Table_Prescript_Meas[Measure Number], MATCH(E10, Table_Prescript_Meas[Measure Description], 0)), "")</f>
        <v/>
      </c>
      <c r="D10" s="280"/>
      <c r="E10" s="279"/>
      <c r="F10" s="282" t="str">
        <f>IFERROR(INDEX(Table_Prescript_Meas[Units], MATCH(Table_PrescriptLights_Input[[#This Row],[Measure Number]], Table_Prescript_Meas[Measure Number], 0)), "")</f>
        <v/>
      </c>
      <c r="G10" s="153"/>
      <c r="H10" s="153"/>
      <c r="I10" s="239"/>
      <c r="J10" s="271"/>
      <c r="K10" s="271"/>
      <c r="L10" s="271"/>
      <c r="M10" s="240"/>
      <c r="N10" s="240"/>
      <c r="O10" s="155"/>
      <c r="P10" s="155"/>
      <c r="Q10"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0"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0" s="284" t="str">
        <f>IF(Table_PrescriptLights_Input[[#This Row],[Measure Number]]="","",IF(OR(Table_PrescriptLights_Input[[#This Row],[Measure Number]]=References!$F$4,Table_PrescriptLights_Input[[#This Row],[Measure Number]]=References!$F$5),Table_PrescriptLights_Input[[#This Row],[Number of Units]]*'HVAC Calcs'!$H8,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0" s="285" t="str">
        <f>IF(Table_PrescriptLights_Input[[#This Row],[Measure Number]]="","",IF(OR(Table_PrescriptLights_Input[[#This Row],[Measure Number]]=References!$F$4,Table_PrescriptLights_Input[[#This Row],[Measure Number]]=References!$F$5),Table_PrescriptLights_Input[[#This Row],[Number of Units]]*'HVAC Calcs'!$I8,IF(OR(Table_PrescriptLights_Input[[#This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0" s="283" t="str">
        <f>IFERROR(Table_PrescriptLights_Input[[#This Row],[Energy Savings (kWh)]]*Input_AvgkWhRate, "")</f>
        <v/>
      </c>
      <c r="V10" s="283" t="str">
        <f>IF(Table_PrescriptLights_Input[[#This Row],[HVAC Measure]]="", "",Table_PrescriptLights_Input[[#This Row],[Total Equipment Cost]]+Table_PrescriptLights_Input[[#This Row],[Total Labor Cost]])</f>
        <v/>
      </c>
      <c r="W10" s="283" t="str">
        <f>IFERROR(Table_PrescriptLights_Input[[#This Row],[Gross Measure Cost]]-Table_PrescriptLights_Input[[#This Row],[Estimated Incentive]], "")</f>
        <v/>
      </c>
      <c r="X10" s="284" t="str">
        <f t="shared" si="0"/>
        <v/>
      </c>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row>
    <row r="11" spans="1:52" x14ac:dyDescent="0.2">
      <c r="A11" s="3"/>
      <c r="B11" s="281">
        <v>7</v>
      </c>
      <c r="C11" s="282" t="str">
        <f>IFERROR(INDEX(Table_Prescript_Meas[Measure Number], MATCH(E11, Table_Prescript_Meas[Measure Description], 0)), "")</f>
        <v/>
      </c>
      <c r="D11" s="280"/>
      <c r="E11" s="279"/>
      <c r="F11" s="282" t="str">
        <f>IFERROR(INDEX(Table_Prescript_Meas[Units], MATCH(Table_PrescriptLights_Input[[#This Row],[Measure Number]], Table_Prescript_Meas[Measure Number], 0)), "")</f>
        <v/>
      </c>
      <c r="G11" s="153"/>
      <c r="H11" s="153"/>
      <c r="I11" s="239"/>
      <c r="J11" s="271"/>
      <c r="K11" s="271"/>
      <c r="L11" s="271"/>
      <c r="M11" s="240"/>
      <c r="N11" s="240"/>
      <c r="O11" s="155"/>
      <c r="P11" s="155"/>
      <c r="Q11"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1"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1" s="284" t="str">
        <f>IF(Table_PrescriptLights_Input[[#This Row],[Measure Number]]="","",IF(OR(Table_PrescriptLights_Input[[#This Row],[Measure Number]]=References!$F$4,Table_PrescriptLights_Input[[#This Row],[Measure Number]]=References!$F$5),Table_PrescriptLights_Input[[#This Row],[Number of Units]]*'HVAC Calcs'!$H9,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1" s="285" t="str">
        <f>IF(Table_PrescriptLights_Input[[#This Row],[Measure Number]]="","",IF(OR(Table_PrescriptLights_Input[[#This Row],[Measure Number]]=References!$F$4,Table_PrescriptLights_Input[[#This Row],[Measure Number]]=References!$F$5),Table_PrescriptLights_Input[[#This Row],[Number of Units]]*'HVAC Calcs'!$I9,IF(OR(Table_PrescriptLights_Input[[#This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1" s="283" t="str">
        <f>IFERROR(Table_PrescriptLights_Input[[#This Row],[Energy Savings (kWh)]]*Input_AvgkWhRate, "")</f>
        <v/>
      </c>
      <c r="V11" s="283" t="str">
        <f>IF(Table_PrescriptLights_Input[[#This Row],[HVAC Measure]]="", "",Table_PrescriptLights_Input[[#This Row],[Total Equipment Cost]]+Table_PrescriptLights_Input[[#This Row],[Total Labor Cost]])</f>
        <v/>
      </c>
      <c r="W11" s="283" t="str">
        <f>IFERROR(Table_PrescriptLights_Input[[#This Row],[Gross Measure Cost]]-Table_PrescriptLights_Input[[#This Row],[Estimated Incentive]], "")</f>
        <v/>
      </c>
      <c r="X11" s="284" t="str">
        <f t="shared" si="0"/>
        <v/>
      </c>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row>
    <row r="12" spans="1:52" x14ac:dyDescent="0.2">
      <c r="A12" s="3"/>
      <c r="B12" s="281">
        <v>8</v>
      </c>
      <c r="C12" s="282" t="str">
        <f>IFERROR(INDEX(Table_Prescript_Meas[Measure Number], MATCH(E12, Table_Prescript_Meas[Measure Description], 0)), "")</f>
        <v/>
      </c>
      <c r="D12" s="280"/>
      <c r="E12" s="279"/>
      <c r="F12" s="282" t="str">
        <f>IFERROR(INDEX(Table_Prescript_Meas[Units], MATCH(Table_PrescriptLights_Input[[#This Row],[Measure Number]], Table_Prescript_Meas[Measure Number], 0)), "")</f>
        <v/>
      </c>
      <c r="G12" s="153"/>
      <c r="H12" s="153"/>
      <c r="I12" s="239"/>
      <c r="J12" s="271"/>
      <c r="K12" s="271"/>
      <c r="L12" s="271"/>
      <c r="M12" s="240"/>
      <c r="N12" s="240"/>
      <c r="O12" s="155"/>
      <c r="P12" s="155"/>
      <c r="Q12"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2"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2" s="284" t="str">
        <f>IF(Table_PrescriptLights_Input[[#This Row],[Measure Number]]="","",IF(OR(Table_PrescriptLights_Input[[#This Row],[Measure Number]]=References!$F$4,Table_PrescriptLights_Input[[#This Row],[Measure Number]]=References!$F$5),Table_PrescriptLights_Input[[#This Row],[Number of Units]]*'HVAC Calcs'!$H10,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2" s="285" t="str">
        <f>IF(Table_PrescriptLights_Input[[#This Row],[Measure Number]]="","",IF(OR(Table_PrescriptLights_Input[[#This Row],[Measure Number]]=References!$F$4,Table_PrescriptLights_Input[[#This Row],[Measure Number]]=References!$F$5),Table_PrescriptLights_Input[[#This Row],[Number of Units]]*'HVAC Calcs'!$I10,IF(OR(Table_PrescriptLights_Input[[#This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2" s="283" t="str">
        <f>IFERROR(Table_PrescriptLights_Input[[#This Row],[Energy Savings (kWh)]]*Input_AvgkWhRate, "")</f>
        <v/>
      </c>
      <c r="V12" s="283" t="str">
        <f>IF(Table_PrescriptLights_Input[[#This Row],[HVAC Measure]]="", "",Table_PrescriptLights_Input[[#This Row],[Total Equipment Cost]]+Table_PrescriptLights_Input[[#This Row],[Total Labor Cost]])</f>
        <v/>
      </c>
      <c r="W12" s="283" t="str">
        <f>IFERROR(Table_PrescriptLights_Input[[#This Row],[Gross Measure Cost]]-Table_PrescriptLights_Input[[#This Row],[Estimated Incentive]], "")</f>
        <v/>
      </c>
      <c r="X12" s="284" t="str">
        <f t="shared" si="0"/>
        <v/>
      </c>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row>
    <row r="13" spans="1:52" x14ac:dyDescent="0.2">
      <c r="A13" s="3"/>
      <c r="B13" s="281">
        <v>9</v>
      </c>
      <c r="C13" s="282" t="str">
        <f>IFERROR(INDEX(Table_Prescript_Meas[Measure Number], MATCH(E13, Table_Prescript_Meas[Measure Description], 0)), "")</f>
        <v/>
      </c>
      <c r="D13" s="280"/>
      <c r="E13" s="279"/>
      <c r="F13" s="282" t="str">
        <f>IFERROR(INDEX(Table_Prescript_Meas[Units], MATCH(Table_PrescriptLights_Input[[#This Row],[Measure Number]], Table_Prescript_Meas[Measure Number], 0)), "")</f>
        <v/>
      </c>
      <c r="G13" s="153"/>
      <c r="H13" s="153"/>
      <c r="I13" s="239"/>
      <c r="J13" s="271"/>
      <c r="K13" s="271"/>
      <c r="L13" s="271"/>
      <c r="M13" s="240"/>
      <c r="N13" s="240"/>
      <c r="O13" s="155"/>
      <c r="P13" s="155"/>
      <c r="Q13"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3"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3" s="284" t="str">
        <f>IF(Table_PrescriptLights_Input[[#This Row],[Measure Number]]="","",IF(OR(Table_PrescriptLights_Input[[#This Row],[Measure Number]]=References!$F$4,Table_PrescriptLights_Input[[#This Row],[Measure Number]]=References!$F$5),Table_PrescriptLights_Input[[#This Row],[Number of Units]]*'HVAC Calcs'!$H11,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3" s="285" t="str">
        <f>IF(Table_PrescriptLights_Input[[#This Row],[Measure Number]]="","",IF(OR(Table_PrescriptLights_Input[[#This Row],[Measure Number]]=References!$F$4,Table_PrescriptLights_Input[[#This Row],[Measure Number]]=References!$F$5),Table_PrescriptLights_Input[[#This Row],[Number of Units]]*'HVAC Calcs'!$I11,IF(OR(Table_PrescriptLights_Input[[#This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3" s="283" t="str">
        <f>IFERROR(Table_PrescriptLights_Input[[#This Row],[Energy Savings (kWh)]]*Input_AvgkWhRate, "")</f>
        <v/>
      </c>
      <c r="V13" s="283" t="str">
        <f>IF(Table_PrescriptLights_Input[[#This Row],[HVAC Measure]]="", "",Table_PrescriptLights_Input[[#This Row],[Total Equipment Cost]]+Table_PrescriptLights_Input[[#This Row],[Total Labor Cost]])</f>
        <v/>
      </c>
      <c r="W13" s="283" t="str">
        <f>IFERROR(Table_PrescriptLights_Input[[#This Row],[Gross Measure Cost]]-Table_PrescriptLights_Input[[#This Row],[Estimated Incentive]], "")</f>
        <v/>
      </c>
      <c r="X13" s="284" t="str">
        <f t="shared" si="0"/>
        <v/>
      </c>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row>
    <row r="14" spans="1:52" x14ac:dyDescent="0.2">
      <c r="A14" s="3"/>
      <c r="B14" s="281">
        <v>10</v>
      </c>
      <c r="C14" s="282" t="str">
        <f>IFERROR(INDEX(Table_Prescript_Meas[Measure Number], MATCH(E14, Table_Prescript_Meas[Measure Description], 0)), "")</f>
        <v/>
      </c>
      <c r="D14" s="280"/>
      <c r="E14" s="279"/>
      <c r="F14" s="282" t="str">
        <f>IFERROR(INDEX(Table_Prescript_Meas[Units], MATCH(Table_PrescriptLights_Input[[#This Row],[Measure Number]], Table_Prescript_Meas[Measure Number], 0)), "")</f>
        <v/>
      </c>
      <c r="G14" s="153"/>
      <c r="H14" s="153"/>
      <c r="I14" s="239"/>
      <c r="J14" s="271"/>
      <c r="K14" s="271"/>
      <c r="L14" s="271"/>
      <c r="M14" s="240"/>
      <c r="N14" s="240"/>
      <c r="O14" s="155"/>
      <c r="P14" s="155"/>
      <c r="Q14"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4"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4" s="284" t="str">
        <f>IF(Table_PrescriptLights_Input[[#This Row],[Measure Number]]="","",IF(OR(Table_PrescriptLights_Input[[#This Row],[Measure Number]]=References!$F$4,Table_PrescriptLights_Input[[#This Row],[Measure Number]]=References!$F$5),Table_PrescriptLights_Input[[#This Row],[Number of Units]]*'HVAC Calcs'!$H12,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4" s="285" t="str">
        <f>IF(Table_PrescriptLights_Input[[#This Row],[Measure Number]]="","",IF(OR(Table_PrescriptLights_Input[[#This Row],[Measure Number]]=References!$F$4,Table_PrescriptLights_Input[[#This Row],[Measure Number]]=References!$F$5),Table_PrescriptLights_Input[[#This Row],[Number of Units]]*'HVAC Calcs'!$I12,IF(OR(Table_PrescriptLights_Input[[#This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4" s="283" t="str">
        <f>IFERROR(Table_PrescriptLights_Input[[#This Row],[Energy Savings (kWh)]]*Input_AvgkWhRate, "")</f>
        <v/>
      </c>
      <c r="V14" s="283" t="str">
        <f>IF(Table_PrescriptLights_Input[[#This Row],[HVAC Measure]]="", "",Table_PrescriptLights_Input[[#This Row],[Total Equipment Cost]]+Table_PrescriptLights_Input[[#This Row],[Total Labor Cost]])</f>
        <v/>
      </c>
      <c r="W14" s="283" t="str">
        <f>IFERROR(Table_PrescriptLights_Input[[#This Row],[Gross Measure Cost]]-Table_PrescriptLights_Input[[#This Row],[Estimated Incentive]], "")</f>
        <v/>
      </c>
      <c r="X14" s="284" t="str">
        <f t="shared" si="0"/>
        <v/>
      </c>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row>
    <row r="15" spans="1:52" x14ac:dyDescent="0.2">
      <c r="A15" s="3"/>
      <c r="B15" s="281">
        <v>11</v>
      </c>
      <c r="C15" s="282" t="str">
        <f>IFERROR(INDEX(Table_Prescript_Meas[Measure Number], MATCH(E15, Table_Prescript_Meas[Measure Description], 0)), "")</f>
        <v/>
      </c>
      <c r="D15" s="280"/>
      <c r="E15" s="279"/>
      <c r="F15" s="282" t="str">
        <f>IFERROR(INDEX(Table_Prescript_Meas[Units], MATCH(Table_PrescriptLights_Input[[#This Row],[Measure Number]], Table_Prescript_Meas[Measure Number], 0)), "")</f>
        <v/>
      </c>
      <c r="G15" s="153"/>
      <c r="H15" s="153"/>
      <c r="I15" s="239"/>
      <c r="J15" s="271"/>
      <c r="K15" s="271"/>
      <c r="L15" s="271"/>
      <c r="M15" s="240"/>
      <c r="N15" s="240"/>
      <c r="O15" s="155"/>
      <c r="P15" s="155"/>
      <c r="Q15"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5"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5" s="284" t="str">
        <f>IF(Table_PrescriptLights_Input[[#This Row],[Measure Number]]="","",IF(OR(Table_PrescriptLights_Input[[#This Row],[Measure Number]]=References!$F$4,Table_PrescriptLights_Input[[#This Row],[Measure Number]]=References!$F$5),Table_PrescriptLights_Input[[#This Row],[Number of Units]]*'HVAC Calcs'!$H13,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5" s="285" t="str">
        <f>IF(Table_PrescriptLights_Input[[#This Row],[Measure Number]]="","",IF(OR(Table_PrescriptLights_Input[[#This Row],[Measure Number]]=References!$F$4,Table_PrescriptLights_Input[[#This Row],[Measure Number]]=References!$F$5),Table_PrescriptLights_Input[[#This Row],[Number of Units]]*'HVAC Calcs'!$I13,IF(OR(Table_PrescriptLights_Input[[#This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5" s="283" t="str">
        <f>IFERROR(Table_PrescriptLights_Input[[#This Row],[Energy Savings (kWh)]]*Input_AvgkWhRate, "")</f>
        <v/>
      </c>
      <c r="V15" s="283" t="str">
        <f>IF(Table_PrescriptLights_Input[[#This Row],[HVAC Measure]]="", "",Table_PrescriptLights_Input[[#This Row],[Total Equipment Cost]]+Table_PrescriptLights_Input[[#This Row],[Total Labor Cost]])</f>
        <v/>
      </c>
      <c r="W15" s="283" t="str">
        <f>IFERROR(Table_PrescriptLights_Input[[#This Row],[Gross Measure Cost]]-Table_PrescriptLights_Input[[#This Row],[Estimated Incentive]], "")</f>
        <v/>
      </c>
      <c r="X15" s="284" t="str">
        <f t="shared" si="0"/>
        <v/>
      </c>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row>
    <row r="16" spans="1:52" x14ac:dyDescent="0.2">
      <c r="A16" s="3"/>
      <c r="B16" s="281">
        <v>12</v>
      </c>
      <c r="C16" s="282" t="str">
        <f>IFERROR(INDEX(Table_Prescript_Meas[Measure Number], MATCH(E16, Table_Prescript_Meas[Measure Description], 0)), "")</f>
        <v/>
      </c>
      <c r="D16" s="280"/>
      <c r="E16" s="279"/>
      <c r="F16" s="282" t="str">
        <f>IFERROR(INDEX(Table_Prescript_Meas[Units], MATCH(Table_PrescriptLights_Input[[#This Row],[Measure Number]], Table_Prescript_Meas[Measure Number], 0)), "")</f>
        <v/>
      </c>
      <c r="G16" s="153"/>
      <c r="H16" s="153"/>
      <c r="I16" s="239"/>
      <c r="J16" s="271"/>
      <c r="K16" s="271"/>
      <c r="L16" s="271"/>
      <c r="M16" s="240"/>
      <c r="N16" s="240"/>
      <c r="O16" s="155"/>
      <c r="P16" s="155"/>
      <c r="Q16"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6"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6" s="284" t="str">
        <f>IF(Table_PrescriptLights_Input[[#This Row],[Measure Number]]="","",IF(OR(Table_PrescriptLights_Input[[#This Row],[Measure Number]]=References!$F$4,Table_PrescriptLights_Input[[#This Row],[Measure Number]]=References!$F$5),Table_PrescriptLights_Input[[#This Row],[Number of Units]]*'HVAC Calcs'!$H14,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6" s="285" t="str">
        <f>IF(Table_PrescriptLights_Input[[#This Row],[Measure Number]]="","",IF(OR(Table_PrescriptLights_Input[[#This Row],[Measure Number]]=References!$F$4,Table_PrescriptLights_Input[[#This Row],[Measure Number]]=References!$F$5),Table_PrescriptLights_Input[[#This Row],[Number of Units]]*'HVAC Calcs'!$I14,IF(OR(Table_PrescriptLights_Input[[#This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6" s="283" t="str">
        <f>IFERROR(Table_PrescriptLights_Input[[#This Row],[Energy Savings (kWh)]]*Input_AvgkWhRate, "")</f>
        <v/>
      </c>
      <c r="V16" s="283" t="str">
        <f>IF(Table_PrescriptLights_Input[[#This Row],[HVAC Measure]]="", "",Table_PrescriptLights_Input[[#This Row],[Total Equipment Cost]]+Table_PrescriptLights_Input[[#This Row],[Total Labor Cost]])</f>
        <v/>
      </c>
      <c r="W16" s="283" t="str">
        <f>IFERROR(Table_PrescriptLights_Input[[#This Row],[Gross Measure Cost]]-Table_PrescriptLights_Input[[#This Row],[Estimated Incentive]], "")</f>
        <v/>
      </c>
      <c r="X16" s="284" t="str">
        <f t="shared" si="0"/>
        <v/>
      </c>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row>
    <row r="17" spans="1:52" x14ac:dyDescent="0.2">
      <c r="A17" s="3"/>
      <c r="B17" s="281">
        <v>13</v>
      </c>
      <c r="C17" s="282" t="str">
        <f>IFERROR(INDEX(Table_Prescript_Meas[Measure Number], MATCH(E17, Table_Prescript_Meas[Measure Description], 0)), "")</f>
        <v/>
      </c>
      <c r="D17" s="280"/>
      <c r="E17" s="279"/>
      <c r="F17" s="282" t="str">
        <f>IFERROR(INDEX(Table_Prescript_Meas[Units], MATCH(Table_PrescriptLights_Input[[#This Row],[Measure Number]], Table_Prescript_Meas[Measure Number], 0)), "")</f>
        <v/>
      </c>
      <c r="G17" s="153"/>
      <c r="H17" s="153"/>
      <c r="I17" s="239"/>
      <c r="J17" s="271"/>
      <c r="K17" s="271"/>
      <c r="L17" s="271"/>
      <c r="M17" s="240"/>
      <c r="N17" s="240"/>
      <c r="O17" s="155"/>
      <c r="P17" s="155"/>
      <c r="Q17"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7"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7" s="284" t="str">
        <f>IF(Table_PrescriptLights_Input[[#This Row],[Measure Number]]="","",IF(OR(Table_PrescriptLights_Input[[#This Row],[Measure Number]]=References!$F$4,Table_PrescriptLights_Input[[#This Row],[Measure Number]]=References!$F$5),Table_PrescriptLights_Input[[#This Row],[Number of Units]]*'HVAC Calcs'!$H15,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7" s="285" t="str">
        <f>IF(Table_PrescriptLights_Input[[#This Row],[Measure Number]]="","",IF(OR(Table_PrescriptLights_Input[[#This Row],[Measure Number]]=References!$F$4,Table_PrescriptLights_Input[[#This Row],[Measure Number]]=References!$F$5),Table_PrescriptLights_Input[[#This Row],[Number of Units]]*'HVAC Calcs'!$I15,IF(OR(Table_PrescriptLights_Input[[#This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7" s="283" t="str">
        <f>IFERROR(Table_PrescriptLights_Input[[#This Row],[Energy Savings (kWh)]]*Input_AvgkWhRate, "")</f>
        <v/>
      </c>
      <c r="V17" s="283" t="str">
        <f>IF(Table_PrescriptLights_Input[[#This Row],[HVAC Measure]]="", "",Table_PrescriptLights_Input[[#This Row],[Total Equipment Cost]]+Table_PrescriptLights_Input[[#This Row],[Total Labor Cost]])</f>
        <v/>
      </c>
      <c r="W17" s="283" t="str">
        <f>IFERROR(Table_PrescriptLights_Input[[#This Row],[Gross Measure Cost]]-Table_PrescriptLights_Input[[#This Row],[Estimated Incentive]], "")</f>
        <v/>
      </c>
      <c r="X17" s="284" t="str">
        <f t="shared" si="0"/>
        <v/>
      </c>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row>
    <row r="18" spans="1:52" x14ac:dyDescent="0.2">
      <c r="A18" s="3"/>
      <c r="B18" s="281">
        <v>14</v>
      </c>
      <c r="C18" s="282" t="str">
        <f>IFERROR(INDEX(Table_Prescript_Meas[Measure Number], MATCH(E18, Table_Prescript_Meas[Measure Description], 0)), "")</f>
        <v/>
      </c>
      <c r="D18" s="280"/>
      <c r="E18" s="279"/>
      <c r="F18" s="282" t="str">
        <f>IFERROR(INDEX(Table_Prescript_Meas[Units], MATCH(Table_PrescriptLights_Input[[#This Row],[Measure Number]], Table_Prescript_Meas[Measure Number], 0)), "")</f>
        <v/>
      </c>
      <c r="G18" s="153"/>
      <c r="H18" s="153"/>
      <c r="I18" s="239"/>
      <c r="J18" s="271"/>
      <c r="K18" s="271"/>
      <c r="L18" s="271"/>
      <c r="M18" s="240"/>
      <c r="N18" s="240"/>
      <c r="O18" s="155"/>
      <c r="P18" s="155"/>
      <c r="Q18"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8"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8" s="284" t="str">
        <f>IF(Table_PrescriptLights_Input[[#This Row],[Measure Number]]="","",IF(OR(Table_PrescriptLights_Input[[#This Row],[Measure Number]]=References!$F$4,Table_PrescriptLights_Input[[#This Row],[Measure Number]]=References!$F$5),Table_PrescriptLights_Input[[#This Row],[Number of Units]]*'HVAC Calcs'!$H16,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8" s="285" t="str">
        <f>IF(Table_PrescriptLights_Input[[#This Row],[Measure Number]]="","",IF(OR(Table_PrescriptLights_Input[[#This Row],[Measure Number]]=References!$F$4,Table_PrescriptLights_Input[[#This Row],[Measure Number]]=References!$F$5),Table_PrescriptLights_Input[[#This Row],[Number of Units]]*'HVAC Calcs'!$I16,IF(OR(Table_PrescriptLights_Input[[#This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8" s="283" t="str">
        <f>IFERROR(Table_PrescriptLights_Input[[#This Row],[Energy Savings (kWh)]]*Input_AvgkWhRate, "")</f>
        <v/>
      </c>
      <c r="V18" s="283" t="str">
        <f>IF(Table_PrescriptLights_Input[[#This Row],[HVAC Measure]]="", "",Table_PrescriptLights_Input[[#This Row],[Total Equipment Cost]]+Table_PrescriptLights_Input[[#This Row],[Total Labor Cost]])</f>
        <v/>
      </c>
      <c r="W18" s="283" t="str">
        <f>IFERROR(Table_PrescriptLights_Input[[#This Row],[Gross Measure Cost]]-Table_PrescriptLights_Input[[#This Row],[Estimated Incentive]], "")</f>
        <v/>
      </c>
      <c r="X18" s="284" t="str">
        <f t="shared" si="0"/>
        <v/>
      </c>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row>
    <row r="19" spans="1:52" x14ac:dyDescent="0.2">
      <c r="A19" s="3"/>
      <c r="B19" s="281">
        <v>15</v>
      </c>
      <c r="C19" s="282" t="str">
        <f>IFERROR(INDEX(Table_Prescript_Meas[Measure Number], MATCH(E19, Table_Prescript_Meas[Measure Description], 0)), "")</f>
        <v/>
      </c>
      <c r="D19" s="280"/>
      <c r="E19" s="279"/>
      <c r="F19" s="282" t="str">
        <f>IFERROR(INDEX(Table_Prescript_Meas[Units], MATCH(Table_PrescriptLights_Input[[#This Row],[Measure Number]], Table_Prescript_Meas[Measure Number], 0)), "")</f>
        <v/>
      </c>
      <c r="G19" s="153"/>
      <c r="H19" s="153"/>
      <c r="I19" s="239"/>
      <c r="J19" s="271"/>
      <c r="K19" s="271"/>
      <c r="L19" s="271"/>
      <c r="M19" s="240"/>
      <c r="N19" s="240"/>
      <c r="O19" s="155"/>
      <c r="P19" s="155"/>
      <c r="Q19"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19"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19" s="284" t="str">
        <f>IF(Table_PrescriptLights_Input[[#This Row],[Measure Number]]="","",IF(OR(Table_PrescriptLights_Input[[#This Row],[Measure Number]]=References!$F$4,Table_PrescriptLights_Input[[#This Row],[Measure Number]]=References!$F$5),Table_PrescriptLights_Input[[#This Row],[Number of Units]]*'HVAC Calcs'!$H17,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19" s="285" t="str">
        <f>IF(Table_PrescriptLights_Input[[#This Row],[Measure Number]]="","",IF(OR(Table_PrescriptLights_Input[[#This Row],[Measure Number]]=References!$F$4,Table_PrescriptLights_Input[[#This Row],[Measure Number]]=References!$F$5),Table_PrescriptLights_Input[[#This Row],[Number of Units]]*'HVAC Calcs'!$I17,IF(OR(Table_PrescriptLights_Input[[#This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19" s="283" t="str">
        <f>IFERROR(Table_PrescriptLights_Input[[#This Row],[Energy Savings (kWh)]]*Input_AvgkWhRate, "")</f>
        <v/>
      </c>
      <c r="V19" s="283" t="str">
        <f>IF(Table_PrescriptLights_Input[[#This Row],[HVAC Measure]]="", "",Table_PrescriptLights_Input[[#This Row],[Total Equipment Cost]]+Table_PrescriptLights_Input[[#This Row],[Total Labor Cost]])</f>
        <v/>
      </c>
      <c r="W19" s="283" t="str">
        <f>IFERROR(Table_PrescriptLights_Input[[#This Row],[Gross Measure Cost]]-Table_PrescriptLights_Input[[#This Row],[Estimated Incentive]], "")</f>
        <v/>
      </c>
      <c r="X19" s="284" t="str">
        <f t="shared" si="0"/>
        <v/>
      </c>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row>
    <row r="20" spans="1:52" x14ac:dyDescent="0.2">
      <c r="A20" s="3"/>
      <c r="B20" s="281">
        <v>16</v>
      </c>
      <c r="C20" s="282" t="str">
        <f>IFERROR(INDEX(Table_Prescript_Meas[Measure Number], MATCH(E20, Table_Prescript_Meas[Measure Description], 0)), "")</f>
        <v/>
      </c>
      <c r="D20" s="280"/>
      <c r="E20" s="279"/>
      <c r="F20" s="282" t="str">
        <f>IFERROR(INDEX(Table_Prescript_Meas[Units], MATCH(Table_PrescriptLights_Input[[#This Row],[Measure Number]], Table_Prescript_Meas[Measure Number], 0)), "")</f>
        <v/>
      </c>
      <c r="G20" s="153"/>
      <c r="H20" s="153"/>
      <c r="I20" s="239"/>
      <c r="J20" s="271"/>
      <c r="K20" s="271"/>
      <c r="L20" s="271"/>
      <c r="M20" s="240"/>
      <c r="N20" s="240"/>
      <c r="O20" s="155"/>
      <c r="P20" s="155"/>
      <c r="Q20"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0"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0" s="284" t="str">
        <f>IF(Table_PrescriptLights_Input[[#This Row],[Measure Number]]="","",IF(OR(Table_PrescriptLights_Input[[#This Row],[Measure Number]]=References!$F$4,Table_PrescriptLights_Input[[#This Row],[Measure Number]]=References!$F$5),Table_PrescriptLights_Input[[#This Row],[Number of Units]]*'HVAC Calcs'!$H18,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0" s="285" t="str">
        <f>IF(Table_PrescriptLights_Input[[#This Row],[Measure Number]]="","",IF(OR(Table_PrescriptLights_Input[[#This Row],[Measure Number]]=References!$F$4,Table_PrescriptLights_Input[[#This Row],[Measure Number]]=References!$F$5),Table_PrescriptLights_Input[[#This Row],[Number of Units]]*'HVAC Calcs'!$I18,IF(OR(Table_PrescriptLights_Input[[#This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0" s="283" t="str">
        <f>IFERROR(Table_PrescriptLights_Input[[#This Row],[Energy Savings (kWh)]]*Input_AvgkWhRate, "")</f>
        <v/>
      </c>
      <c r="V20" s="283" t="str">
        <f>IF(Table_PrescriptLights_Input[[#This Row],[HVAC Measure]]="", "",Table_PrescriptLights_Input[[#This Row],[Total Equipment Cost]]+Table_PrescriptLights_Input[[#This Row],[Total Labor Cost]])</f>
        <v/>
      </c>
      <c r="W20" s="283" t="str">
        <f>IFERROR(Table_PrescriptLights_Input[[#This Row],[Gross Measure Cost]]-Table_PrescriptLights_Input[[#This Row],[Estimated Incentive]], "")</f>
        <v/>
      </c>
      <c r="X20" s="284" t="str">
        <f t="shared" si="0"/>
        <v/>
      </c>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row>
    <row r="21" spans="1:52" x14ac:dyDescent="0.2">
      <c r="A21" s="3"/>
      <c r="B21" s="281">
        <v>17</v>
      </c>
      <c r="C21" s="282" t="str">
        <f>IFERROR(INDEX(Table_Prescript_Meas[Measure Number], MATCH(E21, Table_Prescript_Meas[Measure Description], 0)), "")</f>
        <v/>
      </c>
      <c r="D21" s="280"/>
      <c r="E21" s="279"/>
      <c r="F21" s="282" t="str">
        <f>IFERROR(INDEX(Table_Prescript_Meas[Units], MATCH(Table_PrescriptLights_Input[[#This Row],[Measure Number]], Table_Prescript_Meas[Measure Number], 0)), "")</f>
        <v/>
      </c>
      <c r="G21" s="153"/>
      <c r="H21" s="153"/>
      <c r="I21" s="239"/>
      <c r="J21" s="271"/>
      <c r="K21" s="271"/>
      <c r="L21" s="271"/>
      <c r="M21" s="240"/>
      <c r="N21" s="240"/>
      <c r="O21" s="155"/>
      <c r="P21" s="155"/>
      <c r="Q21"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1"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1" s="284" t="str">
        <f>IF(Table_PrescriptLights_Input[[#This Row],[Measure Number]]="","",IF(OR(Table_PrescriptLights_Input[[#This Row],[Measure Number]]=References!$F$4,Table_PrescriptLights_Input[[#This Row],[Measure Number]]=References!$F$5),Table_PrescriptLights_Input[[#This Row],[Number of Units]]*'HVAC Calcs'!$H19,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1" s="285" t="str">
        <f>IF(Table_PrescriptLights_Input[[#This Row],[Measure Number]]="","",IF(OR(Table_PrescriptLights_Input[[#This Row],[Measure Number]]=References!$F$4,Table_PrescriptLights_Input[[#This Row],[Measure Number]]=References!$F$5),Table_PrescriptLights_Input[[#This Row],[Number of Units]]*'HVAC Calcs'!$I19,IF(OR(Table_PrescriptLights_Input[[#This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1" s="283" t="str">
        <f>IFERROR(Table_PrescriptLights_Input[[#This Row],[Energy Savings (kWh)]]*Input_AvgkWhRate, "")</f>
        <v/>
      </c>
      <c r="V21" s="283" t="str">
        <f>IF(Table_PrescriptLights_Input[[#This Row],[HVAC Measure]]="", "",Table_PrescriptLights_Input[[#This Row],[Total Equipment Cost]]+Table_PrescriptLights_Input[[#This Row],[Total Labor Cost]])</f>
        <v/>
      </c>
      <c r="W21" s="283" t="str">
        <f>IFERROR(Table_PrescriptLights_Input[[#This Row],[Gross Measure Cost]]-Table_PrescriptLights_Input[[#This Row],[Estimated Incentive]], "")</f>
        <v/>
      </c>
      <c r="X21" s="284" t="str">
        <f t="shared" si="0"/>
        <v/>
      </c>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row>
    <row r="22" spans="1:52" x14ac:dyDescent="0.2">
      <c r="A22" s="3"/>
      <c r="B22" s="281">
        <v>18</v>
      </c>
      <c r="C22" s="282" t="str">
        <f>IFERROR(INDEX(Table_Prescript_Meas[Measure Number], MATCH(E22, Table_Prescript_Meas[Measure Description], 0)), "")</f>
        <v/>
      </c>
      <c r="D22" s="280"/>
      <c r="E22" s="279"/>
      <c r="F22" s="282" t="str">
        <f>IFERROR(INDEX(Table_Prescript_Meas[Units], MATCH(Table_PrescriptLights_Input[[#This Row],[Measure Number]], Table_Prescript_Meas[Measure Number], 0)), "")</f>
        <v/>
      </c>
      <c r="G22" s="153"/>
      <c r="H22" s="153"/>
      <c r="I22" s="239"/>
      <c r="J22" s="271"/>
      <c r="K22" s="271"/>
      <c r="L22" s="271"/>
      <c r="M22" s="240"/>
      <c r="N22" s="240"/>
      <c r="O22" s="155"/>
      <c r="P22" s="155"/>
      <c r="Q22"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2"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2" s="284" t="str">
        <f>IF(Table_PrescriptLights_Input[[#This Row],[Measure Number]]="","",IF(OR(Table_PrescriptLights_Input[[#This Row],[Measure Number]]=References!$F$4,Table_PrescriptLights_Input[[#This Row],[Measure Number]]=References!$F$5),Table_PrescriptLights_Input[[#This Row],[Number of Units]]*'HVAC Calcs'!$H20,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2" s="285" t="str">
        <f>IF(Table_PrescriptLights_Input[[#This Row],[Measure Number]]="","",IF(OR(Table_PrescriptLights_Input[[#This Row],[Measure Number]]=References!$F$4,Table_PrescriptLights_Input[[#This Row],[Measure Number]]=References!$F$5),Table_PrescriptLights_Input[[#This Row],[Number of Units]]*'HVAC Calcs'!$I20,IF(OR(Table_PrescriptLights_Input[[#This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2" s="283" t="str">
        <f>IFERROR(Table_PrescriptLights_Input[[#This Row],[Energy Savings (kWh)]]*Input_AvgkWhRate, "")</f>
        <v/>
      </c>
      <c r="V22" s="283" t="str">
        <f>IF(Table_PrescriptLights_Input[[#This Row],[HVAC Measure]]="", "",Table_PrescriptLights_Input[[#This Row],[Total Equipment Cost]]+Table_PrescriptLights_Input[[#This Row],[Total Labor Cost]])</f>
        <v/>
      </c>
      <c r="W22" s="283" t="str">
        <f>IFERROR(Table_PrescriptLights_Input[[#This Row],[Gross Measure Cost]]-Table_PrescriptLights_Input[[#This Row],[Estimated Incentive]], "")</f>
        <v/>
      </c>
      <c r="X22" s="284" t="str">
        <f t="shared" si="0"/>
        <v/>
      </c>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row>
    <row r="23" spans="1:52" x14ac:dyDescent="0.2">
      <c r="A23" s="3"/>
      <c r="B23" s="281">
        <v>19</v>
      </c>
      <c r="C23" s="282" t="str">
        <f>IFERROR(INDEX(Table_Prescript_Meas[Measure Number], MATCH(E23, Table_Prescript_Meas[Measure Description], 0)), "")</f>
        <v/>
      </c>
      <c r="D23" s="280"/>
      <c r="E23" s="279"/>
      <c r="F23" s="282" t="str">
        <f>IFERROR(INDEX(Table_Prescript_Meas[Units], MATCH(Table_PrescriptLights_Input[[#This Row],[Measure Number]], Table_Prescript_Meas[Measure Number], 0)), "")</f>
        <v/>
      </c>
      <c r="G23" s="153"/>
      <c r="H23" s="153"/>
      <c r="I23" s="239"/>
      <c r="J23" s="271"/>
      <c r="K23" s="271"/>
      <c r="L23" s="271"/>
      <c r="M23" s="240"/>
      <c r="N23" s="240"/>
      <c r="O23" s="155"/>
      <c r="P23" s="155"/>
      <c r="Q23"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3"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3" s="284" t="str">
        <f>IF(Table_PrescriptLights_Input[[#This Row],[Measure Number]]="","",IF(OR(Table_PrescriptLights_Input[[#This Row],[Measure Number]]=References!$F$4,Table_PrescriptLights_Input[[#This Row],[Measure Number]]=References!$F$5),Table_PrescriptLights_Input[[#This Row],[Number of Units]]*'HVAC Calcs'!$H21,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3" s="285" t="str">
        <f>IF(Table_PrescriptLights_Input[[#This Row],[Measure Number]]="","",IF(OR(Table_PrescriptLights_Input[[#This Row],[Measure Number]]=References!$F$4,Table_PrescriptLights_Input[[#This Row],[Measure Number]]=References!$F$5),Table_PrescriptLights_Input[[#This Row],[Number of Units]]*'HVAC Calcs'!$I21,IF(OR(Table_PrescriptLights_Input[[#This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3" s="283" t="str">
        <f>IFERROR(Table_PrescriptLights_Input[[#This Row],[Energy Savings (kWh)]]*Input_AvgkWhRate, "")</f>
        <v/>
      </c>
      <c r="V23" s="283" t="str">
        <f>IF(Table_PrescriptLights_Input[[#This Row],[HVAC Measure]]="", "",Table_PrescriptLights_Input[[#This Row],[Total Equipment Cost]]+Table_PrescriptLights_Input[[#This Row],[Total Labor Cost]])</f>
        <v/>
      </c>
      <c r="W23" s="283" t="str">
        <f>IFERROR(Table_PrescriptLights_Input[[#This Row],[Gross Measure Cost]]-Table_PrescriptLights_Input[[#This Row],[Estimated Incentive]], "")</f>
        <v/>
      </c>
      <c r="X23" s="284" t="str">
        <f t="shared" si="0"/>
        <v/>
      </c>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row>
    <row r="24" spans="1:52" x14ac:dyDescent="0.2">
      <c r="A24" s="3"/>
      <c r="B24" s="281">
        <v>20</v>
      </c>
      <c r="C24" s="282" t="str">
        <f>IFERROR(INDEX(Table_Prescript_Meas[Measure Number], MATCH(E24, Table_Prescript_Meas[Measure Description], 0)), "")</f>
        <v/>
      </c>
      <c r="D24" s="280"/>
      <c r="E24" s="279"/>
      <c r="F24" s="282" t="str">
        <f>IFERROR(INDEX(Table_Prescript_Meas[Units], MATCH(Table_PrescriptLights_Input[[#This Row],[Measure Number]], Table_Prescript_Meas[Measure Number], 0)), "")</f>
        <v/>
      </c>
      <c r="G24" s="153"/>
      <c r="H24" s="153"/>
      <c r="I24" s="239"/>
      <c r="J24" s="271"/>
      <c r="K24" s="271"/>
      <c r="L24" s="271"/>
      <c r="M24" s="240"/>
      <c r="N24" s="240"/>
      <c r="O24" s="155"/>
      <c r="P24" s="155"/>
      <c r="Q24"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4"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4" s="284" t="str">
        <f>IF(Table_PrescriptLights_Input[[#This Row],[Measure Number]]="","",IF(OR(Table_PrescriptLights_Input[[#This Row],[Measure Number]]=References!$F$4,Table_PrescriptLights_Input[[#This Row],[Measure Number]]=References!$F$5),Table_PrescriptLights_Input[[#This Row],[Number of Units]]*'HVAC Calcs'!$H22,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4" s="285" t="str">
        <f>IF(Table_PrescriptLights_Input[[#This Row],[Measure Number]]="","",IF(OR(Table_PrescriptLights_Input[[#This Row],[Measure Number]]=References!$F$4,Table_PrescriptLights_Input[[#This Row],[Measure Number]]=References!$F$5),Table_PrescriptLights_Input[[#This Row],[Number of Units]]*'HVAC Calcs'!$I22,IF(OR(Table_PrescriptLights_Input[[#This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4" s="283" t="str">
        <f>IFERROR(Table_PrescriptLights_Input[[#This Row],[Energy Savings (kWh)]]*Input_AvgkWhRate, "")</f>
        <v/>
      </c>
      <c r="V24" s="283" t="str">
        <f>IF(Table_PrescriptLights_Input[[#This Row],[HVAC Measure]]="", "",Table_PrescriptLights_Input[[#This Row],[Total Equipment Cost]]+Table_PrescriptLights_Input[[#This Row],[Total Labor Cost]])</f>
        <v/>
      </c>
      <c r="W24" s="283" t="str">
        <f>IFERROR(Table_PrescriptLights_Input[[#This Row],[Gross Measure Cost]]-Table_PrescriptLights_Input[[#This Row],[Estimated Incentive]], "")</f>
        <v/>
      </c>
      <c r="X24" s="284" t="str">
        <f t="shared" si="0"/>
        <v/>
      </c>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row>
    <row r="25" spans="1:52" x14ac:dyDescent="0.2">
      <c r="A25" s="3"/>
      <c r="B25" s="281">
        <v>21</v>
      </c>
      <c r="C25" s="282" t="str">
        <f>IFERROR(INDEX(Table_Prescript_Meas[Measure Number], MATCH(E25, Table_Prescript_Meas[Measure Description], 0)), "")</f>
        <v/>
      </c>
      <c r="D25" s="280"/>
      <c r="E25" s="279"/>
      <c r="F25" s="282" t="str">
        <f>IFERROR(INDEX(Table_Prescript_Meas[Units], MATCH(Table_PrescriptLights_Input[[#This Row],[Measure Number]], Table_Prescript_Meas[Measure Number], 0)), "")</f>
        <v/>
      </c>
      <c r="G25" s="153"/>
      <c r="H25" s="153"/>
      <c r="I25" s="239"/>
      <c r="J25" s="271"/>
      <c r="K25" s="271"/>
      <c r="L25" s="271"/>
      <c r="M25" s="240"/>
      <c r="N25" s="240"/>
      <c r="O25" s="155"/>
      <c r="P25" s="155"/>
      <c r="Q25"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5"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5" s="284" t="str">
        <f>IF(Table_PrescriptLights_Input[[#This Row],[Measure Number]]="","",IF(OR(Table_PrescriptLights_Input[[#This Row],[Measure Number]]=References!$F$4,Table_PrescriptLights_Input[[#This Row],[Measure Number]]=References!$F$5),Table_PrescriptLights_Input[[#This Row],[Number of Units]]*'HVAC Calcs'!$H23,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5" s="285" t="str">
        <f>IF(Table_PrescriptLights_Input[[#This Row],[Measure Number]]="","",IF(OR(Table_PrescriptLights_Input[[#This Row],[Measure Number]]=References!$F$4,Table_PrescriptLights_Input[[#This Row],[Measure Number]]=References!$F$5),Table_PrescriptLights_Input[[#This Row],[Number of Units]]*'HVAC Calcs'!$I23,IF(OR(Table_PrescriptLights_Input[[#This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5" s="283" t="str">
        <f>IFERROR(Table_PrescriptLights_Input[[#This Row],[Energy Savings (kWh)]]*Input_AvgkWhRate, "")</f>
        <v/>
      </c>
      <c r="V25" s="283" t="str">
        <f>IF(Table_PrescriptLights_Input[[#This Row],[HVAC Measure]]="", "",Table_PrescriptLights_Input[[#This Row],[Total Equipment Cost]]+Table_PrescriptLights_Input[[#This Row],[Total Labor Cost]])</f>
        <v/>
      </c>
      <c r="W25" s="283" t="str">
        <f>IFERROR(Table_PrescriptLights_Input[[#This Row],[Gross Measure Cost]]-Table_PrescriptLights_Input[[#This Row],[Estimated Incentive]], "")</f>
        <v/>
      </c>
      <c r="X25" s="284" t="str">
        <f t="shared" si="0"/>
        <v/>
      </c>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row>
    <row r="26" spans="1:52" x14ac:dyDescent="0.2">
      <c r="A26" s="3"/>
      <c r="B26" s="281">
        <v>22</v>
      </c>
      <c r="C26" s="282" t="str">
        <f>IFERROR(INDEX(Table_Prescript_Meas[Measure Number], MATCH(E26, Table_Prescript_Meas[Measure Description], 0)), "")</f>
        <v/>
      </c>
      <c r="D26" s="280"/>
      <c r="E26" s="279"/>
      <c r="F26" s="282" t="str">
        <f>IFERROR(INDEX(Table_Prescript_Meas[Units], MATCH(Table_PrescriptLights_Input[[#This Row],[Measure Number]], Table_Prescript_Meas[Measure Number], 0)), "")</f>
        <v/>
      </c>
      <c r="G26" s="153"/>
      <c r="H26" s="153"/>
      <c r="I26" s="239"/>
      <c r="J26" s="271"/>
      <c r="K26" s="271"/>
      <c r="L26" s="271"/>
      <c r="M26" s="240"/>
      <c r="N26" s="240"/>
      <c r="O26" s="155"/>
      <c r="P26" s="155"/>
      <c r="Q26"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6"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6" s="284" t="str">
        <f>IF(Table_PrescriptLights_Input[[#This Row],[Measure Number]]="","",IF(OR(Table_PrescriptLights_Input[[#This Row],[Measure Number]]=References!$F$4,Table_PrescriptLights_Input[[#This Row],[Measure Number]]=References!$F$5),Table_PrescriptLights_Input[[#This Row],[Number of Units]]*'HVAC Calcs'!$H24,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6" s="285" t="str">
        <f>IF(Table_PrescriptLights_Input[[#This Row],[Measure Number]]="","",IF(OR(Table_PrescriptLights_Input[[#This Row],[Measure Number]]=References!$F$4,Table_PrescriptLights_Input[[#This Row],[Measure Number]]=References!$F$5),Table_PrescriptLights_Input[[#This Row],[Number of Units]]*'HVAC Calcs'!$I24,IF(OR(Table_PrescriptLights_Input[[#This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6" s="283" t="str">
        <f>IFERROR(Table_PrescriptLights_Input[[#This Row],[Energy Savings (kWh)]]*Input_AvgkWhRate, "")</f>
        <v/>
      </c>
      <c r="V26" s="283" t="str">
        <f>IF(Table_PrescriptLights_Input[[#This Row],[HVAC Measure]]="", "",Table_PrescriptLights_Input[[#This Row],[Total Equipment Cost]]+Table_PrescriptLights_Input[[#This Row],[Total Labor Cost]])</f>
        <v/>
      </c>
      <c r="W26" s="283" t="str">
        <f>IFERROR(Table_PrescriptLights_Input[[#This Row],[Gross Measure Cost]]-Table_PrescriptLights_Input[[#This Row],[Estimated Incentive]], "")</f>
        <v/>
      </c>
      <c r="X26" s="284" t="str">
        <f t="shared" si="0"/>
        <v/>
      </c>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row>
    <row r="27" spans="1:52" x14ac:dyDescent="0.2">
      <c r="A27" s="3"/>
      <c r="B27" s="281">
        <v>23</v>
      </c>
      <c r="C27" s="282" t="str">
        <f>IFERROR(INDEX(Table_Prescript_Meas[Measure Number], MATCH(E27, Table_Prescript_Meas[Measure Description], 0)), "")</f>
        <v/>
      </c>
      <c r="D27" s="280"/>
      <c r="E27" s="279"/>
      <c r="F27" s="282" t="str">
        <f>IFERROR(INDEX(Table_Prescript_Meas[Units], MATCH(Table_PrescriptLights_Input[[#This Row],[Measure Number]], Table_Prescript_Meas[Measure Number], 0)), "")</f>
        <v/>
      </c>
      <c r="G27" s="153"/>
      <c r="H27" s="153"/>
      <c r="I27" s="239"/>
      <c r="J27" s="271"/>
      <c r="K27" s="271"/>
      <c r="L27" s="271"/>
      <c r="M27" s="240"/>
      <c r="N27" s="240"/>
      <c r="O27" s="155"/>
      <c r="P27" s="155"/>
      <c r="Q27"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7"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7" s="284" t="str">
        <f>IF(Table_PrescriptLights_Input[[#This Row],[Measure Number]]="","",IF(OR(Table_PrescriptLights_Input[[#This Row],[Measure Number]]=References!$F$4,Table_PrescriptLights_Input[[#This Row],[Measure Number]]=References!$F$5),Table_PrescriptLights_Input[[#This Row],[Number of Units]]*'HVAC Calcs'!$H25,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7" s="285" t="str">
        <f>IF(Table_PrescriptLights_Input[[#This Row],[Measure Number]]="","",IF(OR(Table_PrescriptLights_Input[[#This Row],[Measure Number]]=References!$F$4,Table_PrescriptLights_Input[[#This Row],[Measure Number]]=References!$F$5),Table_PrescriptLights_Input[[#This Row],[Number of Units]]*'HVAC Calcs'!$I25,IF(OR(Table_PrescriptLights_Input[[#This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7" s="283" t="str">
        <f>IFERROR(Table_PrescriptLights_Input[[#This Row],[Energy Savings (kWh)]]*Input_AvgkWhRate, "")</f>
        <v/>
      </c>
      <c r="V27" s="283" t="str">
        <f>IF(Table_PrescriptLights_Input[[#This Row],[HVAC Measure]]="", "",Table_PrescriptLights_Input[[#This Row],[Total Equipment Cost]]+Table_PrescriptLights_Input[[#This Row],[Total Labor Cost]])</f>
        <v/>
      </c>
      <c r="W27" s="283" t="str">
        <f>IFERROR(Table_PrescriptLights_Input[[#This Row],[Gross Measure Cost]]-Table_PrescriptLights_Input[[#This Row],[Estimated Incentive]], "")</f>
        <v/>
      </c>
      <c r="X27" s="284" t="str">
        <f t="shared" si="0"/>
        <v/>
      </c>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1:52" x14ac:dyDescent="0.2">
      <c r="A28" s="3"/>
      <c r="B28" s="281">
        <v>24</v>
      </c>
      <c r="C28" s="282" t="str">
        <f>IFERROR(INDEX(Table_Prescript_Meas[Measure Number], MATCH(E28, Table_Prescript_Meas[Measure Description], 0)), "")</f>
        <v/>
      </c>
      <c r="D28" s="280"/>
      <c r="E28" s="279"/>
      <c r="F28" s="282" t="str">
        <f>IFERROR(INDEX(Table_Prescript_Meas[Units], MATCH(Table_PrescriptLights_Input[[#This Row],[Measure Number]], Table_Prescript_Meas[Measure Number], 0)), "")</f>
        <v/>
      </c>
      <c r="G28" s="153"/>
      <c r="H28" s="153"/>
      <c r="I28" s="239"/>
      <c r="J28" s="271"/>
      <c r="K28" s="271"/>
      <c r="L28" s="271"/>
      <c r="M28" s="240"/>
      <c r="N28" s="240"/>
      <c r="O28" s="155"/>
      <c r="P28" s="155"/>
      <c r="Q28"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8"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8" s="284" t="str">
        <f>IF(Table_PrescriptLights_Input[[#This Row],[Measure Number]]="","",IF(OR(Table_PrescriptLights_Input[[#This Row],[Measure Number]]=References!$F$4,Table_PrescriptLights_Input[[#This Row],[Measure Number]]=References!$F$5),Table_PrescriptLights_Input[[#This Row],[Number of Units]]*'HVAC Calcs'!$H26,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8" s="285" t="str">
        <f>IF(Table_PrescriptLights_Input[[#This Row],[Measure Number]]="","",IF(OR(Table_PrescriptLights_Input[[#This Row],[Measure Number]]=References!$F$4,Table_PrescriptLights_Input[[#This Row],[Measure Number]]=References!$F$5),Table_PrescriptLights_Input[[#This Row],[Number of Units]]*'HVAC Calcs'!$I26,IF(OR(Table_PrescriptLights_Input[[#This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8" s="283" t="str">
        <f>IFERROR(Table_PrescriptLights_Input[[#This Row],[Energy Savings (kWh)]]*Input_AvgkWhRate, "")</f>
        <v/>
      </c>
      <c r="V28" s="283" t="str">
        <f>IF(Table_PrescriptLights_Input[[#This Row],[HVAC Measure]]="", "",Table_PrescriptLights_Input[[#This Row],[Total Equipment Cost]]+Table_PrescriptLights_Input[[#This Row],[Total Labor Cost]])</f>
        <v/>
      </c>
      <c r="W28" s="283" t="str">
        <f>IFERROR(Table_PrescriptLights_Input[[#This Row],[Gross Measure Cost]]-Table_PrescriptLights_Input[[#This Row],[Estimated Incentive]], "")</f>
        <v/>
      </c>
      <c r="X28" s="284" t="str">
        <f t="shared" si="0"/>
        <v/>
      </c>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row>
    <row r="29" spans="1:52" x14ac:dyDescent="0.2">
      <c r="A29" s="3"/>
      <c r="B29" s="281">
        <v>25</v>
      </c>
      <c r="C29" s="282" t="str">
        <f>IFERROR(INDEX(Table_Prescript_Meas[Measure Number], MATCH(E29, Table_Prescript_Meas[Measure Description], 0)), "")</f>
        <v/>
      </c>
      <c r="D29" s="280"/>
      <c r="E29" s="279"/>
      <c r="F29" s="282" t="str">
        <f>IFERROR(INDEX(Table_Prescript_Meas[Units], MATCH(Table_PrescriptLights_Input[[#This Row],[Measure Number]], Table_Prescript_Meas[Measure Number], 0)), "")</f>
        <v/>
      </c>
      <c r="G29" s="153"/>
      <c r="H29" s="153"/>
      <c r="I29" s="239"/>
      <c r="J29" s="271"/>
      <c r="K29" s="271"/>
      <c r="L29" s="271"/>
      <c r="M29" s="240"/>
      <c r="N29" s="240"/>
      <c r="O29" s="155"/>
      <c r="P29" s="155"/>
      <c r="Q29"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29"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29" s="284" t="str">
        <f>IF(Table_PrescriptLights_Input[[#This Row],[Measure Number]]="","",IF(OR(Table_PrescriptLights_Input[[#This Row],[Measure Number]]=References!$F$4,Table_PrescriptLights_Input[[#This Row],[Measure Number]]=References!$F$5),Table_PrescriptLights_Input[[#This Row],[Number of Units]]*'HVAC Calcs'!$H27,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29" s="285" t="str">
        <f>IF(Table_PrescriptLights_Input[[#This Row],[Measure Number]]="","",IF(OR(Table_PrescriptLights_Input[[#This Row],[Measure Number]]=References!$F$4,Table_PrescriptLights_Input[[#This Row],[Measure Number]]=References!$F$5),Table_PrescriptLights_Input[[#This Row],[Number of Units]]*'HVAC Calcs'!$I27,IF(OR(Table_PrescriptLights_Input[[#This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29" s="283" t="str">
        <f>IFERROR(Table_PrescriptLights_Input[[#This Row],[Energy Savings (kWh)]]*Input_AvgkWhRate, "")</f>
        <v/>
      </c>
      <c r="V29" s="283" t="str">
        <f>IF(Table_PrescriptLights_Input[[#This Row],[HVAC Measure]]="", "",Table_PrescriptLights_Input[[#This Row],[Total Equipment Cost]]+Table_PrescriptLights_Input[[#This Row],[Total Labor Cost]])</f>
        <v/>
      </c>
      <c r="W29" s="283" t="str">
        <f>IFERROR(Table_PrescriptLights_Input[[#This Row],[Gross Measure Cost]]-Table_PrescriptLights_Input[[#This Row],[Estimated Incentive]], "")</f>
        <v/>
      </c>
      <c r="X29" s="284" t="str">
        <f t="shared" si="0"/>
        <v/>
      </c>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row>
    <row r="30" spans="1:52" x14ac:dyDescent="0.2">
      <c r="A30" s="3"/>
      <c r="B30" s="281">
        <v>26</v>
      </c>
      <c r="C30" s="282" t="str">
        <f>IFERROR(INDEX(Table_Prescript_Meas[Measure Number], MATCH(E30, Table_Prescript_Meas[Measure Description], 0)), "")</f>
        <v/>
      </c>
      <c r="D30" s="280"/>
      <c r="E30" s="279"/>
      <c r="F30" s="282" t="str">
        <f>IFERROR(INDEX(Table_Prescript_Meas[Units], MATCH(Table_PrescriptLights_Input[[#This Row],[Measure Number]], Table_Prescript_Meas[Measure Number], 0)), "")</f>
        <v/>
      </c>
      <c r="G30" s="153"/>
      <c r="H30" s="153"/>
      <c r="I30" s="239"/>
      <c r="J30" s="271"/>
      <c r="K30" s="271"/>
      <c r="L30" s="271"/>
      <c r="M30" s="240"/>
      <c r="N30" s="240"/>
      <c r="O30" s="155"/>
      <c r="P30" s="155"/>
      <c r="Q30"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0"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0" s="284" t="str">
        <f>IF(Table_PrescriptLights_Input[[#This Row],[Measure Number]]="","",IF(OR(Table_PrescriptLights_Input[[#This Row],[Measure Number]]=References!$F$4,Table_PrescriptLights_Input[[#This Row],[Measure Number]]=References!$F$5),Table_PrescriptLights_Input[[#This Row],[Number of Units]]*'HVAC Calcs'!$H28,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0" s="285" t="str">
        <f>IF(Table_PrescriptLights_Input[[#This Row],[Measure Number]]="","",IF(OR(Table_PrescriptLights_Input[[#This Row],[Measure Number]]=References!$F$4,Table_PrescriptLights_Input[[#This Row],[Measure Number]]=References!$F$5),Table_PrescriptLights_Input[[#This Row],[Number of Units]]*'HVAC Calcs'!$I28,IF(OR(Table_PrescriptLights_Input[[#This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0" s="283" t="str">
        <f>IFERROR(Table_PrescriptLights_Input[[#This Row],[Energy Savings (kWh)]]*Input_AvgkWhRate, "")</f>
        <v/>
      </c>
      <c r="V30" s="283" t="str">
        <f>IF(Table_PrescriptLights_Input[[#This Row],[HVAC Measure]]="", "",Table_PrescriptLights_Input[[#This Row],[Total Equipment Cost]]+Table_PrescriptLights_Input[[#This Row],[Total Labor Cost]])</f>
        <v/>
      </c>
      <c r="W30" s="283" t="str">
        <f>IFERROR(Table_PrescriptLights_Input[[#This Row],[Gross Measure Cost]]-Table_PrescriptLights_Input[[#This Row],[Estimated Incentive]], "")</f>
        <v/>
      </c>
      <c r="X30" s="284" t="str">
        <f t="shared" si="0"/>
        <v/>
      </c>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row>
    <row r="31" spans="1:52" x14ac:dyDescent="0.2">
      <c r="A31" s="4"/>
      <c r="B31" s="281">
        <v>27</v>
      </c>
      <c r="C31" s="282" t="str">
        <f>IFERROR(INDEX(Table_Prescript_Meas[Measure Number], MATCH(E31, Table_Prescript_Meas[Measure Description], 0)), "")</f>
        <v/>
      </c>
      <c r="D31" s="280"/>
      <c r="E31" s="279"/>
      <c r="F31" s="282" t="str">
        <f>IFERROR(INDEX(Table_Prescript_Meas[Units], MATCH(Table_PrescriptLights_Input[[#This Row],[Measure Number]], Table_Prescript_Meas[Measure Number], 0)), "")</f>
        <v/>
      </c>
      <c r="G31" s="153"/>
      <c r="H31" s="153"/>
      <c r="I31" s="239"/>
      <c r="J31" s="271"/>
      <c r="K31" s="271"/>
      <c r="L31" s="271"/>
      <c r="M31" s="240"/>
      <c r="N31" s="240"/>
      <c r="O31" s="155"/>
      <c r="P31" s="155"/>
      <c r="Q31"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1"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1" s="284" t="str">
        <f>IF(Table_PrescriptLights_Input[[#This Row],[Measure Number]]="","",IF(OR(Table_PrescriptLights_Input[[#This Row],[Measure Number]]=References!$F$4,Table_PrescriptLights_Input[[#This Row],[Measure Number]]=References!$F$5),Table_PrescriptLights_Input[[#This Row],[Number of Units]]*'HVAC Calcs'!$H29,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1" s="285" t="str">
        <f>IF(Table_PrescriptLights_Input[[#This Row],[Measure Number]]="","",IF(OR(Table_PrescriptLights_Input[[#This Row],[Measure Number]]=References!$F$4,Table_PrescriptLights_Input[[#This Row],[Measure Number]]=References!$F$5),Table_PrescriptLights_Input[[#This Row],[Number of Units]]*'HVAC Calcs'!$I29,IF(OR(Table_PrescriptLights_Input[[#This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1" s="283" t="str">
        <f>IFERROR(Table_PrescriptLights_Input[[#This Row],[Energy Savings (kWh)]]*Input_AvgkWhRate, "")</f>
        <v/>
      </c>
      <c r="V31" s="283" t="str">
        <f>IF(Table_PrescriptLights_Input[[#This Row],[HVAC Measure]]="", "",Table_PrescriptLights_Input[[#This Row],[Total Equipment Cost]]+Table_PrescriptLights_Input[[#This Row],[Total Labor Cost]])</f>
        <v/>
      </c>
      <c r="W31" s="283" t="str">
        <f>IFERROR(Table_PrescriptLights_Input[[#This Row],[Gross Measure Cost]]-Table_PrescriptLights_Input[[#This Row],[Estimated Incentive]], "")</f>
        <v/>
      </c>
      <c r="X31" s="284" t="str">
        <f t="shared" si="0"/>
        <v/>
      </c>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row>
    <row r="32" spans="1:52" x14ac:dyDescent="0.2">
      <c r="A32" s="4"/>
      <c r="B32" s="281">
        <v>28</v>
      </c>
      <c r="C32" s="282" t="str">
        <f>IFERROR(INDEX(Table_Prescript_Meas[Measure Number], MATCH(E32, Table_Prescript_Meas[Measure Description], 0)), "")</f>
        <v/>
      </c>
      <c r="D32" s="280"/>
      <c r="E32" s="279"/>
      <c r="F32" s="282" t="str">
        <f>IFERROR(INDEX(Table_Prescript_Meas[Units], MATCH(Table_PrescriptLights_Input[[#This Row],[Measure Number]], Table_Prescript_Meas[Measure Number], 0)), "")</f>
        <v/>
      </c>
      <c r="G32" s="153"/>
      <c r="H32" s="153"/>
      <c r="I32" s="239"/>
      <c r="J32" s="271"/>
      <c r="K32" s="271"/>
      <c r="L32" s="271"/>
      <c r="M32" s="240"/>
      <c r="N32" s="240"/>
      <c r="O32" s="155"/>
      <c r="P32" s="155"/>
      <c r="Q32"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2"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2" s="284" t="str">
        <f>IF(Table_PrescriptLights_Input[[#This Row],[Measure Number]]="","",IF(OR(Table_PrescriptLights_Input[[#This Row],[Measure Number]]=References!$F$4,Table_PrescriptLights_Input[[#This Row],[Measure Number]]=References!$F$5),Table_PrescriptLights_Input[[#This Row],[Number of Units]]*'HVAC Calcs'!$H30,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2" s="285" t="str">
        <f>IF(Table_PrescriptLights_Input[[#This Row],[Measure Number]]="","",IF(OR(Table_PrescriptLights_Input[[#This Row],[Measure Number]]=References!$F$4,Table_PrescriptLights_Input[[#This Row],[Measure Number]]=References!$F$5),Table_PrescriptLights_Input[[#This Row],[Number of Units]]*'HVAC Calcs'!$I30,IF(OR(Table_PrescriptLights_Input[[#This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2" s="283" t="str">
        <f>IFERROR(Table_PrescriptLights_Input[[#This Row],[Energy Savings (kWh)]]*Input_AvgkWhRate, "")</f>
        <v/>
      </c>
      <c r="V32" s="283" t="str">
        <f>IF(Table_PrescriptLights_Input[[#This Row],[HVAC Measure]]="", "",Table_PrescriptLights_Input[[#This Row],[Total Equipment Cost]]+Table_PrescriptLights_Input[[#This Row],[Total Labor Cost]])</f>
        <v/>
      </c>
      <c r="W32" s="283" t="str">
        <f>IFERROR(Table_PrescriptLights_Input[[#This Row],[Gross Measure Cost]]-Table_PrescriptLights_Input[[#This Row],[Estimated Incentive]], "")</f>
        <v/>
      </c>
      <c r="X32" s="284" t="str">
        <f t="shared" si="0"/>
        <v/>
      </c>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row>
    <row r="33" spans="1:52" x14ac:dyDescent="0.2">
      <c r="A33" s="4"/>
      <c r="B33" s="281">
        <v>29</v>
      </c>
      <c r="C33" s="282" t="str">
        <f>IFERROR(INDEX(Table_Prescript_Meas[Measure Number], MATCH(E33, Table_Prescript_Meas[Measure Description], 0)), "")</f>
        <v/>
      </c>
      <c r="D33" s="280"/>
      <c r="E33" s="279"/>
      <c r="F33" s="282" t="str">
        <f>IFERROR(INDEX(Table_Prescript_Meas[Units], MATCH(Table_PrescriptLights_Input[[#This Row],[Measure Number]], Table_Prescript_Meas[Measure Number], 0)), "")</f>
        <v/>
      </c>
      <c r="G33" s="153"/>
      <c r="H33" s="153"/>
      <c r="I33" s="239"/>
      <c r="J33" s="271"/>
      <c r="K33" s="271"/>
      <c r="L33" s="271"/>
      <c r="M33" s="240"/>
      <c r="N33" s="240"/>
      <c r="O33" s="155"/>
      <c r="P33" s="155"/>
      <c r="Q33"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3"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3" s="284" t="str">
        <f>IF(Table_PrescriptLights_Input[[#This Row],[Measure Number]]="","",IF(OR(Table_PrescriptLights_Input[[#This Row],[Measure Number]]=References!$F$4,Table_PrescriptLights_Input[[#This Row],[Measure Number]]=References!$F$5),Table_PrescriptLights_Input[[#This Row],[Number of Units]]*'HVAC Calcs'!$H31,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3" s="285" t="str">
        <f>IF(Table_PrescriptLights_Input[[#This Row],[Measure Number]]="","",IF(OR(Table_PrescriptLights_Input[[#This Row],[Measure Number]]=References!$F$4,Table_PrescriptLights_Input[[#This Row],[Measure Number]]=References!$F$5),Table_PrescriptLights_Input[[#This Row],[Number of Units]]*'HVAC Calcs'!$I31,IF(OR(Table_PrescriptLights_Input[[#This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3" s="283" t="str">
        <f>IFERROR(Table_PrescriptLights_Input[[#This Row],[Energy Savings (kWh)]]*Input_AvgkWhRate, "")</f>
        <v/>
      </c>
      <c r="V33" s="283" t="str">
        <f>IF(Table_PrescriptLights_Input[[#This Row],[HVAC Measure]]="", "",Table_PrescriptLights_Input[[#This Row],[Total Equipment Cost]]+Table_PrescriptLights_Input[[#This Row],[Total Labor Cost]])</f>
        <v/>
      </c>
      <c r="W33" s="283" t="str">
        <f>IFERROR(Table_PrescriptLights_Input[[#This Row],[Gross Measure Cost]]-Table_PrescriptLights_Input[[#This Row],[Estimated Incentive]], "")</f>
        <v/>
      </c>
      <c r="X33" s="284" t="str">
        <f t="shared" si="0"/>
        <v/>
      </c>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row>
    <row r="34" spans="1:52" x14ac:dyDescent="0.2">
      <c r="A34" s="4"/>
      <c r="B34" s="281">
        <v>30</v>
      </c>
      <c r="C34" s="282" t="str">
        <f>IFERROR(INDEX(Table_Prescript_Meas[Measure Number], MATCH(E34, Table_Prescript_Meas[Measure Description], 0)), "")</f>
        <v/>
      </c>
      <c r="D34" s="280"/>
      <c r="E34" s="279"/>
      <c r="F34" s="282" t="str">
        <f>IFERROR(INDEX(Table_Prescript_Meas[Units], MATCH(Table_PrescriptLights_Input[[#This Row],[Measure Number]], Table_Prescript_Meas[Measure Number], 0)), "")</f>
        <v/>
      </c>
      <c r="G34" s="153"/>
      <c r="H34" s="153"/>
      <c r="I34" s="239"/>
      <c r="J34" s="271"/>
      <c r="K34" s="271"/>
      <c r="L34" s="271"/>
      <c r="M34" s="240"/>
      <c r="N34" s="240"/>
      <c r="O34" s="155"/>
      <c r="P34" s="155"/>
      <c r="Q34"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4"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4" s="284" t="str">
        <f>IF(Table_PrescriptLights_Input[[#This Row],[Measure Number]]="","",IF(OR(Table_PrescriptLights_Input[[#This Row],[Measure Number]]=References!$F$4,Table_PrescriptLights_Input[[#This Row],[Measure Number]]=References!$F$5),Table_PrescriptLights_Input[[#This Row],[Number of Units]]*'HVAC Calcs'!$H32,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4" s="285" t="str">
        <f>IF(Table_PrescriptLights_Input[[#This Row],[Measure Number]]="","",IF(OR(Table_PrescriptLights_Input[[#This Row],[Measure Number]]=References!$F$4,Table_PrescriptLights_Input[[#This Row],[Measure Number]]=References!$F$5),Table_PrescriptLights_Input[[#This Row],[Number of Units]]*'HVAC Calcs'!$I32,IF(OR(Table_PrescriptLights_Input[[#This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4" s="283" t="str">
        <f>IFERROR(Table_PrescriptLights_Input[[#This Row],[Energy Savings (kWh)]]*Input_AvgkWhRate, "")</f>
        <v/>
      </c>
      <c r="V34" s="283" t="str">
        <f>IF(Table_PrescriptLights_Input[[#This Row],[HVAC Measure]]="", "",Table_PrescriptLights_Input[[#This Row],[Total Equipment Cost]]+Table_PrescriptLights_Input[[#This Row],[Total Labor Cost]])</f>
        <v/>
      </c>
      <c r="W34" s="283" t="str">
        <f>IFERROR(Table_PrescriptLights_Input[[#This Row],[Gross Measure Cost]]-Table_PrescriptLights_Input[[#This Row],[Estimated Incentive]], "")</f>
        <v/>
      </c>
      <c r="X34" s="284" t="str">
        <f t="shared" si="0"/>
        <v/>
      </c>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row>
    <row r="35" spans="1:52" x14ac:dyDescent="0.2">
      <c r="A35" s="4"/>
      <c r="B35" s="281">
        <v>31</v>
      </c>
      <c r="C35" s="282" t="str">
        <f>IFERROR(INDEX(Table_Prescript_Meas[Measure Number], MATCH(E35, Table_Prescript_Meas[Measure Description], 0)), "")</f>
        <v/>
      </c>
      <c r="D35" s="280"/>
      <c r="E35" s="279"/>
      <c r="F35" s="282" t="str">
        <f>IFERROR(INDEX(Table_Prescript_Meas[Units], MATCH(Table_PrescriptLights_Input[[#This Row],[Measure Number]], Table_Prescript_Meas[Measure Number], 0)), "")</f>
        <v/>
      </c>
      <c r="G35" s="153"/>
      <c r="H35" s="153"/>
      <c r="I35" s="239"/>
      <c r="J35" s="271"/>
      <c r="K35" s="271"/>
      <c r="L35" s="271"/>
      <c r="M35" s="240"/>
      <c r="N35" s="240"/>
      <c r="O35" s="155"/>
      <c r="P35" s="155"/>
      <c r="Q35"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5"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5" s="284" t="str">
        <f>IF(Table_PrescriptLights_Input[[#This Row],[Measure Number]]="","",IF(OR(Table_PrescriptLights_Input[[#This Row],[Measure Number]]=References!$F$4,Table_PrescriptLights_Input[[#This Row],[Measure Number]]=References!$F$5),Table_PrescriptLights_Input[[#This Row],[Number of Units]]*'HVAC Calcs'!$H33,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5" s="285" t="str">
        <f>IF(Table_PrescriptLights_Input[[#This Row],[Measure Number]]="","",IF(OR(Table_PrescriptLights_Input[[#This Row],[Measure Number]]=References!$F$4,Table_PrescriptLights_Input[[#This Row],[Measure Number]]=References!$F$5),Table_PrescriptLights_Input[[#This Row],[Number of Units]]*'HVAC Calcs'!$I33,IF(OR(Table_PrescriptLights_Input[[#This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5" s="283" t="str">
        <f>IFERROR(Table_PrescriptLights_Input[[#This Row],[Energy Savings (kWh)]]*Input_AvgkWhRate, "")</f>
        <v/>
      </c>
      <c r="V35" s="283" t="str">
        <f>IF(Table_PrescriptLights_Input[[#This Row],[HVAC Measure]]="", "",Table_PrescriptLights_Input[[#This Row],[Total Equipment Cost]]+Table_PrescriptLights_Input[[#This Row],[Total Labor Cost]])</f>
        <v/>
      </c>
      <c r="W35" s="283" t="str">
        <f>IFERROR(Table_PrescriptLights_Input[[#This Row],[Gross Measure Cost]]-Table_PrescriptLights_Input[[#This Row],[Estimated Incentive]], "")</f>
        <v/>
      </c>
      <c r="X35" s="284" t="str">
        <f t="shared" si="0"/>
        <v/>
      </c>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row>
    <row r="36" spans="1:52" x14ac:dyDescent="0.2">
      <c r="A36" s="4"/>
      <c r="B36" s="281">
        <v>32</v>
      </c>
      <c r="C36" s="282" t="str">
        <f>IFERROR(INDEX(Table_Prescript_Meas[Measure Number], MATCH(E36, Table_Prescript_Meas[Measure Description], 0)), "")</f>
        <v/>
      </c>
      <c r="D36" s="280"/>
      <c r="E36" s="279"/>
      <c r="F36" s="282" t="str">
        <f>IFERROR(INDEX(Table_Prescript_Meas[Units], MATCH(Table_PrescriptLights_Input[[#This Row],[Measure Number]], Table_Prescript_Meas[Measure Number], 0)), "")</f>
        <v/>
      </c>
      <c r="G36" s="153"/>
      <c r="H36" s="153"/>
      <c r="I36" s="239"/>
      <c r="J36" s="271"/>
      <c r="K36" s="271"/>
      <c r="L36" s="271"/>
      <c r="M36" s="240"/>
      <c r="N36" s="240"/>
      <c r="O36" s="155"/>
      <c r="P36" s="155"/>
      <c r="Q36"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6"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6" s="284" t="str">
        <f>IF(Table_PrescriptLights_Input[[#This Row],[Measure Number]]="","",IF(OR(Table_PrescriptLights_Input[[#This Row],[Measure Number]]=References!$F$4,Table_PrescriptLights_Input[[#This Row],[Measure Number]]=References!$F$5),Table_PrescriptLights_Input[[#This Row],[Number of Units]]*'HVAC Calcs'!$H34,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6" s="285" t="str">
        <f>IF(Table_PrescriptLights_Input[[#This Row],[Measure Number]]="","",IF(OR(Table_PrescriptLights_Input[[#This Row],[Measure Number]]=References!$F$4,Table_PrescriptLights_Input[[#This Row],[Measure Number]]=References!$F$5),Table_PrescriptLights_Input[[#This Row],[Number of Units]]*'HVAC Calcs'!$I34,IF(OR(Table_PrescriptLights_Input[[#This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6" s="283" t="str">
        <f>IFERROR(Table_PrescriptLights_Input[[#This Row],[Energy Savings (kWh)]]*Input_AvgkWhRate, "")</f>
        <v/>
      </c>
      <c r="V36" s="283" t="str">
        <f>IF(Table_PrescriptLights_Input[[#This Row],[HVAC Measure]]="", "",Table_PrescriptLights_Input[[#This Row],[Total Equipment Cost]]+Table_PrescriptLights_Input[[#This Row],[Total Labor Cost]])</f>
        <v/>
      </c>
      <c r="W36" s="283" t="str">
        <f>IFERROR(Table_PrescriptLights_Input[[#This Row],[Gross Measure Cost]]-Table_PrescriptLights_Input[[#This Row],[Estimated Incentive]], "")</f>
        <v/>
      </c>
      <c r="X36" s="284" t="str">
        <f t="shared" si="0"/>
        <v/>
      </c>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row>
    <row r="37" spans="1:52" x14ac:dyDescent="0.2">
      <c r="A37" s="4"/>
      <c r="B37" s="281">
        <v>33</v>
      </c>
      <c r="C37" s="282" t="str">
        <f>IFERROR(INDEX(Table_Prescript_Meas[Measure Number], MATCH(E37, Table_Prescript_Meas[Measure Description], 0)), "")</f>
        <v/>
      </c>
      <c r="D37" s="280"/>
      <c r="E37" s="279"/>
      <c r="F37" s="282" t="str">
        <f>IFERROR(INDEX(Table_Prescript_Meas[Units], MATCH(Table_PrescriptLights_Input[[#This Row],[Measure Number]], Table_Prescript_Meas[Measure Number], 0)), "")</f>
        <v/>
      </c>
      <c r="G37" s="153"/>
      <c r="H37" s="153"/>
      <c r="I37" s="239"/>
      <c r="J37" s="271"/>
      <c r="K37" s="271"/>
      <c r="L37" s="271"/>
      <c r="M37" s="240"/>
      <c r="N37" s="240"/>
      <c r="O37" s="155"/>
      <c r="P37" s="155"/>
      <c r="Q37"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7"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7" s="284" t="str">
        <f>IF(Table_PrescriptLights_Input[[#This Row],[Measure Number]]="","",IF(OR(Table_PrescriptLights_Input[[#This Row],[Measure Number]]=References!$F$4,Table_PrescriptLights_Input[[#This Row],[Measure Number]]=References!$F$5),Table_PrescriptLights_Input[[#This Row],[Number of Units]]*'HVAC Calcs'!$H35,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7" s="285" t="str">
        <f>IF(Table_PrescriptLights_Input[[#This Row],[Measure Number]]="","",IF(OR(Table_PrescriptLights_Input[[#This Row],[Measure Number]]=References!$F$4,Table_PrescriptLights_Input[[#This Row],[Measure Number]]=References!$F$5),Table_PrescriptLights_Input[[#This Row],[Number of Units]]*'HVAC Calcs'!$I35,IF(OR(Table_PrescriptLights_Input[[#This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7" s="283" t="str">
        <f>IFERROR(Table_PrescriptLights_Input[[#This Row],[Energy Savings (kWh)]]*Input_AvgkWhRate, "")</f>
        <v/>
      </c>
      <c r="V37" s="283" t="str">
        <f>IF(Table_PrescriptLights_Input[[#This Row],[HVAC Measure]]="", "",Table_PrescriptLights_Input[[#This Row],[Total Equipment Cost]]+Table_PrescriptLights_Input[[#This Row],[Total Labor Cost]])</f>
        <v/>
      </c>
      <c r="W37" s="283" t="str">
        <f>IFERROR(Table_PrescriptLights_Input[[#This Row],[Gross Measure Cost]]-Table_PrescriptLights_Input[[#This Row],[Estimated Incentive]], "")</f>
        <v/>
      </c>
      <c r="X37" s="284" t="str">
        <f t="shared" si="0"/>
        <v/>
      </c>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row>
    <row r="38" spans="1:52" x14ac:dyDescent="0.2">
      <c r="A38" s="4"/>
      <c r="B38" s="281">
        <v>34</v>
      </c>
      <c r="C38" s="282" t="str">
        <f>IFERROR(INDEX(Table_Prescript_Meas[Measure Number], MATCH(E38, Table_Prescript_Meas[Measure Description], 0)), "")</f>
        <v/>
      </c>
      <c r="D38" s="280"/>
      <c r="E38" s="279"/>
      <c r="F38" s="282" t="str">
        <f>IFERROR(INDEX(Table_Prescript_Meas[Units], MATCH(Table_PrescriptLights_Input[[#This Row],[Measure Number]], Table_Prescript_Meas[Measure Number], 0)), "")</f>
        <v/>
      </c>
      <c r="G38" s="153"/>
      <c r="H38" s="153"/>
      <c r="I38" s="239"/>
      <c r="J38" s="271"/>
      <c r="K38" s="271"/>
      <c r="L38" s="271"/>
      <c r="M38" s="240"/>
      <c r="N38" s="240"/>
      <c r="O38" s="155"/>
      <c r="P38" s="155"/>
      <c r="Q38"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8"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8" s="284" t="str">
        <f>IF(Table_PrescriptLights_Input[[#This Row],[Measure Number]]="","",IF(OR(Table_PrescriptLights_Input[[#This Row],[Measure Number]]=References!$F$4,Table_PrescriptLights_Input[[#This Row],[Measure Number]]=References!$F$5),Table_PrescriptLights_Input[[#This Row],[Number of Units]]*'HVAC Calcs'!$H36,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8" s="285" t="str">
        <f>IF(Table_PrescriptLights_Input[[#This Row],[Measure Number]]="","",IF(OR(Table_PrescriptLights_Input[[#This Row],[Measure Number]]=References!$F$4,Table_PrescriptLights_Input[[#This Row],[Measure Number]]=References!$F$5),Table_PrescriptLights_Input[[#This Row],[Number of Units]]*'HVAC Calcs'!$I36,IF(OR(Table_PrescriptLights_Input[[#This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8" s="283" t="str">
        <f>IFERROR(Table_PrescriptLights_Input[[#This Row],[Energy Savings (kWh)]]*Input_AvgkWhRate, "")</f>
        <v/>
      </c>
      <c r="V38" s="283" t="str">
        <f>IF(Table_PrescriptLights_Input[[#This Row],[HVAC Measure]]="", "",Table_PrescriptLights_Input[[#This Row],[Total Equipment Cost]]+Table_PrescriptLights_Input[[#This Row],[Total Labor Cost]])</f>
        <v/>
      </c>
      <c r="W38" s="283" t="str">
        <f>IFERROR(Table_PrescriptLights_Input[[#This Row],[Gross Measure Cost]]-Table_PrescriptLights_Input[[#This Row],[Estimated Incentive]], "")</f>
        <v/>
      </c>
      <c r="X38" s="284" t="str">
        <f t="shared" si="0"/>
        <v/>
      </c>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row>
    <row r="39" spans="1:52" x14ac:dyDescent="0.2">
      <c r="A39" s="4"/>
      <c r="B39" s="281">
        <v>35</v>
      </c>
      <c r="C39" s="282" t="str">
        <f>IFERROR(INDEX(Table_Prescript_Meas[Measure Number], MATCH(E39, Table_Prescript_Meas[Measure Description], 0)), "")</f>
        <v/>
      </c>
      <c r="D39" s="280"/>
      <c r="E39" s="279"/>
      <c r="F39" s="282" t="str">
        <f>IFERROR(INDEX(Table_Prescript_Meas[Units], MATCH(Table_PrescriptLights_Input[[#This Row],[Measure Number]], Table_Prescript_Meas[Measure Number], 0)), "")</f>
        <v/>
      </c>
      <c r="G39" s="153"/>
      <c r="H39" s="153"/>
      <c r="I39" s="239"/>
      <c r="J39" s="271"/>
      <c r="K39" s="271"/>
      <c r="L39" s="271"/>
      <c r="M39" s="240"/>
      <c r="N39" s="240"/>
      <c r="O39" s="155"/>
      <c r="P39" s="155"/>
      <c r="Q39"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39"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39" s="284" t="str">
        <f>IF(Table_PrescriptLights_Input[[#This Row],[Measure Number]]="","",IF(OR(Table_PrescriptLights_Input[[#This Row],[Measure Number]]=References!$F$4,Table_PrescriptLights_Input[[#This Row],[Measure Number]]=References!$F$5),Table_PrescriptLights_Input[[#This Row],[Number of Units]]*'HVAC Calcs'!$H37,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39" s="285" t="str">
        <f>IF(Table_PrescriptLights_Input[[#This Row],[Measure Number]]="","",IF(OR(Table_PrescriptLights_Input[[#This Row],[Measure Number]]=References!$F$4,Table_PrescriptLights_Input[[#This Row],[Measure Number]]=References!$F$5),Table_PrescriptLights_Input[[#This Row],[Number of Units]]*'HVAC Calcs'!$I37,IF(OR(Table_PrescriptLights_Input[[#This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39" s="283" t="str">
        <f>IFERROR(Table_PrescriptLights_Input[[#This Row],[Energy Savings (kWh)]]*Input_AvgkWhRate, "")</f>
        <v/>
      </c>
      <c r="V39" s="283" t="str">
        <f>IF(Table_PrescriptLights_Input[[#This Row],[HVAC Measure]]="", "",Table_PrescriptLights_Input[[#This Row],[Total Equipment Cost]]+Table_PrescriptLights_Input[[#This Row],[Total Labor Cost]])</f>
        <v/>
      </c>
      <c r="W39" s="283" t="str">
        <f>IFERROR(Table_PrescriptLights_Input[[#This Row],[Gross Measure Cost]]-Table_PrescriptLights_Input[[#This Row],[Estimated Incentive]], "")</f>
        <v/>
      </c>
      <c r="X39" s="284" t="str">
        <f t="shared" si="0"/>
        <v/>
      </c>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row>
    <row r="40" spans="1:52" x14ac:dyDescent="0.2">
      <c r="A40" s="4"/>
      <c r="B40" s="281">
        <v>36</v>
      </c>
      <c r="C40" s="282" t="str">
        <f>IFERROR(INDEX(Table_Prescript_Meas[Measure Number], MATCH(E40, Table_Prescript_Meas[Measure Description], 0)), "")</f>
        <v/>
      </c>
      <c r="D40" s="280"/>
      <c r="E40" s="279"/>
      <c r="F40" s="282" t="str">
        <f>IFERROR(INDEX(Table_Prescript_Meas[Units], MATCH(Table_PrescriptLights_Input[[#This Row],[Measure Number]], Table_Prescript_Meas[Measure Number], 0)), "")</f>
        <v/>
      </c>
      <c r="G40" s="153"/>
      <c r="H40" s="153"/>
      <c r="I40" s="239"/>
      <c r="J40" s="271"/>
      <c r="K40" s="271"/>
      <c r="L40" s="271"/>
      <c r="M40" s="240"/>
      <c r="N40" s="240"/>
      <c r="O40" s="155"/>
      <c r="P40" s="155"/>
      <c r="Q40"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0"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0" s="284" t="str">
        <f>IF(Table_PrescriptLights_Input[[#This Row],[Measure Number]]="","",IF(OR(Table_PrescriptLights_Input[[#This Row],[Measure Number]]=References!$F$4,Table_PrescriptLights_Input[[#This Row],[Measure Number]]=References!$F$5),Table_PrescriptLights_Input[[#This Row],[Number of Units]]*'HVAC Calcs'!$H38,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0" s="285" t="str">
        <f>IF(Table_PrescriptLights_Input[[#This Row],[Measure Number]]="","",IF(OR(Table_PrescriptLights_Input[[#This Row],[Measure Number]]=References!$F$4,Table_PrescriptLights_Input[[#This Row],[Measure Number]]=References!$F$5),Table_PrescriptLights_Input[[#This Row],[Number of Units]]*'HVAC Calcs'!$I38,IF(OR(Table_PrescriptLights_Input[[#This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0" s="283" t="str">
        <f>IFERROR(Table_PrescriptLights_Input[[#This Row],[Energy Savings (kWh)]]*Input_AvgkWhRate, "")</f>
        <v/>
      </c>
      <c r="V40" s="283" t="str">
        <f>IF(Table_PrescriptLights_Input[[#This Row],[HVAC Measure]]="", "",Table_PrescriptLights_Input[[#This Row],[Total Equipment Cost]]+Table_PrescriptLights_Input[[#This Row],[Total Labor Cost]])</f>
        <v/>
      </c>
      <c r="W40" s="283" t="str">
        <f>IFERROR(Table_PrescriptLights_Input[[#This Row],[Gross Measure Cost]]-Table_PrescriptLights_Input[[#This Row],[Estimated Incentive]], "")</f>
        <v/>
      </c>
      <c r="X40" s="284" t="str">
        <f t="shared" si="0"/>
        <v/>
      </c>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row>
    <row r="41" spans="1:52" x14ac:dyDescent="0.2">
      <c r="A41" s="4"/>
      <c r="B41" s="281">
        <v>37</v>
      </c>
      <c r="C41" s="282" t="str">
        <f>IFERROR(INDEX(Table_Prescript_Meas[Measure Number], MATCH(E41, Table_Prescript_Meas[Measure Description], 0)), "")</f>
        <v/>
      </c>
      <c r="D41" s="280"/>
      <c r="E41" s="279"/>
      <c r="F41" s="282" t="str">
        <f>IFERROR(INDEX(Table_Prescript_Meas[Units], MATCH(Table_PrescriptLights_Input[[#This Row],[Measure Number]], Table_Prescript_Meas[Measure Number], 0)), "")</f>
        <v/>
      </c>
      <c r="G41" s="153"/>
      <c r="H41" s="153"/>
      <c r="I41" s="239"/>
      <c r="J41" s="271"/>
      <c r="K41" s="271"/>
      <c r="L41" s="271"/>
      <c r="M41" s="240"/>
      <c r="N41" s="240"/>
      <c r="O41" s="155"/>
      <c r="P41" s="155"/>
      <c r="Q41"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1"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1" s="284" t="str">
        <f>IF(Table_PrescriptLights_Input[[#This Row],[Measure Number]]="","",IF(OR(Table_PrescriptLights_Input[[#This Row],[Measure Number]]=References!$F$4,Table_PrescriptLights_Input[[#This Row],[Measure Number]]=References!$F$5),Table_PrescriptLights_Input[[#This Row],[Number of Units]]*'HVAC Calcs'!$H39,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1" s="285" t="str">
        <f>IF(Table_PrescriptLights_Input[[#This Row],[Measure Number]]="","",IF(OR(Table_PrescriptLights_Input[[#This Row],[Measure Number]]=References!$F$4,Table_PrescriptLights_Input[[#This Row],[Measure Number]]=References!$F$5),Table_PrescriptLights_Input[[#This Row],[Number of Units]]*'HVAC Calcs'!$I39,IF(OR(Table_PrescriptLights_Input[[#This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1" s="283" t="str">
        <f>IFERROR(Table_PrescriptLights_Input[[#This Row],[Energy Savings (kWh)]]*Input_AvgkWhRate, "")</f>
        <v/>
      </c>
      <c r="V41" s="283" t="str">
        <f>IF(Table_PrescriptLights_Input[[#This Row],[HVAC Measure]]="", "",Table_PrescriptLights_Input[[#This Row],[Total Equipment Cost]]+Table_PrescriptLights_Input[[#This Row],[Total Labor Cost]])</f>
        <v/>
      </c>
      <c r="W41" s="283" t="str">
        <f>IFERROR(Table_PrescriptLights_Input[[#This Row],[Gross Measure Cost]]-Table_PrescriptLights_Input[[#This Row],[Estimated Incentive]], "")</f>
        <v/>
      </c>
      <c r="X41" s="284" t="str">
        <f t="shared" si="0"/>
        <v/>
      </c>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row>
    <row r="42" spans="1:52" x14ac:dyDescent="0.2">
      <c r="A42" s="4"/>
      <c r="B42" s="281">
        <v>38</v>
      </c>
      <c r="C42" s="282" t="str">
        <f>IFERROR(INDEX(Table_Prescript_Meas[Measure Number], MATCH(E42, Table_Prescript_Meas[Measure Description], 0)), "")</f>
        <v/>
      </c>
      <c r="D42" s="280"/>
      <c r="E42" s="279"/>
      <c r="F42" s="282" t="str">
        <f>IFERROR(INDEX(Table_Prescript_Meas[Units], MATCH(Table_PrescriptLights_Input[[#This Row],[Measure Number]], Table_Prescript_Meas[Measure Number], 0)), "")</f>
        <v/>
      </c>
      <c r="G42" s="153"/>
      <c r="H42" s="153"/>
      <c r="I42" s="239"/>
      <c r="J42" s="271"/>
      <c r="K42" s="271"/>
      <c r="L42" s="271"/>
      <c r="M42" s="240"/>
      <c r="N42" s="240"/>
      <c r="O42" s="155"/>
      <c r="P42" s="155"/>
      <c r="Q42"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2"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2" s="284" t="str">
        <f>IF(Table_PrescriptLights_Input[[#This Row],[Measure Number]]="","",IF(OR(Table_PrescriptLights_Input[[#This Row],[Measure Number]]=References!$F$4,Table_PrescriptLights_Input[[#This Row],[Measure Number]]=References!$F$5),Table_PrescriptLights_Input[[#This Row],[Number of Units]]*'HVAC Calcs'!$H40,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2" s="285" t="str">
        <f>IF(Table_PrescriptLights_Input[[#This Row],[Measure Number]]="","",IF(OR(Table_PrescriptLights_Input[[#This Row],[Measure Number]]=References!$F$4,Table_PrescriptLights_Input[[#This Row],[Measure Number]]=References!$F$5),Table_PrescriptLights_Input[[#This Row],[Number of Units]]*'HVAC Calcs'!$I40,IF(OR(Table_PrescriptLights_Input[[#This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2" s="283" t="str">
        <f>IFERROR(Table_PrescriptLights_Input[[#This Row],[Energy Savings (kWh)]]*Input_AvgkWhRate, "")</f>
        <v/>
      </c>
      <c r="V42" s="283" t="str">
        <f>IF(Table_PrescriptLights_Input[[#This Row],[HVAC Measure]]="", "",Table_PrescriptLights_Input[[#This Row],[Total Equipment Cost]]+Table_PrescriptLights_Input[[#This Row],[Total Labor Cost]])</f>
        <v/>
      </c>
      <c r="W42" s="283" t="str">
        <f>IFERROR(Table_PrescriptLights_Input[[#This Row],[Gross Measure Cost]]-Table_PrescriptLights_Input[[#This Row],[Estimated Incentive]], "")</f>
        <v/>
      </c>
      <c r="X42" s="284" t="str">
        <f t="shared" si="0"/>
        <v/>
      </c>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row>
    <row r="43" spans="1:52" x14ac:dyDescent="0.2">
      <c r="A43" s="4"/>
      <c r="B43" s="281">
        <v>39</v>
      </c>
      <c r="C43" s="282" t="str">
        <f>IFERROR(INDEX(Table_Prescript_Meas[Measure Number], MATCH(E43, Table_Prescript_Meas[Measure Description], 0)), "")</f>
        <v/>
      </c>
      <c r="D43" s="280"/>
      <c r="E43" s="279"/>
      <c r="F43" s="282" t="str">
        <f>IFERROR(INDEX(Table_Prescript_Meas[Units], MATCH(Table_PrescriptLights_Input[[#This Row],[Measure Number]], Table_Prescript_Meas[Measure Number], 0)), "")</f>
        <v/>
      </c>
      <c r="G43" s="153"/>
      <c r="H43" s="153"/>
      <c r="I43" s="239"/>
      <c r="J43" s="271"/>
      <c r="K43" s="271"/>
      <c r="L43" s="271"/>
      <c r="M43" s="240"/>
      <c r="N43" s="240"/>
      <c r="O43" s="155"/>
      <c r="P43" s="155"/>
      <c r="Q43"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3"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3" s="284" t="str">
        <f>IF(Table_PrescriptLights_Input[[#This Row],[Measure Number]]="","",IF(OR(Table_PrescriptLights_Input[[#This Row],[Measure Number]]=References!$F$4,Table_PrescriptLights_Input[[#This Row],[Measure Number]]=References!$F$5),Table_PrescriptLights_Input[[#This Row],[Number of Units]]*'HVAC Calcs'!$H41,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3" s="285" t="str">
        <f>IF(Table_PrescriptLights_Input[[#This Row],[Measure Number]]="","",IF(OR(Table_PrescriptLights_Input[[#This Row],[Measure Number]]=References!$F$4,Table_PrescriptLights_Input[[#This Row],[Measure Number]]=References!$F$5),Table_PrescriptLights_Input[[#This Row],[Number of Units]]*'HVAC Calcs'!$I41,IF(OR(Table_PrescriptLights_Input[[#This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3" s="283" t="str">
        <f>IFERROR(Table_PrescriptLights_Input[[#This Row],[Energy Savings (kWh)]]*Input_AvgkWhRate, "")</f>
        <v/>
      </c>
      <c r="V43" s="283" t="str">
        <f>IF(Table_PrescriptLights_Input[[#This Row],[HVAC Measure]]="", "",Table_PrescriptLights_Input[[#This Row],[Total Equipment Cost]]+Table_PrescriptLights_Input[[#This Row],[Total Labor Cost]])</f>
        <v/>
      </c>
      <c r="W43" s="283" t="str">
        <f>IFERROR(Table_PrescriptLights_Input[[#This Row],[Gross Measure Cost]]-Table_PrescriptLights_Input[[#This Row],[Estimated Incentive]], "")</f>
        <v/>
      </c>
      <c r="X43" s="284" t="str">
        <f t="shared" si="0"/>
        <v/>
      </c>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row>
    <row r="44" spans="1:52" x14ac:dyDescent="0.2">
      <c r="A44" s="4"/>
      <c r="B44" s="281">
        <v>40</v>
      </c>
      <c r="C44" s="282" t="str">
        <f>IFERROR(INDEX(Table_Prescript_Meas[Measure Number], MATCH(E44, Table_Prescript_Meas[Measure Description], 0)), "")</f>
        <v/>
      </c>
      <c r="D44" s="280"/>
      <c r="E44" s="279"/>
      <c r="F44" s="282" t="str">
        <f>IFERROR(INDEX(Table_Prescript_Meas[Units], MATCH(Table_PrescriptLights_Input[[#This Row],[Measure Number]], Table_Prescript_Meas[Measure Number], 0)), "")</f>
        <v/>
      </c>
      <c r="G44" s="153"/>
      <c r="H44" s="153"/>
      <c r="I44" s="239"/>
      <c r="J44" s="271"/>
      <c r="K44" s="271"/>
      <c r="L44" s="271"/>
      <c r="M44" s="240"/>
      <c r="N44" s="240"/>
      <c r="O44" s="155"/>
      <c r="P44" s="155"/>
      <c r="Q44"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4"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4" s="284" t="str">
        <f>IF(Table_PrescriptLights_Input[[#This Row],[Measure Number]]="","",IF(OR(Table_PrescriptLights_Input[[#This Row],[Measure Number]]=References!$F$4,Table_PrescriptLights_Input[[#This Row],[Measure Number]]=References!$F$5),Table_PrescriptLights_Input[[#This Row],[Number of Units]]*'HVAC Calcs'!$H42,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4" s="285" t="str">
        <f>IF(Table_PrescriptLights_Input[[#This Row],[Measure Number]]="","",IF(OR(Table_PrescriptLights_Input[[#This Row],[Measure Number]]=References!$F$4,Table_PrescriptLights_Input[[#This Row],[Measure Number]]=References!$F$5),Table_PrescriptLights_Input[[#This Row],[Number of Units]]*'HVAC Calcs'!$I42,IF(OR(Table_PrescriptLights_Input[[#This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4" s="283" t="str">
        <f>IFERROR(Table_PrescriptLights_Input[[#This Row],[Energy Savings (kWh)]]*Input_AvgkWhRate, "")</f>
        <v/>
      </c>
      <c r="V44" s="283" t="str">
        <f>IF(Table_PrescriptLights_Input[[#This Row],[HVAC Measure]]="", "",Table_PrescriptLights_Input[[#This Row],[Total Equipment Cost]]+Table_PrescriptLights_Input[[#This Row],[Total Labor Cost]])</f>
        <v/>
      </c>
      <c r="W44" s="283" t="str">
        <f>IFERROR(Table_PrescriptLights_Input[[#This Row],[Gross Measure Cost]]-Table_PrescriptLights_Input[[#This Row],[Estimated Incentive]], "")</f>
        <v/>
      </c>
      <c r="X44" s="284" t="str">
        <f t="shared" si="0"/>
        <v/>
      </c>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row>
    <row r="45" spans="1:52" x14ac:dyDescent="0.2">
      <c r="A45" s="4"/>
      <c r="B45" s="281">
        <v>41</v>
      </c>
      <c r="C45" s="282" t="str">
        <f>IFERROR(INDEX(Table_Prescript_Meas[Measure Number], MATCH(E45, Table_Prescript_Meas[Measure Description], 0)), "")</f>
        <v/>
      </c>
      <c r="D45" s="280"/>
      <c r="E45" s="279"/>
      <c r="F45" s="282" t="str">
        <f>IFERROR(INDEX(Table_Prescript_Meas[Units], MATCH(Table_PrescriptLights_Input[[#This Row],[Measure Number]], Table_Prescript_Meas[Measure Number], 0)), "")</f>
        <v/>
      </c>
      <c r="G45" s="153"/>
      <c r="H45" s="153"/>
      <c r="I45" s="239"/>
      <c r="J45" s="271"/>
      <c r="K45" s="271"/>
      <c r="L45" s="271"/>
      <c r="M45" s="240"/>
      <c r="N45" s="240"/>
      <c r="O45" s="155"/>
      <c r="P45" s="155"/>
      <c r="Q45"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5"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5" s="284" t="str">
        <f>IF(Table_PrescriptLights_Input[[#This Row],[Measure Number]]="","",IF(OR(Table_PrescriptLights_Input[[#This Row],[Measure Number]]=References!$F$4,Table_PrescriptLights_Input[[#This Row],[Measure Number]]=References!$F$5),Table_PrescriptLights_Input[[#This Row],[Number of Units]]*'HVAC Calcs'!$H43,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5" s="285" t="str">
        <f>IF(Table_PrescriptLights_Input[[#This Row],[Measure Number]]="","",IF(OR(Table_PrescriptLights_Input[[#This Row],[Measure Number]]=References!$F$4,Table_PrescriptLights_Input[[#This Row],[Measure Number]]=References!$F$5),Table_PrescriptLights_Input[[#This Row],[Number of Units]]*'HVAC Calcs'!$I43,IF(OR(Table_PrescriptLights_Input[[#This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5" s="283" t="str">
        <f>IFERROR(Table_PrescriptLights_Input[[#This Row],[Energy Savings (kWh)]]*Input_AvgkWhRate, "")</f>
        <v/>
      </c>
      <c r="V45" s="283" t="str">
        <f>IF(Table_PrescriptLights_Input[[#This Row],[HVAC Measure]]="", "",Table_PrescriptLights_Input[[#This Row],[Total Equipment Cost]]+Table_PrescriptLights_Input[[#This Row],[Total Labor Cost]])</f>
        <v/>
      </c>
      <c r="W45" s="283" t="str">
        <f>IFERROR(Table_PrescriptLights_Input[[#This Row],[Gross Measure Cost]]-Table_PrescriptLights_Input[[#This Row],[Estimated Incentive]], "")</f>
        <v/>
      </c>
      <c r="X45" s="284" t="str">
        <f t="shared" si="0"/>
        <v/>
      </c>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row>
    <row r="46" spans="1:52" x14ac:dyDescent="0.2">
      <c r="A46" s="4"/>
      <c r="B46" s="281">
        <v>42</v>
      </c>
      <c r="C46" s="282" t="str">
        <f>IFERROR(INDEX(Table_Prescript_Meas[Measure Number], MATCH(E46, Table_Prescript_Meas[Measure Description], 0)), "")</f>
        <v/>
      </c>
      <c r="D46" s="280"/>
      <c r="E46" s="279"/>
      <c r="F46" s="282" t="str">
        <f>IFERROR(INDEX(Table_Prescript_Meas[Units], MATCH(Table_PrescriptLights_Input[[#This Row],[Measure Number]], Table_Prescript_Meas[Measure Number], 0)), "")</f>
        <v/>
      </c>
      <c r="G46" s="153"/>
      <c r="H46" s="153"/>
      <c r="I46" s="239"/>
      <c r="J46" s="271"/>
      <c r="K46" s="271"/>
      <c r="L46" s="271"/>
      <c r="M46" s="240"/>
      <c r="N46" s="240"/>
      <c r="O46" s="155"/>
      <c r="P46" s="155"/>
      <c r="Q46"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6"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6" s="284" t="str">
        <f>IF(Table_PrescriptLights_Input[[#This Row],[Measure Number]]="","",IF(OR(Table_PrescriptLights_Input[[#This Row],[Measure Number]]=References!$F$4,Table_PrescriptLights_Input[[#This Row],[Measure Number]]=References!$F$5),Table_PrescriptLights_Input[[#This Row],[Number of Units]]*'HVAC Calcs'!$H44,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6" s="285" t="str">
        <f>IF(Table_PrescriptLights_Input[[#This Row],[Measure Number]]="","",IF(OR(Table_PrescriptLights_Input[[#This Row],[Measure Number]]=References!$F$4,Table_PrescriptLights_Input[[#This Row],[Measure Number]]=References!$F$5),Table_PrescriptLights_Input[[#This Row],[Number of Units]]*'HVAC Calcs'!$I44,IF(OR(Table_PrescriptLights_Input[[#This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6" s="283" t="str">
        <f>IFERROR(Table_PrescriptLights_Input[[#This Row],[Energy Savings (kWh)]]*Input_AvgkWhRate, "")</f>
        <v/>
      </c>
      <c r="V46" s="283" t="str">
        <f>IF(Table_PrescriptLights_Input[[#This Row],[HVAC Measure]]="", "",Table_PrescriptLights_Input[[#This Row],[Total Equipment Cost]]+Table_PrescriptLights_Input[[#This Row],[Total Labor Cost]])</f>
        <v/>
      </c>
      <c r="W46" s="283" t="str">
        <f>IFERROR(Table_PrescriptLights_Input[[#This Row],[Gross Measure Cost]]-Table_PrescriptLights_Input[[#This Row],[Estimated Incentive]], "")</f>
        <v/>
      </c>
      <c r="X46" s="284" t="str">
        <f t="shared" si="0"/>
        <v/>
      </c>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row>
    <row r="47" spans="1:52" x14ac:dyDescent="0.2">
      <c r="A47" s="4"/>
      <c r="B47" s="281">
        <v>43</v>
      </c>
      <c r="C47" s="282" t="str">
        <f>IFERROR(INDEX(Table_Prescript_Meas[Measure Number], MATCH(E47, Table_Prescript_Meas[Measure Description], 0)), "")</f>
        <v/>
      </c>
      <c r="D47" s="280"/>
      <c r="E47" s="279"/>
      <c r="F47" s="282" t="str">
        <f>IFERROR(INDEX(Table_Prescript_Meas[Units], MATCH(Table_PrescriptLights_Input[[#This Row],[Measure Number]], Table_Prescript_Meas[Measure Number], 0)), "")</f>
        <v/>
      </c>
      <c r="G47" s="153"/>
      <c r="H47" s="153"/>
      <c r="I47" s="239"/>
      <c r="J47" s="271"/>
      <c r="K47" s="271"/>
      <c r="L47" s="271"/>
      <c r="M47" s="240"/>
      <c r="N47" s="240"/>
      <c r="O47" s="155"/>
      <c r="P47" s="155"/>
      <c r="Q47"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7"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7" s="284" t="str">
        <f>IF(Table_PrescriptLights_Input[[#This Row],[Measure Number]]="","",IF(OR(Table_PrescriptLights_Input[[#This Row],[Measure Number]]=References!$F$4,Table_PrescriptLights_Input[[#This Row],[Measure Number]]=References!$F$5),Table_PrescriptLights_Input[[#This Row],[Number of Units]]*'HVAC Calcs'!$H45,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7" s="285" t="str">
        <f>IF(Table_PrescriptLights_Input[[#This Row],[Measure Number]]="","",IF(OR(Table_PrescriptLights_Input[[#This Row],[Measure Number]]=References!$F$4,Table_PrescriptLights_Input[[#This Row],[Measure Number]]=References!$F$5),Table_PrescriptLights_Input[[#This Row],[Number of Units]]*'HVAC Calcs'!$I45,IF(OR(Table_PrescriptLights_Input[[#This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7" s="283" t="str">
        <f>IFERROR(Table_PrescriptLights_Input[[#This Row],[Energy Savings (kWh)]]*Input_AvgkWhRate, "")</f>
        <v/>
      </c>
      <c r="V47" s="283" t="str">
        <f>IF(Table_PrescriptLights_Input[[#This Row],[HVAC Measure]]="", "",Table_PrescriptLights_Input[[#This Row],[Total Equipment Cost]]+Table_PrescriptLights_Input[[#This Row],[Total Labor Cost]])</f>
        <v/>
      </c>
      <c r="W47" s="283" t="str">
        <f>IFERROR(Table_PrescriptLights_Input[[#This Row],[Gross Measure Cost]]-Table_PrescriptLights_Input[[#This Row],[Estimated Incentive]], "")</f>
        <v/>
      </c>
      <c r="X47" s="284" t="str">
        <f t="shared" si="0"/>
        <v/>
      </c>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row>
    <row r="48" spans="1:52" x14ac:dyDescent="0.2">
      <c r="A48" s="4"/>
      <c r="B48" s="281">
        <v>44</v>
      </c>
      <c r="C48" s="282" t="str">
        <f>IFERROR(INDEX(Table_Prescript_Meas[Measure Number], MATCH(E48, Table_Prescript_Meas[Measure Description], 0)), "")</f>
        <v/>
      </c>
      <c r="D48" s="280"/>
      <c r="E48" s="279"/>
      <c r="F48" s="282" t="str">
        <f>IFERROR(INDEX(Table_Prescript_Meas[Units], MATCH(Table_PrescriptLights_Input[[#This Row],[Measure Number]], Table_Prescript_Meas[Measure Number], 0)), "")</f>
        <v/>
      </c>
      <c r="G48" s="153"/>
      <c r="H48" s="153"/>
      <c r="I48" s="239"/>
      <c r="J48" s="271"/>
      <c r="K48" s="271"/>
      <c r="L48" s="271"/>
      <c r="M48" s="240"/>
      <c r="N48" s="240"/>
      <c r="O48" s="155"/>
      <c r="P48" s="155"/>
      <c r="Q48"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8"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8" s="284" t="str">
        <f>IF(Table_PrescriptLights_Input[[#This Row],[Measure Number]]="","",IF(OR(Table_PrescriptLights_Input[[#This Row],[Measure Number]]=References!$F$4,Table_PrescriptLights_Input[[#This Row],[Measure Number]]=References!$F$5),Table_PrescriptLights_Input[[#This Row],[Number of Units]]*'HVAC Calcs'!$H46,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8" s="285" t="str">
        <f>IF(Table_PrescriptLights_Input[[#This Row],[Measure Number]]="","",IF(OR(Table_PrescriptLights_Input[[#This Row],[Measure Number]]=References!$F$4,Table_PrescriptLights_Input[[#This Row],[Measure Number]]=References!$F$5),Table_PrescriptLights_Input[[#This Row],[Number of Units]]*'HVAC Calcs'!$I46,IF(OR(Table_PrescriptLights_Input[[#This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8" s="283" t="str">
        <f>IFERROR(Table_PrescriptLights_Input[[#This Row],[Energy Savings (kWh)]]*Input_AvgkWhRate, "")</f>
        <v/>
      </c>
      <c r="V48" s="283" t="str">
        <f>IF(Table_PrescriptLights_Input[[#This Row],[HVAC Measure]]="", "",Table_PrescriptLights_Input[[#This Row],[Total Equipment Cost]]+Table_PrescriptLights_Input[[#This Row],[Total Labor Cost]])</f>
        <v/>
      </c>
      <c r="W48" s="283" t="str">
        <f>IFERROR(Table_PrescriptLights_Input[[#This Row],[Gross Measure Cost]]-Table_PrescriptLights_Input[[#This Row],[Estimated Incentive]], "")</f>
        <v/>
      </c>
      <c r="X48" s="284" t="str">
        <f t="shared" si="0"/>
        <v/>
      </c>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row>
    <row r="49" spans="1:52" x14ac:dyDescent="0.2">
      <c r="A49" s="4"/>
      <c r="B49" s="281">
        <v>45</v>
      </c>
      <c r="C49" s="282" t="str">
        <f>IFERROR(INDEX(Table_Prescript_Meas[Measure Number], MATCH(E49, Table_Prescript_Meas[Measure Description], 0)), "")</f>
        <v/>
      </c>
      <c r="D49" s="280"/>
      <c r="E49" s="279"/>
      <c r="F49" s="282" t="str">
        <f>IFERROR(INDEX(Table_Prescript_Meas[Units], MATCH(Table_PrescriptLights_Input[[#This Row],[Measure Number]], Table_Prescript_Meas[Measure Number], 0)), "")</f>
        <v/>
      </c>
      <c r="G49" s="153"/>
      <c r="H49" s="153"/>
      <c r="I49" s="239"/>
      <c r="J49" s="271"/>
      <c r="K49" s="271"/>
      <c r="L49" s="271"/>
      <c r="M49" s="240"/>
      <c r="N49" s="240"/>
      <c r="O49" s="155"/>
      <c r="P49" s="155"/>
      <c r="Q49"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49"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49" s="284" t="str">
        <f>IF(Table_PrescriptLights_Input[[#This Row],[Measure Number]]="","",IF(OR(Table_PrescriptLights_Input[[#This Row],[Measure Number]]=References!$F$4,Table_PrescriptLights_Input[[#This Row],[Measure Number]]=References!$F$5),Table_PrescriptLights_Input[[#This Row],[Number of Units]]*'HVAC Calcs'!$H47,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49" s="285" t="str">
        <f>IF(Table_PrescriptLights_Input[[#This Row],[Measure Number]]="","",IF(OR(Table_PrescriptLights_Input[[#This Row],[Measure Number]]=References!$F$4,Table_PrescriptLights_Input[[#This Row],[Measure Number]]=References!$F$5),Table_PrescriptLights_Input[[#This Row],[Number of Units]]*'HVAC Calcs'!$I47,IF(OR(Table_PrescriptLights_Input[[#This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49" s="283" t="str">
        <f>IFERROR(Table_PrescriptLights_Input[[#This Row],[Energy Savings (kWh)]]*Input_AvgkWhRate, "")</f>
        <v/>
      </c>
      <c r="V49" s="283" t="str">
        <f>IF(Table_PrescriptLights_Input[[#This Row],[HVAC Measure]]="", "",Table_PrescriptLights_Input[[#This Row],[Total Equipment Cost]]+Table_PrescriptLights_Input[[#This Row],[Total Labor Cost]])</f>
        <v/>
      </c>
      <c r="W49" s="283" t="str">
        <f>IFERROR(Table_PrescriptLights_Input[[#This Row],[Gross Measure Cost]]-Table_PrescriptLights_Input[[#This Row],[Estimated Incentive]], "")</f>
        <v/>
      </c>
      <c r="X49" s="284" t="str">
        <f t="shared" si="0"/>
        <v/>
      </c>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row>
    <row r="50" spans="1:52" x14ac:dyDescent="0.2">
      <c r="A50" s="4"/>
      <c r="B50" s="281">
        <v>46</v>
      </c>
      <c r="C50" s="282" t="str">
        <f>IFERROR(INDEX(Table_Prescript_Meas[Measure Number], MATCH(E50, Table_Prescript_Meas[Measure Description], 0)), "")</f>
        <v/>
      </c>
      <c r="D50" s="280"/>
      <c r="E50" s="279"/>
      <c r="F50" s="282" t="str">
        <f>IFERROR(INDEX(Table_Prescript_Meas[Units], MATCH(Table_PrescriptLights_Input[[#This Row],[Measure Number]], Table_Prescript_Meas[Measure Number], 0)), "")</f>
        <v/>
      </c>
      <c r="G50" s="153"/>
      <c r="H50" s="153"/>
      <c r="I50" s="239"/>
      <c r="J50" s="271"/>
      <c r="K50" s="271"/>
      <c r="L50" s="271"/>
      <c r="M50" s="240"/>
      <c r="N50" s="240"/>
      <c r="O50" s="155"/>
      <c r="P50" s="155"/>
      <c r="Q50"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0"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0" s="284" t="str">
        <f>IF(Table_PrescriptLights_Input[[#This Row],[Measure Number]]="","",IF(OR(Table_PrescriptLights_Input[[#This Row],[Measure Number]]=References!$F$4,Table_PrescriptLights_Input[[#This Row],[Measure Number]]=References!$F$5),Table_PrescriptLights_Input[[#This Row],[Number of Units]]*'HVAC Calcs'!$H48,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0" s="285" t="str">
        <f>IF(Table_PrescriptLights_Input[[#This Row],[Measure Number]]="","",IF(OR(Table_PrescriptLights_Input[[#This Row],[Measure Number]]=References!$F$4,Table_PrescriptLights_Input[[#This Row],[Measure Number]]=References!$F$5),Table_PrescriptLights_Input[[#This Row],[Number of Units]]*'HVAC Calcs'!$I48,IF(OR(Table_PrescriptLights_Input[[#This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0" s="283" t="str">
        <f>IFERROR(Table_PrescriptLights_Input[[#This Row],[Energy Savings (kWh)]]*Input_AvgkWhRate, "")</f>
        <v/>
      </c>
      <c r="V50" s="283" t="str">
        <f>IF(Table_PrescriptLights_Input[[#This Row],[HVAC Measure]]="", "",Table_PrescriptLights_Input[[#This Row],[Total Equipment Cost]]+Table_PrescriptLights_Input[[#This Row],[Total Labor Cost]])</f>
        <v/>
      </c>
      <c r="W50" s="283" t="str">
        <f>IFERROR(Table_PrescriptLights_Input[[#This Row],[Gross Measure Cost]]-Table_PrescriptLights_Input[[#This Row],[Estimated Incentive]], "")</f>
        <v/>
      </c>
      <c r="X50" s="284" t="str">
        <f t="shared" si="0"/>
        <v/>
      </c>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row>
    <row r="51" spans="1:52" x14ac:dyDescent="0.2">
      <c r="A51" s="4"/>
      <c r="B51" s="281">
        <v>47</v>
      </c>
      <c r="C51" s="282" t="str">
        <f>IFERROR(INDEX(Table_Prescript_Meas[Measure Number], MATCH(E51, Table_Prescript_Meas[Measure Description], 0)), "")</f>
        <v/>
      </c>
      <c r="D51" s="280"/>
      <c r="E51" s="279"/>
      <c r="F51" s="282" t="str">
        <f>IFERROR(INDEX(Table_Prescript_Meas[Units], MATCH(Table_PrescriptLights_Input[[#This Row],[Measure Number]], Table_Prescript_Meas[Measure Number], 0)), "")</f>
        <v/>
      </c>
      <c r="G51" s="153"/>
      <c r="H51" s="153"/>
      <c r="I51" s="239"/>
      <c r="J51" s="271"/>
      <c r="K51" s="271"/>
      <c r="L51" s="271"/>
      <c r="M51" s="240"/>
      <c r="N51" s="240"/>
      <c r="O51" s="155"/>
      <c r="P51" s="155"/>
      <c r="Q51"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1"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1" s="284" t="str">
        <f>IF(Table_PrescriptLights_Input[[#This Row],[Measure Number]]="","",IF(OR(Table_PrescriptLights_Input[[#This Row],[Measure Number]]=References!$F$4,Table_PrescriptLights_Input[[#This Row],[Measure Number]]=References!$F$5),Table_PrescriptLights_Input[[#This Row],[Number of Units]]*'HVAC Calcs'!$H49,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1" s="285" t="str">
        <f>IF(Table_PrescriptLights_Input[[#This Row],[Measure Number]]="","",IF(OR(Table_PrescriptLights_Input[[#This Row],[Measure Number]]=References!$F$4,Table_PrescriptLights_Input[[#This Row],[Measure Number]]=References!$F$5),Table_PrescriptLights_Input[[#This Row],[Number of Units]]*'HVAC Calcs'!$I49,IF(OR(Table_PrescriptLights_Input[[#This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1" s="283" t="str">
        <f>IFERROR(Table_PrescriptLights_Input[[#This Row],[Energy Savings (kWh)]]*Input_AvgkWhRate, "")</f>
        <v/>
      </c>
      <c r="V51" s="283" t="str">
        <f>IF(Table_PrescriptLights_Input[[#This Row],[HVAC Measure]]="", "",Table_PrescriptLights_Input[[#This Row],[Total Equipment Cost]]+Table_PrescriptLights_Input[[#This Row],[Total Labor Cost]])</f>
        <v/>
      </c>
      <c r="W51" s="283" t="str">
        <f>IFERROR(Table_PrescriptLights_Input[[#This Row],[Gross Measure Cost]]-Table_PrescriptLights_Input[[#This Row],[Estimated Incentive]], "")</f>
        <v/>
      </c>
      <c r="X51" s="284" t="str">
        <f t="shared" si="0"/>
        <v/>
      </c>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row>
    <row r="52" spans="1:52" x14ac:dyDescent="0.2">
      <c r="A52" s="4"/>
      <c r="B52" s="281">
        <v>48</v>
      </c>
      <c r="C52" s="282" t="str">
        <f>IFERROR(INDEX(Table_Prescript_Meas[Measure Number], MATCH(E52, Table_Prescript_Meas[Measure Description], 0)), "")</f>
        <v/>
      </c>
      <c r="D52" s="280"/>
      <c r="E52" s="279"/>
      <c r="F52" s="282" t="str">
        <f>IFERROR(INDEX(Table_Prescript_Meas[Units], MATCH(Table_PrescriptLights_Input[[#This Row],[Measure Number]], Table_Prescript_Meas[Measure Number], 0)), "")</f>
        <v/>
      </c>
      <c r="G52" s="153"/>
      <c r="H52" s="153"/>
      <c r="I52" s="239"/>
      <c r="J52" s="271"/>
      <c r="K52" s="271"/>
      <c r="L52" s="271"/>
      <c r="M52" s="240"/>
      <c r="N52" s="240"/>
      <c r="O52" s="155"/>
      <c r="P52" s="155"/>
      <c r="Q52"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2"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2" s="284" t="str">
        <f>IF(Table_PrescriptLights_Input[[#This Row],[Measure Number]]="","",IF(OR(Table_PrescriptLights_Input[[#This Row],[Measure Number]]=References!$F$4,Table_PrescriptLights_Input[[#This Row],[Measure Number]]=References!$F$5),Table_PrescriptLights_Input[[#This Row],[Number of Units]]*'HVAC Calcs'!$H50,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2" s="285" t="str">
        <f>IF(Table_PrescriptLights_Input[[#This Row],[Measure Number]]="","",IF(OR(Table_PrescriptLights_Input[[#This Row],[Measure Number]]=References!$F$4,Table_PrescriptLights_Input[[#This Row],[Measure Number]]=References!$F$5),Table_PrescriptLights_Input[[#This Row],[Number of Units]]*'HVAC Calcs'!$I50,IF(OR(Table_PrescriptLights_Input[[#This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2" s="283" t="str">
        <f>IFERROR(Table_PrescriptLights_Input[[#This Row],[Energy Savings (kWh)]]*Input_AvgkWhRate, "")</f>
        <v/>
      </c>
      <c r="V52" s="283" t="str">
        <f>IF(Table_PrescriptLights_Input[[#This Row],[HVAC Measure]]="", "",Table_PrescriptLights_Input[[#This Row],[Total Equipment Cost]]+Table_PrescriptLights_Input[[#This Row],[Total Labor Cost]])</f>
        <v/>
      </c>
      <c r="W52" s="283" t="str">
        <f>IFERROR(Table_PrescriptLights_Input[[#This Row],[Gross Measure Cost]]-Table_PrescriptLights_Input[[#This Row],[Estimated Incentive]], "")</f>
        <v/>
      </c>
      <c r="X52" s="284" t="str">
        <f t="shared" si="0"/>
        <v/>
      </c>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row>
    <row r="53" spans="1:52" x14ac:dyDescent="0.2">
      <c r="A53" s="4"/>
      <c r="B53" s="281">
        <v>49</v>
      </c>
      <c r="C53" s="282" t="str">
        <f>IFERROR(INDEX(Table_Prescript_Meas[Measure Number], MATCH(E53, Table_Prescript_Meas[Measure Description], 0)), "")</f>
        <v/>
      </c>
      <c r="D53" s="280"/>
      <c r="E53" s="279"/>
      <c r="F53" s="282" t="str">
        <f>IFERROR(INDEX(Table_Prescript_Meas[Units], MATCH(Table_PrescriptLights_Input[[#This Row],[Measure Number]], Table_Prescript_Meas[Measure Number], 0)), "")</f>
        <v/>
      </c>
      <c r="G53" s="153"/>
      <c r="H53" s="153"/>
      <c r="I53" s="239"/>
      <c r="J53" s="271"/>
      <c r="K53" s="271"/>
      <c r="L53" s="271"/>
      <c r="M53" s="240"/>
      <c r="N53" s="240"/>
      <c r="O53" s="155"/>
      <c r="P53" s="155"/>
      <c r="Q53"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3"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3" s="284" t="str">
        <f>IF(Table_PrescriptLights_Input[[#This Row],[Measure Number]]="","",IF(OR(Table_PrescriptLights_Input[[#This Row],[Measure Number]]=References!$F$4,Table_PrescriptLights_Input[[#This Row],[Measure Number]]=References!$F$5),Table_PrescriptLights_Input[[#This Row],[Number of Units]]*'HVAC Calcs'!$H51,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3" s="285" t="str">
        <f>IF(Table_PrescriptLights_Input[[#This Row],[Measure Number]]="","",IF(OR(Table_PrescriptLights_Input[[#This Row],[Measure Number]]=References!$F$4,Table_PrescriptLights_Input[[#This Row],[Measure Number]]=References!$F$5),Table_PrescriptLights_Input[[#This Row],[Number of Units]]*'HVAC Calcs'!$I51,IF(OR(Table_PrescriptLights_Input[[#This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3" s="283" t="str">
        <f>IFERROR(Table_PrescriptLights_Input[[#This Row],[Energy Savings (kWh)]]*Input_AvgkWhRate, "")</f>
        <v/>
      </c>
      <c r="V53" s="283" t="str">
        <f>IF(Table_PrescriptLights_Input[[#This Row],[HVAC Measure]]="", "",Table_PrescriptLights_Input[[#This Row],[Total Equipment Cost]]+Table_PrescriptLights_Input[[#This Row],[Total Labor Cost]])</f>
        <v/>
      </c>
      <c r="W53" s="283" t="str">
        <f>IFERROR(Table_PrescriptLights_Input[[#This Row],[Gross Measure Cost]]-Table_PrescriptLights_Input[[#This Row],[Estimated Incentive]], "")</f>
        <v/>
      </c>
      <c r="X53" s="284" t="str">
        <f t="shared" si="0"/>
        <v/>
      </c>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row>
    <row r="54" spans="1:52" x14ac:dyDescent="0.2">
      <c r="A54" s="4"/>
      <c r="B54" s="281">
        <v>50</v>
      </c>
      <c r="C54" s="282" t="str">
        <f>IFERROR(INDEX(Table_Prescript_Meas[Measure Number], MATCH(E54, Table_Prescript_Meas[Measure Description], 0)), "")</f>
        <v/>
      </c>
      <c r="D54" s="280"/>
      <c r="E54" s="279"/>
      <c r="F54" s="282" t="str">
        <f>IFERROR(INDEX(Table_Prescript_Meas[Units], MATCH(Table_PrescriptLights_Input[[#This Row],[Measure Number]], Table_Prescript_Meas[Measure Number], 0)), "")</f>
        <v/>
      </c>
      <c r="G54" s="153"/>
      <c r="H54" s="153"/>
      <c r="I54" s="239"/>
      <c r="J54" s="271"/>
      <c r="K54" s="271"/>
      <c r="L54" s="271"/>
      <c r="M54" s="240"/>
      <c r="N54" s="240"/>
      <c r="O54" s="155"/>
      <c r="P54" s="155"/>
      <c r="Q54" s="283" t="str">
        <f>IFERROR(IF(Input_ProgramType=References!$W$4, INDEX(Table_Prescript_Meas[Incentive - SC], MATCH(Table_PrescriptLights_Input[[#This Row],[Measure Number]], Table_Prescript_Meas[Measure Number], 0)), INDEX(Table_Prescript_Meas[Incentive - LC], MATCH(Table_PrescriptLights_Input[[#This Row],[Measure Number]], Table_Prescript_Meas[Measure Number], 0))), "")</f>
        <v/>
      </c>
      <c r="R54" s="283" t="str">
        <f>IF(OR(Table_PrescriptLights_Input[[#This Row],[Measure Number]]=References!$F$8,Table_PrescriptLights_Input[[#This Row],[Measure Number]]=References!$F$9,Table_PrescriptLights_Input[[#This Row],[Measure Number]]=References!$F$10),IFERROR(Table_PrescriptLights_Input[[#This Row],[Per-Unit Incentive]]*Table_PrescriptLights_Input[[#This Row],[Number of Units]],""),IFERROR(Table_PrescriptLights_Input[[#This Row],[Per-Unit Incentive]]*Table_PrescriptLights_Input[[#This Row],[Number of Units]]*Table_PrescriptLights_Input[[#This Row],[Tonnage per Unit (if necessary)]],""))</f>
        <v/>
      </c>
      <c r="S54" s="284" t="str">
        <f>IF(Table_PrescriptLights_Input[[#This Row],[Measure Number]]="","",IF(OR(Table_PrescriptLights_Input[[#This Row],[Measure Number]]=References!$F$4,Table_PrescriptLights_Input[[#This Row],[Measure Number]]=References!$F$5),Table_PrescriptLights_Input[[#This Row],[Number of Units]]*'HVAC Calcs'!$H52, IF(OR(Table_PrescriptLights_Input[[#This Row],[Measure Number]]=References!$F$8,Table_PrescriptLights_Input[[#This Row],[Measure Number]]=References!$F$9,Table_PrescriptLights_Input[[#This Row],[Measure Number]]=References!$F$10),Table_PrescriptLights_Input[[#This Row],[Number of Units]]*INDEX(Table_Prescript_Meas[Deemed kWh Savings], MATCH(Table_PrescriptLights_Input[[#This Row],[Measure Number]], Table_Prescript_Meas[Measure Number],0)),IF(OR(Table_PrescriptLights_Input[[#This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Row],[Part Load (IPLV) kW/Ton]]*INDEX(Table_Prescript_Meas[Deemed kWh Savings], MATCH(Table_PrescriptLights_Input[[#This Row],[Measure Number]], Table_Prescript_Meas[Measure Number],0)),Table_PrescriptLights_Input[[#This Row],[Number of Units]]*Table_PrescriptLights_Input[[#This Row],[Tonnage per Unit (if necessary)]]*INDEX(Table_Prescript_Meas[Deemed kWh Savings], MATCH(Table_PrescriptLights_Input[[#This Row],[Measure Number]], Table_Prescript_Meas[Measure Number], 0))))))</f>
        <v/>
      </c>
      <c r="T54" s="285" t="str">
        <f>IF(Table_PrescriptLights_Input[[#This Row],[Measure Number]]="","",IF(OR(Table_PrescriptLights_Input[[#This Row],[Measure Number]]=References!$F$4,Table_PrescriptLights_Input[[#This Row],[Measure Number]]=References!$F$5),Table_PrescriptLights_Input[[#This Row],[Number of Units]]*'HVAC Calcs'!$I52,IF(OR(Table_PrescriptLights_Input[[#This Row],[Measure Number]]=References!$F$8,Table_PrescriptLights_Input[[#This Row],[Measure Number]]=References!$F$9,Table_PrescriptLights_Input[[#This Row],[Measure Number]]=References!$F$10),Table_PrescriptLights_Input[[#This Row],[Number of Units]]*INDEX(Table_Prescript_Meas[Deemed kW Savings], MATCH(Table_PrescriptLights_Input[[#This Row],[Measure Number]], Table_Prescript_Meas[Measure Number],0)), IF(OR(Table_PrescriptLights_Input[[#This Row],[Measure Number]]=References!$F$14,Table_PrescriptLights_Input[[#This Row],[Measure Number]]=References!$F$15,Table_PrescriptLights_Input[[#This Row],[Measure Number]]=References!$F$16),Table_PrescriptLights_Input[[#This Row],[Number of Units]]*Table_PrescriptLights_Input[[#This Row],[Tonnage per Unit (if necessary)]]*Table_PrescriptLights_Input[[#This Row],[Full Load kW/Ton]]*INDEX(Table_Prescript_Meas[Deemed kW Savings], MATCH(Table_PrescriptLights_Input[[#This Row],[Measure Number]], Table_Prescript_Meas[Measure Number],0)),Table_PrescriptLights_Input[[#This Row],[Number of Units]]*Table_PrescriptLights_Input[[#This Row],[Tonnage per Unit (if necessary)]]*INDEX(Table_Prescript_Meas[Deemed kW Savings], MATCH(Table_PrescriptLights_Input[[#This Row],[Measure Number]], Table_Prescript_Meas[Measure Number], 0))))))</f>
        <v/>
      </c>
      <c r="U54" s="283" t="str">
        <f>IFERROR(Table_PrescriptLights_Input[[#This Row],[Energy Savings (kWh)]]*Input_AvgkWhRate, "")</f>
        <v/>
      </c>
      <c r="V54" s="283" t="str">
        <f>IF(Table_PrescriptLights_Input[[#This Row],[HVAC Measure]]="", "",Table_PrescriptLights_Input[[#This Row],[Total Equipment Cost]]+Table_PrescriptLights_Input[[#This Row],[Total Labor Cost]])</f>
        <v/>
      </c>
      <c r="W54" s="283" t="str">
        <f>IFERROR(Table_PrescriptLights_Input[[#This Row],[Gross Measure Cost]]-Table_PrescriptLights_Input[[#This Row],[Estimated Incentive]], "")</f>
        <v/>
      </c>
      <c r="X54" s="284" t="str">
        <f t="shared" si="0"/>
        <v/>
      </c>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row>
    <row r="55" spans="1:52" x14ac:dyDescent="0.2">
      <c r="A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row>
    <row r="56" spans="1:52" x14ac:dyDescent="0.2">
      <c r="F56"/>
    </row>
    <row r="57" spans="1:52" x14ac:dyDescent="0.2">
      <c r="B57" t="s">
        <v>11</v>
      </c>
      <c r="F57"/>
    </row>
    <row r="58" spans="1:52" x14ac:dyDescent="0.2">
      <c r="B58" t="str">
        <f>Value_Application_Version</f>
        <v>Version 5.0</v>
      </c>
      <c r="F58"/>
    </row>
    <row r="59" spans="1:52" x14ac:dyDescent="0.2">
      <c r="F59"/>
    </row>
    <row r="60" spans="1:52" x14ac:dyDescent="0.2">
      <c r="A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row>
    <row r="61" spans="1:52" x14ac:dyDescent="0.2">
      <c r="A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row>
    <row r="62" spans="1:52" x14ac:dyDescent="0.2">
      <c r="A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row>
    <row r="63" spans="1:52" x14ac:dyDescent="0.2">
      <c r="A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row>
    <row r="64" spans="1:52" x14ac:dyDescent="0.2">
      <c r="A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row>
    <row r="65" spans="1:52" x14ac:dyDescent="0.2">
      <c r="A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row>
    <row r="66" spans="1:52" x14ac:dyDescent="0.2">
      <c r="A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row>
    <row r="67" spans="1:52" x14ac:dyDescent="0.2">
      <c r="A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row>
    <row r="68" spans="1:52" x14ac:dyDescent="0.2">
      <c r="A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row>
    <row r="69" spans="1:52" x14ac:dyDescent="0.2">
      <c r="A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row>
    <row r="70" spans="1:52" x14ac:dyDescent="0.2">
      <c r="A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row>
    <row r="71" spans="1:52" x14ac:dyDescent="0.2">
      <c r="A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row>
    <row r="72" spans="1:52" x14ac:dyDescent="0.2">
      <c r="A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row>
    <row r="73" spans="1:52" x14ac:dyDescent="0.2">
      <c r="A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row>
    <row r="74" spans="1:52" x14ac:dyDescent="0.2">
      <c r="A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row>
    <row r="75" spans="1:52" x14ac:dyDescent="0.2">
      <c r="A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row>
    <row r="76" spans="1:52" x14ac:dyDescent="0.2">
      <c r="A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row>
    <row r="77" spans="1:52" x14ac:dyDescent="0.2">
      <c r="A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row>
    <row r="78" spans="1:52" x14ac:dyDescent="0.2">
      <c r="A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row>
    <row r="79" spans="1:52" x14ac:dyDescent="0.2">
      <c r="A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row>
    <row r="80" spans="1:52" x14ac:dyDescent="0.2">
      <c r="A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row>
    <row r="81" spans="1:52" x14ac:dyDescent="0.2">
      <c r="A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row>
    <row r="82" spans="1:52" x14ac:dyDescent="0.2">
      <c r="A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row>
    <row r="83" spans="1:52" x14ac:dyDescent="0.2">
      <c r="A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row>
    <row r="84" spans="1:52" x14ac:dyDescent="0.2">
      <c r="A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row>
    <row r="85" spans="1:52" x14ac:dyDescent="0.2">
      <c r="A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row>
    <row r="86" spans="1:52" x14ac:dyDescent="0.2">
      <c r="A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row>
    <row r="87" spans="1:52" x14ac:dyDescent="0.2">
      <c r="A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row>
    <row r="88" spans="1:52" x14ac:dyDescent="0.2">
      <c r="A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row>
    <row r="89" spans="1:52" x14ac:dyDescent="0.2">
      <c r="A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row>
    <row r="90" spans="1:52" x14ac:dyDescent="0.2">
      <c r="A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row>
    <row r="91" spans="1:52" x14ac:dyDescent="0.2">
      <c r="A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row>
    <row r="92" spans="1:52" x14ac:dyDescent="0.2">
      <c r="A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row>
    <row r="93" spans="1:52" x14ac:dyDescent="0.2">
      <c r="A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row>
    <row r="94" spans="1:52" x14ac:dyDescent="0.2">
      <c r="A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row>
    <row r="95" spans="1:52" x14ac:dyDescent="0.2">
      <c r="A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row>
    <row r="96" spans="1:52" x14ac:dyDescent="0.2">
      <c r="A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row>
    <row r="97" spans="1:52" x14ac:dyDescent="0.2">
      <c r="A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row>
    <row r="98" spans="1:52" x14ac:dyDescent="0.2">
      <c r="A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row>
    <row r="99" spans="1:52" x14ac:dyDescent="0.2">
      <c r="A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row>
    <row r="100" spans="1:52" x14ac:dyDescent="0.2">
      <c r="A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row>
    <row r="101" spans="1:52" x14ac:dyDescent="0.2">
      <c r="A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row>
    <row r="102" spans="1:52" x14ac:dyDescent="0.2">
      <c r="A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row>
    <row r="103" spans="1:52" x14ac:dyDescent="0.2">
      <c r="A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row>
    <row r="104" spans="1:52" x14ac:dyDescent="0.2">
      <c r="A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row>
    <row r="105" spans="1:52" x14ac:dyDescent="0.2">
      <c r="A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row>
    <row r="106" spans="1:52" x14ac:dyDescent="0.2">
      <c r="A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row>
    <row r="107" spans="1:52" x14ac:dyDescent="0.2">
      <c r="A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row>
    <row r="108" spans="1:52" x14ac:dyDescent="0.2">
      <c r="A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row>
    <row r="109" spans="1:52" x14ac:dyDescent="0.2">
      <c r="A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row>
    <row r="110" spans="1:52" x14ac:dyDescent="0.2">
      <c r="A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row>
    <row r="111" spans="1:52" x14ac:dyDescent="0.2">
      <c r="A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row>
    <row r="112" spans="1:52" x14ac:dyDescent="0.2">
      <c r="A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row>
    <row r="113" spans="1:52" x14ac:dyDescent="0.2">
      <c r="A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row>
    <row r="114" spans="1:52" x14ac:dyDescent="0.2">
      <c r="A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row>
    <row r="115" spans="1:52" x14ac:dyDescent="0.2">
      <c r="A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row>
    <row r="116" spans="1:52" x14ac:dyDescent="0.2">
      <c r="A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row>
    <row r="117" spans="1:52" x14ac:dyDescent="0.2">
      <c r="A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row>
    <row r="118" spans="1:52" x14ac:dyDescent="0.2">
      <c r="A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row>
    <row r="119" spans="1:52" x14ac:dyDescent="0.2">
      <c r="A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row>
    <row r="120" spans="1:52" x14ac:dyDescent="0.2">
      <c r="A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row>
    <row r="121" spans="1:52" x14ac:dyDescent="0.2">
      <c r="A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row>
    <row r="122" spans="1:52" x14ac:dyDescent="0.2">
      <c r="A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row>
    <row r="123" spans="1:52" x14ac:dyDescent="0.2">
      <c r="A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row>
    <row r="124" spans="1:52" x14ac:dyDescent="0.2">
      <c r="A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row>
    <row r="125" spans="1:52" x14ac:dyDescent="0.2">
      <c r="A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row>
    <row r="126" spans="1:52" x14ac:dyDescent="0.2">
      <c r="A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row>
    <row r="127" spans="1:52" x14ac:dyDescent="0.2">
      <c r="A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row>
    <row r="128" spans="1:52" x14ac:dyDescent="0.2">
      <c r="A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row>
    <row r="129" spans="1:52" x14ac:dyDescent="0.2">
      <c r="A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row>
    <row r="130" spans="1:52" x14ac:dyDescent="0.2">
      <c r="A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row>
    <row r="131" spans="1:52" x14ac:dyDescent="0.2">
      <c r="A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row>
    <row r="132" spans="1:52" x14ac:dyDescent="0.2">
      <c r="A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row>
    <row r="133" spans="1:52" x14ac:dyDescent="0.2">
      <c r="A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row>
    <row r="134" spans="1:52" x14ac:dyDescent="0.2">
      <c r="A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row>
    <row r="135" spans="1:52" x14ac:dyDescent="0.2">
      <c r="A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row>
    <row r="136" spans="1:52" x14ac:dyDescent="0.2">
      <c r="A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row>
    <row r="137" spans="1:52" x14ac:dyDescent="0.2">
      <c r="A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row>
    <row r="138" spans="1:52" x14ac:dyDescent="0.2">
      <c r="A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row>
    <row r="139" spans="1:52" x14ac:dyDescent="0.2">
      <c r="A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row>
    <row r="140" spans="1:52" x14ac:dyDescent="0.2">
      <c r="A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row>
    <row r="141" spans="1:52" x14ac:dyDescent="0.2">
      <c r="A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row>
    <row r="142" spans="1:52" x14ac:dyDescent="0.2">
      <c r="A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row>
    <row r="143" spans="1:52" x14ac:dyDescent="0.2">
      <c r="A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row>
    <row r="144" spans="1:52" x14ac:dyDescent="0.2">
      <c r="A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row>
    <row r="145" spans="1:52" x14ac:dyDescent="0.2">
      <c r="A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row>
    <row r="146" spans="1:52" x14ac:dyDescent="0.2">
      <c r="A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row>
    <row r="147" spans="1:52" x14ac:dyDescent="0.2">
      <c r="A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row>
    <row r="148" spans="1:52" x14ac:dyDescent="0.2">
      <c r="A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row>
    <row r="149" spans="1:52" x14ac:dyDescent="0.2">
      <c r="A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row>
    <row r="150" spans="1:52" x14ac:dyDescent="0.2">
      <c r="A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row>
    <row r="151" spans="1:52" x14ac:dyDescent="0.2">
      <c r="A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row>
    <row r="152" spans="1:52" x14ac:dyDescent="0.2">
      <c r="A152" s="4"/>
      <c r="Y152" s="4"/>
      <c r="Z152" s="4"/>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row>
    <row r="153" spans="1:52" x14ac:dyDescent="0.2">
      <c r="A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row>
    <row r="154" spans="1:52" x14ac:dyDescent="0.2">
      <c r="A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row>
    <row r="155" spans="1:52" x14ac:dyDescent="0.2">
      <c r="A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row>
    <row r="156" spans="1:52" x14ac:dyDescent="0.2">
      <c r="A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row>
    <row r="157" spans="1:52" x14ac:dyDescent="0.2">
      <c r="A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row>
    <row r="158" spans="1:52" x14ac:dyDescent="0.2">
      <c r="A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row>
    <row r="159" spans="1:52" x14ac:dyDescent="0.2">
      <c r="A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row>
    <row r="160" spans="1:52" x14ac:dyDescent="0.2">
      <c r="A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row>
    <row r="161" spans="1:52" x14ac:dyDescent="0.2">
      <c r="A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row>
    <row r="162" spans="1:52" x14ac:dyDescent="0.2">
      <c r="A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row>
    <row r="163" spans="1:52" x14ac:dyDescent="0.2">
      <c r="A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row>
    <row r="164" spans="1:52" x14ac:dyDescent="0.2">
      <c r="A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row>
    <row r="165" spans="1:52" x14ac:dyDescent="0.2">
      <c r="A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row>
    <row r="166" spans="1:52" x14ac:dyDescent="0.2">
      <c r="A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row>
    <row r="167" spans="1:52" x14ac:dyDescent="0.2">
      <c r="A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row>
    <row r="168" spans="1:52" x14ac:dyDescent="0.2">
      <c r="A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row>
    <row r="169" spans="1:52" x14ac:dyDescent="0.2">
      <c r="A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row>
    <row r="170" spans="1:52" x14ac:dyDescent="0.2">
      <c r="A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row>
    <row r="171" spans="1:52" x14ac:dyDescent="0.2">
      <c r="A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row>
    <row r="172" spans="1:52" x14ac:dyDescent="0.2">
      <c r="A172" s="4"/>
      <c r="Y172" s="4"/>
      <c r="Z172" s="4"/>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row>
    <row r="173" spans="1:52" x14ac:dyDescent="0.2">
      <c r="A173" s="4"/>
      <c r="Y173" s="4"/>
      <c r="Z173" s="4"/>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row>
    <row r="174" spans="1:52" x14ac:dyDescent="0.2">
      <c r="A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row>
    <row r="175" spans="1:52" x14ac:dyDescent="0.2">
      <c r="A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row>
    <row r="176" spans="1:52" x14ac:dyDescent="0.2">
      <c r="A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row>
    <row r="177" spans="1:52" x14ac:dyDescent="0.2">
      <c r="A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row>
    <row r="178" spans="1:52" x14ac:dyDescent="0.2">
      <c r="A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row>
    <row r="179" spans="1:52" x14ac:dyDescent="0.2">
      <c r="A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row>
    <row r="180" spans="1:52" x14ac:dyDescent="0.2">
      <c r="A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row>
    <row r="181" spans="1:52" x14ac:dyDescent="0.2">
      <c r="A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row>
    <row r="182" spans="1:52" x14ac:dyDescent="0.2">
      <c r="A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row>
    <row r="183" spans="1:52" x14ac:dyDescent="0.2">
      <c r="A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row>
    <row r="184" spans="1:52" x14ac:dyDescent="0.2">
      <c r="A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row>
    <row r="185" spans="1:52" x14ac:dyDescent="0.2">
      <c r="A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row>
    <row r="186" spans="1:52" x14ac:dyDescent="0.2">
      <c r="A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row>
    <row r="187" spans="1:52" x14ac:dyDescent="0.2">
      <c r="A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row>
    <row r="188" spans="1:52" x14ac:dyDescent="0.2">
      <c r="A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row>
    <row r="189" spans="1:52" x14ac:dyDescent="0.2">
      <c r="A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row>
    <row r="190" spans="1:52" x14ac:dyDescent="0.2">
      <c r="A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row>
    <row r="191" spans="1:52" x14ac:dyDescent="0.2">
      <c r="A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row>
    <row r="192" spans="1:52" x14ac:dyDescent="0.2">
      <c r="A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row>
    <row r="193" spans="1:52" x14ac:dyDescent="0.2">
      <c r="A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row>
    <row r="194" spans="1:52" x14ac:dyDescent="0.2">
      <c r="A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row>
    <row r="195" spans="1:52" x14ac:dyDescent="0.2">
      <c r="A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row>
    <row r="196" spans="1:52" x14ac:dyDescent="0.2">
      <c r="A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row>
    <row r="197" spans="1:52" x14ac:dyDescent="0.2">
      <c r="A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row>
    <row r="198" spans="1:52" x14ac:dyDescent="0.2">
      <c r="A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row>
    <row r="199" spans="1:52" x14ac:dyDescent="0.2">
      <c r="A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row>
    <row r="200" spans="1:52" x14ac:dyDescent="0.2">
      <c r="A200" s="4"/>
      <c r="Y200" s="4"/>
      <c r="Z200" s="4"/>
      <c r="AA200" s="4"/>
      <c r="AB200" s="4"/>
      <c r="AC200" s="4"/>
      <c r="AD200" s="4"/>
      <c r="AE200" s="4"/>
      <c r="AF200" s="4"/>
      <c r="AG200" s="4"/>
      <c r="AH200" s="4"/>
      <c r="AI200" s="4"/>
      <c r="AJ200" s="4"/>
      <c r="AK200" s="4"/>
      <c r="AL200" s="4"/>
      <c r="AM200" s="4"/>
      <c r="AN200" s="4"/>
      <c r="AO200" s="4"/>
      <c r="AP200" s="4"/>
      <c r="AQ200" s="4"/>
      <c r="AR200" s="4"/>
      <c r="AS200" s="4"/>
      <c r="AT200" s="4"/>
      <c r="AU200" s="4"/>
      <c r="AV200" s="4"/>
      <c r="AW200" s="4"/>
      <c r="AX200" s="4"/>
      <c r="AY200" s="4"/>
      <c r="AZ200" s="4"/>
    </row>
    <row r="201" spans="1:52" x14ac:dyDescent="0.2">
      <c r="A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row>
    <row r="202" spans="1:52" x14ac:dyDescent="0.2">
      <c r="A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row>
    <row r="203" spans="1:52" x14ac:dyDescent="0.2">
      <c r="A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row>
    <row r="204" spans="1:52" x14ac:dyDescent="0.2">
      <c r="A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row>
  </sheetData>
  <sheetProtection algorithmName="SHA-512" hashValue="/O2isMYRAj4rjh0Ht4eSgNV0Fjw3D37RxobF/vPoa+aqyUE8hzhU4PiOKFAqBy8ct4s8cJvk2dkm0tcwEMHPcQ==" saltValue="y1v4MdycVm4Diz1VyLsMag==" spinCount="100000" sheet="1" selectLockedCells="1"/>
  <mergeCells count="2">
    <mergeCell ref="G3:P3"/>
    <mergeCell ref="B1:U1"/>
  </mergeCells>
  <phoneticPr fontId="11" type="noConversion"/>
  <conditionalFormatting sqref="G5:P54">
    <cfRule type="expression" dxfId="250" priority="34">
      <formula>OR($E5="", $F5=0)</formula>
    </cfRule>
  </conditionalFormatting>
  <conditionalFormatting sqref="J5:L54">
    <cfRule type="expression" dxfId="249" priority="3">
      <formula>AND($E5&lt;&gt;"High Eff. AC Unit", $E5&lt;&gt;"High Eff. Heat Pump Unit")</formula>
    </cfRule>
  </conditionalFormatting>
  <conditionalFormatting sqref="L5:L54">
    <cfRule type="expression" dxfId="248" priority="2">
      <formula>$E5&lt;&gt;"High Eff. Heat Pump Unit"</formula>
    </cfRule>
  </conditionalFormatting>
  <conditionalFormatting sqref="M5:N54">
    <cfRule type="expression" dxfId="247" priority="1">
      <formula>AND($E5&lt;&gt;"Tune-Up of Air-Cooled Chiller", $E5&lt;&gt;"Tune-Up of Water-Cooled Chiller (Reciprocating, Rotary Screw, Scroll)", $E5&lt;&gt;"Tune-Up of Water-Cooled Chiller (Centrifugal)")</formula>
    </cfRule>
  </conditionalFormatting>
  <conditionalFormatting sqref="H5:I54">
    <cfRule type="expression" dxfId="246" priority="5">
      <formula>OR($E5="Guestroom Energy Management Controls", $E5="Smart Thermostats for Small Business", $E5="Commercial Duct Sealing")</formula>
    </cfRule>
  </conditionalFormatting>
  <dataValidations count="1">
    <dataValidation type="list" allowBlank="1" showInputMessage="1" showErrorMessage="1" sqref="E5:E54" xr:uid="{EC948A56-5DDA-46E0-992E-80BD92A1837B}">
      <formula1>List_HVAC_Measure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extLst>
    <ext xmlns:x14="http://schemas.microsoft.com/office/spreadsheetml/2009/9/main" uri="{CCE6A557-97BC-4b89-ADB6-D9C93CAAB3DF}">
      <x14:dataValidations xmlns:xm="http://schemas.microsoft.com/office/excel/2006/main" count="1">
        <x14:dataValidation type="list" allowBlank="1" showInputMessage="1" showErrorMessage="1" xr:uid="{C07D96C7-5B89-48BB-9866-A4EA4750BB35}">
          <x14:formula1>
            <xm:f>References!$K$103:$K$112</xm:f>
          </x14:formula1>
          <xm:sqref>E3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E205-5EDA-4FBB-9699-60F572B06CD8}">
  <sheetPr codeName="Sheet6">
    <tabColor theme="4"/>
    <pageSetUpPr fitToPage="1"/>
  </sheetPr>
  <dimension ref="B1:U105"/>
  <sheetViews>
    <sheetView showGridLines="0" showRowColHeaders="0" workbookViewId="0">
      <selection activeCell="D6" sqref="D6"/>
    </sheetView>
  </sheetViews>
  <sheetFormatPr defaultColWidth="9.140625" defaultRowHeight="12.75" x14ac:dyDescent="0.2"/>
  <cols>
    <col min="1" max="1" width="2.85546875" style="7" customWidth="1"/>
    <col min="2" max="2" width="5.85546875" style="7" customWidth="1"/>
    <col min="3" max="3" width="9.7109375" style="7" customWidth="1"/>
    <col min="4" max="4" width="17.28515625" style="7" customWidth="1"/>
    <col min="5" max="6" width="29.5703125" style="7" customWidth="1"/>
    <col min="7" max="7" width="10.140625" style="7" customWidth="1"/>
    <col min="8" max="8" width="11.140625" style="11" customWidth="1"/>
    <col min="9" max="10" width="10.5703125" style="11" customWidth="1"/>
    <col min="11" max="11" width="11" style="7" customWidth="1"/>
    <col min="12" max="12" width="12" style="7" customWidth="1"/>
    <col min="13" max="13" width="11.85546875" style="7" customWidth="1"/>
    <col min="14" max="15" width="10.28515625" style="7" customWidth="1"/>
    <col min="16" max="16" width="13.42578125" style="7" customWidth="1"/>
    <col min="17" max="17" width="9.5703125" style="7" customWidth="1"/>
    <col min="22" max="16384" width="9.140625" style="7"/>
  </cols>
  <sheetData>
    <row r="1" spans="2:21" customFormat="1" ht="37.5" customHeight="1" x14ac:dyDescent="0.2">
      <c r="B1" s="293" t="s">
        <v>101</v>
      </c>
      <c r="C1" s="293"/>
      <c r="D1" s="293"/>
      <c r="E1" s="293"/>
      <c r="F1" s="293"/>
      <c r="G1" s="293"/>
      <c r="H1" s="293"/>
      <c r="I1" s="293"/>
      <c r="J1" s="293"/>
      <c r="K1" s="293"/>
      <c r="L1" s="293"/>
      <c r="M1" s="293"/>
      <c r="N1" s="293"/>
      <c r="O1" s="149"/>
      <c r="P1" s="150"/>
      <c r="Q1" s="150"/>
    </row>
    <row r="2" spans="2:21" customFormat="1" x14ac:dyDescent="0.2">
      <c r="O2" s="7"/>
    </row>
    <row r="3" spans="2:21" customFormat="1" x14ac:dyDescent="0.2">
      <c r="O3" s="7"/>
    </row>
    <row r="4" spans="2:21" s="8" customFormat="1" ht="15.75" x14ac:dyDescent="0.2">
      <c r="B4" s="109"/>
      <c r="C4" s="109"/>
      <c r="D4" s="109"/>
      <c r="E4"/>
      <c r="F4"/>
      <c r="G4" s="319" t="s">
        <v>75</v>
      </c>
      <c r="H4" s="320"/>
      <c r="I4" s="321"/>
      <c r="J4" s="82" t="s">
        <v>76</v>
      </c>
      <c r="K4" s="143">
        <f>SUM(Table_Custom_Input[Estimated Incentive])</f>
        <v>0</v>
      </c>
      <c r="L4" s="81">
        <f>SUM(Table_Custom_Input[Energy Savings (kWh)])</f>
        <v>0</v>
      </c>
      <c r="M4" s="80">
        <f>SUM(Table_Custom_Input[Demand Reduction (kW)])</f>
        <v>0</v>
      </c>
      <c r="N4" s="144">
        <f>SUM(Table_Custom_Input[Cost Savings])</f>
        <v>0</v>
      </c>
      <c r="O4" s="144">
        <f>SUM(Table_Custom_Input[Gross Measure Cost])</f>
        <v>0</v>
      </c>
      <c r="P4" s="144">
        <f>O4-K4</f>
        <v>0</v>
      </c>
      <c r="Q4" s="81" t="str">
        <f>IFERROR(P4/N4, "")</f>
        <v/>
      </c>
      <c r="R4"/>
      <c r="S4"/>
      <c r="T4"/>
      <c r="U4"/>
    </row>
    <row r="5" spans="2:21" s="9" customFormat="1" ht="38.25" x14ac:dyDescent="0.2">
      <c r="B5" s="62" t="s">
        <v>77</v>
      </c>
      <c r="C5" s="62" t="s">
        <v>78</v>
      </c>
      <c r="D5" s="66" t="s">
        <v>79</v>
      </c>
      <c r="E5" s="64" t="s">
        <v>102</v>
      </c>
      <c r="F5" s="64" t="s">
        <v>81</v>
      </c>
      <c r="G5" s="65" t="s">
        <v>82</v>
      </c>
      <c r="H5" s="65" t="s">
        <v>86</v>
      </c>
      <c r="I5" s="65" t="s">
        <v>87</v>
      </c>
      <c r="J5" s="64" t="s">
        <v>88</v>
      </c>
      <c r="K5" s="64" t="s">
        <v>89</v>
      </c>
      <c r="L5" s="64" t="s">
        <v>90</v>
      </c>
      <c r="M5" s="64" t="s">
        <v>91</v>
      </c>
      <c r="N5" s="64" t="s">
        <v>92</v>
      </c>
      <c r="O5" s="64" t="s">
        <v>93</v>
      </c>
      <c r="P5" s="64" t="s">
        <v>94</v>
      </c>
      <c r="Q5" s="64" t="s">
        <v>95</v>
      </c>
      <c r="R5"/>
      <c r="S5"/>
      <c r="T5"/>
      <c r="U5"/>
    </row>
    <row r="6" spans="2:21" s="15" customFormat="1" ht="15" x14ac:dyDescent="0.2">
      <c r="B6" s="69">
        <v>1</v>
      </c>
      <c r="C6" s="69" t="str">
        <f>IFERROR(INDEX(Table_Prescript_Meas[Measure Number], MATCH(Table_Custom_Input[[#This Row],[Refrigeration Measure]], Table_Prescript_Meas[Measure Description], 0)), "")</f>
        <v/>
      </c>
      <c r="D6" s="61"/>
      <c r="E6" s="60"/>
      <c r="F6" s="69" t="str">
        <f>IFERROR(INDEX(Table_Prescript_Meas[Units], MATCH(Table_Custom_Input[[#This Row],[Measure Number]], Table_Prescript_Meas[Measure Number], 0)), "")</f>
        <v/>
      </c>
      <c r="G6" s="272"/>
      <c r="H6" s="155"/>
      <c r="I6" s="155"/>
      <c r="J6"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6" s="72" t="str">
        <f>IFERROR(Table_Custom_Input[[#This Row],[Number of Units]]*Table_Custom_Input[[#This Row],[Per-Unit Incentive]],"")</f>
        <v/>
      </c>
      <c r="L6" s="73" t="str">
        <f>IFERROR(Table_Custom_Input[[#This Row],[Number of Units]]*INDEX(Table_Prescript_Meas[Deemed kWh Savings], MATCH(Table_Custom_Input[[#This Row],[Measure Number]], Table_Prescript_Meas[Measure Number], 0)),"" )</f>
        <v/>
      </c>
      <c r="M6" s="79" t="str">
        <f>IFERROR(Table_Custom_Input[[#This Row],[Number of Units]]*INDEX(Table_Prescript_Meas[Deemed kW Savings], MATCH(Table_Custom_Input[[#This Row],[Measure Number]], Table_Prescript_Meas[Measure Number], 0)),"" )</f>
        <v/>
      </c>
      <c r="N6" s="72" t="str">
        <f>IFERROR(Table_Custom_Input[[#This Row],[Energy Savings (kWh)]]*Input_AvgkWhRate, "")</f>
        <v/>
      </c>
      <c r="O6" s="72" t="str">
        <f>IF(Table_Custom_Input[[#This Row],[Measure Number]]&lt;&gt;"",Table_Custom_Input[[#This Row],[Total Equipment Cost]]+Table_Custom_Input[[#This Row],[Total Labor Cost]],"")</f>
        <v/>
      </c>
      <c r="P6" s="72" t="str">
        <f>IF(Table_Custom_Input[[#This Row],[Measure Number]]="","",Table_Custom_Input[[#This Row],[Gross Measure Cost]]-Table_Custom_Input[[#This Row],[Estimated Incentive]])</f>
        <v/>
      </c>
      <c r="Q6" s="73" t="str">
        <f>IFERROR('Input Refrigeration Measures'!$P6/'Input Refrigeration Measures'!$N6, "")</f>
        <v/>
      </c>
      <c r="R6"/>
      <c r="S6"/>
      <c r="T6"/>
      <c r="U6"/>
    </row>
    <row r="7" spans="2:21" s="15" customFormat="1" ht="15" x14ac:dyDescent="0.2">
      <c r="B7" s="69">
        <v>2</v>
      </c>
      <c r="C7" s="69" t="str">
        <f>IFERROR(INDEX(Table_Prescript_Meas[Measure Number], MATCH(Table_Custom_Input[[#This Row],[Refrigeration Measure]], Table_Prescript_Meas[Measure Description], 0)), "")</f>
        <v/>
      </c>
      <c r="D7" s="61"/>
      <c r="E7" s="60"/>
      <c r="F7" s="69" t="str">
        <f>IFERROR(INDEX(Table_Prescript_Meas[Units], MATCH(Table_Custom_Input[[#This Row],[Measure Number]], Table_Prescript_Meas[Measure Number], 0)), "")</f>
        <v/>
      </c>
      <c r="G7" s="272"/>
      <c r="H7" s="155"/>
      <c r="I7" s="155"/>
      <c r="J7"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7" s="72" t="str">
        <f>IFERROR(Table_Custom_Input[[#This Row],[Number of Units]]*Table_Custom_Input[[#This Row],[Per-Unit Incentive]],"")</f>
        <v/>
      </c>
      <c r="L7" s="73" t="str">
        <f>IFERROR(Table_Custom_Input[[#This Row],[Number of Units]]*INDEX(Table_Prescript_Meas[Deemed kWh Savings], MATCH(Table_Custom_Input[[#This Row],[Measure Number]], Table_Prescript_Meas[Measure Number], 0)),"" )</f>
        <v/>
      </c>
      <c r="M7" s="79" t="str">
        <f>IFERROR(Table_Custom_Input[[#This Row],[Number of Units]]*INDEX(Table_Prescript_Meas[Deemed kW Savings], MATCH(Table_Custom_Input[[#This Row],[Measure Number]], Table_Prescript_Meas[Measure Number], 0)),"" )</f>
        <v/>
      </c>
      <c r="N7" s="72" t="str">
        <f>IFERROR(Table_Custom_Input[[#This Row],[Energy Savings (kWh)]]*Input_AvgkWhRate, "")</f>
        <v/>
      </c>
      <c r="O7" s="72" t="str">
        <f>IF(Table_Custom_Input[[#This Row],[Measure Number]]&lt;&gt;"",Table_Custom_Input[[#This Row],[Total Equipment Cost]]+Table_Custom_Input[[#This Row],[Total Labor Cost]],"")</f>
        <v/>
      </c>
      <c r="P7" s="72" t="str">
        <f>IF(Table_Custom_Input[[#This Row],[Measure Number]]="","",Table_Custom_Input[[#This Row],[Gross Measure Cost]]-Table_Custom_Input[[#This Row],[Estimated Incentive]])</f>
        <v/>
      </c>
      <c r="Q7" s="73" t="str">
        <f>IFERROR('Input Refrigeration Measures'!$P7/'Input Refrigeration Measures'!$N7, "")</f>
        <v/>
      </c>
      <c r="R7"/>
      <c r="S7"/>
      <c r="T7"/>
      <c r="U7"/>
    </row>
    <row r="8" spans="2:21" s="15" customFormat="1" ht="15" x14ac:dyDescent="0.2">
      <c r="B8" s="69">
        <v>3</v>
      </c>
      <c r="C8" s="69" t="str">
        <f>IFERROR(INDEX(Table_Prescript_Meas[Measure Number], MATCH(Table_Custom_Input[[#This Row],[Refrigeration Measure]], Table_Prescript_Meas[Measure Description], 0)), "")</f>
        <v/>
      </c>
      <c r="D8" s="61"/>
      <c r="E8" s="60"/>
      <c r="F8" s="69" t="str">
        <f>IFERROR(INDEX(Table_Prescript_Meas[Units], MATCH(Table_Custom_Input[[#This Row],[Measure Number]], Table_Prescript_Meas[Measure Number], 0)), "")</f>
        <v/>
      </c>
      <c r="G8" s="272"/>
      <c r="H8" s="155"/>
      <c r="I8" s="155"/>
      <c r="J8"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8" s="72" t="str">
        <f>IFERROR(Table_Custom_Input[[#This Row],[Number of Units]]*Table_Custom_Input[[#This Row],[Per-Unit Incentive]],"")</f>
        <v/>
      </c>
      <c r="L8" s="73" t="str">
        <f>IFERROR(Table_Custom_Input[[#This Row],[Number of Units]]*INDEX(Table_Prescript_Meas[Deemed kWh Savings], MATCH(Table_Custom_Input[[#This Row],[Measure Number]], Table_Prescript_Meas[Measure Number], 0)),"" )</f>
        <v/>
      </c>
      <c r="M8" s="79" t="str">
        <f>IFERROR(Table_Custom_Input[[#This Row],[Number of Units]]*INDEX(Table_Prescript_Meas[Deemed kW Savings], MATCH(Table_Custom_Input[[#This Row],[Measure Number]], Table_Prescript_Meas[Measure Number], 0)),"" )</f>
        <v/>
      </c>
      <c r="N8" s="72" t="str">
        <f>IFERROR(Table_Custom_Input[[#This Row],[Energy Savings (kWh)]]*Input_AvgkWhRate, "")</f>
        <v/>
      </c>
      <c r="O8" s="72" t="str">
        <f>IF(Table_Custom_Input[[#This Row],[Measure Number]]&lt;&gt;"",Table_Custom_Input[[#This Row],[Total Equipment Cost]]+Table_Custom_Input[[#This Row],[Total Labor Cost]],"")</f>
        <v/>
      </c>
      <c r="P8" s="72" t="str">
        <f>IF(Table_Custom_Input[[#This Row],[Measure Number]]="","",Table_Custom_Input[[#This Row],[Gross Measure Cost]]-Table_Custom_Input[[#This Row],[Estimated Incentive]])</f>
        <v/>
      </c>
      <c r="Q8" s="73" t="str">
        <f>IFERROR('Input Refrigeration Measures'!$P8/'Input Refrigeration Measures'!$N8, "")</f>
        <v/>
      </c>
      <c r="R8"/>
      <c r="S8"/>
      <c r="T8"/>
      <c r="U8"/>
    </row>
    <row r="9" spans="2:21" s="15" customFormat="1" ht="15" x14ac:dyDescent="0.2">
      <c r="B9" s="69">
        <v>4</v>
      </c>
      <c r="C9" s="69" t="str">
        <f>IFERROR(INDEX(Table_Prescript_Meas[Measure Number], MATCH(Table_Custom_Input[[#This Row],[Refrigeration Measure]], Table_Prescript_Meas[Measure Description], 0)), "")</f>
        <v/>
      </c>
      <c r="D9" s="61"/>
      <c r="E9" s="60"/>
      <c r="F9" s="69" t="str">
        <f>IFERROR(INDEX(Table_Prescript_Meas[Units], MATCH(Table_Custom_Input[[#This Row],[Measure Number]], Table_Prescript_Meas[Measure Number], 0)), "")</f>
        <v/>
      </c>
      <c r="G9" s="272"/>
      <c r="H9" s="155"/>
      <c r="I9" s="155"/>
      <c r="J9"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9" s="72" t="str">
        <f>IFERROR(Table_Custom_Input[[#This Row],[Number of Units]]*Table_Custom_Input[[#This Row],[Per-Unit Incentive]],"")</f>
        <v/>
      </c>
      <c r="L9" s="73" t="str">
        <f>IFERROR(Table_Custom_Input[[#This Row],[Number of Units]]*INDEX(Table_Prescript_Meas[Deemed kWh Savings], MATCH(Table_Custom_Input[[#This Row],[Measure Number]], Table_Prescript_Meas[Measure Number], 0)),"" )</f>
        <v/>
      </c>
      <c r="M9" s="79" t="str">
        <f>IFERROR(Table_Custom_Input[[#This Row],[Number of Units]]*INDEX(Table_Prescript_Meas[Deemed kW Savings], MATCH(Table_Custom_Input[[#This Row],[Measure Number]], Table_Prescript_Meas[Measure Number], 0)),"" )</f>
        <v/>
      </c>
      <c r="N9" s="72" t="str">
        <f>IFERROR(Table_Custom_Input[[#This Row],[Energy Savings (kWh)]]*Input_AvgkWhRate, "")</f>
        <v/>
      </c>
      <c r="O9" s="72" t="str">
        <f>IF(Table_Custom_Input[[#This Row],[Measure Number]]&lt;&gt;"",Table_Custom_Input[[#This Row],[Total Equipment Cost]]+Table_Custom_Input[[#This Row],[Total Labor Cost]],"")</f>
        <v/>
      </c>
      <c r="P9" s="72" t="str">
        <f>IF(Table_Custom_Input[[#This Row],[Measure Number]]="","",Table_Custom_Input[[#This Row],[Gross Measure Cost]]-Table_Custom_Input[[#This Row],[Estimated Incentive]])</f>
        <v/>
      </c>
      <c r="Q9" s="73" t="str">
        <f>IFERROR('Input Refrigeration Measures'!$P9/'Input Refrigeration Measures'!$N9, "")</f>
        <v/>
      </c>
      <c r="R9"/>
      <c r="S9"/>
      <c r="T9"/>
      <c r="U9"/>
    </row>
    <row r="10" spans="2:21" s="15" customFormat="1" ht="15" x14ac:dyDescent="0.2">
      <c r="B10" s="69">
        <v>5</v>
      </c>
      <c r="C10" s="69" t="str">
        <f>IFERROR(INDEX(Table_Prescript_Meas[Measure Number], MATCH(Table_Custom_Input[[#This Row],[Refrigeration Measure]], Table_Prescript_Meas[Measure Description], 0)), "")</f>
        <v/>
      </c>
      <c r="D10" s="61"/>
      <c r="E10" s="60"/>
      <c r="F10" s="69" t="str">
        <f>IFERROR(INDEX(Table_Prescript_Meas[Units], MATCH(Table_Custom_Input[[#This Row],[Measure Number]], Table_Prescript_Meas[Measure Number], 0)), "")</f>
        <v/>
      </c>
      <c r="G10" s="272"/>
      <c r="H10" s="155"/>
      <c r="I10" s="155"/>
      <c r="J10"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0" s="72" t="str">
        <f>IFERROR(Table_Custom_Input[[#This Row],[Number of Units]]*Table_Custom_Input[[#This Row],[Per-Unit Incentive]],"")</f>
        <v/>
      </c>
      <c r="L10" s="73" t="str">
        <f>IFERROR(Table_Custom_Input[[#This Row],[Number of Units]]*INDEX(Table_Prescript_Meas[Deemed kWh Savings], MATCH(Table_Custom_Input[[#This Row],[Measure Number]], Table_Prescript_Meas[Measure Number], 0)),"" )</f>
        <v/>
      </c>
      <c r="M10" s="79" t="str">
        <f>IFERROR(Table_Custom_Input[[#This Row],[Number of Units]]*INDEX(Table_Prescript_Meas[Deemed kW Savings], MATCH(Table_Custom_Input[[#This Row],[Measure Number]], Table_Prescript_Meas[Measure Number], 0)),"" )</f>
        <v/>
      </c>
      <c r="N10" s="72" t="str">
        <f>IFERROR(Table_Custom_Input[[#This Row],[Energy Savings (kWh)]]*Input_AvgkWhRate, "")</f>
        <v/>
      </c>
      <c r="O10" s="72" t="str">
        <f>IF(Table_Custom_Input[[#This Row],[Measure Number]]&lt;&gt;"",Table_Custom_Input[[#This Row],[Total Equipment Cost]]+Table_Custom_Input[[#This Row],[Total Labor Cost]],"")</f>
        <v/>
      </c>
      <c r="P10" s="72" t="str">
        <f>IF(Table_Custom_Input[[#This Row],[Measure Number]]="","",Table_Custom_Input[[#This Row],[Gross Measure Cost]]-Table_Custom_Input[[#This Row],[Estimated Incentive]])</f>
        <v/>
      </c>
      <c r="Q10" s="73" t="str">
        <f>IFERROR('Input Refrigeration Measures'!$P10/'Input Refrigeration Measures'!$N10, "")</f>
        <v/>
      </c>
      <c r="R10"/>
      <c r="S10"/>
      <c r="T10"/>
      <c r="U10"/>
    </row>
    <row r="11" spans="2:21" s="15" customFormat="1" ht="15" x14ac:dyDescent="0.2">
      <c r="B11" s="69">
        <v>6</v>
      </c>
      <c r="C11" s="69" t="str">
        <f>IFERROR(INDEX(Table_Prescript_Meas[Measure Number], MATCH(Table_Custom_Input[[#This Row],[Refrigeration Measure]], Table_Prescript_Meas[Measure Description], 0)), "")</f>
        <v/>
      </c>
      <c r="D11" s="61"/>
      <c r="E11" s="60"/>
      <c r="F11" s="69" t="str">
        <f>IFERROR(INDEX(Table_Prescript_Meas[Units], MATCH(Table_Custom_Input[[#This Row],[Measure Number]], Table_Prescript_Meas[Measure Number], 0)), "")</f>
        <v/>
      </c>
      <c r="G11" s="272"/>
      <c r="H11" s="155"/>
      <c r="I11" s="155"/>
      <c r="J11"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1" s="72" t="str">
        <f>IFERROR(Table_Custom_Input[[#This Row],[Number of Units]]*Table_Custom_Input[[#This Row],[Per-Unit Incentive]],"")</f>
        <v/>
      </c>
      <c r="L11" s="73" t="str">
        <f>IFERROR(Table_Custom_Input[[#This Row],[Number of Units]]*INDEX(Table_Prescript_Meas[Deemed kWh Savings], MATCH(Table_Custom_Input[[#This Row],[Measure Number]], Table_Prescript_Meas[Measure Number], 0)),"" )</f>
        <v/>
      </c>
      <c r="M11" s="79" t="str">
        <f>IFERROR(Table_Custom_Input[[#This Row],[Number of Units]]*INDEX(Table_Prescript_Meas[Deemed kW Savings], MATCH(Table_Custom_Input[[#This Row],[Measure Number]], Table_Prescript_Meas[Measure Number], 0)),"" )</f>
        <v/>
      </c>
      <c r="N11" s="72" t="str">
        <f>IFERROR(Table_Custom_Input[[#This Row],[Energy Savings (kWh)]]*Input_AvgkWhRate, "")</f>
        <v/>
      </c>
      <c r="O11" s="72" t="str">
        <f>IF(Table_Custom_Input[[#This Row],[Measure Number]]&lt;&gt;"",Table_Custom_Input[[#This Row],[Total Equipment Cost]]+Table_Custom_Input[[#This Row],[Total Labor Cost]],"")</f>
        <v/>
      </c>
      <c r="P11" s="72" t="str">
        <f>IF(Table_Custom_Input[[#This Row],[Measure Number]]="","",Table_Custom_Input[[#This Row],[Gross Measure Cost]]-Table_Custom_Input[[#This Row],[Estimated Incentive]])</f>
        <v/>
      </c>
      <c r="Q11" s="73" t="str">
        <f>IFERROR('Input Refrigeration Measures'!$P11/'Input Refrigeration Measures'!$N11, "")</f>
        <v/>
      </c>
      <c r="R11"/>
      <c r="S11"/>
      <c r="T11"/>
      <c r="U11"/>
    </row>
    <row r="12" spans="2:21" s="15" customFormat="1" ht="15" x14ac:dyDescent="0.2">
      <c r="B12" s="69">
        <v>7</v>
      </c>
      <c r="C12" s="69" t="str">
        <f>IFERROR(INDEX(Table_Prescript_Meas[Measure Number], MATCH(Table_Custom_Input[[#This Row],[Refrigeration Measure]], Table_Prescript_Meas[Measure Description], 0)), "")</f>
        <v/>
      </c>
      <c r="D12" s="61"/>
      <c r="E12" s="60"/>
      <c r="F12" s="69" t="str">
        <f>IFERROR(INDEX(Table_Prescript_Meas[Units], MATCH(Table_Custom_Input[[#This Row],[Measure Number]], Table_Prescript_Meas[Measure Number], 0)), "")</f>
        <v/>
      </c>
      <c r="G12" s="272"/>
      <c r="H12" s="155"/>
      <c r="I12" s="155"/>
      <c r="J12"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2" s="72" t="str">
        <f>IFERROR(Table_Custom_Input[[#This Row],[Number of Units]]*Table_Custom_Input[[#This Row],[Per-Unit Incentive]],"")</f>
        <v/>
      </c>
      <c r="L12" s="73" t="str">
        <f>IFERROR(Table_Custom_Input[[#This Row],[Number of Units]]*INDEX(Table_Prescript_Meas[Deemed kWh Savings], MATCH(Table_Custom_Input[[#This Row],[Measure Number]], Table_Prescript_Meas[Measure Number], 0)),"" )</f>
        <v/>
      </c>
      <c r="M12" s="79" t="str">
        <f>IFERROR(Table_Custom_Input[[#This Row],[Number of Units]]*INDEX(Table_Prescript_Meas[Deemed kW Savings], MATCH(Table_Custom_Input[[#This Row],[Measure Number]], Table_Prescript_Meas[Measure Number], 0)),"" )</f>
        <v/>
      </c>
      <c r="N12" s="72" t="str">
        <f>IFERROR(Table_Custom_Input[[#This Row],[Energy Savings (kWh)]]*Input_AvgkWhRate, "")</f>
        <v/>
      </c>
      <c r="O12" s="72" t="str">
        <f>IF(Table_Custom_Input[[#This Row],[Measure Number]]&lt;&gt;"",Table_Custom_Input[[#This Row],[Total Equipment Cost]]+Table_Custom_Input[[#This Row],[Total Labor Cost]],"")</f>
        <v/>
      </c>
      <c r="P12" s="72" t="str">
        <f>IF(Table_Custom_Input[[#This Row],[Measure Number]]="","",Table_Custom_Input[[#This Row],[Gross Measure Cost]]-Table_Custom_Input[[#This Row],[Estimated Incentive]])</f>
        <v/>
      </c>
      <c r="Q12" s="73" t="str">
        <f>IFERROR('Input Refrigeration Measures'!$P12/'Input Refrigeration Measures'!$N12, "")</f>
        <v/>
      </c>
      <c r="R12"/>
      <c r="S12"/>
      <c r="T12"/>
      <c r="U12"/>
    </row>
    <row r="13" spans="2:21" s="15" customFormat="1" ht="15" x14ac:dyDescent="0.2">
      <c r="B13" s="69">
        <v>8</v>
      </c>
      <c r="C13" s="69" t="str">
        <f>IFERROR(INDEX(Table_Prescript_Meas[Measure Number], MATCH(Table_Custom_Input[[#This Row],[Refrigeration Measure]], Table_Prescript_Meas[Measure Description], 0)), "")</f>
        <v/>
      </c>
      <c r="D13" s="61"/>
      <c r="E13" s="60"/>
      <c r="F13" s="69" t="str">
        <f>IFERROR(INDEX(Table_Prescript_Meas[Units], MATCH(Table_Custom_Input[[#This Row],[Measure Number]], Table_Prescript_Meas[Measure Number], 0)), "")</f>
        <v/>
      </c>
      <c r="G13" s="272"/>
      <c r="H13" s="155"/>
      <c r="I13" s="155"/>
      <c r="J13"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3" s="72" t="str">
        <f>IFERROR(Table_Custom_Input[[#This Row],[Number of Units]]*Table_Custom_Input[[#This Row],[Per-Unit Incentive]],"")</f>
        <v/>
      </c>
      <c r="L13" s="73" t="str">
        <f>IFERROR(Table_Custom_Input[[#This Row],[Number of Units]]*INDEX(Table_Prescript_Meas[Deemed kWh Savings], MATCH(Table_Custom_Input[[#This Row],[Measure Number]], Table_Prescript_Meas[Measure Number], 0)),"" )</f>
        <v/>
      </c>
      <c r="M13" s="79" t="str">
        <f>IFERROR(Table_Custom_Input[[#This Row],[Number of Units]]*INDEX(Table_Prescript_Meas[Deemed kW Savings], MATCH(Table_Custom_Input[[#This Row],[Measure Number]], Table_Prescript_Meas[Measure Number], 0)),"" )</f>
        <v/>
      </c>
      <c r="N13" s="72" t="str">
        <f>IFERROR(Table_Custom_Input[[#This Row],[Energy Savings (kWh)]]*Input_AvgkWhRate, "")</f>
        <v/>
      </c>
      <c r="O13" s="72" t="str">
        <f>IF(Table_Custom_Input[[#This Row],[Measure Number]]&lt;&gt;"",Table_Custom_Input[[#This Row],[Total Equipment Cost]]+Table_Custom_Input[[#This Row],[Total Labor Cost]],"")</f>
        <v/>
      </c>
      <c r="P13" s="72" t="str">
        <f>IF(Table_Custom_Input[[#This Row],[Measure Number]]="","",Table_Custom_Input[[#This Row],[Gross Measure Cost]]-Table_Custom_Input[[#This Row],[Estimated Incentive]])</f>
        <v/>
      </c>
      <c r="Q13" s="73" t="str">
        <f>IFERROR('Input Refrigeration Measures'!$P13/'Input Refrigeration Measures'!$N13, "")</f>
        <v/>
      </c>
      <c r="R13"/>
      <c r="S13"/>
      <c r="T13"/>
      <c r="U13"/>
    </row>
    <row r="14" spans="2:21" s="15" customFormat="1" ht="15" x14ac:dyDescent="0.2">
      <c r="B14" s="69">
        <v>9</v>
      </c>
      <c r="C14" s="69" t="str">
        <f>IFERROR(INDEX(Table_Prescript_Meas[Measure Number], MATCH(Table_Custom_Input[[#This Row],[Refrigeration Measure]], Table_Prescript_Meas[Measure Description], 0)), "")</f>
        <v/>
      </c>
      <c r="D14" s="61"/>
      <c r="E14" s="60"/>
      <c r="F14" s="69" t="str">
        <f>IFERROR(INDEX(Table_Prescript_Meas[Units], MATCH(Table_Custom_Input[[#This Row],[Measure Number]], Table_Prescript_Meas[Measure Number], 0)), "")</f>
        <v/>
      </c>
      <c r="G14" s="272"/>
      <c r="H14" s="155"/>
      <c r="I14" s="155"/>
      <c r="J14"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4" s="72" t="str">
        <f>IFERROR(Table_Custom_Input[[#This Row],[Number of Units]]*Table_Custom_Input[[#This Row],[Per-Unit Incentive]],"")</f>
        <v/>
      </c>
      <c r="L14" s="73" t="str">
        <f>IFERROR(Table_Custom_Input[[#This Row],[Number of Units]]*INDEX(Table_Prescript_Meas[Deemed kWh Savings], MATCH(Table_Custom_Input[[#This Row],[Measure Number]], Table_Prescript_Meas[Measure Number], 0)),"" )</f>
        <v/>
      </c>
      <c r="M14" s="79" t="str">
        <f>IFERROR(Table_Custom_Input[[#This Row],[Number of Units]]*INDEX(Table_Prescript_Meas[Deemed kW Savings], MATCH(Table_Custom_Input[[#This Row],[Measure Number]], Table_Prescript_Meas[Measure Number], 0)),"" )</f>
        <v/>
      </c>
      <c r="N14" s="72" t="str">
        <f>IFERROR(Table_Custom_Input[[#This Row],[Energy Savings (kWh)]]*Input_AvgkWhRate, "")</f>
        <v/>
      </c>
      <c r="O14" s="72" t="str">
        <f>IF(Table_Custom_Input[[#This Row],[Measure Number]]&lt;&gt;"",Table_Custom_Input[[#This Row],[Total Equipment Cost]]+Table_Custom_Input[[#This Row],[Total Labor Cost]],"")</f>
        <v/>
      </c>
      <c r="P14" s="72" t="str">
        <f>IF(Table_Custom_Input[[#This Row],[Measure Number]]="","",Table_Custom_Input[[#This Row],[Gross Measure Cost]]-Table_Custom_Input[[#This Row],[Estimated Incentive]])</f>
        <v/>
      </c>
      <c r="Q14" s="73" t="str">
        <f>IFERROR('Input Refrigeration Measures'!$P14/'Input Refrigeration Measures'!$N14, "")</f>
        <v/>
      </c>
      <c r="R14"/>
      <c r="S14"/>
      <c r="T14"/>
      <c r="U14"/>
    </row>
    <row r="15" spans="2:21" s="15" customFormat="1" ht="15" x14ac:dyDescent="0.2">
      <c r="B15" s="69">
        <v>10</v>
      </c>
      <c r="C15" s="69" t="str">
        <f>IFERROR(INDEX(Table_Prescript_Meas[Measure Number], MATCH(Table_Custom_Input[[#This Row],[Refrigeration Measure]], Table_Prescript_Meas[Measure Description], 0)), "")</f>
        <v/>
      </c>
      <c r="D15" s="61"/>
      <c r="E15" s="60"/>
      <c r="F15" s="69" t="str">
        <f>IFERROR(INDEX(Table_Prescript_Meas[Units], MATCH(Table_Custom_Input[[#This Row],[Measure Number]], Table_Prescript_Meas[Measure Number], 0)), "")</f>
        <v/>
      </c>
      <c r="G15" s="272"/>
      <c r="H15" s="155"/>
      <c r="I15" s="155"/>
      <c r="J15"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5" s="72" t="str">
        <f>IFERROR(Table_Custom_Input[[#This Row],[Number of Units]]*Table_Custom_Input[[#This Row],[Per-Unit Incentive]],"")</f>
        <v/>
      </c>
      <c r="L15" s="73" t="str">
        <f>IFERROR(Table_Custom_Input[[#This Row],[Number of Units]]*INDEX(Table_Prescript_Meas[Deemed kWh Savings], MATCH(Table_Custom_Input[[#This Row],[Measure Number]], Table_Prescript_Meas[Measure Number], 0)),"" )</f>
        <v/>
      </c>
      <c r="M15" s="79" t="str">
        <f>IFERROR(Table_Custom_Input[[#This Row],[Number of Units]]*INDEX(Table_Prescript_Meas[Deemed kW Savings], MATCH(Table_Custom_Input[[#This Row],[Measure Number]], Table_Prescript_Meas[Measure Number], 0)),"" )</f>
        <v/>
      </c>
      <c r="N15" s="72" t="str">
        <f>IFERROR(Table_Custom_Input[[#This Row],[Energy Savings (kWh)]]*Input_AvgkWhRate, "")</f>
        <v/>
      </c>
      <c r="O15" s="72" t="str">
        <f>IF(Table_Custom_Input[[#This Row],[Measure Number]]&lt;&gt;"",Table_Custom_Input[[#This Row],[Total Equipment Cost]]+Table_Custom_Input[[#This Row],[Total Labor Cost]],"")</f>
        <v/>
      </c>
      <c r="P15" s="72" t="str">
        <f>IF(Table_Custom_Input[[#This Row],[Measure Number]]="","",Table_Custom_Input[[#This Row],[Gross Measure Cost]]-Table_Custom_Input[[#This Row],[Estimated Incentive]])</f>
        <v/>
      </c>
      <c r="Q15" s="73" t="str">
        <f>IFERROR('Input Refrigeration Measures'!$P15/'Input Refrigeration Measures'!$N15, "")</f>
        <v/>
      </c>
      <c r="R15"/>
      <c r="S15"/>
      <c r="T15"/>
      <c r="U15"/>
    </row>
    <row r="16" spans="2:21" s="15" customFormat="1" ht="15" x14ac:dyDescent="0.2">
      <c r="B16" s="69">
        <v>11</v>
      </c>
      <c r="C16" s="69" t="str">
        <f>IFERROR(INDEX(Table_Prescript_Meas[Measure Number], MATCH(Table_Custom_Input[[#This Row],[Refrigeration Measure]], Table_Prescript_Meas[Measure Description], 0)), "")</f>
        <v/>
      </c>
      <c r="D16" s="61"/>
      <c r="E16" s="60"/>
      <c r="F16" s="69" t="str">
        <f>IFERROR(INDEX(Table_Prescript_Meas[Units], MATCH(Table_Custom_Input[[#This Row],[Measure Number]], Table_Prescript_Meas[Measure Number], 0)), "")</f>
        <v/>
      </c>
      <c r="G16" s="272"/>
      <c r="H16" s="155"/>
      <c r="I16" s="155"/>
      <c r="J16"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6" s="72" t="str">
        <f>IFERROR(Table_Custom_Input[[#This Row],[Number of Units]]*Table_Custom_Input[[#This Row],[Per-Unit Incentive]],"")</f>
        <v/>
      </c>
      <c r="L16" s="73" t="str">
        <f>IFERROR(Table_Custom_Input[[#This Row],[Number of Units]]*INDEX(Table_Prescript_Meas[Deemed kWh Savings], MATCH(Table_Custom_Input[[#This Row],[Measure Number]], Table_Prescript_Meas[Measure Number], 0)),"" )</f>
        <v/>
      </c>
      <c r="M16" s="79" t="str">
        <f>IFERROR(Table_Custom_Input[[#This Row],[Number of Units]]*INDEX(Table_Prescript_Meas[Deemed kW Savings], MATCH(Table_Custom_Input[[#This Row],[Measure Number]], Table_Prescript_Meas[Measure Number], 0)),"" )</f>
        <v/>
      </c>
      <c r="N16" s="72" t="str">
        <f>IFERROR(Table_Custom_Input[[#This Row],[Energy Savings (kWh)]]*Input_AvgkWhRate, "")</f>
        <v/>
      </c>
      <c r="O16" s="72" t="str">
        <f>IF(Table_Custom_Input[[#This Row],[Measure Number]]&lt;&gt;"",Table_Custom_Input[[#This Row],[Total Equipment Cost]]+Table_Custom_Input[[#This Row],[Total Labor Cost]],"")</f>
        <v/>
      </c>
      <c r="P16" s="72" t="str">
        <f>IF(Table_Custom_Input[[#This Row],[Measure Number]]="","",Table_Custom_Input[[#This Row],[Gross Measure Cost]]-Table_Custom_Input[[#This Row],[Estimated Incentive]])</f>
        <v/>
      </c>
      <c r="Q16" s="73" t="str">
        <f>IFERROR('Input Refrigeration Measures'!$P16/'Input Refrigeration Measures'!$N16, "")</f>
        <v/>
      </c>
      <c r="R16"/>
      <c r="S16"/>
      <c r="T16"/>
      <c r="U16"/>
    </row>
    <row r="17" spans="2:21" s="15" customFormat="1" ht="15" x14ac:dyDescent="0.2">
      <c r="B17" s="69">
        <v>12</v>
      </c>
      <c r="C17" s="69" t="str">
        <f>IFERROR(INDEX(Table_Prescript_Meas[Measure Number], MATCH(Table_Custom_Input[[#This Row],[Refrigeration Measure]], Table_Prescript_Meas[Measure Description], 0)), "")</f>
        <v/>
      </c>
      <c r="D17" s="61"/>
      <c r="E17" s="60"/>
      <c r="F17" s="69" t="str">
        <f>IFERROR(INDEX(Table_Prescript_Meas[Units], MATCH(Table_Custom_Input[[#This Row],[Measure Number]], Table_Prescript_Meas[Measure Number], 0)), "")</f>
        <v/>
      </c>
      <c r="G17" s="272"/>
      <c r="H17" s="155"/>
      <c r="I17" s="155"/>
      <c r="J17"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7" s="72" t="str">
        <f>IFERROR(Table_Custom_Input[[#This Row],[Number of Units]]*Table_Custom_Input[[#This Row],[Per-Unit Incentive]],"")</f>
        <v/>
      </c>
      <c r="L17" s="73" t="str">
        <f>IFERROR(Table_Custom_Input[[#This Row],[Number of Units]]*INDEX(Table_Prescript_Meas[Deemed kWh Savings], MATCH(Table_Custom_Input[[#This Row],[Measure Number]], Table_Prescript_Meas[Measure Number], 0)),"" )</f>
        <v/>
      </c>
      <c r="M17" s="79" t="str">
        <f>IFERROR(Table_Custom_Input[[#This Row],[Number of Units]]*INDEX(Table_Prescript_Meas[Deemed kW Savings], MATCH(Table_Custom_Input[[#This Row],[Measure Number]], Table_Prescript_Meas[Measure Number], 0)),"" )</f>
        <v/>
      </c>
      <c r="N17" s="72" t="str">
        <f>IFERROR(Table_Custom_Input[[#This Row],[Energy Savings (kWh)]]*Input_AvgkWhRate, "")</f>
        <v/>
      </c>
      <c r="O17" s="72" t="str">
        <f>IF(Table_Custom_Input[[#This Row],[Measure Number]]&lt;&gt;"",Table_Custom_Input[[#This Row],[Total Equipment Cost]]+Table_Custom_Input[[#This Row],[Total Labor Cost]],"")</f>
        <v/>
      </c>
      <c r="P17" s="72" t="str">
        <f>IF(Table_Custom_Input[[#This Row],[Measure Number]]="","",Table_Custom_Input[[#This Row],[Gross Measure Cost]]-Table_Custom_Input[[#This Row],[Estimated Incentive]])</f>
        <v/>
      </c>
      <c r="Q17" s="73" t="str">
        <f>IFERROR('Input Refrigeration Measures'!$P17/'Input Refrigeration Measures'!$N17, "")</f>
        <v/>
      </c>
      <c r="R17"/>
      <c r="S17"/>
      <c r="T17"/>
      <c r="U17"/>
    </row>
    <row r="18" spans="2:21" s="15" customFormat="1" ht="15" x14ac:dyDescent="0.2">
      <c r="B18" s="69">
        <v>13</v>
      </c>
      <c r="C18" s="69" t="str">
        <f>IFERROR(INDEX(Table_Prescript_Meas[Measure Number], MATCH(Table_Custom_Input[[#This Row],[Refrigeration Measure]], Table_Prescript_Meas[Measure Description], 0)), "")</f>
        <v/>
      </c>
      <c r="D18" s="61"/>
      <c r="E18" s="60"/>
      <c r="F18" s="69" t="str">
        <f>IFERROR(INDEX(Table_Prescript_Meas[Units], MATCH(Table_Custom_Input[[#This Row],[Measure Number]], Table_Prescript_Meas[Measure Number], 0)), "")</f>
        <v/>
      </c>
      <c r="G18" s="272"/>
      <c r="H18" s="155"/>
      <c r="I18" s="155"/>
      <c r="J18"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8" s="72" t="str">
        <f>IFERROR(Table_Custom_Input[[#This Row],[Number of Units]]*Table_Custom_Input[[#This Row],[Per-Unit Incentive]],"")</f>
        <v/>
      </c>
      <c r="L18" s="73" t="str">
        <f>IFERROR(Table_Custom_Input[[#This Row],[Number of Units]]*INDEX(Table_Prescript_Meas[Deemed kWh Savings], MATCH(Table_Custom_Input[[#This Row],[Measure Number]], Table_Prescript_Meas[Measure Number], 0)),"" )</f>
        <v/>
      </c>
      <c r="M18" s="79" t="str">
        <f>IFERROR(Table_Custom_Input[[#This Row],[Number of Units]]*INDEX(Table_Prescript_Meas[Deemed kW Savings], MATCH(Table_Custom_Input[[#This Row],[Measure Number]], Table_Prescript_Meas[Measure Number], 0)),"" )</f>
        <v/>
      </c>
      <c r="N18" s="72" t="str">
        <f>IFERROR(Table_Custom_Input[[#This Row],[Energy Savings (kWh)]]*Input_AvgkWhRate, "")</f>
        <v/>
      </c>
      <c r="O18" s="72" t="str">
        <f>IF(Table_Custom_Input[[#This Row],[Measure Number]]&lt;&gt;"",Table_Custom_Input[[#This Row],[Total Equipment Cost]]+Table_Custom_Input[[#This Row],[Total Labor Cost]],"")</f>
        <v/>
      </c>
      <c r="P18" s="72" t="str">
        <f>IF(Table_Custom_Input[[#This Row],[Measure Number]]="","",Table_Custom_Input[[#This Row],[Gross Measure Cost]]-Table_Custom_Input[[#This Row],[Estimated Incentive]])</f>
        <v/>
      </c>
      <c r="Q18" s="73" t="str">
        <f>IFERROR('Input Refrigeration Measures'!$P18/'Input Refrigeration Measures'!$N18, "")</f>
        <v/>
      </c>
      <c r="R18"/>
      <c r="S18"/>
      <c r="T18"/>
      <c r="U18"/>
    </row>
    <row r="19" spans="2:21" s="15" customFormat="1" ht="15" x14ac:dyDescent="0.2">
      <c r="B19" s="69">
        <v>14</v>
      </c>
      <c r="C19" s="69" t="str">
        <f>IFERROR(INDEX(Table_Prescript_Meas[Measure Number], MATCH(Table_Custom_Input[[#This Row],[Refrigeration Measure]], Table_Prescript_Meas[Measure Description], 0)), "")</f>
        <v/>
      </c>
      <c r="D19" s="61"/>
      <c r="E19" s="60"/>
      <c r="F19" s="69" t="str">
        <f>IFERROR(INDEX(Table_Prescript_Meas[Units], MATCH(Table_Custom_Input[[#This Row],[Measure Number]], Table_Prescript_Meas[Measure Number], 0)), "")</f>
        <v/>
      </c>
      <c r="G19" s="272"/>
      <c r="H19" s="155"/>
      <c r="I19" s="155"/>
      <c r="J19"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19" s="72" t="str">
        <f>IFERROR(Table_Custom_Input[[#This Row],[Number of Units]]*Table_Custom_Input[[#This Row],[Per-Unit Incentive]],"")</f>
        <v/>
      </c>
      <c r="L19" s="73" t="str">
        <f>IFERROR(Table_Custom_Input[[#This Row],[Number of Units]]*INDEX(Table_Prescript_Meas[Deemed kWh Savings], MATCH(Table_Custom_Input[[#This Row],[Measure Number]], Table_Prescript_Meas[Measure Number], 0)),"" )</f>
        <v/>
      </c>
      <c r="M19" s="79" t="str">
        <f>IFERROR(Table_Custom_Input[[#This Row],[Number of Units]]*INDEX(Table_Prescript_Meas[Deemed kW Savings], MATCH(Table_Custom_Input[[#This Row],[Measure Number]], Table_Prescript_Meas[Measure Number], 0)),"" )</f>
        <v/>
      </c>
      <c r="N19" s="72" t="str">
        <f>IFERROR(Table_Custom_Input[[#This Row],[Energy Savings (kWh)]]*Input_AvgkWhRate, "")</f>
        <v/>
      </c>
      <c r="O19" s="72" t="str">
        <f>IF(Table_Custom_Input[[#This Row],[Measure Number]]&lt;&gt;"",Table_Custom_Input[[#This Row],[Total Equipment Cost]]+Table_Custom_Input[[#This Row],[Total Labor Cost]],"")</f>
        <v/>
      </c>
      <c r="P19" s="72" t="str">
        <f>IF(Table_Custom_Input[[#This Row],[Measure Number]]="","",Table_Custom_Input[[#This Row],[Gross Measure Cost]]-Table_Custom_Input[[#This Row],[Estimated Incentive]])</f>
        <v/>
      </c>
      <c r="Q19" s="73" t="str">
        <f>IFERROR('Input Refrigeration Measures'!$P19/'Input Refrigeration Measures'!$N19, "")</f>
        <v/>
      </c>
      <c r="R19"/>
      <c r="S19"/>
      <c r="T19"/>
      <c r="U19"/>
    </row>
    <row r="20" spans="2:21" s="15" customFormat="1" ht="15" x14ac:dyDescent="0.2">
      <c r="B20" s="69">
        <v>15</v>
      </c>
      <c r="C20" s="69" t="str">
        <f>IFERROR(INDEX(Table_Prescript_Meas[Measure Number], MATCH(Table_Custom_Input[[#This Row],[Refrigeration Measure]], Table_Prescript_Meas[Measure Description], 0)), "")</f>
        <v/>
      </c>
      <c r="D20" s="61"/>
      <c r="E20" s="60"/>
      <c r="F20" s="69" t="str">
        <f>IFERROR(INDEX(Table_Prescript_Meas[Units], MATCH(Table_Custom_Input[[#This Row],[Measure Number]], Table_Prescript_Meas[Measure Number], 0)), "")</f>
        <v/>
      </c>
      <c r="G20" s="272"/>
      <c r="H20" s="155"/>
      <c r="I20" s="155"/>
      <c r="J20"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0" s="72" t="str">
        <f>IFERROR(Table_Custom_Input[[#This Row],[Number of Units]]*Table_Custom_Input[[#This Row],[Per-Unit Incentive]],"")</f>
        <v/>
      </c>
      <c r="L20" s="73" t="str">
        <f>IFERROR(Table_Custom_Input[[#This Row],[Number of Units]]*INDEX(Table_Prescript_Meas[Deemed kWh Savings], MATCH(Table_Custom_Input[[#This Row],[Measure Number]], Table_Prescript_Meas[Measure Number], 0)),"" )</f>
        <v/>
      </c>
      <c r="M20" s="79" t="str">
        <f>IFERROR(Table_Custom_Input[[#This Row],[Number of Units]]*INDEX(Table_Prescript_Meas[Deemed kW Savings], MATCH(Table_Custom_Input[[#This Row],[Measure Number]], Table_Prescript_Meas[Measure Number], 0)),"" )</f>
        <v/>
      </c>
      <c r="N20" s="72" t="str">
        <f>IFERROR(Table_Custom_Input[[#This Row],[Energy Savings (kWh)]]*Input_AvgkWhRate, "")</f>
        <v/>
      </c>
      <c r="O20" s="72" t="str">
        <f>IF(Table_Custom_Input[[#This Row],[Measure Number]]&lt;&gt;"",Table_Custom_Input[[#This Row],[Total Equipment Cost]]+Table_Custom_Input[[#This Row],[Total Labor Cost]],"")</f>
        <v/>
      </c>
      <c r="P20" s="72" t="str">
        <f>IF(Table_Custom_Input[[#This Row],[Measure Number]]="","",Table_Custom_Input[[#This Row],[Gross Measure Cost]]-Table_Custom_Input[[#This Row],[Estimated Incentive]])</f>
        <v/>
      </c>
      <c r="Q20" s="73" t="str">
        <f>IFERROR('Input Refrigeration Measures'!$P20/'Input Refrigeration Measures'!$N20, "")</f>
        <v/>
      </c>
      <c r="R20"/>
      <c r="S20"/>
      <c r="T20"/>
      <c r="U20"/>
    </row>
    <row r="21" spans="2:21" s="15" customFormat="1" ht="15" x14ac:dyDescent="0.2">
      <c r="B21" s="69">
        <v>16</v>
      </c>
      <c r="C21" s="69" t="str">
        <f>IFERROR(INDEX(Table_Prescript_Meas[Measure Number], MATCH(Table_Custom_Input[[#This Row],[Refrigeration Measure]], Table_Prescript_Meas[Measure Description], 0)), "")</f>
        <v/>
      </c>
      <c r="D21" s="61"/>
      <c r="E21" s="60"/>
      <c r="F21" s="69" t="str">
        <f>IFERROR(INDEX(Table_Prescript_Meas[Units], MATCH(Table_Custom_Input[[#This Row],[Measure Number]], Table_Prescript_Meas[Measure Number], 0)), "")</f>
        <v/>
      </c>
      <c r="G21" s="272"/>
      <c r="H21" s="155"/>
      <c r="I21" s="155"/>
      <c r="J21"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1" s="72" t="str">
        <f>IFERROR(Table_Custom_Input[[#This Row],[Number of Units]]*Table_Custom_Input[[#This Row],[Per-Unit Incentive]],"")</f>
        <v/>
      </c>
      <c r="L21" s="73" t="str">
        <f>IFERROR(Table_Custom_Input[[#This Row],[Number of Units]]*INDEX(Table_Prescript_Meas[Deemed kWh Savings], MATCH(Table_Custom_Input[[#This Row],[Measure Number]], Table_Prescript_Meas[Measure Number], 0)),"" )</f>
        <v/>
      </c>
      <c r="M21" s="79" t="str">
        <f>IFERROR(Table_Custom_Input[[#This Row],[Number of Units]]*INDEX(Table_Prescript_Meas[Deemed kW Savings], MATCH(Table_Custom_Input[[#This Row],[Measure Number]], Table_Prescript_Meas[Measure Number], 0)),"" )</f>
        <v/>
      </c>
      <c r="N21" s="72" t="str">
        <f>IFERROR(Table_Custom_Input[[#This Row],[Energy Savings (kWh)]]*Input_AvgkWhRate, "")</f>
        <v/>
      </c>
      <c r="O21" s="72" t="str">
        <f>IF(Table_Custom_Input[[#This Row],[Measure Number]]&lt;&gt;"",Table_Custom_Input[[#This Row],[Total Equipment Cost]]+Table_Custom_Input[[#This Row],[Total Labor Cost]],"")</f>
        <v/>
      </c>
      <c r="P21" s="72" t="str">
        <f>IF(Table_Custom_Input[[#This Row],[Measure Number]]="","",Table_Custom_Input[[#This Row],[Gross Measure Cost]]-Table_Custom_Input[[#This Row],[Estimated Incentive]])</f>
        <v/>
      </c>
      <c r="Q21" s="73" t="str">
        <f>IFERROR('Input Refrigeration Measures'!$P21/'Input Refrigeration Measures'!$N21, "")</f>
        <v/>
      </c>
      <c r="R21"/>
      <c r="S21"/>
      <c r="T21"/>
      <c r="U21"/>
    </row>
    <row r="22" spans="2:21" s="15" customFormat="1" ht="15" x14ac:dyDescent="0.2">
      <c r="B22" s="69">
        <v>17</v>
      </c>
      <c r="C22" s="69" t="str">
        <f>IFERROR(INDEX(Table_Prescript_Meas[Measure Number], MATCH(Table_Custom_Input[[#This Row],[Refrigeration Measure]], Table_Prescript_Meas[Measure Description], 0)), "")</f>
        <v/>
      </c>
      <c r="D22" s="61"/>
      <c r="E22" s="60"/>
      <c r="F22" s="69" t="str">
        <f>IFERROR(INDEX(Table_Prescript_Meas[Units], MATCH(Table_Custom_Input[[#This Row],[Measure Number]], Table_Prescript_Meas[Measure Number], 0)), "")</f>
        <v/>
      </c>
      <c r="G22" s="272"/>
      <c r="H22" s="155"/>
      <c r="I22" s="155"/>
      <c r="J22"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2" s="72" t="str">
        <f>IFERROR(Table_Custom_Input[[#This Row],[Number of Units]]*Table_Custom_Input[[#This Row],[Per-Unit Incentive]],"")</f>
        <v/>
      </c>
      <c r="L22" s="73" t="str">
        <f>IFERROR(Table_Custom_Input[[#This Row],[Number of Units]]*INDEX(Table_Prescript_Meas[Deemed kWh Savings], MATCH(Table_Custom_Input[[#This Row],[Measure Number]], Table_Prescript_Meas[Measure Number], 0)),"" )</f>
        <v/>
      </c>
      <c r="M22" s="79" t="str">
        <f>IFERROR(Table_Custom_Input[[#This Row],[Number of Units]]*INDEX(Table_Prescript_Meas[Deemed kW Savings], MATCH(Table_Custom_Input[[#This Row],[Measure Number]], Table_Prescript_Meas[Measure Number], 0)),"" )</f>
        <v/>
      </c>
      <c r="N22" s="72" t="str">
        <f>IFERROR(Table_Custom_Input[[#This Row],[Energy Savings (kWh)]]*Input_AvgkWhRate, "")</f>
        <v/>
      </c>
      <c r="O22" s="72" t="str">
        <f>IF(Table_Custom_Input[[#This Row],[Measure Number]]&lt;&gt;"",Table_Custom_Input[[#This Row],[Total Equipment Cost]]+Table_Custom_Input[[#This Row],[Total Labor Cost]],"")</f>
        <v/>
      </c>
      <c r="P22" s="72" t="str">
        <f>IF(Table_Custom_Input[[#This Row],[Measure Number]]="","",Table_Custom_Input[[#This Row],[Gross Measure Cost]]-Table_Custom_Input[[#This Row],[Estimated Incentive]])</f>
        <v/>
      </c>
      <c r="Q22" s="73" t="str">
        <f>IFERROR('Input Refrigeration Measures'!$P22/'Input Refrigeration Measures'!$N22, "")</f>
        <v/>
      </c>
      <c r="R22"/>
      <c r="S22"/>
      <c r="T22"/>
      <c r="U22"/>
    </row>
    <row r="23" spans="2:21" s="15" customFormat="1" ht="15" x14ac:dyDescent="0.2">
      <c r="B23" s="69">
        <v>18</v>
      </c>
      <c r="C23" s="69" t="str">
        <f>IFERROR(INDEX(Table_Prescript_Meas[Measure Number], MATCH(Table_Custom_Input[[#This Row],[Refrigeration Measure]], Table_Prescript_Meas[Measure Description], 0)), "")</f>
        <v/>
      </c>
      <c r="D23" s="61"/>
      <c r="E23" s="60"/>
      <c r="F23" s="69" t="str">
        <f>IFERROR(INDEX(Table_Prescript_Meas[Units], MATCH(Table_Custom_Input[[#This Row],[Measure Number]], Table_Prescript_Meas[Measure Number], 0)), "")</f>
        <v/>
      </c>
      <c r="G23" s="272"/>
      <c r="H23" s="155"/>
      <c r="I23" s="155"/>
      <c r="J23"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3" s="72" t="str">
        <f>IFERROR(Table_Custom_Input[[#This Row],[Number of Units]]*Table_Custom_Input[[#This Row],[Per-Unit Incentive]],"")</f>
        <v/>
      </c>
      <c r="L23" s="73" t="str">
        <f>IFERROR(Table_Custom_Input[[#This Row],[Number of Units]]*INDEX(Table_Prescript_Meas[Deemed kWh Savings], MATCH(Table_Custom_Input[[#This Row],[Measure Number]], Table_Prescript_Meas[Measure Number], 0)),"" )</f>
        <v/>
      </c>
      <c r="M23" s="79" t="str">
        <f>IFERROR(Table_Custom_Input[[#This Row],[Number of Units]]*INDEX(Table_Prescript_Meas[Deemed kW Savings], MATCH(Table_Custom_Input[[#This Row],[Measure Number]], Table_Prescript_Meas[Measure Number], 0)),"" )</f>
        <v/>
      </c>
      <c r="N23" s="72" t="str">
        <f>IFERROR(Table_Custom_Input[[#This Row],[Energy Savings (kWh)]]*Input_AvgkWhRate, "")</f>
        <v/>
      </c>
      <c r="O23" s="72" t="str">
        <f>IF(Table_Custom_Input[[#This Row],[Measure Number]]&lt;&gt;"",Table_Custom_Input[[#This Row],[Total Equipment Cost]]+Table_Custom_Input[[#This Row],[Total Labor Cost]],"")</f>
        <v/>
      </c>
      <c r="P23" s="72" t="str">
        <f>IF(Table_Custom_Input[[#This Row],[Measure Number]]="","",Table_Custom_Input[[#This Row],[Gross Measure Cost]]-Table_Custom_Input[[#This Row],[Estimated Incentive]])</f>
        <v/>
      </c>
      <c r="Q23" s="73" t="str">
        <f>IFERROR('Input Refrigeration Measures'!$P23/'Input Refrigeration Measures'!$N23, "")</f>
        <v/>
      </c>
      <c r="R23"/>
      <c r="S23"/>
      <c r="T23"/>
      <c r="U23"/>
    </row>
    <row r="24" spans="2:21" s="15" customFormat="1" ht="15" x14ac:dyDescent="0.2">
      <c r="B24" s="69">
        <v>19</v>
      </c>
      <c r="C24" s="69" t="str">
        <f>IFERROR(INDEX(Table_Prescript_Meas[Measure Number], MATCH(Table_Custom_Input[[#This Row],[Refrigeration Measure]], Table_Prescript_Meas[Measure Description], 0)), "")</f>
        <v/>
      </c>
      <c r="D24" s="61"/>
      <c r="E24" s="60"/>
      <c r="F24" s="69" t="str">
        <f>IFERROR(INDEX(Table_Prescript_Meas[Units], MATCH(Table_Custom_Input[[#This Row],[Measure Number]], Table_Prescript_Meas[Measure Number], 0)), "")</f>
        <v/>
      </c>
      <c r="G24" s="272"/>
      <c r="H24" s="155"/>
      <c r="I24" s="155"/>
      <c r="J24"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4" s="72" t="str">
        <f>IFERROR(Table_Custom_Input[[#This Row],[Number of Units]]*Table_Custom_Input[[#This Row],[Per-Unit Incentive]],"")</f>
        <v/>
      </c>
      <c r="L24" s="73" t="str">
        <f>IFERROR(Table_Custom_Input[[#This Row],[Number of Units]]*INDEX(Table_Prescript_Meas[Deemed kWh Savings], MATCH(Table_Custom_Input[[#This Row],[Measure Number]], Table_Prescript_Meas[Measure Number], 0)),"" )</f>
        <v/>
      </c>
      <c r="M24" s="79" t="str">
        <f>IFERROR(Table_Custom_Input[[#This Row],[Number of Units]]*INDEX(Table_Prescript_Meas[Deemed kW Savings], MATCH(Table_Custom_Input[[#This Row],[Measure Number]], Table_Prescript_Meas[Measure Number], 0)),"" )</f>
        <v/>
      </c>
      <c r="N24" s="72" t="str">
        <f>IFERROR(Table_Custom_Input[[#This Row],[Energy Savings (kWh)]]*Input_AvgkWhRate, "")</f>
        <v/>
      </c>
      <c r="O24" s="72" t="str">
        <f>IF(Table_Custom_Input[[#This Row],[Measure Number]]&lt;&gt;"",Table_Custom_Input[[#This Row],[Total Equipment Cost]]+Table_Custom_Input[[#This Row],[Total Labor Cost]],"")</f>
        <v/>
      </c>
      <c r="P24" s="72" t="str">
        <f>IF(Table_Custom_Input[[#This Row],[Measure Number]]="","",Table_Custom_Input[[#This Row],[Gross Measure Cost]]-Table_Custom_Input[[#This Row],[Estimated Incentive]])</f>
        <v/>
      </c>
      <c r="Q24" s="73" t="str">
        <f>IFERROR('Input Refrigeration Measures'!$P24/'Input Refrigeration Measures'!$N24, "")</f>
        <v/>
      </c>
      <c r="R24"/>
      <c r="S24"/>
      <c r="T24"/>
      <c r="U24"/>
    </row>
    <row r="25" spans="2:21" s="15" customFormat="1" ht="15" x14ac:dyDescent="0.2">
      <c r="B25" s="69">
        <v>20</v>
      </c>
      <c r="C25" s="69" t="str">
        <f>IFERROR(INDEX(Table_Prescript_Meas[Measure Number], MATCH(Table_Custom_Input[[#This Row],[Refrigeration Measure]], Table_Prescript_Meas[Measure Description], 0)), "")</f>
        <v/>
      </c>
      <c r="D25" s="61"/>
      <c r="E25" s="60"/>
      <c r="F25" s="69" t="str">
        <f>IFERROR(INDEX(Table_Prescript_Meas[Units], MATCH(Table_Custom_Input[[#This Row],[Measure Number]], Table_Prescript_Meas[Measure Number], 0)), "")</f>
        <v/>
      </c>
      <c r="G25" s="272"/>
      <c r="H25" s="155"/>
      <c r="I25" s="155"/>
      <c r="J25"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5" s="72" t="str">
        <f>IFERROR(Table_Custom_Input[[#This Row],[Number of Units]]*Table_Custom_Input[[#This Row],[Per-Unit Incentive]],"")</f>
        <v/>
      </c>
      <c r="L25" s="73" t="str">
        <f>IFERROR(Table_Custom_Input[[#This Row],[Number of Units]]*INDEX(Table_Prescript_Meas[Deemed kWh Savings], MATCH(Table_Custom_Input[[#This Row],[Measure Number]], Table_Prescript_Meas[Measure Number], 0)),"" )</f>
        <v/>
      </c>
      <c r="M25" s="79" t="str">
        <f>IFERROR(Table_Custom_Input[[#This Row],[Number of Units]]*INDEX(Table_Prescript_Meas[Deemed kW Savings], MATCH(Table_Custom_Input[[#This Row],[Measure Number]], Table_Prescript_Meas[Measure Number], 0)),"" )</f>
        <v/>
      </c>
      <c r="N25" s="72" t="str">
        <f>IFERROR(Table_Custom_Input[[#This Row],[Energy Savings (kWh)]]*Input_AvgkWhRate, "")</f>
        <v/>
      </c>
      <c r="O25" s="72" t="str">
        <f>IF(Table_Custom_Input[[#This Row],[Measure Number]]&lt;&gt;"",Table_Custom_Input[[#This Row],[Total Equipment Cost]]+Table_Custom_Input[[#This Row],[Total Labor Cost]],"")</f>
        <v/>
      </c>
      <c r="P25" s="72" t="str">
        <f>IF(Table_Custom_Input[[#This Row],[Measure Number]]="","",Table_Custom_Input[[#This Row],[Gross Measure Cost]]-Table_Custom_Input[[#This Row],[Estimated Incentive]])</f>
        <v/>
      </c>
      <c r="Q25" s="73" t="str">
        <f>IFERROR('Input Refrigeration Measures'!$P25/'Input Refrigeration Measures'!$N25, "")</f>
        <v/>
      </c>
      <c r="R25"/>
      <c r="S25"/>
      <c r="T25"/>
      <c r="U25"/>
    </row>
    <row r="26" spans="2:21" s="15" customFormat="1" ht="15" x14ac:dyDescent="0.2">
      <c r="B26" s="69">
        <v>21</v>
      </c>
      <c r="C26" s="69" t="str">
        <f>IFERROR(INDEX(Table_Prescript_Meas[Measure Number], MATCH(Table_Custom_Input[[#This Row],[Refrigeration Measure]], Table_Prescript_Meas[Measure Description], 0)), "")</f>
        <v/>
      </c>
      <c r="D26" s="61"/>
      <c r="E26" s="60"/>
      <c r="F26" s="69" t="str">
        <f>IFERROR(INDEX(Table_Prescript_Meas[Units], MATCH(Table_Custom_Input[[#This Row],[Measure Number]], Table_Prescript_Meas[Measure Number], 0)), "")</f>
        <v/>
      </c>
      <c r="G26" s="272"/>
      <c r="H26" s="155"/>
      <c r="I26" s="155"/>
      <c r="J26"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6" s="72" t="str">
        <f>IFERROR(Table_Custom_Input[[#This Row],[Number of Units]]*Table_Custom_Input[[#This Row],[Per-Unit Incentive]],"")</f>
        <v/>
      </c>
      <c r="L26" s="73" t="str">
        <f>IFERROR(Table_Custom_Input[[#This Row],[Number of Units]]*INDEX(Table_Prescript_Meas[Deemed kWh Savings], MATCH(Table_Custom_Input[[#This Row],[Measure Number]], Table_Prescript_Meas[Measure Number], 0)),"" )</f>
        <v/>
      </c>
      <c r="M26" s="79" t="str">
        <f>IFERROR(Table_Custom_Input[[#This Row],[Number of Units]]*INDEX(Table_Prescript_Meas[Deemed kW Savings], MATCH(Table_Custom_Input[[#This Row],[Measure Number]], Table_Prescript_Meas[Measure Number], 0)),"" )</f>
        <v/>
      </c>
      <c r="N26" s="72" t="str">
        <f>IFERROR(Table_Custom_Input[[#This Row],[Energy Savings (kWh)]]*Input_AvgkWhRate, "")</f>
        <v/>
      </c>
      <c r="O26" s="72" t="str">
        <f>IF(Table_Custom_Input[[#This Row],[Measure Number]]&lt;&gt;"",Table_Custom_Input[[#This Row],[Total Equipment Cost]]+Table_Custom_Input[[#This Row],[Total Labor Cost]],"")</f>
        <v/>
      </c>
      <c r="P26" s="72" t="str">
        <f>IF(Table_Custom_Input[[#This Row],[Measure Number]]="","",Table_Custom_Input[[#This Row],[Gross Measure Cost]]-Table_Custom_Input[[#This Row],[Estimated Incentive]])</f>
        <v/>
      </c>
      <c r="Q26" s="73" t="str">
        <f>IFERROR('Input Refrigeration Measures'!$P26/'Input Refrigeration Measures'!$N26, "")</f>
        <v/>
      </c>
      <c r="R26"/>
      <c r="S26"/>
      <c r="T26"/>
      <c r="U26"/>
    </row>
    <row r="27" spans="2:21" s="15" customFormat="1" ht="15" x14ac:dyDescent="0.2">
      <c r="B27" s="69">
        <v>22</v>
      </c>
      <c r="C27" s="69" t="str">
        <f>IFERROR(INDEX(Table_Prescript_Meas[Measure Number], MATCH(Table_Custom_Input[[#This Row],[Refrigeration Measure]], Table_Prescript_Meas[Measure Description], 0)), "")</f>
        <v/>
      </c>
      <c r="D27" s="61"/>
      <c r="E27" s="60"/>
      <c r="F27" s="69" t="str">
        <f>IFERROR(INDEX(Table_Prescript_Meas[Units], MATCH(Table_Custom_Input[[#This Row],[Measure Number]], Table_Prescript_Meas[Measure Number], 0)), "")</f>
        <v/>
      </c>
      <c r="G27" s="272"/>
      <c r="H27" s="155"/>
      <c r="I27" s="155"/>
      <c r="J27"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7" s="72" t="str">
        <f>IFERROR(Table_Custom_Input[[#This Row],[Number of Units]]*Table_Custom_Input[[#This Row],[Per-Unit Incentive]],"")</f>
        <v/>
      </c>
      <c r="L27" s="73" t="str">
        <f>IFERROR(Table_Custom_Input[[#This Row],[Number of Units]]*INDEX(Table_Prescript_Meas[Deemed kWh Savings], MATCH(Table_Custom_Input[[#This Row],[Measure Number]], Table_Prescript_Meas[Measure Number], 0)),"" )</f>
        <v/>
      </c>
      <c r="M27" s="79" t="str">
        <f>IFERROR(Table_Custom_Input[[#This Row],[Number of Units]]*INDEX(Table_Prescript_Meas[Deemed kW Savings], MATCH(Table_Custom_Input[[#This Row],[Measure Number]], Table_Prescript_Meas[Measure Number], 0)),"" )</f>
        <v/>
      </c>
      <c r="N27" s="72" t="str">
        <f>IFERROR(Table_Custom_Input[[#This Row],[Energy Savings (kWh)]]*Input_AvgkWhRate, "")</f>
        <v/>
      </c>
      <c r="O27" s="72" t="str">
        <f>IF(Table_Custom_Input[[#This Row],[Measure Number]]&lt;&gt;"",Table_Custom_Input[[#This Row],[Total Equipment Cost]]+Table_Custom_Input[[#This Row],[Total Labor Cost]],"")</f>
        <v/>
      </c>
      <c r="P27" s="72" t="str">
        <f>IF(Table_Custom_Input[[#This Row],[Measure Number]]="","",Table_Custom_Input[[#This Row],[Gross Measure Cost]]-Table_Custom_Input[[#This Row],[Estimated Incentive]])</f>
        <v/>
      </c>
      <c r="Q27" s="73" t="str">
        <f>IFERROR('Input Refrigeration Measures'!$P27/'Input Refrigeration Measures'!$N27, "")</f>
        <v/>
      </c>
      <c r="R27"/>
      <c r="S27"/>
      <c r="T27"/>
      <c r="U27"/>
    </row>
    <row r="28" spans="2:21" s="15" customFormat="1" ht="15" x14ac:dyDescent="0.2">
      <c r="B28" s="69">
        <v>23</v>
      </c>
      <c r="C28" s="69" t="str">
        <f>IFERROR(INDEX(Table_Prescript_Meas[Measure Number], MATCH(Table_Custom_Input[[#This Row],[Refrigeration Measure]], Table_Prescript_Meas[Measure Description], 0)), "")</f>
        <v/>
      </c>
      <c r="D28" s="61"/>
      <c r="E28" s="60"/>
      <c r="F28" s="69" t="str">
        <f>IFERROR(INDEX(Table_Prescript_Meas[Units], MATCH(Table_Custom_Input[[#This Row],[Measure Number]], Table_Prescript_Meas[Measure Number], 0)), "")</f>
        <v/>
      </c>
      <c r="G28" s="272"/>
      <c r="H28" s="155"/>
      <c r="I28" s="155"/>
      <c r="J28"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8" s="72" t="str">
        <f>IFERROR(Table_Custom_Input[[#This Row],[Number of Units]]*Table_Custom_Input[[#This Row],[Per-Unit Incentive]],"")</f>
        <v/>
      </c>
      <c r="L28" s="73" t="str">
        <f>IFERROR(Table_Custom_Input[[#This Row],[Number of Units]]*INDEX(Table_Prescript_Meas[Deemed kWh Savings], MATCH(Table_Custom_Input[[#This Row],[Measure Number]], Table_Prescript_Meas[Measure Number], 0)),"" )</f>
        <v/>
      </c>
      <c r="M28" s="79" t="str">
        <f>IFERROR(Table_Custom_Input[[#This Row],[Number of Units]]*INDEX(Table_Prescript_Meas[Deemed kW Savings], MATCH(Table_Custom_Input[[#This Row],[Measure Number]], Table_Prescript_Meas[Measure Number], 0)),"" )</f>
        <v/>
      </c>
      <c r="N28" s="72" t="str">
        <f>IFERROR(Table_Custom_Input[[#This Row],[Energy Savings (kWh)]]*Input_AvgkWhRate, "")</f>
        <v/>
      </c>
      <c r="O28" s="72" t="str">
        <f>IF(Table_Custom_Input[[#This Row],[Measure Number]]&lt;&gt;"",Table_Custom_Input[[#This Row],[Total Equipment Cost]]+Table_Custom_Input[[#This Row],[Total Labor Cost]],"")</f>
        <v/>
      </c>
      <c r="P28" s="72" t="str">
        <f>IF(Table_Custom_Input[[#This Row],[Measure Number]]="","",Table_Custom_Input[[#This Row],[Gross Measure Cost]]-Table_Custom_Input[[#This Row],[Estimated Incentive]])</f>
        <v/>
      </c>
      <c r="Q28" s="73" t="str">
        <f>IFERROR('Input Refrigeration Measures'!$P28/'Input Refrigeration Measures'!$N28, "")</f>
        <v/>
      </c>
      <c r="R28"/>
      <c r="S28"/>
      <c r="T28"/>
      <c r="U28"/>
    </row>
    <row r="29" spans="2:21" s="15" customFormat="1" ht="15" x14ac:dyDescent="0.2">
      <c r="B29" s="69">
        <v>24</v>
      </c>
      <c r="C29" s="69" t="str">
        <f>IFERROR(INDEX(Table_Prescript_Meas[Measure Number], MATCH(Table_Custom_Input[[#This Row],[Refrigeration Measure]], Table_Prescript_Meas[Measure Description], 0)), "")</f>
        <v/>
      </c>
      <c r="D29" s="61"/>
      <c r="E29" s="60"/>
      <c r="F29" s="69" t="str">
        <f>IFERROR(INDEX(Table_Prescript_Meas[Units], MATCH(Table_Custom_Input[[#This Row],[Measure Number]], Table_Prescript_Meas[Measure Number], 0)), "")</f>
        <v/>
      </c>
      <c r="G29" s="272"/>
      <c r="H29" s="155"/>
      <c r="I29" s="155"/>
      <c r="J29"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29" s="72" t="str">
        <f>IFERROR(Table_Custom_Input[[#This Row],[Number of Units]]*Table_Custom_Input[[#This Row],[Per-Unit Incentive]],"")</f>
        <v/>
      </c>
      <c r="L29" s="73" t="str">
        <f>IFERROR(Table_Custom_Input[[#This Row],[Number of Units]]*INDEX(Table_Prescript_Meas[Deemed kWh Savings], MATCH(Table_Custom_Input[[#This Row],[Measure Number]], Table_Prescript_Meas[Measure Number], 0)),"" )</f>
        <v/>
      </c>
      <c r="M29" s="79" t="str">
        <f>IFERROR(Table_Custom_Input[[#This Row],[Number of Units]]*INDEX(Table_Prescript_Meas[Deemed kW Savings], MATCH(Table_Custom_Input[[#This Row],[Measure Number]], Table_Prescript_Meas[Measure Number], 0)),"" )</f>
        <v/>
      </c>
      <c r="N29" s="72" t="str">
        <f>IFERROR(Table_Custom_Input[[#This Row],[Energy Savings (kWh)]]*Input_AvgkWhRate, "")</f>
        <v/>
      </c>
      <c r="O29" s="72" t="str">
        <f>IF(Table_Custom_Input[[#This Row],[Measure Number]]&lt;&gt;"",Table_Custom_Input[[#This Row],[Total Equipment Cost]]+Table_Custom_Input[[#This Row],[Total Labor Cost]],"")</f>
        <v/>
      </c>
      <c r="P29" s="72" t="str">
        <f>IF(Table_Custom_Input[[#This Row],[Measure Number]]="","",Table_Custom_Input[[#This Row],[Gross Measure Cost]]-Table_Custom_Input[[#This Row],[Estimated Incentive]])</f>
        <v/>
      </c>
      <c r="Q29" s="73" t="str">
        <f>IFERROR('Input Refrigeration Measures'!$P29/'Input Refrigeration Measures'!$N29, "")</f>
        <v/>
      </c>
      <c r="R29"/>
      <c r="S29"/>
      <c r="T29"/>
      <c r="U29"/>
    </row>
    <row r="30" spans="2:21" s="15" customFormat="1" ht="15" x14ac:dyDescent="0.2">
      <c r="B30" s="69">
        <v>25</v>
      </c>
      <c r="C30" s="69" t="str">
        <f>IFERROR(INDEX(Table_Prescript_Meas[Measure Number], MATCH(Table_Custom_Input[[#This Row],[Refrigeration Measure]], Table_Prescript_Meas[Measure Description], 0)), "")</f>
        <v/>
      </c>
      <c r="D30" s="61"/>
      <c r="E30" s="60"/>
      <c r="F30" s="69" t="str">
        <f>IFERROR(INDEX(Table_Prescript_Meas[Units], MATCH(Table_Custom_Input[[#This Row],[Measure Number]], Table_Prescript_Meas[Measure Number], 0)), "")</f>
        <v/>
      </c>
      <c r="G30" s="272"/>
      <c r="H30" s="155"/>
      <c r="I30" s="155"/>
      <c r="J30"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0" s="72" t="str">
        <f>IFERROR(Table_Custom_Input[[#This Row],[Number of Units]]*Table_Custom_Input[[#This Row],[Per-Unit Incentive]],"")</f>
        <v/>
      </c>
      <c r="L30" s="73" t="str">
        <f>IFERROR(Table_Custom_Input[[#This Row],[Number of Units]]*INDEX(Table_Prescript_Meas[Deemed kWh Savings], MATCH(Table_Custom_Input[[#This Row],[Measure Number]], Table_Prescript_Meas[Measure Number], 0)),"" )</f>
        <v/>
      </c>
      <c r="M30" s="79" t="str">
        <f>IFERROR(Table_Custom_Input[[#This Row],[Number of Units]]*INDEX(Table_Prescript_Meas[Deemed kW Savings], MATCH(Table_Custom_Input[[#This Row],[Measure Number]], Table_Prescript_Meas[Measure Number], 0)),"" )</f>
        <v/>
      </c>
      <c r="N30" s="72" t="str">
        <f>IFERROR(Table_Custom_Input[[#This Row],[Energy Savings (kWh)]]*Input_AvgkWhRate, "")</f>
        <v/>
      </c>
      <c r="O30" s="72" t="str">
        <f>IF(Table_Custom_Input[[#This Row],[Measure Number]]&lt;&gt;"",Table_Custom_Input[[#This Row],[Total Equipment Cost]]+Table_Custom_Input[[#This Row],[Total Labor Cost]],"")</f>
        <v/>
      </c>
      <c r="P30" s="72" t="str">
        <f>IF(Table_Custom_Input[[#This Row],[Measure Number]]="","",Table_Custom_Input[[#This Row],[Gross Measure Cost]]-Table_Custom_Input[[#This Row],[Estimated Incentive]])</f>
        <v/>
      </c>
      <c r="Q30" s="73" t="str">
        <f>IFERROR('Input Refrigeration Measures'!$P30/'Input Refrigeration Measures'!$N30, "")</f>
        <v/>
      </c>
      <c r="R30"/>
      <c r="S30"/>
      <c r="T30"/>
      <c r="U30"/>
    </row>
    <row r="31" spans="2:21" s="15" customFormat="1" ht="15" x14ac:dyDescent="0.2">
      <c r="B31" s="69">
        <v>26</v>
      </c>
      <c r="C31" s="69" t="str">
        <f>IFERROR(INDEX(Table_Prescript_Meas[Measure Number], MATCH(Table_Custom_Input[[#This Row],[Refrigeration Measure]], Table_Prescript_Meas[Measure Description], 0)), "")</f>
        <v/>
      </c>
      <c r="D31" s="61"/>
      <c r="E31" s="60"/>
      <c r="F31" s="69" t="str">
        <f>IFERROR(INDEX(Table_Prescript_Meas[Units], MATCH(Table_Custom_Input[[#This Row],[Measure Number]], Table_Prescript_Meas[Measure Number], 0)), "")</f>
        <v/>
      </c>
      <c r="G31" s="272"/>
      <c r="H31" s="155"/>
      <c r="I31" s="155"/>
      <c r="J31"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1" s="72" t="str">
        <f>IFERROR(Table_Custom_Input[[#This Row],[Number of Units]]*Table_Custom_Input[[#This Row],[Per-Unit Incentive]],"")</f>
        <v/>
      </c>
      <c r="L31" s="73" t="str">
        <f>IFERROR(Table_Custom_Input[[#This Row],[Number of Units]]*INDEX(Table_Prescript_Meas[Deemed kWh Savings], MATCH(Table_Custom_Input[[#This Row],[Measure Number]], Table_Prescript_Meas[Measure Number], 0)),"" )</f>
        <v/>
      </c>
      <c r="M31" s="79" t="str">
        <f>IFERROR(Table_Custom_Input[[#This Row],[Number of Units]]*INDEX(Table_Prescript_Meas[Deemed kW Savings], MATCH(Table_Custom_Input[[#This Row],[Measure Number]], Table_Prescript_Meas[Measure Number], 0)),"" )</f>
        <v/>
      </c>
      <c r="N31" s="72" t="str">
        <f>IFERROR(Table_Custom_Input[[#This Row],[Energy Savings (kWh)]]*Input_AvgkWhRate, "")</f>
        <v/>
      </c>
      <c r="O31" s="72" t="str">
        <f>IF(Table_Custom_Input[[#This Row],[Measure Number]]&lt;&gt;"",Table_Custom_Input[[#This Row],[Total Equipment Cost]]+Table_Custom_Input[[#This Row],[Total Labor Cost]],"")</f>
        <v/>
      </c>
      <c r="P31" s="72" t="str">
        <f>IF(Table_Custom_Input[[#This Row],[Measure Number]]="","",Table_Custom_Input[[#This Row],[Gross Measure Cost]]-Table_Custom_Input[[#This Row],[Estimated Incentive]])</f>
        <v/>
      </c>
      <c r="Q31" s="73" t="str">
        <f>IFERROR('Input Refrigeration Measures'!$P31/'Input Refrigeration Measures'!$N31, "")</f>
        <v/>
      </c>
      <c r="R31"/>
      <c r="S31"/>
      <c r="T31"/>
      <c r="U31"/>
    </row>
    <row r="32" spans="2:21" s="15" customFormat="1" ht="15" x14ac:dyDescent="0.2">
      <c r="B32" s="69">
        <v>27</v>
      </c>
      <c r="C32" s="69" t="str">
        <f>IFERROR(INDEX(Table_Prescript_Meas[Measure Number], MATCH(Table_Custom_Input[[#This Row],[Refrigeration Measure]], Table_Prescript_Meas[Measure Description], 0)), "")</f>
        <v/>
      </c>
      <c r="D32" s="61"/>
      <c r="E32" s="60"/>
      <c r="F32" s="69" t="str">
        <f>IFERROR(INDEX(Table_Prescript_Meas[Units], MATCH(Table_Custom_Input[[#This Row],[Measure Number]], Table_Prescript_Meas[Measure Number], 0)), "")</f>
        <v/>
      </c>
      <c r="G32" s="272"/>
      <c r="H32" s="155"/>
      <c r="I32" s="155"/>
      <c r="J32"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2" s="72" t="str">
        <f>IFERROR(Table_Custom_Input[[#This Row],[Number of Units]]*Table_Custom_Input[[#This Row],[Per-Unit Incentive]],"")</f>
        <v/>
      </c>
      <c r="L32" s="73" t="str">
        <f>IFERROR(Table_Custom_Input[[#This Row],[Number of Units]]*INDEX(Table_Prescript_Meas[Deemed kWh Savings], MATCH(Table_Custom_Input[[#This Row],[Measure Number]], Table_Prescript_Meas[Measure Number], 0)),"" )</f>
        <v/>
      </c>
      <c r="M32" s="79" t="str">
        <f>IFERROR(Table_Custom_Input[[#This Row],[Number of Units]]*INDEX(Table_Prescript_Meas[Deemed kW Savings], MATCH(Table_Custom_Input[[#This Row],[Measure Number]], Table_Prescript_Meas[Measure Number], 0)),"" )</f>
        <v/>
      </c>
      <c r="N32" s="72" t="str">
        <f>IFERROR(Table_Custom_Input[[#This Row],[Energy Savings (kWh)]]*Input_AvgkWhRate, "")</f>
        <v/>
      </c>
      <c r="O32" s="72" t="str">
        <f>IF(Table_Custom_Input[[#This Row],[Measure Number]]&lt;&gt;"",Table_Custom_Input[[#This Row],[Total Equipment Cost]]+Table_Custom_Input[[#This Row],[Total Labor Cost]],"")</f>
        <v/>
      </c>
      <c r="P32" s="72" t="str">
        <f>IF(Table_Custom_Input[[#This Row],[Measure Number]]="","",Table_Custom_Input[[#This Row],[Gross Measure Cost]]-Table_Custom_Input[[#This Row],[Estimated Incentive]])</f>
        <v/>
      </c>
      <c r="Q32" s="73" t="str">
        <f>IFERROR('Input Refrigeration Measures'!$P32/'Input Refrigeration Measures'!$N32, "")</f>
        <v/>
      </c>
      <c r="R32"/>
      <c r="S32"/>
      <c r="T32"/>
      <c r="U32"/>
    </row>
    <row r="33" spans="2:21" s="15" customFormat="1" ht="15" x14ac:dyDescent="0.2">
      <c r="B33" s="69">
        <v>28</v>
      </c>
      <c r="C33" s="69" t="str">
        <f>IFERROR(INDEX(Table_Prescript_Meas[Measure Number], MATCH(Table_Custom_Input[[#This Row],[Refrigeration Measure]], Table_Prescript_Meas[Measure Description], 0)), "")</f>
        <v/>
      </c>
      <c r="D33" s="61"/>
      <c r="E33" s="60"/>
      <c r="F33" s="69" t="str">
        <f>IFERROR(INDEX(Table_Prescript_Meas[Units], MATCH(Table_Custom_Input[[#This Row],[Measure Number]], Table_Prescript_Meas[Measure Number], 0)), "")</f>
        <v/>
      </c>
      <c r="G33" s="272"/>
      <c r="H33" s="155"/>
      <c r="I33" s="155"/>
      <c r="J33"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3" s="72" t="str">
        <f>IFERROR(Table_Custom_Input[[#This Row],[Number of Units]]*Table_Custom_Input[[#This Row],[Per-Unit Incentive]],"")</f>
        <v/>
      </c>
      <c r="L33" s="73" t="str">
        <f>IFERROR(Table_Custom_Input[[#This Row],[Number of Units]]*INDEX(Table_Prescript_Meas[Deemed kWh Savings], MATCH(Table_Custom_Input[[#This Row],[Measure Number]], Table_Prescript_Meas[Measure Number], 0)),"" )</f>
        <v/>
      </c>
      <c r="M33" s="79" t="str">
        <f>IFERROR(Table_Custom_Input[[#This Row],[Number of Units]]*INDEX(Table_Prescript_Meas[Deemed kW Savings], MATCH(Table_Custom_Input[[#This Row],[Measure Number]], Table_Prescript_Meas[Measure Number], 0)),"" )</f>
        <v/>
      </c>
      <c r="N33" s="72" t="str">
        <f>IFERROR(Table_Custom_Input[[#This Row],[Energy Savings (kWh)]]*Input_AvgkWhRate, "")</f>
        <v/>
      </c>
      <c r="O33" s="72" t="str">
        <f>IF(Table_Custom_Input[[#This Row],[Measure Number]]&lt;&gt;"",Table_Custom_Input[[#This Row],[Total Equipment Cost]]+Table_Custom_Input[[#This Row],[Total Labor Cost]],"")</f>
        <v/>
      </c>
      <c r="P33" s="72" t="str">
        <f>IF(Table_Custom_Input[[#This Row],[Measure Number]]="","",Table_Custom_Input[[#This Row],[Gross Measure Cost]]-Table_Custom_Input[[#This Row],[Estimated Incentive]])</f>
        <v/>
      </c>
      <c r="Q33" s="73" t="str">
        <f>IFERROR('Input Refrigeration Measures'!$P33/'Input Refrigeration Measures'!$N33, "")</f>
        <v/>
      </c>
      <c r="R33"/>
      <c r="S33"/>
      <c r="T33"/>
      <c r="U33"/>
    </row>
    <row r="34" spans="2:21" s="15" customFormat="1" ht="15" x14ac:dyDescent="0.2">
      <c r="B34" s="69">
        <v>29</v>
      </c>
      <c r="C34" s="69" t="str">
        <f>IFERROR(INDEX(Table_Prescript_Meas[Measure Number], MATCH(Table_Custom_Input[[#This Row],[Refrigeration Measure]], Table_Prescript_Meas[Measure Description], 0)), "")</f>
        <v/>
      </c>
      <c r="D34" s="61"/>
      <c r="E34" s="60"/>
      <c r="F34" s="69" t="str">
        <f>IFERROR(INDEX(Table_Prescript_Meas[Units], MATCH(Table_Custom_Input[[#This Row],[Measure Number]], Table_Prescript_Meas[Measure Number], 0)), "")</f>
        <v/>
      </c>
      <c r="G34" s="272"/>
      <c r="H34" s="155"/>
      <c r="I34" s="155"/>
      <c r="J34"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4" s="72" t="str">
        <f>IFERROR(Table_Custom_Input[[#This Row],[Number of Units]]*Table_Custom_Input[[#This Row],[Per-Unit Incentive]],"")</f>
        <v/>
      </c>
      <c r="L34" s="73" t="str">
        <f>IFERROR(Table_Custom_Input[[#This Row],[Number of Units]]*INDEX(Table_Prescript_Meas[Deemed kWh Savings], MATCH(Table_Custom_Input[[#This Row],[Measure Number]], Table_Prescript_Meas[Measure Number], 0)),"" )</f>
        <v/>
      </c>
      <c r="M34" s="79" t="str">
        <f>IFERROR(Table_Custom_Input[[#This Row],[Number of Units]]*INDEX(Table_Prescript_Meas[Deemed kW Savings], MATCH(Table_Custom_Input[[#This Row],[Measure Number]], Table_Prescript_Meas[Measure Number], 0)),"" )</f>
        <v/>
      </c>
      <c r="N34" s="72" t="str">
        <f>IFERROR(Table_Custom_Input[[#This Row],[Energy Savings (kWh)]]*Input_AvgkWhRate, "")</f>
        <v/>
      </c>
      <c r="O34" s="72" t="str">
        <f>IF(Table_Custom_Input[[#This Row],[Measure Number]]&lt;&gt;"",Table_Custom_Input[[#This Row],[Total Equipment Cost]]+Table_Custom_Input[[#This Row],[Total Labor Cost]],"")</f>
        <v/>
      </c>
      <c r="P34" s="72" t="str">
        <f>IF(Table_Custom_Input[[#This Row],[Measure Number]]="","",Table_Custom_Input[[#This Row],[Gross Measure Cost]]-Table_Custom_Input[[#This Row],[Estimated Incentive]])</f>
        <v/>
      </c>
      <c r="Q34" s="73" t="str">
        <f>IFERROR('Input Refrigeration Measures'!$P34/'Input Refrigeration Measures'!$N34, "")</f>
        <v/>
      </c>
      <c r="R34"/>
      <c r="S34"/>
      <c r="T34"/>
      <c r="U34"/>
    </row>
    <row r="35" spans="2:21" s="15" customFormat="1" ht="15" x14ac:dyDescent="0.2">
      <c r="B35" s="69">
        <v>30</v>
      </c>
      <c r="C35" s="69" t="str">
        <f>IFERROR(INDEX(Table_Prescript_Meas[Measure Number], MATCH(Table_Custom_Input[[#This Row],[Refrigeration Measure]], Table_Prescript_Meas[Measure Description], 0)), "")</f>
        <v/>
      </c>
      <c r="D35" s="61"/>
      <c r="E35" s="60"/>
      <c r="F35" s="69" t="str">
        <f>IFERROR(INDEX(Table_Prescript_Meas[Units], MATCH(Table_Custom_Input[[#This Row],[Measure Number]], Table_Prescript_Meas[Measure Number], 0)), "")</f>
        <v/>
      </c>
      <c r="G35" s="272"/>
      <c r="H35" s="155"/>
      <c r="I35" s="155"/>
      <c r="J35"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5" s="72" t="str">
        <f>IFERROR(Table_Custom_Input[[#This Row],[Number of Units]]*Table_Custom_Input[[#This Row],[Per-Unit Incentive]],"")</f>
        <v/>
      </c>
      <c r="L35" s="73" t="str">
        <f>IFERROR(Table_Custom_Input[[#This Row],[Number of Units]]*INDEX(Table_Prescript_Meas[Deemed kWh Savings], MATCH(Table_Custom_Input[[#This Row],[Measure Number]], Table_Prescript_Meas[Measure Number], 0)),"" )</f>
        <v/>
      </c>
      <c r="M35" s="79" t="str">
        <f>IFERROR(Table_Custom_Input[[#This Row],[Number of Units]]*INDEX(Table_Prescript_Meas[Deemed kW Savings], MATCH(Table_Custom_Input[[#This Row],[Measure Number]], Table_Prescript_Meas[Measure Number], 0)),"" )</f>
        <v/>
      </c>
      <c r="N35" s="72" t="str">
        <f>IFERROR(Table_Custom_Input[[#This Row],[Energy Savings (kWh)]]*Input_AvgkWhRate, "")</f>
        <v/>
      </c>
      <c r="O35" s="72" t="str">
        <f>IF(Table_Custom_Input[[#This Row],[Measure Number]]&lt;&gt;"",Table_Custom_Input[[#This Row],[Total Equipment Cost]]+Table_Custom_Input[[#This Row],[Total Labor Cost]],"")</f>
        <v/>
      </c>
      <c r="P35" s="72" t="str">
        <f>IF(Table_Custom_Input[[#This Row],[Measure Number]]="","",Table_Custom_Input[[#This Row],[Gross Measure Cost]]-Table_Custom_Input[[#This Row],[Estimated Incentive]])</f>
        <v/>
      </c>
      <c r="Q35" s="73" t="str">
        <f>IFERROR('Input Refrigeration Measures'!$P35/'Input Refrigeration Measures'!$N35, "")</f>
        <v/>
      </c>
      <c r="R35"/>
      <c r="S35"/>
      <c r="T35"/>
      <c r="U35"/>
    </row>
    <row r="36" spans="2:21" s="15" customFormat="1" ht="15" x14ac:dyDescent="0.2">
      <c r="B36" s="69">
        <v>31</v>
      </c>
      <c r="C36" s="69" t="str">
        <f>IFERROR(INDEX(Table_Prescript_Meas[Measure Number], MATCH(Table_Custom_Input[[#This Row],[Refrigeration Measure]], Table_Prescript_Meas[Measure Description], 0)), "")</f>
        <v/>
      </c>
      <c r="D36" s="61"/>
      <c r="E36" s="60"/>
      <c r="F36" s="69" t="str">
        <f>IFERROR(INDEX(Table_Prescript_Meas[Units], MATCH(Table_Custom_Input[[#This Row],[Measure Number]], Table_Prescript_Meas[Measure Number], 0)), "")</f>
        <v/>
      </c>
      <c r="G36" s="272"/>
      <c r="H36" s="155"/>
      <c r="I36" s="155"/>
      <c r="J36"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6" s="72" t="str">
        <f>IFERROR(Table_Custom_Input[[#This Row],[Number of Units]]*Table_Custom_Input[[#This Row],[Per-Unit Incentive]],"")</f>
        <v/>
      </c>
      <c r="L36" s="73" t="str">
        <f>IFERROR(Table_Custom_Input[[#This Row],[Number of Units]]*INDEX(Table_Prescript_Meas[Deemed kWh Savings], MATCH(Table_Custom_Input[[#This Row],[Measure Number]], Table_Prescript_Meas[Measure Number], 0)),"" )</f>
        <v/>
      </c>
      <c r="M36" s="79" t="str">
        <f>IFERROR(Table_Custom_Input[[#This Row],[Number of Units]]*INDEX(Table_Prescript_Meas[Deemed kW Savings], MATCH(Table_Custom_Input[[#This Row],[Measure Number]], Table_Prescript_Meas[Measure Number], 0)),"" )</f>
        <v/>
      </c>
      <c r="N36" s="72" t="str">
        <f>IFERROR(Table_Custom_Input[[#This Row],[Energy Savings (kWh)]]*Input_AvgkWhRate, "")</f>
        <v/>
      </c>
      <c r="O36" s="72" t="str">
        <f>IF(Table_Custom_Input[[#This Row],[Measure Number]]&lt;&gt;"",Table_Custom_Input[[#This Row],[Total Equipment Cost]]+Table_Custom_Input[[#This Row],[Total Labor Cost]],"")</f>
        <v/>
      </c>
      <c r="P36" s="72" t="str">
        <f>IF(Table_Custom_Input[[#This Row],[Measure Number]]="","",Table_Custom_Input[[#This Row],[Gross Measure Cost]]-Table_Custom_Input[[#This Row],[Estimated Incentive]])</f>
        <v/>
      </c>
      <c r="Q36" s="73" t="str">
        <f>IFERROR('Input Refrigeration Measures'!$P36/'Input Refrigeration Measures'!$N36, "")</f>
        <v/>
      </c>
      <c r="R36"/>
      <c r="S36"/>
      <c r="T36"/>
      <c r="U36"/>
    </row>
    <row r="37" spans="2:21" s="15" customFormat="1" ht="15" x14ac:dyDescent="0.2">
      <c r="B37" s="69">
        <v>32</v>
      </c>
      <c r="C37" s="69" t="str">
        <f>IFERROR(INDEX(Table_Prescript_Meas[Measure Number], MATCH(Table_Custom_Input[[#This Row],[Refrigeration Measure]], Table_Prescript_Meas[Measure Description], 0)), "")</f>
        <v/>
      </c>
      <c r="D37" s="61"/>
      <c r="E37" s="60"/>
      <c r="F37" s="69" t="str">
        <f>IFERROR(INDEX(Table_Prescript_Meas[Units], MATCH(Table_Custom_Input[[#This Row],[Measure Number]], Table_Prescript_Meas[Measure Number], 0)), "")</f>
        <v/>
      </c>
      <c r="G37" s="272"/>
      <c r="H37" s="155"/>
      <c r="I37" s="155"/>
      <c r="J37"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7" s="72" t="str">
        <f>IFERROR(Table_Custom_Input[[#This Row],[Number of Units]]*Table_Custom_Input[[#This Row],[Per-Unit Incentive]],"")</f>
        <v/>
      </c>
      <c r="L37" s="73" t="str">
        <f>IFERROR(Table_Custom_Input[[#This Row],[Number of Units]]*INDEX(Table_Prescript_Meas[Deemed kWh Savings], MATCH(Table_Custom_Input[[#This Row],[Measure Number]], Table_Prescript_Meas[Measure Number], 0)),"" )</f>
        <v/>
      </c>
      <c r="M37" s="79" t="str">
        <f>IFERROR(Table_Custom_Input[[#This Row],[Number of Units]]*INDEX(Table_Prescript_Meas[Deemed kW Savings], MATCH(Table_Custom_Input[[#This Row],[Measure Number]], Table_Prescript_Meas[Measure Number], 0)),"" )</f>
        <v/>
      </c>
      <c r="N37" s="72" t="str">
        <f>IFERROR(Table_Custom_Input[[#This Row],[Energy Savings (kWh)]]*Input_AvgkWhRate, "")</f>
        <v/>
      </c>
      <c r="O37" s="72" t="str">
        <f>IF(Table_Custom_Input[[#This Row],[Measure Number]]&lt;&gt;"",Table_Custom_Input[[#This Row],[Total Equipment Cost]]+Table_Custom_Input[[#This Row],[Total Labor Cost]],"")</f>
        <v/>
      </c>
      <c r="P37" s="72" t="str">
        <f>IF(Table_Custom_Input[[#This Row],[Measure Number]]="","",Table_Custom_Input[[#This Row],[Gross Measure Cost]]-Table_Custom_Input[[#This Row],[Estimated Incentive]])</f>
        <v/>
      </c>
      <c r="Q37" s="73" t="str">
        <f>IFERROR('Input Refrigeration Measures'!$P37/'Input Refrigeration Measures'!$N37, "")</f>
        <v/>
      </c>
      <c r="R37"/>
      <c r="S37"/>
      <c r="T37"/>
      <c r="U37"/>
    </row>
    <row r="38" spans="2:21" s="15" customFormat="1" ht="15" x14ac:dyDescent="0.2">
      <c r="B38" s="69">
        <v>33</v>
      </c>
      <c r="C38" s="69" t="str">
        <f>IFERROR(INDEX(Table_Prescript_Meas[Measure Number], MATCH(Table_Custom_Input[[#This Row],[Refrigeration Measure]], Table_Prescript_Meas[Measure Description], 0)), "")</f>
        <v/>
      </c>
      <c r="D38" s="61"/>
      <c r="E38" s="60"/>
      <c r="F38" s="69" t="str">
        <f>IFERROR(INDEX(Table_Prescript_Meas[Units], MATCH(Table_Custom_Input[[#This Row],[Measure Number]], Table_Prescript_Meas[Measure Number], 0)), "")</f>
        <v/>
      </c>
      <c r="G38" s="272"/>
      <c r="H38" s="155"/>
      <c r="I38" s="155"/>
      <c r="J38"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8" s="72" t="str">
        <f>IFERROR(Table_Custom_Input[[#This Row],[Number of Units]]*Table_Custom_Input[[#This Row],[Per-Unit Incentive]],"")</f>
        <v/>
      </c>
      <c r="L38" s="73" t="str">
        <f>IFERROR(Table_Custom_Input[[#This Row],[Number of Units]]*INDEX(Table_Prescript_Meas[Deemed kWh Savings], MATCH(Table_Custom_Input[[#This Row],[Measure Number]], Table_Prescript_Meas[Measure Number], 0)),"" )</f>
        <v/>
      </c>
      <c r="M38" s="79" t="str">
        <f>IFERROR(Table_Custom_Input[[#This Row],[Number of Units]]*INDEX(Table_Prescript_Meas[Deemed kW Savings], MATCH(Table_Custom_Input[[#This Row],[Measure Number]], Table_Prescript_Meas[Measure Number], 0)),"" )</f>
        <v/>
      </c>
      <c r="N38" s="72" t="str">
        <f>IFERROR(Table_Custom_Input[[#This Row],[Energy Savings (kWh)]]*Input_AvgkWhRate, "")</f>
        <v/>
      </c>
      <c r="O38" s="72" t="str">
        <f>IF(Table_Custom_Input[[#This Row],[Measure Number]]&lt;&gt;"",Table_Custom_Input[[#This Row],[Total Equipment Cost]]+Table_Custom_Input[[#This Row],[Total Labor Cost]],"")</f>
        <v/>
      </c>
      <c r="P38" s="72" t="str">
        <f>IF(Table_Custom_Input[[#This Row],[Measure Number]]="","",Table_Custom_Input[[#This Row],[Gross Measure Cost]]-Table_Custom_Input[[#This Row],[Estimated Incentive]])</f>
        <v/>
      </c>
      <c r="Q38" s="73" t="str">
        <f>IFERROR('Input Refrigeration Measures'!$P38/'Input Refrigeration Measures'!$N38, "")</f>
        <v/>
      </c>
      <c r="R38"/>
      <c r="S38"/>
      <c r="T38"/>
      <c r="U38"/>
    </row>
    <row r="39" spans="2:21" s="15" customFormat="1" ht="15" x14ac:dyDescent="0.2">
      <c r="B39" s="69">
        <v>34</v>
      </c>
      <c r="C39" s="69" t="str">
        <f>IFERROR(INDEX(Table_Prescript_Meas[Measure Number], MATCH(Table_Custom_Input[[#This Row],[Refrigeration Measure]], Table_Prescript_Meas[Measure Description], 0)), "")</f>
        <v/>
      </c>
      <c r="D39" s="61"/>
      <c r="E39" s="60"/>
      <c r="F39" s="69" t="str">
        <f>IFERROR(INDEX(Table_Prescript_Meas[Units], MATCH(Table_Custom_Input[[#This Row],[Measure Number]], Table_Prescript_Meas[Measure Number], 0)), "")</f>
        <v/>
      </c>
      <c r="G39" s="272"/>
      <c r="H39" s="155"/>
      <c r="I39" s="155"/>
      <c r="J39"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39" s="72" t="str">
        <f>IFERROR(Table_Custom_Input[[#This Row],[Number of Units]]*Table_Custom_Input[[#This Row],[Per-Unit Incentive]],"")</f>
        <v/>
      </c>
      <c r="L39" s="73" t="str">
        <f>IFERROR(Table_Custom_Input[[#This Row],[Number of Units]]*INDEX(Table_Prescript_Meas[Deemed kWh Savings], MATCH(Table_Custom_Input[[#This Row],[Measure Number]], Table_Prescript_Meas[Measure Number], 0)),"" )</f>
        <v/>
      </c>
      <c r="M39" s="79" t="str">
        <f>IFERROR(Table_Custom_Input[[#This Row],[Number of Units]]*INDEX(Table_Prescript_Meas[Deemed kW Savings], MATCH(Table_Custom_Input[[#This Row],[Measure Number]], Table_Prescript_Meas[Measure Number], 0)),"" )</f>
        <v/>
      </c>
      <c r="N39" s="72" t="str">
        <f>IFERROR(Table_Custom_Input[[#This Row],[Energy Savings (kWh)]]*Input_AvgkWhRate, "")</f>
        <v/>
      </c>
      <c r="O39" s="72" t="str">
        <f>IF(Table_Custom_Input[[#This Row],[Measure Number]]&lt;&gt;"",Table_Custom_Input[[#This Row],[Total Equipment Cost]]+Table_Custom_Input[[#This Row],[Total Labor Cost]],"")</f>
        <v/>
      </c>
      <c r="P39" s="72" t="str">
        <f>IF(Table_Custom_Input[[#This Row],[Measure Number]]="","",Table_Custom_Input[[#This Row],[Gross Measure Cost]]-Table_Custom_Input[[#This Row],[Estimated Incentive]])</f>
        <v/>
      </c>
      <c r="Q39" s="73" t="str">
        <f>IFERROR('Input Refrigeration Measures'!$P39/'Input Refrigeration Measures'!$N39, "")</f>
        <v/>
      </c>
      <c r="R39"/>
      <c r="S39"/>
      <c r="T39"/>
      <c r="U39"/>
    </row>
    <row r="40" spans="2:21" s="15" customFormat="1" ht="15" x14ac:dyDescent="0.2">
      <c r="B40" s="69">
        <v>35</v>
      </c>
      <c r="C40" s="69" t="str">
        <f>IFERROR(INDEX(Table_Prescript_Meas[Measure Number], MATCH(Table_Custom_Input[[#This Row],[Refrigeration Measure]], Table_Prescript_Meas[Measure Description], 0)), "")</f>
        <v/>
      </c>
      <c r="D40" s="61"/>
      <c r="E40" s="60"/>
      <c r="F40" s="69" t="str">
        <f>IFERROR(INDEX(Table_Prescript_Meas[Units], MATCH(Table_Custom_Input[[#This Row],[Measure Number]], Table_Prescript_Meas[Measure Number], 0)), "")</f>
        <v/>
      </c>
      <c r="G40" s="272"/>
      <c r="H40" s="155"/>
      <c r="I40" s="155"/>
      <c r="J40"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0" s="72" t="str">
        <f>IFERROR(Table_Custom_Input[[#This Row],[Number of Units]]*Table_Custom_Input[[#This Row],[Per-Unit Incentive]],"")</f>
        <v/>
      </c>
      <c r="L40" s="73" t="str">
        <f>IFERROR(Table_Custom_Input[[#This Row],[Number of Units]]*INDEX(Table_Prescript_Meas[Deemed kWh Savings], MATCH(Table_Custom_Input[[#This Row],[Measure Number]], Table_Prescript_Meas[Measure Number], 0)),"" )</f>
        <v/>
      </c>
      <c r="M40" s="79" t="str">
        <f>IFERROR(Table_Custom_Input[[#This Row],[Number of Units]]*INDEX(Table_Prescript_Meas[Deemed kW Savings], MATCH(Table_Custom_Input[[#This Row],[Measure Number]], Table_Prescript_Meas[Measure Number], 0)),"" )</f>
        <v/>
      </c>
      <c r="N40" s="72" t="str">
        <f>IFERROR(Table_Custom_Input[[#This Row],[Energy Savings (kWh)]]*Input_AvgkWhRate, "")</f>
        <v/>
      </c>
      <c r="O40" s="72" t="str">
        <f>IF(Table_Custom_Input[[#This Row],[Measure Number]]&lt;&gt;"",Table_Custom_Input[[#This Row],[Total Equipment Cost]]+Table_Custom_Input[[#This Row],[Total Labor Cost]],"")</f>
        <v/>
      </c>
      <c r="P40" s="72" t="str">
        <f>IF(Table_Custom_Input[[#This Row],[Measure Number]]="","",Table_Custom_Input[[#This Row],[Gross Measure Cost]]-Table_Custom_Input[[#This Row],[Estimated Incentive]])</f>
        <v/>
      </c>
      <c r="Q40" s="73" t="str">
        <f>IFERROR('Input Refrigeration Measures'!$P40/'Input Refrigeration Measures'!$N40, "")</f>
        <v/>
      </c>
      <c r="R40"/>
      <c r="S40"/>
      <c r="T40"/>
      <c r="U40"/>
    </row>
    <row r="41" spans="2:21" s="15" customFormat="1" ht="15" x14ac:dyDescent="0.2">
      <c r="B41" s="69">
        <v>36</v>
      </c>
      <c r="C41" s="69" t="str">
        <f>IFERROR(INDEX(Table_Prescript_Meas[Measure Number], MATCH(Table_Custom_Input[[#This Row],[Refrigeration Measure]], Table_Prescript_Meas[Measure Description], 0)), "")</f>
        <v/>
      </c>
      <c r="D41" s="61"/>
      <c r="E41" s="60"/>
      <c r="F41" s="69" t="str">
        <f>IFERROR(INDEX(Table_Prescript_Meas[Units], MATCH(Table_Custom_Input[[#This Row],[Measure Number]], Table_Prescript_Meas[Measure Number], 0)), "")</f>
        <v/>
      </c>
      <c r="G41" s="272"/>
      <c r="H41" s="155"/>
      <c r="I41" s="155"/>
      <c r="J41"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1" s="72" t="str">
        <f>IFERROR(Table_Custom_Input[[#This Row],[Number of Units]]*Table_Custom_Input[[#This Row],[Per-Unit Incentive]],"")</f>
        <v/>
      </c>
      <c r="L41" s="73" t="str">
        <f>IFERROR(Table_Custom_Input[[#This Row],[Number of Units]]*INDEX(Table_Prescript_Meas[Deemed kWh Savings], MATCH(Table_Custom_Input[[#This Row],[Measure Number]], Table_Prescript_Meas[Measure Number], 0)),"" )</f>
        <v/>
      </c>
      <c r="M41" s="79" t="str">
        <f>IFERROR(Table_Custom_Input[[#This Row],[Number of Units]]*INDEX(Table_Prescript_Meas[Deemed kW Savings], MATCH(Table_Custom_Input[[#This Row],[Measure Number]], Table_Prescript_Meas[Measure Number], 0)),"" )</f>
        <v/>
      </c>
      <c r="N41" s="72" t="str">
        <f>IFERROR(Table_Custom_Input[[#This Row],[Energy Savings (kWh)]]*Input_AvgkWhRate, "")</f>
        <v/>
      </c>
      <c r="O41" s="72" t="str">
        <f>IF(Table_Custom_Input[[#This Row],[Measure Number]]&lt;&gt;"",Table_Custom_Input[[#This Row],[Total Equipment Cost]]+Table_Custom_Input[[#This Row],[Total Labor Cost]],"")</f>
        <v/>
      </c>
      <c r="P41" s="72" t="str">
        <f>IF(Table_Custom_Input[[#This Row],[Measure Number]]="","",Table_Custom_Input[[#This Row],[Gross Measure Cost]]-Table_Custom_Input[[#This Row],[Estimated Incentive]])</f>
        <v/>
      </c>
      <c r="Q41" s="73" t="str">
        <f>IFERROR('Input Refrigeration Measures'!$P41/'Input Refrigeration Measures'!$N41, "")</f>
        <v/>
      </c>
      <c r="R41"/>
      <c r="S41"/>
      <c r="T41"/>
      <c r="U41"/>
    </row>
    <row r="42" spans="2:21" s="15" customFormat="1" ht="15" x14ac:dyDescent="0.2">
      <c r="B42" s="69">
        <v>37</v>
      </c>
      <c r="C42" s="69" t="str">
        <f>IFERROR(INDEX(Table_Prescript_Meas[Measure Number], MATCH(Table_Custom_Input[[#This Row],[Refrigeration Measure]], Table_Prescript_Meas[Measure Description], 0)), "")</f>
        <v/>
      </c>
      <c r="D42" s="61"/>
      <c r="E42" s="60"/>
      <c r="F42" s="69" t="str">
        <f>IFERROR(INDEX(Table_Prescript_Meas[Units], MATCH(Table_Custom_Input[[#This Row],[Measure Number]], Table_Prescript_Meas[Measure Number], 0)), "")</f>
        <v/>
      </c>
      <c r="G42" s="272"/>
      <c r="H42" s="155"/>
      <c r="I42" s="155"/>
      <c r="J42"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2" s="72" t="str">
        <f>IFERROR(Table_Custom_Input[[#This Row],[Number of Units]]*Table_Custom_Input[[#This Row],[Per-Unit Incentive]],"")</f>
        <v/>
      </c>
      <c r="L42" s="73" t="str">
        <f>IFERROR(Table_Custom_Input[[#This Row],[Number of Units]]*INDEX(Table_Prescript_Meas[Deemed kWh Savings], MATCH(Table_Custom_Input[[#This Row],[Measure Number]], Table_Prescript_Meas[Measure Number], 0)),"" )</f>
        <v/>
      </c>
      <c r="M42" s="79" t="str">
        <f>IFERROR(Table_Custom_Input[[#This Row],[Number of Units]]*INDEX(Table_Prescript_Meas[Deemed kW Savings], MATCH(Table_Custom_Input[[#This Row],[Measure Number]], Table_Prescript_Meas[Measure Number], 0)),"" )</f>
        <v/>
      </c>
      <c r="N42" s="72" t="str">
        <f>IFERROR(Table_Custom_Input[[#This Row],[Energy Savings (kWh)]]*Input_AvgkWhRate, "")</f>
        <v/>
      </c>
      <c r="O42" s="72" t="str">
        <f>IF(Table_Custom_Input[[#This Row],[Measure Number]]&lt;&gt;"",Table_Custom_Input[[#This Row],[Total Equipment Cost]]+Table_Custom_Input[[#This Row],[Total Labor Cost]],"")</f>
        <v/>
      </c>
      <c r="P42" s="72" t="str">
        <f>IF(Table_Custom_Input[[#This Row],[Measure Number]]="","",Table_Custom_Input[[#This Row],[Gross Measure Cost]]-Table_Custom_Input[[#This Row],[Estimated Incentive]])</f>
        <v/>
      </c>
      <c r="Q42" s="73" t="str">
        <f>IFERROR('Input Refrigeration Measures'!$P42/'Input Refrigeration Measures'!$N42, "")</f>
        <v/>
      </c>
      <c r="R42"/>
      <c r="S42"/>
      <c r="T42"/>
      <c r="U42"/>
    </row>
    <row r="43" spans="2:21" s="15" customFormat="1" ht="15" x14ac:dyDescent="0.2">
      <c r="B43" s="69">
        <v>38</v>
      </c>
      <c r="C43" s="69" t="str">
        <f>IFERROR(INDEX(Table_Prescript_Meas[Measure Number], MATCH(Table_Custom_Input[[#This Row],[Refrigeration Measure]], Table_Prescript_Meas[Measure Description], 0)), "")</f>
        <v/>
      </c>
      <c r="D43" s="61"/>
      <c r="E43" s="60"/>
      <c r="F43" s="69" t="str">
        <f>IFERROR(INDEX(Table_Prescript_Meas[Units], MATCH(Table_Custom_Input[[#This Row],[Measure Number]], Table_Prescript_Meas[Measure Number], 0)), "")</f>
        <v/>
      </c>
      <c r="G43" s="272"/>
      <c r="H43" s="155"/>
      <c r="I43" s="155"/>
      <c r="J43"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3" s="72" t="str">
        <f>IFERROR(Table_Custom_Input[[#This Row],[Number of Units]]*Table_Custom_Input[[#This Row],[Per-Unit Incentive]],"")</f>
        <v/>
      </c>
      <c r="L43" s="73" t="str">
        <f>IFERROR(Table_Custom_Input[[#This Row],[Number of Units]]*INDEX(Table_Prescript_Meas[Deemed kWh Savings], MATCH(Table_Custom_Input[[#This Row],[Measure Number]], Table_Prescript_Meas[Measure Number], 0)),"" )</f>
        <v/>
      </c>
      <c r="M43" s="79" t="str">
        <f>IFERROR(Table_Custom_Input[[#This Row],[Number of Units]]*INDEX(Table_Prescript_Meas[Deemed kW Savings], MATCH(Table_Custom_Input[[#This Row],[Measure Number]], Table_Prescript_Meas[Measure Number], 0)),"" )</f>
        <v/>
      </c>
      <c r="N43" s="72" t="str">
        <f>IFERROR(Table_Custom_Input[[#This Row],[Energy Savings (kWh)]]*Input_AvgkWhRate, "")</f>
        <v/>
      </c>
      <c r="O43" s="72" t="str">
        <f>IF(Table_Custom_Input[[#This Row],[Measure Number]]&lt;&gt;"",Table_Custom_Input[[#This Row],[Total Equipment Cost]]+Table_Custom_Input[[#This Row],[Total Labor Cost]],"")</f>
        <v/>
      </c>
      <c r="P43" s="72" t="str">
        <f>IF(Table_Custom_Input[[#This Row],[Measure Number]]="","",Table_Custom_Input[[#This Row],[Gross Measure Cost]]-Table_Custom_Input[[#This Row],[Estimated Incentive]])</f>
        <v/>
      </c>
      <c r="Q43" s="73" t="str">
        <f>IFERROR('Input Refrigeration Measures'!$P43/'Input Refrigeration Measures'!$N43, "")</f>
        <v/>
      </c>
      <c r="R43"/>
      <c r="S43"/>
      <c r="T43"/>
      <c r="U43"/>
    </row>
    <row r="44" spans="2:21" s="15" customFormat="1" ht="15" x14ac:dyDescent="0.2">
      <c r="B44" s="69">
        <v>39</v>
      </c>
      <c r="C44" s="69" t="str">
        <f>IFERROR(INDEX(Table_Prescript_Meas[Measure Number], MATCH(Table_Custom_Input[[#This Row],[Refrigeration Measure]], Table_Prescript_Meas[Measure Description], 0)), "")</f>
        <v/>
      </c>
      <c r="D44" s="61"/>
      <c r="E44" s="60"/>
      <c r="F44" s="69" t="str">
        <f>IFERROR(INDEX(Table_Prescript_Meas[Units], MATCH(Table_Custom_Input[[#This Row],[Measure Number]], Table_Prescript_Meas[Measure Number], 0)), "")</f>
        <v/>
      </c>
      <c r="G44" s="272"/>
      <c r="H44" s="155"/>
      <c r="I44" s="155"/>
      <c r="J44"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4" s="72" t="str">
        <f>IFERROR(Table_Custom_Input[[#This Row],[Number of Units]]*Table_Custom_Input[[#This Row],[Per-Unit Incentive]],"")</f>
        <v/>
      </c>
      <c r="L44" s="73" t="str">
        <f>IFERROR(Table_Custom_Input[[#This Row],[Number of Units]]*INDEX(Table_Prescript_Meas[Deemed kWh Savings], MATCH(Table_Custom_Input[[#This Row],[Measure Number]], Table_Prescript_Meas[Measure Number], 0)),"" )</f>
        <v/>
      </c>
      <c r="M44" s="79" t="str">
        <f>IFERROR(Table_Custom_Input[[#This Row],[Number of Units]]*INDEX(Table_Prescript_Meas[Deemed kW Savings], MATCH(Table_Custom_Input[[#This Row],[Measure Number]], Table_Prescript_Meas[Measure Number], 0)),"" )</f>
        <v/>
      </c>
      <c r="N44" s="72" t="str">
        <f>IFERROR(Table_Custom_Input[[#This Row],[Energy Savings (kWh)]]*Input_AvgkWhRate, "")</f>
        <v/>
      </c>
      <c r="O44" s="72" t="str">
        <f>IF(Table_Custom_Input[[#This Row],[Measure Number]]&lt;&gt;"",Table_Custom_Input[[#This Row],[Total Equipment Cost]]+Table_Custom_Input[[#This Row],[Total Labor Cost]],"")</f>
        <v/>
      </c>
      <c r="P44" s="72" t="str">
        <f>IF(Table_Custom_Input[[#This Row],[Measure Number]]="","",Table_Custom_Input[[#This Row],[Gross Measure Cost]]-Table_Custom_Input[[#This Row],[Estimated Incentive]])</f>
        <v/>
      </c>
      <c r="Q44" s="73" t="str">
        <f>IFERROR('Input Refrigeration Measures'!$P44/'Input Refrigeration Measures'!$N44, "")</f>
        <v/>
      </c>
      <c r="R44"/>
      <c r="S44"/>
      <c r="T44"/>
      <c r="U44"/>
    </row>
    <row r="45" spans="2:21" s="15" customFormat="1" ht="15" x14ac:dyDescent="0.2">
      <c r="B45" s="69">
        <v>40</v>
      </c>
      <c r="C45" s="69" t="str">
        <f>IFERROR(INDEX(Table_Prescript_Meas[Measure Number], MATCH(Table_Custom_Input[[#This Row],[Refrigeration Measure]], Table_Prescript_Meas[Measure Description], 0)), "")</f>
        <v/>
      </c>
      <c r="D45" s="61"/>
      <c r="E45" s="60"/>
      <c r="F45" s="69" t="str">
        <f>IFERROR(INDEX(Table_Prescript_Meas[Units], MATCH(Table_Custom_Input[[#This Row],[Measure Number]], Table_Prescript_Meas[Measure Number], 0)), "")</f>
        <v/>
      </c>
      <c r="G45" s="272"/>
      <c r="H45" s="155"/>
      <c r="I45" s="155"/>
      <c r="J45"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5" s="72" t="str">
        <f>IFERROR(Table_Custom_Input[[#This Row],[Number of Units]]*Table_Custom_Input[[#This Row],[Per-Unit Incentive]],"")</f>
        <v/>
      </c>
      <c r="L45" s="73" t="str">
        <f>IFERROR(Table_Custom_Input[[#This Row],[Number of Units]]*INDEX(Table_Prescript_Meas[Deemed kWh Savings], MATCH(Table_Custom_Input[[#This Row],[Measure Number]], Table_Prescript_Meas[Measure Number], 0)),"" )</f>
        <v/>
      </c>
      <c r="M45" s="79" t="str">
        <f>IFERROR(Table_Custom_Input[[#This Row],[Number of Units]]*INDEX(Table_Prescript_Meas[Deemed kW Savings], MATCH(Table_Custom_Input[[#This Row],[Measure Number]], Table_Prescript_Meas[Measure Number], 0)),"" )</f>
        <v/>
      </c>
      <c r="N45" s="72" t="str">
        <f>IFERROR(Table_Custom_Input[[#This Row],[Energy Savings (kWh)]]*Input_AvgkWhRate, "")</f>
        <v/>
      </c>
      <c r="O45" s="72" t="str">
        <f>IF(Table_Custom_Input[[#This Row],[Measure Number]]&lt;&gt;"",Table_Custom_Input[[#This Row],[Total Equipment Cost]]+Table_Custom_Input[[#This Row],[Total Labor Cost]],"")</f>
        <v/>
      </c>
      <c r="P45" s="72" t="str">
        <f>IF(Table_Custom_Input[[#This Row],[Measure Number]]="","",Table_Custom_Input[[#This Row],[Gross Measure Cost]]-Table_Custom_Input[[#This Row],[Estimated Incentive]])</f>
        <v/>
      </c>
      <c r="Q45" s="73" t="str">
        <f>IFERROR('Input Refrigeration Measures'!$P45/'Input Refrigeration Measures'!$N45, "")</f>
        <v/>
      </c>
      <c r="R45"/>
      <c r="S45"/>
      <c r="T45"/>
      <c r="U45"/>
    </row>
    <row r="46" spans="2:21" s="15" customFormat="1" ht="15" x14ac:dyDescent="0.2">
      <c r="B46" s="69">
        <v>41</v>
      </c>
      <c r="C46" s="69" t="str">
        <f>IFERROR(INDEX(Table_Prescript_Meas[Measure Number], MATCH(Table_Custom_Input[[#This Row],[Refrigeration Measure]], Table_Prescript_Meas[Measure Description], 0)), "")</f>
        <v/>
      </c>
      <c r="D46" s="61"/>
      <c r="E46" s="60"/>
      <c r="F46" s="69" t="str">
        <f>IFERROR(INDEX(Table_Prescript_Meas[Units], MATCH(Table_Custom_Input[[#This Row],[Measure Number]], Table_Prescript_Meas[Measure Number], 0)), "")</f>
        <v/>
      </c>
      <c r="G46" s="272"/>
      <c r="H46" s="155"/>
      <c r="I46" s="155"/>
      <c r="J46"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6" s="72" t="str">
        <f>IFERROR(Table_Custom_Input[[#This Row],[Number of Units]]*Table_Custom_Input[[#This Row],[Per-Unit Incentive]],"")</f>
        <v/>
      </c>
      <c r="L46" s="73" t="str">
        <f>IFERROR(Table_Custom_Input[[#This Row],[Number of Units]]*INDEX(Table_Prescript_Meas[Deemed kWh Savings], MATCH(Table_Custom_Input[[#This Row],[Measure Number]], Table_Prescript_Meas[Measure Number], 0)),"" )</f>
        <v/>
      </c>
      <c r="M46" s="79" t="str">
        <f>IFERROR(Table_Custom_Input[[#This Row],[Number of Units]]*INDEX(Table_Prescript_Meas[Deemed kW Savings], MATCH(Table_Custom_Input[[#This Row],[Measure Number]], Table_Prescript_Meas[Measure Number], 0)),"" )</f>
        <v/>
      </c>
      <c r="N46" s="72" t="str">
        <f>IFERROR(Table_Custom_Input[[#This Row],[Energy Savings (kWh)]]*Input_AvgkWhRate, "")</f>
        <v/>
      </c>
      <c r="O46" s="72" t="str">
        <f>IF(Table_Custom_Input[[#This Row],[Measure Number]]&lt;&gt;"",Table_Custom_Input[[#This Row],[Total Equipment Cost]]+Table_Custom_Input[[#This Row],[Total Labor Cost]],"")</f>
        <v/>
      </c>
      <c r="P46" s="72" t="str">
        <f>IF(Table_Custom_Input[[#This Row],[Measure Number]]="","",Table_Custom_Input[[#This Row],[Gross Measure Cost]]-Table_Custom_Input[[#This Row],[Estimated Incentive]])</f>
        <v/>
      </c>
      <c r="Q46" s="73" t="str">
        <f>IFERROR('Input Refrigeration Measures'!$P46/'Input Refrigeration Measures'!$N46, "")</f>
        <v/>
      </c>
      <c r="R46"/>
      <c r="S46"/>
      <c r="T46"/>
      <c r="U46"/>
    </row>
    <row r="47" spans="2:21" s="15" customFormat="1" ht="15" x14ac:dyDescent="0.2">
      <c r="B47" s="69">
        <v>42</v>
      </c>
      <c r="C47" s="69" t="str">
        <f>IFERROR(INDEX(Table_Prescript_Meas[Measure Number], MATCH(Table_Custom_Input[[#This Row],[Refrigeration Measure]], Table_Prescript_Meas[Measure Description], 0)), "")</f>
        <v/>
      </c>
      <c r="D47" s="61"/>
      <c r="E47" s="60"/>
      <c r="F47" s="69" t="str">
        <f>IFERROR(INDEX(Table_Prescript_Meas[Units], MATCH(Table_Custom_Input[[#This Row],[Measure Number]], Table_Prescript_Meas[Measure Number], 0)), "")</f>
        <v/>
      </c>
      <c r="G47" s="272"/>
      <c r="H47" s="155"/>
      <c r="I47" s="155"/>
      <c r="J47"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7" s="72" t="str">
        <f>IFERROR(Table_Custom_Input[[#This Row],[Number of Units]]*Table_Custom_Input[[#This Row],[Per-Unit Incentive]],"")</f>
        <v/>
      </c>
      <c r="L47" s="73" t="str">
        <f>IFERROR(Table_Custom_Input[[#This Row],[Number of Units]]*INDEX(Table_Prescript_Meas[Deemed kWh Savings], MATCH(Table_Custom_Input[[#This Row],[Measure Number]], Table_Prescript_Meas[Measure Number], 0)),"" )</f>
        <v/>
      </c>
      <c r="M47" s="79" t="str">
        <f>IFERROR(Table_Custom_Input[[#This Row],[Number of Units]]*INDEX(Table_Prescript_Meas[Deemed kW Savings], MATCH(Table_Custom_Input[[#This Row],[Measure Number]], Table_Prescript_Meas[Measure Number], 0)),"" )</f>
        <v/>
      </c>
      <c r="N47" s="72" t="str">
        <f>IFERROR(Table_Custom_Input[[#This Row],[Energy Savings (kWh)]]*Input_AvgkWhRate, "")</f>
        <v/>
      </c>
      <c r="O47" s="72" t="str">
        <f>IF(Table_Custom_Input[[#This Row],[Measure Number]]&lt;&gt;"",Table_Custom_Input[[#This Row],[Total Equipment Cost]]+Table_Custom_Input[[#This Row],[Total Labor Cost]],"")</f>
        <v/>
      </c>
      <c r="P47" s="72" t="str">
        <f>IF(Table_Custom_Input[[#This Row],[Measure Number]]="","",Table_Custom_Input[[#This Row],[Gross Measure Cost]]-Table_Custom_Input[[#This Row],[Estimated Incentive]])</f>
        <v/>
      </c>
      <c r="Q47" s="73" t="str">
        <f>IFERROR('Input Refrigeration Measures'!$P47/'Input Refrigeration Measures'!$N47, "")</f>
        <v/>
      </c>
      <c r="R47"/>
      <c r="S47"/>
      <c r="T47"/>
      <c r="U47"/>
    </row>
    <row r="48" spans="2:21" s="15" customFormat="1" ht="15" x14ac:dyDescent="0.2">
      <c r="B48" s="69">
        <v>43</v>
      </c>
      <c r="C48" s="69" t="str">
        <f>IFERROR(INDEX(Table_Prescript_Meas[Measure Number], MATCH(Table_Custom_Input[[#This Row],[Refrigeration Measure]], Table_Prescript_Meas[Measure Description], 0)), "")</f>
        <v/>
      </c>
      <c r="D48" s="61"/>
      <c r="E48" s="60"/>
      <c r="F48" s="69" t="str">
        <f>IFERROR(INDEX(Table_Prescript_Meas[Units], MATCH(Table_Custom_Input[[#This Row],[Measure Number]], Table_Prescript_Meas[Measure Number], 0)), "")</f>
        <v/>
      </c>
      <c r="G48" s="272"/>
      <c r="H48" s="155"/>
      <c r="I48" s="155"/>
      <c r="J48"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8" s="72" t="str">
        <f>IFERROR(Table_Custom_Input[[#This Row],[Number of Units]]*Table_Custom_Input[[#This Row],[Per-Unit Incentive]],"")</f>
        <v/>
      </c>
      <c r="L48" s="73" t="str">
        <f>IFERROR(Table_Custom_Input[[#This Row],[Number of Units]]*INDEX(Table_Prescript_Meas[Deemed kWh Savings], MATCH(Table_Custom_Input[[#This Row],[Measure Number]], Table_Prescript_Meas[Measure Number], 0)),"" )</f>
        <v/>
      </c>
      <c r="M48" s="79" t="str">
        <f>IFERROR(Table_Custom_Input[[#This Row],[Number of Units]]*INDEX(Table_Prescript_Meas[Deemed kW Savings], MATCH(Table_Custom_Input[[#This Row],[Measure Number]], Table_Prescript_Meas[Measure Number], 0)),"" )</f>
        <v/>
      </c>
      <c r="N48" s="72" t="str">
        <f>IFERROR(Table_Custom_Input[[#This Row],[Energy Savings (kWh)]]*Input_AvgkWhRate, "")</f>
        <v/>
      </c>
      <c r="O48" s="72" t="str">
        <f>IF(Table_Custom_Input[[#This Row],[Measure Number]]&lt;&gt;"",Table_Custom_Input[[#This Row],[Total Equipment Cost]]+Table_Custom_Input[[#This Row],[Total Labor Cost]],"")</f>
        <v/>
      </c>
      <c r="P48" s="72" t="str">
        <f>IF(Table_Custom_Input[[#This Row],[Measure Number]]="","",Table_Custom_Input[[#This Row],[Gross Measure Cost]]-Table_Custom_Input[[#This Row],[Estimated Incentive]])</f>
        <v/>
      </c>
      <c r="Q48" s="73" t="str">
        <f>IFERROR('Input Refrigeration Measures'!$P48/'Input Refrigeration Measures'!$N48, "")</f>
        <v/>
      </c>
      <c r="R48"/>
      <c r="S48"/>
      <c r="T48"/>
      <c r="U48"/>
    </row>
    <row r="49" spans="2:21" s="15" customFormat="1" ht="15" x14ac:dyDescent="0.2">
      <c r="B49" s="69">
        <v>44</v>
      </c>
      <c r="C49" s="69" t="str">
        <f>IFERROR(INDEX(Table_Prescript_Meas[Measure Number], MATCH(Table_Custom_Input[[#This Row],[Refrigeration Measure]], Table_Prescript_Meas[Measure Description], 0)), "")</f>
        <v/>
      </c>
      <c r="D49" s="61"/>
      <c r="E49" s="60"/>
      <c r="F49" s="69" t="str">
        <f>IFERROR(INDEX(Table_Prescript_Meas[Units], MATCH(Table_Custom_Input[[#This Row],[Measure Number]], Table_Prescript_Meas[Measure Number], 0)), "")</f>
        <v/>
      </c>
      <c r="G49" s="272"/>
      <c r="H49" s="155"/>
      <c r="I49" s="155"/>
      <c r="J49"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49" s="72" t="str">
        <f>IFERROR(Table_Custom_Input[[#This Row],[Number of Units]]*Table_Custom_Input[[#This Row],[Per-Unit Incentive]],"")</f>
        <v/>
      </c>
      <c r="L49" s="73" t="str">
        <f>IFERROR(Table_Custom_Input[[#This Row],[Number of Units]]*INDEX(Table_Prescript_Meas[Deemed kWh Savings], MATCH(Table_Custom_Input[[#This Row],[Measure Number]], Table_Prescript_Meas[Measure Number], 0)),"" )</f>
        <v/>
      </c>
      <c r="M49" s="79" t="str">
        <f>IFERROR(Table_Custom_Input[[#This Row],[Number of Units]]*INDEX(Table_Prescript_Meas[Deemed kW Savings], MATCH(Table_Custom_Input[[#This Row],[Measure Number]], Table_Prescript_Meas[Measure Number], 0)),"" )</f>
        <v/>
      </c>
      <c r="N49" s="72" t="str">
        <f>IFERROR(Table_Custom_Input[[#This Row],[Energy Savings (kWh)]]*Input_AvgkWhRate, "")</f>
        <v/>
      </c>
      <c r="O49" s="72" t="str">
        <f>IF(Table_Custom_Input[[#This Row],[Measure Number]]&lt;&gt;"",Table_Custom_Input[[#This Row],[Total Equipment Cost]]+Table_Custom_Input[[#This Row],[Total Labor Cost]],"")</f>
        <v/>
      </c>
      <c r="P49" s="72" t="str">
        <f>IF(Table_Custom_Input[[#This Row],[Measure Number]]="","",Table_Custom_Input[[#This Row],[Gross Measure Cost]]-Table_Custom_Input[[#This Row],[Estimated Incentive]])</f>
        <v/>
      </c>
      <c r="Q49" s="73" t="str">
        <f>IFERROR('Input Refrigeration Measures'!$P49/'Input Refrigeration Measures'!$N49, "")</f>
        <v/>
      </c>
      <c r="R49"/>
      <c r="S49"/>
      <c r="T49"/>
      <c r="U49"/>
    </row>
    <row r="50" spans="2:21" s="15" customFormat="1" ht="15" x14ac:dyDescent="0.2">
      <c r="B50" s="69">
        <v>45</v>
      </c>
      <c r="C50" s="69" t="str">
        <f>IFERROR(INDEX(Table_Prescript_Meas[Measure Number], MATCH(Table_Custom_Input[[#This Row],[Refrigeration Measure]], Table_Prescript_Meas[Measure Description], 0)), "")</f>
        <v/>
      </c>
      <c r="D50" s="61"/>
      <c r="E50" s="60"/>
      <c r="F50" s="69" t="str">
        <f>IFERROR(INDEX(Table_Prescript_Meas[Units], MATCH(Table_Custom_Input[[#This Row],[Measure Number]], Table_Prescript_Meas[Measure Number], 0)), "")</f>
        <v/>
      </c>
      <c r="G50" s="272"/>
      <c r="H50" s="155"/>
      <c r="I50" s="155"/>
      <c r="J50"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0" s="72" t="str">
        <f>IFERROR(Table_Custom_Input[[#This Row],[Number of Units]]*Table_Custom_Input[[#This Row],[Per-Unit Incentive]],"")</f>
        <v/>
      </c>
      <c r="L50" s="73" t="str">
        <f>IFERROR(Table_Custom_Input[[#This Row],[Number of Units]]*INDEX(Table_Prescript_Meas[Deemed kWh Savings], MATCH(Table_Custom_Input[[#This Row],[Measure Number]], Table_Prescript_Meas[Measure Number], 0)),"" )</f>
        <v/>
      </c>
      <c r="M50" s="79" t="str">
        <f>IFERROR(Table_Custom_Input[[#This Row],[Number of Units]]*INDEX(Table_Prescript_Meas[Deemed kW Savings], MATCH(Table_Custom_Input[[#This Row],[Measure Number]], Table_Prescript_Meas[Measure Number], 0)),"" )</f>
        <v/>
      </c>
      <c r="N50" s="72" t="str">
        <f>IFERROR(Table_Custom_Input[[#This Row],[Energy Savings (kWh)]]*Input_AvgkWhRate, "")</f>
        <v/>
      </c>
      <c r="O50" s="72" t="str">
        <f>IF(Table_Custom_Input[[#This Row],[Measure Number]]&lt;&gt;"",Table_Custom_Input[[#This Row],[Total Equipment Cost]]+Table_Custom_Input[[#This Row],[Total Labor Cost]],"")</f>
        <v/>
      </c>
      <c r="P50" s="72" t="str">
        <f>IF(Table_Custom_Input[[#This Row],[Measure Number]]="","",Table_Custom_Input[[#This Row],[Gross Measure Cost]]-Table_Custom_Input[[#This Row],[Estimated Incentive]])</f>
        <v/>
      </c>
      <c r="Q50" s="73" t="str">
        <f>IFERROR('Input Refrigeration Measures'!$P50/'Input Refrigeration Measures'!$N50, "")</f>
        <v/>
      </c>
      <c r="R50"/>
      <c r="S50"/>
      <c r="T50"/>
      <c r="U50"/>
    </row>
    <row r="51" spans="2:21" s="15" customFormat="1" ht="15" x14ac:dyDescent="0.2">
      <c r="B51" s="69">
        <v>46</v>
      </c>
      <c r="C51" s="69" t="str">
        <f>IFERROR(INDEX(Table_Prescript_Meas[Measure Number], MATCH(Table_Custom_Input[[#This Row],[Refrigeration Measure]], Table_Prescript_Meas[Measure Description], 0)), "")</f>
        <v/>
      </c>
      <c r="D51" s="61"/>
      <c r="E51" s="60"/>
      <c r="F51" s="69" t="str">
        <f>IFERROR(INDEX(Table_Prescript_Meas[Units], MATCH(Table_Custom_Input[[#This Row],[Measure Number]], Table_Prescript_Meas[Measure Number], 0)), "")</f>
        <v/>
      </c>
      <c r="G51" s="272"/>
      <c r="H51" s="155"/>
      <c r="I51" s="155"/>
      <c r="J51"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1" s="72" t="str">
        <f>IFERROR(Table_Custom_Input[[#This Row],[Number of Units]]*Table_Custom_Input[[#This Row],[Per-Unit Incentive]],"")</f>
        <v/>
      </c>
      <c r="L51" s="73" t="str">
        <f>IFERROR(Table_Custom_Input[[#This Row],[Number of Units]]*INDEX(Table_Prescript_Meas[Deemed kWh Savings], MATCH(Table_Custom_Input[[#This Row],[Measure Number]], Table_Prescript_Meas[Measure Number], 0)),"" )</f>
        <v/>
      </c>
      <c r="M51" s="79" t="str">
        <f>IFERROR(Table_Custom_Input[[#This Row],[Number of Units]]*INDEX(Table_Prescript_Meas[Deemed kW Savings], MATCH(Table_Custom_Input[[#This Row],[Measure Number]], Table_Prescript_Meas[Measure Number], 0)),"" )</f>
        <v/>
      </c>
      <c r="N51" s="72" t="str">
        <f>IFERROR(Table_Custom_Input[[#This Row],[Energy Savings (kWh)]]*Input_AvgkWhRate, "")</f>
        <v/>
      </c>
      <c r="O51" s="72" t="str">
        <f>IF(Table_Custom_Input[[#This Row],[Measure Number]]&lt;&gt;"",Table_Custom_Input[[#This Row],[Total Equipment Cost]]+Table_Custom_Input[[#This Row],[Total Labor Cost]],"")</f>
        <v/>
      </c>
      <c r="P51" s="72" t="str">
        <f>IF(Table_Custom_Input[[#This Row],[Measure Number]]="","",Table_Custom_Input[[#This Row],[Gross Measure Cost]]-Table_Custom_Input[[#This Row],[Estimated Incentive]])</f>
        <v/>
      </c>
      <c r="Q51" s="73" t="str">
        <f>IFERROR('Input Refrigeration Measures'!$P51/'Input Refrigeration Measures'!$N51, "")</f>
        <v/>
      </c>
      <c r="R51"/>
      <c r="S51"/>
      <c r="T51"/>
      <c r="U51"/>
    </row>
    <row r="52" spans="2:21" s="15" customFormat="1" ht="15" x14ac:dyDescent="0.2">
      <c r="B52" s="69">
        <v>47</v>
      </c>
      <c r="C52" s="69" t="str">
        <f>IFERROR(INDEX(Table_Prescript_Meas[Measure Number], MATCH(Table_Custom_Input[[#This Row],[Refrigeration Measure]], Table_Prescript_Meas[Measure Description], 0)), "")</f>
        <v/>
      </c>
      <c r="D52" s="61"/>
      <c r="E52" s="60"/>
      <c r="F52" s="69" t="str">
        <f>IFERROR(INDEX(Table_Prescript_Meas[Units], MATCH(Table_Custom_Input[[#This Row],[Measure Number]], Table_Prescript_Meas[Measure Number], 0)), "")</f>
        <v/>
      </c>
      <c r="G52" s="272"/>
      <c r="H52" s="155"/>
      <c r="I52" s="155"/>
      <c r="J52"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2" s="72" t="str">
        <f>IFERROR(Table_Custom_Input[[#This Row],[Number of Units]]*Table_Custom_Input[[#This Row],[Per-Unit Incentive]],"")</f>
        <v/>
      </c>
      <c r="L52" s="73" t="str">
        <f>IFERROR(Table_Custom_Input[[#This Row],[Number of Units]]*INDEX(Table_Prescript_Meas[Deemed kWh Savings], MATCH(Table_Custom_Input[[#This Row],[Measure Number]], Table_Prescript_Meas[Measure Number], 0)),"" )</f>
        <v/>
      </c>
      <c r="M52" s="79" t="str">
        <f>IFERROR(Table_Custom_Input[[#This Row],[Number of Units]]*INDEX(Table_Prescript_Meas[Deemed kW Savings], MATCH(Table_Custom_Input[[#This Row],[Measure Number]], Table_Prescript_Meas[Measure Number], 0)),"" )</f>
        <v/>
      </c>
      <c r="N52" s="72" t="str">
        <f>IFERROR(Table_Custom_Input[[#This Row],[Energy Savings (kWh)]]*Input_AvgkWhRate, "")</f>
        <v/>
      </c>
      <c r="O52" s="72" t="str">
        <f>IF(Table_Custom_Input[[#This Row],[Measure Number]]&lt;&gt;"",Table_Custom_Input[[#This Row],[Total Equipment Cost]]+Table_Custom_Input[[#This Row],[Total Labor Cost]],"")</f>
        <v/>
      </c>
      <c r="P52" s="72" t="str">
        <f>IF(Table_Custom_Input[[#This Row],[Measure Number]]="","",Table_Custom_Input[[#This Row],[Gross Measure Cost]]-Table_Custom_Input[[#This Row],[Estimated Incentive]])</f>
        <v/>
      </c>
      <c r="Q52" s="73" t="str">
        <f>IFERROR('Input Refrigeration Measures'!$P52/'Input Refrigeration Measures'!$N52, "")</f>
        <v/>
      </c>
      <c r="R52"/>
      <c r="S52"/>
      <c r="T52"/>
      <c r="U52"/>
    </row>
    <row r="53" spans="2:21" s="15" customFormat="1" ht="15" x14ac:dyDescent="0.2">
      <c r="B53" s="69">
        <v>48</v>
      </c>
      <c r="C53" s="69" t="str">
        <f>IFERROR(INDEX(Table_Prescript_Meas[Measure Number], MATCH(Table_Custom_Input[[#This Row],[Refrigeration Measure]], Table_Prescript_Meas[Measure Description], 0)), "")</f>
        <v/>
      </c>
      <c r="D53" s="61"/>
      <c r="E53" s="60"/>
      <c r="F53" s="69" t="str">
        <f>IFERROR(INDEX(Table_Prescript_Meas[Units], MATCH(Table_Custom_Input[[#This Row],[Measure Number]], Table_Prescript_Meas[Measure Number], 0)), "")</f>
        <v/>
      </c>
      <c r="G53" s="272"/>
      <c r="H53" s="155"/>
      <c r="I53" s="155"/>
      <c r="J53"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3" s="72" t="str">
        <f>IFERROR(Table_Custom_Input[[#This Row],[Number of Units]]*Table_Custom_Input[[#This Row],[Per-Unit Incentive]],"")</f>
        <v/>
      </c>
      <c r="L53" s="73" t="str">
        <f>IFERROR(Table_Custom_Input[[#This Row],[Number of Units]]*INDEX(Table_Prescript_Meas[Deemed kWh Savings], MATCH(Table_Custom_Input[[#This Row],[Measure Number]], Table_Prescript_Meas[Measure Number], 0)),"" )</f>
        <v/>
      </c>
      <c r="M53" s="79" t="str">
        <f>IFERROR(Table_Custom_Input[[#This Row],[Number of Units]]*INDEX(Table_Prescript_Meas[Deemed kW Savings], MATCH(Table_Custom_Input[[#This Row],[Measure Number]], Table_Prescript_Meas[Measure Number], 0)),"" )</f>
        <v/>
      </c>
      <c r="N53" s="72" t="str">
        <f>IFERROR(Table_Custom_Input[[#This Row],[Energy Savings (kWh)]]*Input_AvgkWhRate, "")</f>
        <v/>
      </c>
      <c r="O53" s="72" t="str">
        <f>IF(Table_Custom_Input[[#This Row],[Measure Number]]&lt;&gt;"",Table_Custom_Input[[#This Row],[Total Equipment Cost]]+Table_Custom_Input[[#This Row],[Total Labor Cost]],"")</f>
        <v/>
      </c>
      <c r="P53" s="72" t="str">
        <f>IF(Table_Custom_Input[[#This Row],[Measure Number]]="","",Table_Custom_Input[[#This Row],[Gross Measure Cost]]-Table_Custom_Input[[#This Row],[Estimated Incentive]])</f>
        <v/>
      </c>
      <c r="Q53" s="73" t="str">
        <f>IFERROR('Input Refrigeration Measures'!$P53/'Input Refrigeration Measures'!$N53, "")</f>
        <v/>
      </c>
      <c r="R53"/>
      <c r="S53"/>
      <c r="T53"/>
      <c r="U53"/>
    </row>
    <row r="54" spans="2:21" s="15" customFormat="1" ht="15" x14ac:dyDescent="0.2">
      <c r="B54" s="69">
        <v>49</v>
      </c>
      <c r="C54" s="69" t="str">
        <f>IFERROR(INDEX(Table_Prescript_Meas[Measure Number], MATCH(Table_Custom_Input[[#This Row],[Refrigeration Measure]], Table_Prescript_Meas[Measure Description], 0)), "")</f>
        <v/>
      </c>
      <c r="D54" s="61"/>
      <c r="E54" s="60"/>
      <c r="F54" s="69" t="str">
        <f>IFERROR(INDEX(Table_Prescript_Meas[Units], MATCH(Table_Custom_Input[[#This Row],[Measure Number]], Table_Prescript_Meas[Measure Number], 0)), "")</f>
        <v/>
      </c>
      <c r="G54" s="272"/>
      <c r="H54" s="155"/>
      <c r="I54" s="155"/>
      <c r="J54"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4" s="72" t="str">
        <f>IFERROR(Table_Custom_Input[[#This Row],[Number of Units]]*Table_Custom_Input[[#This Row],[Per-Unit Incentive]],"")</f>
        <v/>
      </c>
      <c r="L54" s="73" t="str">
        <f>IFERROR(Table_Custom_Input[[#This Row],[Number of Units]]*INDEX(Table_Prescript_Meas[Deemed kWh Savings], MATCH(Table_Custom_Input[[#This Row],[Measure Number]], Table_Prescript_Meas[Measure Number], 0)),"" )</f>
        <v/>
      </c>
      <c r="M54" s="79" t="str">
        <f>IFERROR(Table_Custom_Input[[#This Row],[Number of Units]]*INDEX(Table_Prescript_Meas[Deemed kW Savings], MATCH(Table_Custom_Input[[#This Row],[Measure Number]], Table_Prescript_Meas[Measure Number], 0)),"" )</f>
        <v/>
      </c>
      <c r="N54" s="72" t="str">
        <f>IFERROR(Table_Custom_Input[[#This Row],[Energy Savings (kWh)]]*Input_AvgkWhRate, "")</f>
        <v/>
      </c>
      <c r="O54" s="72" t="str">
        <f>IF(Table_Custom_Input[[#This Row],[Measure Number]]&lt;&gt;"",Table_Custom_Input[[#This Row],[Total Equipment Cost]]+Table_Custom_Input[[#This Row],[Total Labor Cost]],"")</f>
        <v/>
      </c>
      <c r="P54" s="72" t="str">
        <f>IF(Table_Custom_Input[[#This Row],[Measure Number]]="","",Table_Custom_Input[[#This Row],[Gross Measure Cost]]-Table_Custom_Input[[#This Row],[Estimated Incentive]])</f>
        <v/>
      </c>
      <c r="Q54" s="73" t="str">
        <f>IFERROR('Input Refrigeration Measures'!$P54/'Input Refrigeration Measures'!$N54, "")</f>
        <v/>
      </c>
      <c r="R54"/>
      <c r="S54"/>
      <c r="T54"/>
      <c r="U54"/>
    </row>
    <row r="55" spans="2:21" s="15" customFormat="1" ht="15" x14ac:dyDescent="0.2">
      <c r="B55" s="69">
        <v>50</v>
      </c>
      <c r="C55" s="69" t="str">
        <f>IFERROR(INDEX(Table_Prescript_Meas[Measure Number], MATCH(Table_Custom_Input[[#This Row],[Refrigeration Measure]], Table_Prescript_Meas[Measure Description], 0)), "")</f>
        <v/>
      </c>
      <c r="D55" s="61"/>
      <c r="E55" s="60"/>
      <c r="F55" s="69" t="str">
        <f>IFERROR(INDEX(Table_Prescript_Meas[Units], MATCH(Table_Custom_Input[[#This Row],[Measure Number]], Table_Prescript_Meas[Measure Number], 0)), "")</f>
        <v/>
      </c>
      <c r="G55" s="272"/>
      <c r="H55" s="155"/>
      <c r="I55" s="155"/>
      <c r="J55" s="72" t="str">
        <f>IFERROR(IF(Input_ProgramType=References!$W$4, INDEX(Table_Prescript_Meas[Incentive - SC], MATCH(Table_Custom_Input[[#This Row],[Measure Number]], Table_Prescript_Meas[Measure Number], 0)), INDEX(Table_Prescript_Meas[Incentive - LC], MATCH(Table_Custom_Input[[#This Row],[Measure Number]], Table_Prescript_Meas[Measure Number], 0))), "")</f>
        <v/>
      </c>
      <c r="K55" s="72" t="str">
        <f>IFERROR(Table_Custom_Input[[#This Row],[Number of Units]]*Table_Custom_Input[[#This Row],[Per-Unit Incentive]],"")</f>
        <v/>
      </c>
      <c r="L55" s="73" t="str">
        <f>IFERROR(Table_Custom_Input[[#This Row],[Number of Units]]*INDEX(Table_Prescript_Meas[Deemed kWh Savings], MATCH(Table_Custom_Input[[#This Row],[Measure Number]], Table_Prescript_Meas[Measure Number], 0)),"" )</f>
        <v/>
      </c>
      <c r="M55" s="79" t="str">
        <f>IFERROR(Table_Custom_Input[[#This Row],[Number of Units]]*INDEX(Table_Prescript_Meas[Deemed kW Savings], MATCH(Table_Custom_Input[[#This Row],[Measure Number]], Table_Prescript_Meas[Measure Number], 0)),"" )</f>
        <v/>
      </c>
      <c r="N55" s="72" t="str">
        <f>IFERROR(Table_Custom_Input[[#This Row],[Energy Savings (kWh)]]*Input_AvgkWhRate, "")</f>
        <v/>
      </c>
      <c r="O55" s="72" t="str">
        <f>IF(Table_Custom_Input[[#This Row],[Measure Number]]&lt;&gt;"",Table_Custom_Input[[#This Row],[Total Equipment Cost]]+Table_Custom_Input[[#This Row],[Total Labor Cost]],"")</f>
        <v/>
      </c>
      <c r="P55" s="72" t="str">
        <f>IF(Table_Custom_Input[[#This Row],[Measure Number]]="","",Table_Custom_Input[[#This Row],[Gross Measure Cost]]-Table_Custom_Input[[#This Row],[Estimated Incentive]])</f>
        <v/>
      </c>
      <c r="Q55" s="73" t="str">
        <f>IFERROR('Input Refrigeration Measures'!$P55/'Input Refrigeration Measures'!$N55, "")</f>
        <v/>
      </c>
      <c r="R55"/>
      <c r="S55"/>
      <c r="T55"/>
      <c r="U55"/>
    </row>
    <row r="56" spans="2:21" s="15" customFormat="1" ht="15" x14ac:dyDescent="0.2">
      <c r="B56" s="7"/>
      <c r="C56" s="7"/>
      <c r="D56" s="7"/>
      <c r="E56" s="7"/>
      <c r="F56" s="7"/>
      <c r="G56" s="7"/>
      <c r="H56" s="11"/>
      <c r="I56" s="11"/>
      <c r="J56" s="11"/>
      <c r="K56" s="7"/>
      <c r="L56" s="7"/>
      <c r="M56" s="7"/>
      <c r="N56" s="7"/>
      <c r="O56" s="7"/>
      <c r="P56" s="7"/>
      <c r="Q56" s="7"/>
      <c r="R56"/>
      <c r="S56"/>
      <c r="T56"/>
      <c r="U56"/>
    </row>
    <row r="57" spans="2:21" customFormat="1" x14ac:dyDescent="0.2"/>
    <row r="58" spans="2:21" customFormat="1" x14ac:dyDescent="0.2">
      <c r="B58" t="s">
        <v>11</v>
      </c>
    </row>
    <row r="59" spans="2:21" customFormat="1" x14ac:dyDescent="0.2">
      <c r="B59" t="str">
        <f>Value_Application_Version</f>
        <v>Version 5.0</v>
      </c>
    </row>
    <row r="60" spans="2:21" customFormat="1" x14ac:dyDescent="0.2"/>
    <row r="61" spans="2:21" s="15" customFormat="1" ht="15" x14ac:dyDescent="0.2">
      <c r="B61" s="7"/>
      <c r="C61" s="7"/>
      <c r="D61" s="7"/>
      <c r="E61" s="7"/>
      <c r="F61" s="7"/>
      <c r="G61" s="7"/>
      <c r="H61" s="11"/>
      <c r="I61" s="11"/>
      <c r="J61" s="11"/>
      <c r="K61" s="7"/>
      <c r="L61" s="7"/>
      <c r="M61" s="7"/>
      <c r="N61" s="7"/>
      <c r="O61" s="7"/>
      <c r="P61" s="7"/>
      <c r="Q61" s="7"/>
      <c r="R61"/>
      <c r="S61"/>
      <c r="T61"/>
      <c r="U61"/>
    </row>
    <row r="62" spans="2:21" s="15" customFormat="1" ht="15" x14ac:dyDescent="0.2">
      <c r="B62" s="7"/>
      <c r="C62" s="7"/>
      <c r="D62" s="7"/>
      <c r="E62" s="7"/>
      <c r="F62" s="7"/>
      <c r="G62" s="7"/>
      <c r="H62" s="11"/>
      <c r="I62" s="11"/>
      <c r="J62" s="11"/>
      <c r="K62" s="7"/>
      <c r="L62" s="7"/>
      <c r="M62" s="7"/>
      <c r="N62" s="7"/>
      <c r="O62" s="7"/>
      <c r="P62" s="7"/>
      <c r="Q62" s="7"/>
      <c r="R62"/>
      <c r="S62"/>
      <c r="T62"/>
      <c r="U62"/>
    </row>
    <row r="63" spans="2:21" s="15" customFormat="1" ht="15" x14ac:dyDescent="0.2">
      <c r="B63" s="7"/>
      <c r="C63" s="7"/>
      <c r="D63" s="7"/>
      <c r="E63" s="7"/>
      <c r="F63" s="7"/>
      <c r="G63" s="7"/>
      <c r="H63" s="11"/>
      <c r="I63" s="11"/>
      <c r="J63" s="11"/>
      <c r="K63" s="7"/>
      <c r="L63" s="7"/>
      <c r="M63" s="7"/>
      <c r="N63" s="7"/>
      <c r="O63" s="7"/>
      <c r="P63" s="7"/>
      <c r="Q63" s="7"/>
      <c r="R63"/>
      <c r="S63"/>
      <c r="T63"/>
      <c r="U63"/>
    </row>
    <row r="64" spans="2:21" s="15" customFormat="1" ht="15" x14ac:dyDescent="0.2">
      <c r="B64" s="7"/>
      <c r="C64" s="7"/>
      <c r="D64" s="7"/>
      <c r="E64" s="7"/>
      <c r="F64" s="7"/>
      <c r="G64" s="7"/>
      <c r="H64" s="11"/>
      <c r="I64" s="11"/>
      <c r="J64" s="11"/>
      <c r="K64" s="7"/>
      <c r="L64" s="7"/>
      <c r="M64" s="7"/>
      <c r="N64" s="7"/>
      <c r="O64" s="7"/>
      <c r="P64" s="7"/>
      <c r="Q64" s="7"/>
      <c r="R64"/>
      <c r="S64"/>
      <c r="T64"/>
      <c r="U64"/>
    </row>
    <row r="65" spans="2:21" s="15" customFormat="1" ht="15" x14ac:dyDescent="0.2">
      <c r="B65" s="7"/>
      <c r="C65" s="7"/>
      <c r="D65" s="7"/>
      <c r="E65" s="7"/>
      <c r="F65" s="7"/>
      <c r="G65" s="7"/>
      <c r="H65" s="11"/>
      <c r="I65" s="11"/>
      <c r="J65" s="11"/>
      <c r="K65" s="7"/>
      <c r="L65" s="7"/>
      <c r="M65" s="7"/>
      <c r="N65" s="7"/>
      <c r="O65" s="7"/>
      <c r="P65" s="7"/>
      <c r="Q65" s="7"/>
      <c r="R65"/>
      <c r="S65"/>
      <c r="T65"/>
      <c r="U65"/>
    </row>
    <row r="66" spans="2:21" s="15" customFormat="1" ht="15" x14ac:dyDescent="0.2">
      <c r="B66" s="7"/>
      <c r="C66" s="7"/>
      <c r="D66" s="7"/>
      <c r="E66" s="7"/>
      <c r="F66" s="7"/>
      <c r="G66" s="7"/>
      <c r="H66" s="11"/>
      <c r="I66" s="11"/>
      <c r="J66" s="11"/>
      <c r="K66" s="7"/>
      <c r="L66" s="7"/>
      <c r="M66" s="7"/>
      <c r="N66" s="7"/>
      <c r="O66" s="7"/>
      <c r="P66" s="7"/>
      <c r="Q66" s="7"/>
      <c r="R66"/>
      <c r="S66"/>
      <c r="T66"/>
      <c r="U66"/>
    </row>
    <row r="67" spans="2:21" s="15" customFormat="1" ht="15" x14ac:dyDescent="0.2">
      <c r="B67" s="7"/>
      <c r="C67" s="7"/>
      <c r="D67" s="7"/>
      <c r="E67" s="7"/>
      <c r="F67" s="7"/>
      <c r="G67" s="7"/>
      <c r="H67" s="11"/>
      <c r="I67" s="11"/>
      <c r="J67" s="11"/>
      <c r="K67" s="7"/>
      <c r="L67" s="7"/>
      <c r="M67" s="7"/>
      <c r="N67" s="7"/>
      <c r="O67" s="7"/>
      <c r="P67" s="7"/>
      <c r="Q67" s="7"/>
      <c r="R67"/>
      <c r="S67"/>
      <c r="T67"/>
      <c r="U67"/>
    </row>
    <row r="68" spans="2:21" s="15" customFormat="1" ht="15" x14ac:dyDescent="0.2">
      <c r="B68" s="7"/>
      <c r="C68" s="7"/>
      <c r="D68" s="7"/>
      <c r="E68" s="7"/>
      <c r="F68" s="7"/>
      <c r="G68" s="7"/>
      <c r="H68" s="11"/>
      <c r="I68" s="11"/>
      <c r="J68" s="11"/>
      <c r="K68" s="7"/>
      <c r="L68" s="7"/>
      <c r="M68" s="7"/>
      <c r="N68" s="7"/>
      <c r="O68" s="7"/>
      <c r="P68" s="7"/>
      <c r="Q68" s="7"/>
      <c r="R68"/>
      <c r="S68"/>
      <c r="T68"/>
      <c r="U68"/>
    </row>
    <row r="69" spans="2:21" s="15" customFormat="1" ht="15" x14ac:dyDescent="0.2">
      <c r="B69" s="7"/>
      <c r="C69" s="7"/>
      <c r="D69" s="7"/>
      <c r="E69" s="7"/>
      <c r="F69" s="7"/>
      <c r="G69" s="7"/>
      <c r="H69" s="11"/>
      <c r="I69" s="11"/>
      <c r="J69" s="11"/>
      <c r="K69" s="7"/>
      <c r="L69" s="7"/>
      <c r="M69" s="7"/>
      <c r="N69" s="7"/>
      <c r="O69" s="7"/>
      <c r="P69" s="7"/>
      <c r="Q69" s="7"/>
      <c r="R69"/>
      <c r="S69"/>
      <c r="T69"/>
      <c r="U69"/>
    </row>
    <row r="70" spans="2:21" s="15" customFormat="1" ht="15" x14ac:dyDescent="0.2">
      <c r="B70" s="7"/>
      <c r="C70" s="7"/>
      <c r="D70" s="7"/>
      <c r="E70" s="7"/>
      <c r="F70" s="7"/>
      <c r="G70" s="7"/>
      <c r="H70" s="11"/>
      <c r="I70" s="11"/>
      <c r="J70" s="11"/>
      <c r="K70" s="7"/>
      <c r="L70" s="7"/>
      <c r="M70" s="7"/>
      <c r="N70" s="7"/>
      <c r="O70" s="7"/>
      <c r="P70" s="7"/>
      <c r="Q70" s="7"/>
      <c r="R70"/>
      <c r="S70"/>
      <c r="T70"/>
      <c r="U70"/>
    </row>
    <row r="71" spans="2:21" s="15" customFormat="1" ht="15" x14ac:dyDescent="0.2">
      <c r="B71" s="7"/>
      <c r="C71" s="7"/>
      <c r="D71" s="7"/>
      <c r="E71" s="7"/>
      <c r="F71" s="7"/>
      <c r="G71" s="7"/>
      <c r="H71" s="11"/>
      <c r="I71" s="11"/>
      <c r="J71" s="11"/>
      <c r="K71" s="7"/>
      <c r="L71" s="7"/>
      <c r="M71" s="7"/>
      <c r="N71" s="7"/>
      <c r="O71" s="7"/>
      <c r="P71" s="7"/>
      <c r="Q71" s="7"/>
      <c r="R71"/>
      <c r="S71"/>
      <c r="T71"/>
      <c r="U71"/>
    </row>
    <row r="72" spans="2:21" s="15" customFormat="1" ht="15" x14ac:dyDescent="0.2">
      <c r="B72" s="7"/>
      <c r="C72" s="7"/>
      <c r="D72" s="7"/>
      <c r="E72" s="7"/>
      <c r="F72" s="7"/>
      <c r="G72" s="7"/>
      <c r="H72" s="11"/>
      <c r="I72" s="11"/>
      <c r="J72" s="11"/>
      <c r="K72" s="7"/>
      <c r="L72" s="7"/>
      <c r="M72" s="7"/>
      <c r="N72" s="7"/>
      <c r="O72" s="7"/>
      <c r="P72" s="7"/>
      <c r="Q72" s="7"/>
      <c r="R72"/>
      <c r="S72"/>
      <c r="T72"/>
      <c r="U72"/>
    </row>
    <row r="73" spans="2:21" s="15" customFormat="1" ht="15" x14ac:dyDescent="0.2">
      <c r="B73" s="7"/>
      <c r="C73" s="7"/>
      <c r="D73" s="7"/>
      <c r="E73" s="7"/>
      <c r="F73" s="7"/>
      <c r="G73" s="7"/>
      <c r="H73" s="11"/>
      <c r="I73" s="11"/>
      <c r="J73" s="11"/>
      <c r="K73" s="7"/>
      <c r="L73" s="7"/>
      <c r="M73" s="7"/>
      <c r="N73" s="7"/>
      <c r="O73" s="7"/>
      <c r="P73" s="7"/>
      <c r="Q73" s="7"/>
      <c r="R73"/>
      <c r="S73"/>
      <c r="T73"/>
      <c r="U73"/>
    </row>
    <row r="74" spans="2:21" s="15" customFormat="1" ht="15" x14ac:dyDescent="0.2">
      <c r="B74" s="7"/>
      <c r="C74" s="7"/>
      <c r="D74" s="7"/>
      <c r="E74" s="7"/>
      <c r="F74" s="7"/>
      <c r="G74" s="7"/>
      <c r="H74" s="11"/>
      <c r="I74" s="11"/>
      <c r="J74" s="11"/>
      <c r="K74" s="7"/>
      <c r="L74" s="7"/>
      <c r="M74" s="7"/>
      <c r="N74" s="7"/>
      <c r="O74" s="7"/>
      <c r="P74" s="7"/>
      <c r="Q74" s="7"/>
      <c r="R74"/>
      <c r="S74"/>
      <c r="T74"/>
      <c r="U74"/>
    </row>
    <row r="75" spans="2:21" s="15" customFormat="1" ht="15" x14ac:dyDescent="0.2">
      <c r="B75" s="7"/>
      <c r="C75" s="7"/>
      <c r="D75" s="7"/>
      <c r="E75" s="7"/>
      <c r="F75" s="7"/>
      <c r="G75" s="7"/>
      <c r="H75" s="11"/>
      <c r="I75" s="11"/>
      <c r="J75" s="11"/>
      <c r="K75" s="7"/>
      <c r="L75" s="7"/>
      <c r="M75" s="7"/>
      <c r="N75" s="7"/>
      <c r="O75" s="7"/>
      <c r="P75" s="7"/>
      <c r="Q75" s="7"/>
      <c r="R75"/>
      <c r="S75"/>
      <c r="T75"/>
      <c r="U75"/>
    </row>
    <row r="76" spans="2:21" s="15" customFormat="1" ht="15" x14ac:dyDescent="0.2">
      <c r="B76" s="7"/>
      <c r="C76" s="7"/>
      <c r="D76" s="7"/>
      <c r="E76" s="7"/>
      <c r="F76" s="7"/>
      <c r="G76" s="7"/>
      <c r="H76" s="11"/>
      <c r="I76" s="11"/>
      <c r="J76" s="11"/>
      <c r="K76" s="7"/>
      <c r="L76" s="7"/>
      <c r="M76" s="7"/>
      <c r="N76" s="7"/>
      <c r="O76" s="7"/>
      <c r="P76" s="7"/>
      <c r="Q76" s="7"/>
      <c r="R76"/>
      <c r="S76"/>
      <c r="T76"/>
      <c r="U76"/>
    </row>
    <row r="77" spans="2:21" s="15" customFormat="1" ht="15" x14ac:dyDescent="0.2">
      <c r="B77" s="7"/>
      <c r="C77" s="7"/>
      <c r="D77" s="7"/>
      <c r="E77" s="7"/>
      <c r="F77" s="7"/>
      <c r="G77" s="7"/>
      <c r="H77" s="11"/>
      <c r="I77" s="11"/>
      <c r="J77" s="11"/>
      <c r="K77" s="7"/>
      <c r="L77" s="7"/>
      <c r="M77" s="7"/>
      <c r="N77" s="7"/>
      <c r="O77" s="7"/>
      <c r="P77" s="7"/>
      <c r="Q77" s="7"/>
      <c r="R77"/>
      <c r="S77"/>
      <c r="T77"/>
      <c r="U77"/>
    </row>
    <row r="78" spans="2:21" s="15" customFormat="1" ht="15" x14ac:dyDescent="0.2">
      <c r="B78" s="7"/>
      <c r="C78" s="7"/>
      <c r="D78" s="7"/>
      <c r="E78" s="7"/>
      <c r="F78" s="7"/>
      <c r="G78" s="7"/>
      <c r="H78" s="11"/>
      <c r="I78" s="11"/>
      <c r="J78" s="11"/>
      <c r="K78" s="7"/>
      <c r="L78" s="7"/>
      <c r="M78" s="7"/>
      <c r="N78" s="7"/>
      <c r="O78" s="7"/>
      <c r="P78" s="7"/>
      <c r="Q78" s="7"/>
      <c r="R78"/>
      <c r="S78"/>
      <c r="T78"/>
      <c r="U78"/>
    </row>
    <row r="79" spans="2:21" s="15" customFormat="1" ht="15" x14ac:dyDescent="0.2">
      <c r="B79" s="7"/>
      <c r="C79" s="7"/>
      <c r="D79" s="7"/>
      <c r="E79" s="7"/>
      <c r="F79" s="7"/>
      <c r="G79" s="7"/>
      <c r="H79" s="11"/>
      <c r="I79" s="11"/>
      <c r="J79" s="11"/>
      <c r="K79" s="7"/>
      <c r="L79" s="7"/>
      <c r="M79" s="7"/>
      <c r="N79" s="7"/>
      <c r="O79" s="7"/>
      <c r="P79" s="7"/>
      <c r="Q79" s="7"/>
      <c r="R79"/>
      <c r="S79"/>
      <c r="T79"/>
      <c r="U79"/>
    </row>
    <row r="80" spans="2:21" s="15" customFormat="1" ht="15" x14ac:dyDescent="0.2">
      <c r="B80" s="7"/>
      <c r="C80" s="7"/>
      <c r="D80" s="7"/>
      <c r="E80" s="7"/>
      <c r="F80" s="7"/>
      <c r="G80" s="7"/>
      <c r="H80" s="11"/>
      <c r="I80" s="11"/>
      <c r="J80" s="11"/>
      <c r="K80" s="7"/>
      <c r="L80" s="7"/>
      <c r="M80" s="7"/>
      <c r="N80" s="7"/>
      <c r="O80" s="7"/>
      <c r="P80" s="7"/>
      <c r="Q80" s="7"/>
      <c r="R80"/>
      <c r="S80"/>
      <c r="T80"/>
      <c r="U80"/>
    </row>
    <row r="81" spans="2:21" s="15" customFormat="1" ht="15" x14ac:dyDescent="0.2">
      <c r="B81" s="7"/>
      <c r="C81" s="7"/>
      <c r="D81" s="7"/>
      <c r="E81" s="7"/>
      <c r="F81" s="7"/>
      <c r="G81" s="7"/>
      <c r="H81" s="11"/>
      <c r="I81" s="11"/>
      <c r="J81" s="11"/>
      <c r="K81" s="7"/>
      <c r="L81" s="7"/>
      <c r="M81" s="7"/>
      <c r="N81" s="7"/>
      <c r="O81" s="7"/>
      <c r="P81" s="7"/>
      <c r="Q81" s="7"/>
      <c r="R81"/>
      <c r="S81"/>
      <c r="T81"/>
      <c r="U81"/>
    </row>
    <row r="82" spans="2:21" s="15" customFormat="1" ht="15" x14ac:dyDescent="0.2">
      <c r="B82" s="7"/>
      <c r="C82" s="7"/>
      <c r="D82" s="7"/>
      <c r="E82" s="7"/>
      <c r="F82" s="7"/>
      <c r="G82" s="7"/>
      <c r="H82" s="11"/>
      <c r="I82" s="11"/>
      <c r="J82" s="11"/>
      <c r="K82" s="7"/>
      <c r="L82" s="7"/>
      <c r="M82" s="7"/>
      <c r="N82" s="7"/>
      <c r="O82" s="7"/>
      <c r="P82" s="7"/>
      <c r="Q82" s="7"/>
      <c r="R82"/>
      <c r="S82"/>
      <c r="T82"/>
      <c r="U82"/>
    </row>
    <row r="83" spans="2:21" s="15" customFormat="1" ht="15" x14ac:dyDescent="0.2">
      <c r="B83" s="7"/>
      <c r="C83" s="7"/>
      <c r="D83" s="7"/>
      <c r="E83" s="7"/>
      <c r="F83" s="7"/>
      <c r="G83" s="7"/>
      <c r="H83" s="11"/>
      <c r="I83" s="11"/>
      <c r="J83" s="11"/>
      <c r="K83" s="7"/>
      <c r="L83" s="7"/>
      <c r="M83" s="7"/>
      <c r="N83" s="7"/>
      <c r="O83" s="7"/>
      <c r="P83" s="7"/>
      <c r="Q83" s="7"/>
      <c r="R83"/>
      <c r="S83"/>
      <c r="T83"/>
      <c r="U83"/>
    </row>
    <row r="84" spans="2:21" s="15" customFormat="1" ht="15" x14ac:dyDescent="0.2">
      <c r="B84" s="7"/>
      <c r="C84" s="7"/>
      <c r="D84" s="7"/>
      <c r="E84" s="7"/>
      <c r="F84" s="7"/>
      <c r="G84" s="7"/>
      <c r="H84" s="11"/>
      <c r="I84" s="11"/>
      <c r="J84" s="11"/>
      <c r="K84" s="7"/>
      <c r="L84" s="7"/>
      <c r="M84" s="7"/>
      <c r="N84" s="7"/>
      <c r="O84" s="7"/>
      <c r="P84" s="7"/>
      <c r="Q84" s="7"/>
      <c r="R84"/>
      <c r="S84"/>
      <c r="T84"/>
      <c r="U84"/>
    </row>
    <row r="85" spans="2:21" s="15" customFormat="1" ht="15" x14ac:dyDescent="0.2">
      <c r="B85" s="7"/>
      <c r="C85" s="7"/>
      <c r="D85" s="7"/>
      <c r="E85" s="7"/>
      <c r="F85" s="7"/>
      <c r="G85" s="7"/>
      <c r="H85" s="11"/>
      <c r="I85" s="11"/>
      <c r="J85" s="11"/>
      <c r="K85" s="7"/>
      <c r="L85" s="7"/>
      <c r="M85" s="7"/>
      <c r="N85" s="7"/>
      <c r="O85" s="7"/>
      <c r="P85" s="7"/>
      <c r="Q85" s="7"/>
      <c r="R85"/>
      <c r="S85"/>
      <c r="T85"/>
      <c r="U85"/>
    </row>
    <row r="86" spans="2:21" s="15" customFormat="1" ht="15" x14ac:dyDescent="0.2">
      <c r="B86" s="7"/>
      <c r="C86" s="7"/>
      <c r="D86" s="7"/>
      <c r="E86" s="7"/>
      <c r="F86" s="7"/>
      <c r="G86" s="7"/>
      <c r="H86" s="11"/>
      <c r="I86" s="11"/>
      <c r="J86" s="11"/>
      <c r="K86" s="7"/>
      <c r="L86" s="7"/>
      <c r="M86" s="7"/>
      <c r="N86" s="7"/>
      <c r="O86" s="7"/>
      <c r="P86" s="7"/>
      <c r="Q86" s="7"/>
      <c r="R86"/>
      <c r="S86"/>
      <c r="T86"/>
      <c r="U86"/>
    </row>
    <row r="87" spans="2:21" s="15" customFormat="1" ht="15" x14ac:dyDescent="0.2">
      <c r="B87" s="7"/>
      <c r="C87" s="7"/>
      <c r="D87" s="7"/>
      <c r="E87" s="7"/>
      <c r="F87" s="7"/>
      <c r="G87" s="7"/>
      <c r="H87" s="11"/>
      <c r="I87" s="11"/>
      <c r="J87" s="11"/>
      <c r="K87" s="7"/>
      <c r="L87" s="7"/>
      <c r="M87" s="7"/>
      <c r="N87" s="7"/>
      <c r="O87" s="7"/>
      <c r="P87" s="7"/>
      <c r="Q87" s="7"/>
      <c r="R87"/>
      <c r="S87"/>
      <c r="T87"/>
      <c r="U87"/>
    </row>
    <row r="88" spans="2:21" s="15" customFormat="1" ht="15" x14ac:dyDescent="0.2">
      <c r="B88" s="7"/>
      <c r="C88" s="7"/>
      <c r="D88" s="7"/>
      <c r="E88" s="7"/>
      <c r="F88" s="7"/>
      <c r="G88" s="7"/>
      <c r="H88" s="11"/>
      <c r="I88" s="11"/>
      <c r="J88" s="11"/>
      <c r="K88" s="7"/>
      <c r="L88" s="7"/>
      <c r="M88" s="7"/>
      <c r="N88" s="7"/>
      <c r="O88" s="7"/>
      <c r="P88" s="7"/>
      <c r="Q88" s="7"/>
      <c r="R88"/>
      <c r="S88"/>
      <c r="T88"/>
      <c r="U88"/>
    </row>
    <row r="89" spans="2:21" s="15" customFormat="1" ht="15" x14ac:dyDescent="0.2">
      <c r="B89" s="7"/>
      <c r="C89" s="7"/>
      <c r="D89" s="7"/>
      <c r="E89" s="7"/>
      <c r="F89" s="7"/>
      <c r="G89" s="7"/>
      <c r="H89" s="11"/>
      <c r="I89" s="11"/>
      <c r="J89" s="11"/>
      <c r="K89" s="7"/>
      <c r="L89" s="7"/>
      <c r="M89" s="7"/>
      <c r="N89" s="7"/>
      <c r="O89" s="7"/>
      <c r="P89" s="7"/>
      <c r="Q89" s="7"/>
      <c r="R89"/>
      <c r="S89"/>
      <c r="T89"/>
      <c r="U89"/>
    </row>
    <row r="90" spans="2:21" s="15" customFormat="1" ht="15" x14ac:dyDescent="0.2">
      <c r="B90" s="7"/>
      <c r="C90" s="7"/>
      <c r="D90" s="7"/>
      <c r="E90" s="7"/>
      <c r="F90" s="7"/>
      <c r="G90" s="7"/>
      <c r="H90" s="11"/>
      <c r="I90" s="11"/>
      <c r="J90" s="11"/>
      <c r="K90" s="7"/>
      <c r="L90" s="7"/>
      <c r="M90" s="7"/>
      <c r="N90" s="7"/>
      <c r="O90" s="7"/>
      <c r="P90" s="7"/>
      <c r="Q90" s="7"/>
      <c r="R90"/>
      <c r="S90"/>
      <c r="T90"/>
      <c r="U90"/>
    </row>
    <row r="91" spans="2:21" s="15" customFormat="1" ht="15" x14ac:dyDescent="0.2">
      <c r="B91" s="7"/>
      <c r="C91" s="7"/>
      <c r="D91" s="7"/>
      <c r="E91" s="7"/>
      <c r="F91" s="7"/>
      <c r="G91" s="7"/>
      <c r="H91" s="11"/>
      <c r="I91" s="11"/>
      <c r="J91" s="11"/>
      <c r="K91" s="7"/>
      <c r="L91" s="7"/>
      <c r="M91" s="7"/>
      <c r="N91" s="7"/>
      <c r="O91" s="7"/>
      <c r="P91" s="7"/>
      <c r="Q91" s="7"/>
      <c r="R91"/>
      <c r="S91"/>
      <c r="T91"/>
      <c r="U91"/>
    </row>
    <row r="92" spans="2:21" s="15" customFormat="1" ht="15" x14ac:dyDescent="0.2">
      <c r="B92" s="7"/>
      <c r="C92" s="7"/>
      <c r="D92" s="7"/>
      <c r="E92" s="7"/>
      <c r="F92" s="7"/>
      <c r="G92" s="7"/>
      <c r="H92" s="11"/>
      <c r="I92" s="11"/>
      <c r="J92" s="11"/>
      <c r="K92" s="7"/>
      <c r="L92" s="7"/>
      <c r="M92" s="7"/>
      <c r="N92" s="7"/>
      <c r="O92" s="7"/>
      <c r="P92" s="7"/>
      <c r="Q92" s="7"/>
      <c r="R92"/>
      <c r="S92"/>
      <c r="T92"/>
      <c r="U92"/>
    </row>
    <row r="93" spans="2:21" s="15" customFormat="1" ht="15" x14ac:dyDescent="0.2">
      <c r="B93" s="7"/>
      <c r="C93" s="7"/>
      <c r="D93" s="7"/>
      <c r="E93" s="7"/>
      <c r="F93" s="7"/>
      <c r="G93" s="7"/>
      <c r="H93" s="11"/>
      <c r="I93" s="11"/>
      <c r="J93" s="11"/>
      <c r="K93" s="7"/>
      <c r="L93" s="7"/>
      <c r="M93" s="7"/>
      <c r="N93" s="7"/>
      <c r="O93" s="7"/>
      <c r="P93" s="7"/>
      <c r="Q93" s="7"/>
      <c r="R93"/>
      <c r="S93"/>
      <c r="T93"/>
      <c r="U93"/>
    </row>
    <row r="94" spans="2:21" s="15" customFormat="1" ht="15" x14ac:dyDescent="0.2">
      <c r="B94" s="7"/>
      <c r="C94" s="7"/>
      <c r="D94" s="7"/>
      <c r="E94" s="7"/>
      <c r="F94" s="7"/>
      <c r="G94" s="7"/>
      <c r="H94" s="11"/>
      <c r="I94" s="11"/>
      <c r="J94" s="11"/>
      <c r="K94" s="7"/>
      <c r="L94" s="7"/>
      <c r="M94" s="7"/>
      <c r="N94" s="7"/>
      <c r="O94" s="7"/>
      <c r="P94" s="7"/>
      <c r="Q94" s="7"/>
      <c r="R94"/>
      <c r="S94"/>
      <c r="T94"/>
      <c r="U94"/>
    </row>
    <row r="95" spans="2:21" s="15" customFormat="1" ht="15" x14ac:dyDescent="0.2">
      <c r="B95" s="7"/>
      <c r="C95" s="7"/>
      <c r="D95" s="7"/>
      <c r="E95" s="7"/>
      <c r="F95" s="7"/>
      <c r="G95" s="7"/>
      <c r="H95" s="11"/>
      <c r="I95" s="11"/>
      <c r="J95" s="11"/>
      <c r="K95" s="7"/>
      <c r="L95" s="7"/>
      <c r="M95" s="7"/>
      <c r="N95" s="7"/>
      <c r="O95" s="7"/>
      <c r="P95" s="7"/>
      <c r="Q95" s="7"/>
      <c r="R95"/>
      <c r="S95"/>
      <c r="T95"/>
      <c r="U95"/>
    </row>
    <row r="96" spans="2:21" s="15" customFormat="1" ht="15" x14ac:dyDescent="0.2">
      <c r="B96" s="7"/>
      <c r="C96" s="7"/>
      <c r="D96" s="7"/>
      <c r="E96" s="7"/>
      <c r="F96" s="7"/>
      <c r="G96" s="7"/>
      <c r="H96" s="11"/>
      <c r="I96" s="11"/>
      <c r="J96" s="11"/>
      <c r="K96" s="7"/>
      <c r="L96" s="7"/>
      <c r="M96" s="7"/>
      <c r="N96" s="7"/>
      <c r="O96" s="7"/>
      <c r="P96" s="7"/>
      <c r="Q96" s="7"/>
      <c r="R96"/>
      <c r="S96"/>
      <c r="T96"/>
      <c r="U96"/>
    </row>
    <row r="97" spans="2:21" s="15" customFormat="1" ht="15" x14ac:dyDescent="0.2">
      <c r="B97" s="7"/>
      <c r="C97" s="7"/>
      <c r="D97" s="7"/>
      <c r="E97" s="7"/>
      <c r="F97" s="7"/>
      <c r="G97" s="7"/>
      <c r="H97" s="11"/>
      <c r="I97" s="11"/>
      <c r="J97" s="11"/>
      <c r="K97" s="7"/>
      <c r="L97" s="7"/>
      <c r="M97" s="7"/>
      <c r="N97" s="7"/>
      <c r="O97" s="7"/>
      <c r="P97" s="7"/>
      <c r="Q97" s="7"/>
      <c r="R97"/>
      <c r="S97"/>
      <c r="T97"/>
      <c r="U97"/>
    </row>
    <row r="98" spans="2:21" s="15" customFormat="1" ht="15" x14ac:dyDescent="0.2">
      <c r="B98" s="7"/>
      <c r="C98" s="7"/>
      <c r="D98" s="7"/>
      <c r="E98" s="7"/>
      <c r="F98" s="7"/>
      <c r="G98" s="7"/>
      <c r="H98" s="11"/>
      <c r="I98" s="11"/>
      <c r="J98" s="11"/>
      <c r="K98" s="7"/>
      <c r="L98" s="7"/>
      <c r="M98" s="7"/>
      <c r="N98" s="7"/>
      <c r="O98" s="7"/>
      <c r="P98" s="7"/>
      <c r="Q98" s="7"/>
      <c r="R98"/>
      <c r="S98"/>
      <c r="T98"/>
      <c r="U98"/>
    </row>
    <row r="99" spans="2:21" s="15" customFormat="1" ht="15" x14ac:dyDescent="0.2">
      <c r="B99" s="7"/>
      <c r="C99" s="7"/>
      <c r="D99" s="7"/>
      <c r="E99" s="7"/>
      <c r="F99" s="7"/>
      <c r="G99" s="7"/>
      <c r="H99" s="11"/>
      <c r="I99" s="11"/>
      <c r="J99" s="11"/>
      <c r="K99" s="7"/>
      <c r="L99" s="7"/>
      <c r="M99" s="7"/>
      <c r="N99" s="7"/>
      <c r="O99" s="7"/>
      <c r="P99" s="7"/>
      <c r="Q99" s="7"/>
      <c r="R99"/>
      <c r="S99"/>
      <c r="T99"/>
      <c r="U99"/>
    </row>
    <row r="100" spans="2:21" s="15" customFormat="1" ht="15" x14ac:dyDescent="0.2">
      <c r="B100" s="7"/>
      <c r="C100" s="7"/>
      <c r="D100" s="7"/>
      <c r="E100" s="7"/>
      <c r="F100" s="7"/>
      <c r="G100" s="7"/>
      <c r="H100" s="11"/>
      <c r="I100" s="11"/>
      <c r="J100" s="11"/>
      <c r="K100" s="7"/>
      <c r="L100" s="7"/>
      <c r="M100" s="7"/>
      <c r="N100" s="7"/>
      <c r="O100" s="7"/>
      <c r="P100" s="7"/>
      <c r="Q100" s="7"/>
      <c r="R100"/>
      <c r="S100"/>
      <c r="T100"/>
      <c r="U100"/>
    </row>
    <row r="101" spans="2:21" s="15" customFormat="1" ht="15" x14ac:dyDescent="0.2">
      <c r="B101" s="7"/>
      <c r="C101" s="7"/>
      <c r="D101" s="7"/>
      <c r="E101" s="7"/>
      <c r="F101" s="7"/>
      <c r="G101" s="7"/>
      <c r="H101" s="11"/>
      <c r="I101" s="11"/>
      <c r="J101" s="11"/>
      <c r="K101" s="7"/>
      <c r="L101" s="7"/>
      <c r="M101" s="7"/>
      <c r="N101" s="7"/>
      <c r="O101" s="7"/>
      <c r="P101" s="7"/>
      <c r="Q101" s="7"/>
      <c r="R101"/>
      <c r="S101"/>
      <c r="T101"/>
      <c r="U101"/>
    </row>
    <row r="102" spans="2:21" s="15" customFormat="1" ht="15" x14ac:dyDescent="0.2">
      <c r="B102" s="7"/>
      <c r="C102" s="7"/>
      <c r="D102" s="7"/>
      <c r="E102" s="7"/>
      <c r="F102" s="7"/>
      <c r="G102" s="7"/>
      <c r="H102" s="11"/>
      <c r="I102" s="11"/>
      <c r="J102" s="11"/>
      <c r="K102" s="7"/>
      <c r="L102" s="7"/>
      <c r="M102" s="7"/>
      <c r="N102" s="7"/>
      <c r="O102" s="7"/>
      <c r="P102" s="7"/>
      <c r="Q102" s="7"/>
      <c r="R102"/>
      <c r="S102"/>
      <c r="T102"/>
      <c r="U102"/>
    </row>
    <row r="103" spans="2:21" s="15" customFormat="1" ht="15" x14ac:dyDescent="0.2">
      <c r="B103" s="7"/>
      <c r="C103" s="7"/>
      <c r="D103" s="7"/>
      <c r="E103" s="7"/>
      <c r="F103" s="7"/>
      <c r="G103" s="7"/>
      <c r="H103" s="11"/>
      <c r="I103" s="11"/>
      <c r="J103" s="11"/>
      <c r="K103" s="7"/>
      <c r="L103" s="7"/>
      <c r="M103" s="7"/>
      <c r="N103" s="7"/>
      <c r="O103" s="7"/>
      <c r="P103" s="7"/>
      <c r="Q103" s="7"/>
      <c r="R103"/>
      <c r="S103"/>
      <c r="T103"/>
      <c r="U103"/>
    </row>
    <row r="104" spans="2:21" s="15" customFormat="1" ht="15" x14ac:dyDescent="0.2">
      <c r="B104" s="7"/>
      <c r="C104" s="7"/>
      <c r="D104" s="7"/>
      <c r="E104" s="7"/>
      <c r="F104" s="7"/>
      <c r="G104" s="7"/>
      <c r="H104" s="11"/>
      <c r="I104" s="11"/>
      <c r="J104" s="11"/>
      <c r="K104" s="7"/>
      <c r="L104" s="7"/>
      <c r="M104" s="7"/>
      <c r="N104" s="7"/>
      <c r="O104" s="7"/>
      <c r="P104" s="7"/>
      <c r="Q104" s="7"/>
      <c r="R104"/>
      <c r="S104"/>
      <c r="T104"/>
      <c r="U104"/>
    </row>
    <row r="105" spans="2:21" s="15" customFormat="1" ht="15" x14ac:dyDescent="0.2">
      <c r="B105" s="7"/>
      <c r="C105" s="7"/>
      <c r="D105" s="7"/>
      <c r="E105" s="7"/>
      <c r="F105" s="7"/>
      <c r="G105" s="7"/>
      <c r="H105" s="11"/>
      <c r="I105" s="11"/>
      <c r="J105" s="11"/>
      <c r="K105" s="7"/>
      <c r="L105" s="7"/>
      <c r="M105" s="7"/>
      <c r="N105" s="7"/>
      <c r="O105" s="7"/>
      <c r="P105" s="7"/>
      <c r="Q105" s="7"/>
      <c r="R105"/>
      <c r="S105"/>
      <c r="T105"/>
      <c r="U105"/>
    </row>
  </sheetData>
  <sheetProtection algorithmName="SHA-512" hashValue="Nt3ees//ikFQsV0UjC6ub5V7+AP+uN56QLNLFNchAJnXptssBsc8Ghg0FDUYeEBzRSWIx5w5O+lnVnJ/Wqx9Jg==" saltValue="a1rKflzi9HLNtrzWAOeGjg==" spinCount="100000" sheet="1" selectLockedCells="1"/>
  <mergeCells count="2">
    <mergeCell ref="G4:I4"/>
    <mergeCell ref="B1:N1"/>
  </mergeCells>
  <conditionalFormatting sqref="G6:J55">
    <cfRule type="expression" dxfId="218" priority="1">
      <formula>$E6=""</formula>
    </cfRule>
  </conditionalFormatting>
  <dataValidations count="1">
    <dataValidation type="list" allowBlank="1" showInputMessage="1" showErrorMessage="1" sqref="E6:E55" xr:uid="{41BA8FC9-3FD4-4BA8-9A37-35F713A619B4}">
      <formula1>List_Refrig_Measure</formula1>
    </dataValidation>
  </dataValidations>
  <pageMargins left="0.2" right="0.2" top="0.25" bottom="0.25" header="0.3" footer="0.3"/>
  <pageSetup scale="21" fitToHeight="0" orientation="landscape" verticalDpi="1200" r:id="rId1"/>
  <colBreaks count="1" manualBreakCount="1">
    <brk id="11" max="1048575" man="1"/>
  </colBreaks>
  <drawing r:id="rId2"/>
  <legacyDrawing r:id="rId3"/>
  <tableParts count="1">
    <tablePart r:id="rId4"/>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874DB1-2ABA-485B-B0EA-6BE8E261732D}">
  <sheetPr>
    <tabColor theme="4"/>
  </sheetPr>
  <dimension ref="A1:AM204"/>
  <sheetViews>
    <sheetView showGridLines="0" showRowColHeaders="0" workbookViewId="0">
      <selection activeCell="D5" sqref="D5"/>
    </sheetView>
  </sheetViews>
  <sheetFormatPr defaultColWidth="9.140625" defaultRowHeight="12.75" customHeight="1" x14ac:dyDescent="0.2"/>
  <cols>
    <col min="1" max="1" width="2.140625" customWidth="1"/>
    <col min="2" max="2" width="5.28515625" customWidth="1"/>
    <col min="3" max="3" width="8.140625" customWidth="1"/>
    <col min="4" max="4" width="17.28515625" customWidth="1"/>
    <col min="5" max="6" width="29.85546875" customWidth="1"/>
    <col min="7" max="7" width="11.5703125" customWidth="1"/>
    <col min="8" max="8" width="12.42578125" customWidth="1"/>
    <col min="9" max="9" width="9.85546875" customWidth="1"/>
    <col min="10" max="10" width="10" customWidth="1"/>
    <col min="11" max="11" width="11" customWidth="1"/>
    <col min="12" max="12" width="12" customWidth="1"/>
    <col min="13" max="13" width="11.85546875" customWidth="1"/>
    <col min="14" max="15" width="10.28515625" customWidth="1"/>
    <col min="16" max="16" width="13.42578125" customWidth="1"/>
    <col min="17" max="17" width="9.5703125" customWidth="1"/>
  </cols>
  <sheetData>
    <row r="1" spans="1:39" ht="37.5" customHeight="1" x14ac:dyDescent="0.2">
      <c r="B1" s="293" t="s">
        <v>107</v>
      </c>
      <c r="C1" s="293"/>
      <c r="D1" s="293"/>
      <c r="E1" s="293"/>
      <c r="F1" s="293"/>
      <c r="G1" s="293"/>
      <c r="H1" s="293"/>
      <c r="I1" s="293"/>
      <c r="J1" s="293"/>
      <c r="K1" s="293"/>
      <c r="L1" s="293"/>
      <c r="M1" s="293"/>
      <c r="N1" s="293"/>
      <c r="O1" s="149"/>
      <c r="P1" s="149"/>
      <c r="Q1" s="149"/>
    </row>
    <row r="2" spans="1:39" x14ac:dyDescent="0.2">
      <c r="K2" s="4"/>
    </row>
    <row r="3" spans="1:39" x14ac:dyDescent="0.2">
      <c r="A3" s="4"/>
      <c r="G3" s="319" t="s">
        <v>75</v>
      </c>
      <c r="H3" s="320"/>
      <c r="I3" s="321"/>
      <c r="J3" s="82" t="s">
        <v>76</v>
      </c>
      <c r="K3" s="143">
        <f>SUM(Table_Controls_Input[Estimated Incentive])</f>
        <v>0</v>
      </c>
      <c r="L3" s="81">
        <f>SUM(Table_Controls_Input[Energy Savings (kWh)])</f>
        <v>0</v>
      </c>
      <c r="M3" s="80">
        <f>SUM(Table_Controls_Input[Demand Reduction (kW)])</f>
        <v>0</v>
      </c>
      <c r="N3" s="144">
        <f>SUM(Table_Controls_Input[Cost Savings])</f>
        <v>0</v>
      </c>
      <c r="O3" s="144">
        <f>SUM(Table_Controls_Input[Gross Measure Cost])</f>
        <v>0</v>
      </c>
      <c r="P3" s="144">
        <f>SUM(Table_Controls_Input[Net Measure Cost])</f>
        <v>0</v>
      </c>
      <c r="Q3" s="81" t="str">
        <f>IFERROR(P3/N3,"")</f>
        <v/>
      </c>
      <c r="R3" s="4"/>
      <c r="S3" s="4"/>
      <c r="T3" s="4"/>
      <c r="U3" s="4"/>
      <c r="V3" s="4"/>
      <c r="W3" s="4"/>
      <c r="X3" s="4"/>
      <c r="Y3" s="4"/>
      <c r="Z3" s="4"/>
      <c r="AA3" s="4"/>
      <c r="AB3" s="4"/>
      <c r="AC3" s="4"/>
      <c r="AD3" s="4"/>
      <c r="AE3" s="4"/>
      <c r="AF3" s="4"/>
      <c r="AG3" s="4"/>
      <c r="AH3" s="4"/>
      <c r="AI3" s="4"/>
      <c r="AJ3" s="4"/>
      <c r="AK3" s="4"/>
      <c r="AL3" s="4"/>
      <c r="AM3" s="4"/>
    </row>
    <row r="4" spans="1:39" ht="38.25" x14ac:dyDescent="0.2">
      <c r="A4" s="16"/>
      <c r="B4" s="62" t="s">
        <v>77</v>
      </c>
      <c r="C4" s="63" t="s">
        <v>78</v>
      </c>
      <c r="D4" s="66" t="s">
        <v>79</v>
      </c>
      <c r="E4" s="63" t="s">
        <v>108</v>
      </c>
      <c r="F4" s="64" t="s">
        <v>81</v>
      </c>
      <c r="G4" s="65" t="s">
        <v>82</v>
      </c>
      <c r="H4" s="65" t="s">
        <v>86</v>
      </c>
      <c r="I4" s="65" t="s">
        <v>87</v>
      </c>
      <c r="J4" s="64" t="s">
        <v>88</v>
      </c>
      <c r="K4" s="64" t="s">
        <v>89</v>
      </c>
      <c r="L4" s="64" t="s">
        <v>90</v>
      </c>
      <c r="M4" s="64" t="s">
        <v>91</v>
      </c>
      <c r="N4" s="64" t="s">
        <v>92</v>
      </c>
      <c r="O4" s="64" t="s">
        <v>93</v>
      </c>
      <c r="P4" s="64" t="s">
        <v>94</v>
      </c>
      <c r="Q4" s="64" t="s">
        <v>95</v>
      </c>
      <c r="R4" s="16"/>
      <c r="S4" s="16"/>
      <c r="T4" s="16"/>
      <c r="U4" s="16"/>
      <c r="V4" s="16"/>
      <c r="W4" s="16"/>
      <c r="X4" s="16"/>
      <c r="Y4" s="16"/>
      <c r="Z4" s="16"/>
      <c r="AA4" s="16"/>
      <c r="AB4" s="16"/>
      <c r="AC4" s="16"/>
      <c r="AD4" s="16"/>
      <c r="AE4" s="16"/>
      <c r="AF4" s="16"/>
      <c r="AG4" s="16"/>
      <c r="AH4" s="16"/>
      <c r="AI4" s="16"/>
      <c r="AJ4" s="16"/>
      <c r="AK4" s="16"/>
      <c r="AL4" s="16"/>
      <c r="AM4" s="16"/>
    </row>
    <row r="5" spans="1:39" x14ac:dyDescent="0.2">
      <c r="A5" s="3"/>
      <c r="B5" s="71">
        <v>1</v>
      </c>
      <c r="C5" s="69" t="str">
        <f>IFERROR(INDEX(Table_Prescript_Meas[Measure Number], MATCH(E5, Table_Prescript_Meas[Measure Description], 0)), "")</f>
        <v/>
      </c>
      <c r="D5" s="61"/>
      <c r="E5" s="60"/>
      <c r="F5" s="69" t="str">
        <f>IFERROR(INDEX(Table_Prescript_Meas[Units], MATCH(Table_Controls_Input[[#This Row],[Measure Number]], Table_Prescript_Meas[Measure Number], 0)), "")</f>
        <v/>
      </c>
      <c r="G5" s="272"/>
      <c r="H5" s="155"/>
      <c r="I5" s="155"/>
      <c r="J5"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5" s="72" t="str">
        <f>IFERROR(Table_Controls_Input[[#This Row],[Number of Units]]*Table_Controls_Input[[#This Row],[Per-Unit Incentive]], "")</f>
        <v/>
      </c>
      <c r="L5" s="73" t="str">
        <f>IFERROR(Table_Controls_Input[[#This Row],[Number of Units]]*INDEX(Table_Prescript_Meas[Deemed kWh Savings], MATCH(Table_Controls_Input[[#This Row],[Measure Number]], Table_Prescript_Meas[Measure Number], 0)),"" )</f>
        <v/>
      </c>
      <c r="M5" s="79" t="str">
        <f>IFERROR(Table_Controls_Input[[#This Row],[Number of Units]]*INDEX(Table_Prescript_Meas[Deemed kW Savings], MATCH(Table_Controls_Input[[#This Row],[Measure Number]], Table_Prescript_Meas[Measure Number], 0)),"" )</f>
        <v/>
      </c>
      <c r="N5" s="72" t="str">
        <f t="shared" ref="N5" si="0">IFERROR(L5*Input_AvgkWhRate, "")</f>
        <v/>
      </c>
      <c r="O5" s="72" t="str">
        <f>IF(Table_Controls_Input[[#This Row],[Measure Number]]="", "", Table_Controls_Input[[#This Row],[Total Equipment Cost]]+Table_Controls_Input[[#This Row],[Total Labor Cost]])</f>
        <v/>
      </c>
      <c r="P5" s="72" t="str">
        <f>IFERROR(Table_Controls_Input[[#This Row],[Gross Measure Cost]]-Table_Controls_Input[[#This Row],[Estimated Incentive]], "")</f>
        <v/>
      </c>
      <c r="Q5" s="73" t="str">
        <f t="shared" ref="Q5:Q34" si="1">IFERROR($P5/$N5,"")</f>
        <v/>
      </c>
      <c r="R5" s="3"/>
      <c r="S5" s="3"/>
      <c r="T5" s="3"/>
      <c r="U5" s="3"/>
      <c r="V5" s="3"/>
      <c r="W5" s="3"/>
      <c r="X5" s="3"/>
      <c r="Y5" s="3"/>
      <c r="Z5" s="3"/>
      <c r="AA5" s="3"/>
      <c r="AB5" s="3"/>
      <c r="AC5" s="3"/>
      <c r="AD5" s="3"/>
      <c r="AE5" s="3"/>
      <c r="AF5" s="3"/>
      <c r="AG5" s="3"/>
      <c r="AH5" s="3"/>
      <c r="AI5" s="3"/>
      <c r="AJ5" s="3"/>
      <c r="AK5" s="3"/>
      <c r="AL5" s="3"/>
      <c r="AM5" s="3"/>
    </row>
    <row r="6" spans="1:39" x14ac:dyDescent="0.2">
      <c r="A6" s="3"/>
      <c r="B6" s="71">
        <v>2</v>
      </c>
      <c r="C6" s="69" t="str">
        <f>IFERROR(INDEX(Table_Prescript_Meas[Measure Number], MATCH(E6, Table_Prescript_Meas[Measure Description], 0)), "")</f>
        <v/>
      </c>
      <c r="D6" s="61"/>
      <c r="E6" s="60"/>
      <c r="F6" s="69" t="str">
        <f>IFERROR(INDEX(Table_Prescript_Meas[Units], MATCH(Table_Controls_Input[[#This Row],[Measure Number]], Table_Prescript_Meas[Measure Number], 0)), "")</f>
        <v/>
      </c>
      <c r="G6" s="272"/>
      <c r="H6" s="155"/>
      <c r="I6" s="155"/>
      <c r="J6"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6" s="72" t="str">
        <f>IFERROR(Table_Controls_Input[[#This Row],[Number of Units]]*Table_Controls_Input[[#This Row],[Per-Unit Incentive]], "")</f>
        <v/>
      </c>
      <c r="L6" s="73" t="str">
        <f>IFERROR(Table_Controls_Input[[#This Row],[Number of Units]]*INDEX(Table_Prescript_Meas[Deemed kWh Savings], MATCH(Table_Controls_Input[[#This Row],[Measure Number]], Table_Prescript_Meas[Measure Number], 0)),"" )</f>
        <v/>
      </c>
      <c r="M6" s="79" t="str">
        <f>IFERROR(Table_Controls_Input[[#This Row],[Number of Units]]*INDEX(Table_Prescript_Meas[Deemed kW Savings], MATCH(Table_Controls_Input[[#This Row],[Measure Number]], Table_Prescript_Meas[Measure Number], 0)),"" )</f>
        <v/>
      </c>
      <c r="N6" s="72" t="str">
        <f t="shared" ref="N6:N34" si="2">IFERROR(L6*Input_AvgkWhRate, "")</f>
        <v/>
      </c>
      <c r="O6" s="72" t="str">
        <f>IF(Table_Controls_Input[[#This Row],[Measure Number]]="", "", Table_Controls_Input[[#This Row],[Total Equipment Cost]]+Table_Controls_Input[[#This Row],[Total Labor Cost]])</f>
        <v/>
      </c>
      <c r="P6" s="72" t="str">
        <f>IFERROR(Table_Controls_Input[[#This Row],[Gross Measure Cost]]-Table_Controls_Input[[#This Row],[Estimated Incentive]], "")</f>
        <v/>
      </c>
      <c r="Q6" s="73" t="str">
        <f t="shared" si="1"/>
        <v/>
      </c>
      <c r="R6" s="3"/>
      <c r="S6" s="3"/>
      <c r="T6" s="3"/>
      <c r="U6" s="3"/>
      <c r="V6" s="3"/>
      <c r="W6" s="3"/>
      <c r="X6" s="3"/>
      <c r="Y6" s="3"/>
      <c r="Z6" s="3"/>
      <c r="AA6" s="3"/>
      <c r="AB6" s="3"/>
      <c r="AC6" s="3"/>
      <c r="AD6" s="3"/>
      <c r="AE6" s="3"/>
      <c r="AF6" s="3"/>
      <c r="AG6" s="3"/>
      <c r="AH6" s="3"/>
      <c r="AI6" s="3"/>
      <c r="AJ6" s="3"/>
      <c r="AK6" s="3"/>
      <c r="AL6" s="3"/>
      <c r="AM6" s="3"/>
    </row>
    <row r="7" spans="1:39" x14ac:dyDescent="0.2">
      <c r="A7" s="3"/>
      <c r="B7" s="71">
        <v>3</v>
      </c>
      <c r="C7" s="69" t="str">
        <f>IFERROR(INDEX(Table_Prescript_Meas[Measure Number], MATCH(E7, Table_Prescript_Meas[Measure Description], 0)), "")</f>
        <v/>
      </c>
      <c r="D7" s="61"/>
      <c r="E7" s="60"/>
      <c r="F7" s="69" t="str">
        <f>IFERROR(INDEX(Table_Prescript_Meas[Units], MATCH(Table_Controls_Input[[#This Row],[Measure Number]], Table_Prescript_Meas[Measure Number], 0)), "")</f>
        <v/>
      </c>
      <c r="G7" s="272"/>
      <c r="H7" s="155"/>
      <c r="I7" s="155"/>
      <c r="J7"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7" s="72" t="str">
        <f>IFERROR(Table_Controls_Input[[#This Row],[Number of Units]]*Table_Controls_Input[[#This Row],[Per-Unit Incentive]], "")</f>
        <v/>
      </c>
      <c r="L7" s="73" t="str">
        <f>IFERROR(Table_Controls_Input[[#This Row],[Number of Units]]*INDEX(Table_Prescript_Meas[Deemed kWh Savings], MATCH(Table_Controls_Input[[#This Row],[Measure Number]], Table_Prescript_Meas[Measure Number], 0)),"" )</f>
        <v/>
      </c>
      <c r="M7" s="79" t="str">
        <f>IFERROR(Table_Controls_Input[[#This Row],[Number of Units]]*INDEX(Table_Prescript_Meas[Deemed kW Savings], MATCH(Table_Controls_Input[[#This Row],[Measure Number]], Table_Prescript_Meas[Measure Number], 0)),"" )</f>
        <v/>
      </c>
      <c r="N7" s="72" t="str">
        <f t="shared" si="2"/>
        <v/>
      </c>
      <c r="O7" s="72" t="str">
        <f>IF(Table_Controls_Input[[#This Row],[Measure Number]]="", "", Table_Controls_Input[[#This Row],[Total Equipment Cost]]+Table_Controls_Input[[#This Row],[Total Labor Cost]])</f>
        <v/>
      </c>
      <c r="P7" s="72" t="str">
        <f>IFERROR(Table_Controls_Input[[#This Row],[Gross Measure Cost]]-Table_Controls_Input[[#This Row],[Estimated Incentive]], "")</f>
        <v/>
      </c>
      <c r="Q7" s="73" t="str">
        <f t="shared" si="1"/>
        <v/>
      </c>
      <c r="R7" s="3"/>
      <c r="S7" s="3"/>
      <c r="T7" s="3"/>
      <c r="U7" s="3"/>
      <c r="V7" s="3"/>
      <c r="W7" s="3"/>
      <c r="X7" s="3"/>
      <c r="Y7" s="3"/>
      <c r="Z7" s="3"/>
      <c r="AA7" s="3"/>
      <c r="AB7" s="3"/>
      <c r="AC7" s="3"/>
      <c r="AD7" s="3"/>
      <c r="AE7" s="3"/>
      <c r="AF7" s="3"/>
      <c r="AG7" s="3"/>
      <c r="AH7" s="3"/>
      <c r="AI7" s="3"/>
      <c r="AJ7" s="3"/>
      <c r="AK7" s="3"/>
      <c r="AL7" s="3"/>
      <c r="AM7" s="3"/>
    </row>
    <row r="8" spans="1:39" x14ac:dyDescent="0.2">
      <c r="A8" s="3"/>
      <c r="B8" s="71">
        <v>4</v>
      </c>
      <c r="C8" s="69" t="str">
        <f>IFERROR(INDEX(Table_Prescript_Meas[Measure Number], MATCH(E8, Table_Prescript_Meas[Measure Description], 0)), "")</f>
        <v/>
      </c>
      <c r="D8" s="61"/>
      <c r="E8" s="60"/>
      <c r="F8" s="69" t="str">
        <f>IFERROR(INDEX(Table_Prescript_Meas[Units], MATCH(Table_Controls_Input[[#This Row],[Measure Number]], Table_Prescript_Meas[Measure Number], 0)), "")</f>
        <v/>
      </c>
      <c r="G8" s="272"/>
      <c r="H8" s="155"/>
      <c r="I8" s="155"/>
      <c r="J8"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8" s="72" t="str">
        <f>IFERROR(Table_Controls_Input[[#This Row],[Number of Units]]*Table_Controls_Input[[#This Row],[Per-Unit Incentive]], "")</f>
        <v/>
      </c>
      <c r="L8" s="73" t="str">
        <f>IFERROR(Table_Controls_Input[[#This Row],[Number of Units]]*INDEX(Table_Prescript_Meas[Deemed kWh Savings], MATCH(Table_Controls_Input[[#This Row],[Measure Number]], Table_Prescript_Meas[Measure Number], 0)),"" )</f>
        <v/>
      </c>
      <c r="M8" s="79" t="str">
        <f>IFERROR(Table_Controls_Input[[#This Row],[Number of Units]]*INDEX(Table_Prescript_Meas[Deemed kW Savings], MATCH(Table_Controls_Input[[#This Row],[Measure Number]], Table_Prescript_Meas[Measure Number], 0)),"" )</f>
        <v/>
      </c>
      <c r="N8" s="72" t="str">
        <f t="shared" si="2"/>
        <v/>
      </c>
      <c r="O8" s="72" t="str">
        <f>IF(Table_Controls_Input[[#This Row],[Measure Number]]="", "", Table_Controls_Input[[#This Row],[Total Equipment Cost]]+Table_Controls_Input[[#This Row],[Total Labor Cost]])</f>
        <v/>
      </c>
      <c r="P8" s="72" t="str">
        <f>IFERROR(Table_Controls_Input[[#This Row],[Gross Measure Cost]]-Table_Controls_Input[[#This Row],[Estimated Incentive]], "")</f>
        <v/>
      </c>
      <c r="Q8" s="73" t="str">
        <f t="shared" si="1"/>
        <v/>
      </c>
      <c r="R8" s="3"/>
      <c r="S8" s="3"/>
      <c r="T8" s="3"/>
      <c r="U8" s="3"/>
      <c r="V8" s="3"/>
      <c r="W8" s="3"/>
      <c r="X8" s="3"/>
      <c r="Y8" s="3"/>
      <c r="Z8" s="3"/>
      <c r="AA8" s="3"/>
      <c r="AB8" s="3"/>
      <c r="AC8" s="3"/>
      <c r="AD8" s="3"/>
      <c r="AE8" s="3"/>
      <c r="AF8" s="3"/>
      <c r="AG8" s="3"/>
      <c r="AH8" s="3"/>
      <c r="AI8" s="3"/>
      <c r="AJ8" s="3"/>
      <c r="AK8" s="3"/>
      <c r="AL8" s="3"/>
      <c r="AM8" s="3"/>
    </row>
    <row r="9" spans="1:39" x14ac:dyDescent="0.2">
      <c r="A9" s="3"/>
      <c r="B9" s="71">
        <v>5</v>
      </c>
      <c r="C9" s="69" t="str">
        <f>IFERROR(INDEX(Table_Prescript_Meas[Measure Number], MATCH(E9, Table_Prescript_Meas[Measure Description], 0)), "")</f>
        <v/>
      </c>
      <c r="D9" s="61"/>
      <c r="E9" s="60"/>
      <c r="F9" s="69" t="str">
        <f>IFERROR(INDEX(Table_Prescript_Meas[Units], MATCH(Table_Controls_Input[[#This Row],[Measure Number]], Table_Prescript_Meas[Measure Number], 0)), "")</f>
        <v/>
      </c>
      <c r="G9" s="272"/>
      <c r="H9" s="155"/>
      <c r="I9" s="155"/>
      <c r="J9"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9" s="72" t="str">
        <f>IFERROR(Table_Controls_Input[[#This Row],[Number of Units]]*Table_Controls_Input[[#This Row],[Per-Unit Incentive]], "")</f>
        <v/>
      </c>
      <c r="L9" s="73" t="str">
        <f>IFERROR(Table_Controls_Input[[#This Row],[Number of Units]]*INDEX(Table_Prescript_Meas[Deemed kWh Savings], MATCH(Table_Controls_Input[[#This Row],[Measure Number]], Table_Prescript_Meas[Measure Number], 0)),"" )</f>
        <v/>
      </c>
      <c r="M9" s="79" t="str">
        <f>IFERROR(Table_Controls_Input[[#This Row],[Number of Units]]*INDEX(Table_Prescript_Meas[Deemed kW Savings], MATCH(Table_Controls_Input[[#This Row],[Measure Number]], Table_Prescript_Meas[Measure Number], 0)),"" )</f>
        <v/>
      </c>
      <c r="N9" s="72" t="str">
        <f t="shared" si="2"/>
        <v/>
      </c>
      <c r="O9" s="72" t="str">
        <f>IF(Table_Controls_Input[[#This Row],[Measure Number]]="", "", Table_Controls_Input[[#This Row],[Total Equipment Cost]]+Table_Controls_Input[[#This Row],[Total Labor Cost]])</f>
        <v/>
      </c>
      <c r="P9" s="72" t="str">
        <f>IFERROR(Table_Controls_Input[[#This Row],[Gross Measure Cost]]-Table_Controls_Input[[#This Row],[Estimated Incentive]], "")</f>
        <v/>
      </c>
      <c r="Q9" s="73" t="str">
        <f t="shared" si="1"/>
        <v/>
      </c>
      <c r="R9" s="3"/>
      <c r="S9" s="3"/>
      <c r="T9" s="3"/>
      <c r="U9" s="3"/>
      <c r="V9" s="3"/>
      <c r="W9" s="3"/>
      <c r="X9" s="3"/>
      <c r="Y9" s="3"/>
      <c r="Z9" s="3"/>
      <c r="AA9" s="3"/>
      <c r="AB9" s="3"/>
      <c r="AC9" s="3"/>
      <c r="AD9" s="3"/>
      <c r="AE9" s="3"/>
      <c r="AF9" s="3"/>
      <c r="AG9" s="3"/>
      <c r="AH9" s="3"/>
      <c r="AI9" s="3"/>
      <c r="AJ9" s="3"/>
      <c r="AK9" s="3"/>
      <c r="AL9" s="3"/>
      <c r="AM9" s="3"/>
    </row>
    <row r="10" spans="1:39" x14ac:dyDescent="0.2">
      <c r="A10" s="3"/>
      <c r="B10" s="71">
        <v>6</v>
      </c>
      <c r="C10" s="69" t="str">
        <f>IFERROR(INDEX(Table_Prescript_Meas[Measure Number], MATCH(E10, Table_Prescript_Meas[Measure Description], 0)), "")</f>
        <v/>
      </c>
      <c r="D10" s="61"/>
      <c r="E10" s="60"/>
      <c r="F10" s="69" t="str">
        <f>IFERROR(INDEX(Table_Prescript_Meas[Units], MATCH(Table_Controls_Input[[#This Row],[Measure Number]], Table_Prescript_Meas[Measure Number], 0)), "")</f>
        <v/>
      </c>
      <c r="G10" s="272"/>
      <c r="H10" s="155"/>
      <c r="I10" s="155"/>
      <c r="J10"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0" s="72" t="str">
        <f>IFERROR(Table_Controls_Input[[#This Row],[Number of Units]]*Table_Controls_Input[[#This Row],[Per-Unit Incentive]], "")</f>
        <v/>
      </c>
      <c r="L10" s="73" t="str">
        <f>IFERROR(Table_Controls_Input[[#This Row],[Number of Units]]*INDEX(Table_Prescript_Meas[Deemed kWh Savings], MATCH(Table_Controls_Input[[#This Row],[Measure Number]], Table_Prescript_Meas[Measure Number], 0)),"" )</f>
        <v/>
      </c>
      <c r="M10" s="79" t="str">
        <f>IFERROR(Table_Controls_Input[[#This Row],[Number of Units]]*INDEX(Table_Prescript_Meas[Deemed kW Savings], MATCH(Table_Controls_Input[[#This Row],[Measure Number]], Table_Prescript_Meas[Measure Number], 0)),"" )</f>
        <v/>
      </c>
      <c r="N10" s="72" t="str">
        <f t="shared" si="2"/>
        <v/>
      </c>
      <c r="O10" s="72" t="str">
        <f>IF(Table_Controls_Input[[#This Row],[Measure Number]]="", "", Table_Controls_Input[[#This Row],[Total Equipment Cost]]+Table_Controls_Input[[#This Row],[Total Labor Cost]])</f>
        <v/>
      </c>
      <c r="P10" s="72" t="str">
        <f>IFERROR(Table_Controls_Input[[#This Row],[Gross Measure Cost]]-Table_Controls_Input[[#This Row],[Estimated Incentive]], "")</f>
        <v/>
      </c>
      <c r="Q10" s="73" t="str">
        <f t="shared" si="1"/>
        <v/>
      </c>
      <c r="R10" s="3"/>
      <c r="S10" s="3"/>
      <c r="T10" s="3"/>
      <c r="U10" s="3"/>
      <c r="V10" s="3"/>
      <c r="W10" s="3"/>
      <c r="X10" s="3"/>
      <c r="Y10" s="3"/>
      <c r="Z10" s="3"/>
      <c r="AA10" s="3"/>
      <c r="AB10" s="3"/>
      <c r="AC10" s="3"/>
      <c r="AD10" s="3"/>
      <c r="AE10" s="3"/>
      <c r="AF10" s="3"/>
      <c r="AG10" s="3"/>
      <c r="AH10" s="3"/>
      <c r="AI10" s="3"/>
      <c r="AJ10" s="3"/>
      <c r="AK10" s="3"/>
      <c r="AL10" s="3"/>
      <c r="AM10" s="3"/>
    </row>
    <row r="11" spans="1:39" x14ac:dyDescent="0.2">
      <c r="A11" s="3"/>
      <c r="B11" s="71">
        <v>7</v>
      </c>
      <c r="C11" s="69" t="str">
        <f>IFERROR(INDEX(Table_Prescript_Meas[Measure Number], MATCH(E11, Table_Prescript_Meas[Measure Description], 0)), "")</f>
        <v/>
      </c>
      <c r="D11" s="61"/>
      <c r="E11" s="60"/>
      <c r="F11" s="69" t="str">
        <f>IFERROR(INDEX(Table_Prescript_Meas[Units], MATCH(Table_Controls_Input[[#This Row],[Measure Number]], Table_Prescript_Meas[Measure Number], 0)), "")</f>
        <v/>
      </c>
      <c r="G11" s="272"/>
      <c r="H11" s="155"/>
      <c r="I11" s="155"/>
      <c r="J11"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1" s="72" t="str">
        <f>IFERROR(Table_Controls_Input[[#This Row],[Number of Units]]*Table_Controls_Input[[#This Row],[Per-Unit Incentive]], "")</f>
        <v/>
      </c>
      <c r="L11" s="73" t="str">
        <f>IFERROR(Table_Controls_Input[[#This Row],[Number of Units]]*INDEX(Table_Prescript_Meas[Deemed kWh Savings], MATCH(Table_Controls_Input[[#This Row],[Measure Number]], Table_Prescript_Meas[Measure Number], 0)),"" )</f>
        <v/>
      </c>
      <c r="M11" s="79" t="str">
        <f>IFERROR(Table_Controls_Input[[#This Row],[Number of Units]]*INDEX(Table_Prescript_Meas[Deemed kW Savings], MATCH(Table_Controls_Input[[#This Row],[Measure Number]], Table_Prescript_Meas[Measure Number], 0)),"" )</f>
        <v/>
      </c>
      <c r="N11" s="72" t="str">
        <f t="shared" si="2"/>
        <v/>
      </c>
      <c r="O11" s="72" t="str">
        <f>IF(Table_Controls_Input[[#This Row],[Measure Number]]="", "", Table_Controls_Input[[#This Row],[Total Equipment Cost]]+Table_Controls_Input[[#This Row],[Total Labor Cost]])</f>
        <v/>
      </c>
      <c r="P11" s="72" t="str">
        <f>IFERROR(Table_Controls_Input[[#This Row],[Gross Measure Cost]]-Table_Controls_Input[[#This Row],[Estimated Incentive]], "")</f>
        <v/>
      </c>
      <c r="Q11" s="73" t="str">
        <f t="shared" si="1"/>
        <v/>
      </c>
      <c r="R11" s="3"/>
      <c r="S11" s="3"/>
      <c r="T11" s="3"/>
      <c r="U11" s="3"/>
      <c r="V11" s="3"/>
      <c r="W11" s="3"/>
      <c r="X11" s="3"/>
      <c r="Y11" s="3"/>
      <c r="Z11" s="3"/>
      <c r="AA11" s="3"/>
      <c r="AB11" s="3"/>
      <c r="AC11" s="3"/>
      <c r="AD11" s="3"/>
      <c r="AE11" s="3"/>
      <c r="AF11" s="3"/>
      <c r="AG11" s="3"/>
      <c r="AH11" s="3"/>
      <c r="AI11" s="3"/>
      <c r="AJ11" s="3"/>
      <c r="AK11" s="3"/>
      <c r="AL11" s="3"/>
      <c r="AM11" s="3"/>
    </row>
    <row r="12" spans="1:39" x14ac:dyDescent="0.2">
      <c r="A12" s="3"/>
      <c r="B12" s="71">
        <v>8</v>
      </c>
      <c r="C12" s="69" t="str">
        <f>IFERROR(INDEX(Table_Prescript_Meas[Measure Number], MATCH(E12, Table_Prescript_Meas[Measure Description], 0)), "")</f>
        <v/>
      </c>
      <c r="D12" s="61"/>
      <c r="E12" s="60"/>
      <c r="F12" s="69" t="str">
        <f>IFERROR(INDEX(Table_Prescript_Meas[Units], MATCH(Table_Controls_Input[[#This Row],[Measure Number]], Table_Prescript_Meas[Measure Number], 0)), "")</f>
        <v/>
      </c>
      <c r="G12" s="272"/>
      <c r="H12" s="155"/>
      <c r="I12" s="155"/>
      <c r="J12"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2" s="72" t="str">
        <f>IFERROR(Table_Controls_Input[[#This Row],[Number of Units]]*Table_Controls_Input[[#This Row],[Per-Unit Incentive]], "")</f>
        <v/>
      </c>
      <c r="L12" s="73" t="str">
        <f>IFERROR(Table_Controls_Input[[#This Row],[Number of Units]]*INDEX(Table_Prescript_Meas[Deemed kWh Savings], MATCH(Table_Controls_Input[[#This Row],[Measure Number]], Table_Prescript_Meas[Measure Number], 0)),"" )</f>
        <v/>
      </c>
      <c r="M12" s="79" t="str">
        <f>IFERROR(Table_Controls_Input[[#This Row],[Number of Units]]*INDEX(Table_Prescript_Meas[Deemed kW Savings], MATCH(Table_Controls_Input[[#This Row],[Measure Number]], Table_Prescript_Meas[Measure Number], 0)),"" )</f>
        <v/>
      </c>
      <c r="N12" s="72" t="str">
        <f t="shared" si="2"/>
        <v/>
      </c>
      <c r="O12" s="72" t="str">
        <f>IF(Table_Controls_Input[[#This Row],[Measure Number]]="", "", Table_Controls_Input[[#This Row],[Total Equipment Cost]]+Table_Controls_Input[[#This Row],[Total Labor Cost]])</f>
        <v/>
      </c>
      <c r="P12" s="72" t="str">
        <f>IFERROR(Table_Controls_Input[[#This Row],[Gross Measure Cost]]-Table_Controls_Input[[#This Row],[Estimated Incentive]], "")</f>
        <v/>
      </c>
      <c r="Q12" s="73" t="str">
        <f t="shared" si="1"/>
        <v/>
      </c>
      <c r="R12" s="3"/>
      <c r="S12" s="3"/>
      <c r="T12" s="3"/>
      <c r="U12" s="3"/>
      <c r="V12" s="3"/>
      <c r="W12" s="3"/>
      <c r="X12" s="3"/>
      <c r="Y12" s="3"/>
      <c r="Z12" s="3"/>
      <c r="AA12" s="3"/>
      <c r="AB12" s="3"/>
      <c r="AC12" s="3"/>
      <c r="AD12" s="3"/>
      <c r="AE12" s="3"/>
      <c r="AF12" s="3"/>
      <c r="AG12" s="3"/>
      <c r="AH12" s="3"/>
      <c r="AI12" s="3"/>
      <c r="AJ12" s="3"/>
      <c r="AK12" s="3"/>
      <c r="AL12" s="3"/>
      <c r="AM12" s="3"/>
    </row>
    <row r="13" spans="1:39" x14ac:dyDescent="0.2">
      <c r="A13" s="3"/>
      <c r="B13" s="71">
        <v>9</v>
      </c>
      <c r="C13" s="69" t="str">
        <f>IFERROR(INDEX(Table_Prescript_Meas[Measure Number], MATCH(E13, Table_Prescript_Meas[Measure Description], 0)), "")</f>
        <v/>
      </c>
      <c r="D13" s="61"/>
      <c r="E13" s="60"/>
      <c r="F13" s="69" t="str">
        <f>IFERROR(INDEX(Table_Prescript_Meas[Units], MATCH(Table_Controls_Input[[#This Row],[Measure Number]], Table_Prescript_Meas[Measure Number], 0)), "")</f>
        <v/>
      </c>
      <c r="G13" s="272"/>
      <c r="H13" s="155"/>
      <c r="I13" s="155"/>
      <c r="J13"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3" s="72" t="str">
        <f>IFERROR(Table_Controls_Input[[#This Row],[Number of Units]]*Table_Controls_Input[[#This Row],[Per-Unit Incentive]], "")</f>
        <v/>
      </c>
      <c r="L13" s="73" t="str">
        <f>IFERROR(Table_Controls_Input[[#This Row],[Number of Units]]*INDEX(Table_Prescript_Meas[Deemed kWh Savings], MATCH(Table_Controls_Input[[#This Row],[Measure Number]], Table_Prescript_Meas[Measure Number], 0)),"" )</f>
        <v/>
      </c>
      <c r="M13" s="79" t="str">
        <f>IFERROR(Table_Controls_Input[[#This Row],[Number of Units]]*INDEX(Table_Prescript_Meas[Deemed kW Savings], MATCH(Table_Controls_Input[[#This Row],[Measure Number]], Table_Prescript_Meas[Measure Number], 0)),"" )</f>
        <v/>
      </c>
      <c r="N13" s="72" t="str">
        <f t="shared" si="2"/>
        <v/>
      </c>
      <c r="O13" s="72" t="str">
        <f>IF(Table_Controls_Input[[#This Row],[Measure Number]]="", "", Table_Controls_Input[[#This Row],[Total Equipment Cost]]+Table_Controls_Input[[#This Row],[Total Labor Cost]])</f>
        <v/>
      </c>
      <c r="P13" s="72" t="str">
        <f>IFERROR(Table_Controls_Input[[#This Row],[Gross Measure Cost]]-Table_Controls_Input[[#This Row],[Estimated Incentive]], "")</f>
        <v/>
      </c>
      <c r="Q13" s="73" t="str">
        <f t="shared" si="1"/>
        <v/>
      </c>
      <c r="R13" s="3"/>
      <c r="S13" s="3"/>
      <c r="T13" s="3"/>
      <c r="U13" s="3"/>
      <c r="V13" s="3"/>
      <c r="W13" s="3"/>
      <c r="X13" s="3"/>
      <c r="Y13" s="3"/>
      <c r="Z13" s="3"/>
      <c r="AA13" s="3"/>
      <c r="AB13" s="3"/>
      <c r="AC13" s="3"/>
      <c r="AD13" s="3"/>
      <c r="AE13" s="3"/>
      <c r="AF13" s="3"/>
      <c r="AG13" s="3"/>
      <c r="AH13" s="3"/>
      <c r="AI13" s="3"/>
      <c r="AJ13" s="3"/>
      <c r="AK13" s="3"/>
      <c r="AL13" s="3"/>
      <c r="AM13" s="3"/>
    </row>
    <row r="14" spans="1:39" x14ac:dyDescent="0.2">
      <c r="A14" s="3"/>
      <c r="B14" s="71">
        <v>10</v>
      </c>
      <c r="C14" s="69" t="str">
        <f>IFERROR(INDEX(Table_Prescript_Meas[Measure Number], MATCH(E14, Table_Prescript_Meas[Measure Description], 0)), "")</f>
        <v/>
      </c>
      <c r="D14" s="61"/>
      <c r="E14" s="60"/>
      <c r="F14" s="69" t="str">
        <f>IFERROR(INDEX(Table_Prescript_Meas[Units], MATCH(Table_Controls_Input[[#This Row],[Measure Number]], Table_Prescript_Meas[Measure Number], 0)), "")</f>
        <v/>
      </c>
      <c r="G14" s="272"/>
      <c r="H14" s="155"/>
      <c r="I14" s="155"/>
      <c r="J14"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4" s="72" t="str">
        <f>IFERROR(Table_Controls_Input[[#This Row],[Number of Units]]*Table_Controls_Input[[#This Row],[Per-Unit Incentive]], "")</f>
        <v/>
      </c>
      <c r="L14" s="73" t="str">
        <f>IFERROR(Table_Controls_Input[[#This Row],[Number of Units]]*INDEX(Table_Prescript_Meas[Deemed kWh Savings], MATCH(Table_Controls_Input[[#This Row],[Measure Number]], Table_Prescript_Meas[Measure Number], 0)),"" )</f>
        <v/>
      </c>
      <c r="M14" s="79" t="str">
        <f>IFERROR(Table_Controls_Input[[#This Row],[Number of Units]]*INDEX(Table_Prescript_Meas[Deemed kW Savings], MATCH(Table_Controls_Input[[#This Row],[Measure Number]], Table_Prescript_Meas[Measure Number], 0)),"" )</f>
        <v/>
      </c>
      <c r="N14" s="72" t="str">
        <f t="shared" si="2"/>
        <v/>
      </c>
      <c r="O14" s="72" t="str">
        <f>IF(Table_Controls_Input[[#This Row],[Measure Number]]="", "", Table_Controls_Input[[#This Row],[Total Equipment Cost]]+Table_Controls_Input[[#This Row],[Total Labor Cost]])</f>
        <v/>
      </c>
      <c r="P14" s="72" t="str">
        <f>IFERROR(Table_Controls_Input[[#This Row],[Gross Measure Cost]]-Table_Controls_Input[[#This Row],[Estimated Incentive]], "")</f>
        <v/>
      </c>
      <c r="Q14" s="73" t="str">
        <f t="shared" si="1"/>
        <v/>
      </c>
      <c r="R14" s="3"/>
      <c r="S14" s="3"/>
      <c r="T14" s="3"/>
      <c r="U14" s="3"/>
      <c r="V14" s="3"/>
      <c r="W14" s="3"/>
      <c r="X14" s="3"/>
      <c r="Y14" s="3"/>
      <c r="Z14" s="3"/>
      <c r="AA14" s="3"/>
      <c r="AB14" s="3"/>
      <c r="AC14" s="3"/>
      <c r="AD14" s="3"/>
      <c r="AE14" s="3"/>
      <c r="AF14" s="3"/>
      <c r="AG14" s="3"/>
      <c r="AH14" s="3"/>
      <c r="AI14" s="3"/>
      <c r="AJ14" s="3"/>
      <c r="AK14" s="3"/>
      <c r="AL14" s="3"/>
      <c r="AM14" s="3"/>
    </row>
    <row r="15" spans="1:39" x14ac:dyDescent="0.2">
      <c r="A15" s="3"/>
      <c r="B15" s="71">
        <v>11</v>
      </c>
      <c r="C15" s="69" t="str">
        <f>IFERROR(INDEX(Table_Prescript_Meas[Measure Number], MATCH(E15, Table_Prescript_Meas[Measure Description], 0)), "")</f>
        <v/>
      </c>
      <c r="D15" s="61"/>
      <c r="E15" s="60"/>
      <c r="F15" s="69" t="str">
        <f>IFERROR(INDEX(Table_Prescript_Meas[Units], MATCH(Table_Controls_Input[[#This Row],[Measure Number]], Table_Prescript_Meas[Measure Number], 0)), "")</f>
        <v/>
      </c>
      <c r="G15" s="272"/>
      <c r="H15" s="155"/>
      <c r="I15" s="155"/>
      <c r="J15"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5" s="72" t="str">
        <f>IFERROR(Table_Controls_Input[[#This Row],[Number of Units]]*Table_Controls_Input[[#This Row],[Per-Unit Incentive]], "")</f>
        <v/>
      </c>
      <c r="L15" s="73" t="str">
        <f>IFERROR(Table_Controls_Input[[#This Row],[Number of Units]]*INDEX(Table_Prescript_Meas[Deemed kWh Savings], MATCH(Table_Controls_Input[[#This Row],[Measure Number]], Table_Prescript_Meas[Measure Number], 0)),"" )</f>
        <v/>
      </c>
      <c r="M15" s="79" t="str">
        <f>IFERROR(Table_Controls_Input[[#This Row],[Number of Units]]*INDEX(Table_Prescript_Meas[Deemed kW Savings], MATCH(Table_Controls_Input[[#This Row],[Measure Number]], Table_Prescript_Meas[Measure Number], 0)),"" )</f>
        <v/>
      </c>
      <c r="N15" s="72" t="str">
        <f t="shared" si="2"/>
        <v/>
      </c>
      <c r="O15" s="72" t="str">
        <f>IF(Table_Controls_Input[[#This Row],[Measure Number]]="", "", Table_Controls_Input[[#This Row],[Total Equipment Cost]]+Table_Controls_Input[[#This Row],[Total Labor Cost]])</f>
        <v/>
      </c>
      <c r="P15" s="72" t="str">
        <f>IFERROR(Table_Controls_Input[[#This Row],[Gross Measure Cost]]-Table_Controls_Input[[#This Row],[Estimated Incentive]], "")</f>
        <v/>
      </c>
      <c r="Q15" s="73" t="str">
        <f t="shared" si="1"/>
        <v/>
      </c>
      <c r="R15" s="3"/>
      <c r="S15" s="3"/>
      <c r="T15" s="3"/>
      <c r="U15" s="3"/>
      <c r="V15" s="3"/>
      <c r="W15" s="3"/>
      <c r="X15" s="3"/>
      <c r="Y15" s="3"/>
      <c r="Z15" s="3"/>
      <c r="AA15" s="3"/>
      <c r="AB15" s="3"/>
      <c r="AC15" s="3"/>
      <c r="AD15" s="3"/>
      <c r="AE15" s="3"/>
      <c r="AF15" s="3"/>
      <c r="AG15" s="3"/>
      <c r="AH15" s="3"/>
      <c r="AI15" s="3"/>
      <c r="AJ15" s="3"/>
      <c r="AK15" s="3"/>
      <c r="AL15" s="3"/>
      <c r="AM15" s="3"/>
    </row>
    <row r="16" spans="1:39" x14ac:dyDescent="0.2">
      <c r="A16" s="3"/>
      <c r="B16" s="71">
        <v>12</v>
      </c>
      <c r="C16" s="69" t="str">
        <f>IFERROR(INDEX(Table_Prescript_Meas[Measure Number], MATCH(E16, Table_Prescript_Meas[Measure Description], 0)), "")</f>
        <v/>
      </c>
      <c r="D16" s="61"/>
      <c r="E16" s="60"/>
      <c r="F16" s="69" t="str">
        <f>IFERROR(INDEX(Table_Prescript_Meas[Units], MATCH(Table_Controls_Input[[#This Row],[Measure Number]], Table_Prescript_Meas[Measure Number], 0)), "")</f>
        <v/>
      </c>
      <c r="G16" s="272"/>
      <c r="H16" s="155"/>
      <c r="I16" s="155"/>
      <c r="J16"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6" s="72" t="str">
        <f>IFERROR(Table_Controls_Input[[#This Row],[Number of Units]]*Table_Controls_Input[[#This Row],[Per-Unit Incentive]], "")</f>
        <v/>
      </c>
      <c r="L16" s="73" t="str">
        <f>IFERROR(Table_Controls_Input[[#This Row],[Number of Units]]*INDEX(Table_Prescript_Meas[Deemed kWh Savings], MATCH(Table_Controls_Input[[#This Row],[Measure Number]], Table_Prescript_Meas[Measure Number], 0)),"" )</f>
        <v/>
      </c>
      <c r="M16" s="79" t="str">
        <f>IFERROR(Table_Controls_Input[[#This Row],[Number of Units]]*INDEX(Table_Prescript_Meas[Deemed kW Savings], MATCH(Table_Controls_Input[[#This Row],[Measure Number]], Table_Prescript_Meas[Measure Number], 0)),"" )</f>
        <v/>
      </c>
      <c r="N16" s="72" t="str">
        <f t="shared" si="2"/>
        <v/>
      </c>
      <c r="O16" s="72" t="str">
        <f>IF(Table_Controls_Input[[#This Row],[Measure Number]]="", "", Table_Controls_Input[[#This Row],[Total Equipment Cost]]+Table_Controls_Input[[#This Row],[Total Labor Cost]])</f>
        <v/>
      </c>
      <c r="P16" s="72" t="str">
        <f>IFERROR(Table_Controls_Input[[#This Row],[Gross Measure Cost]]-Table_Controls_Input[[#This Row],[Estimated Incentive]], "")</f>
        <v/>
      </c>
      <c r="Q16" s="73" t="str">
        <f t="shared" si="1"/>
        <v/>
      </c>
      <c r="R16" s="3"/>
      <c r="S16" s="3"/>
      <c r="T16" s="3"/>
      <c r="U16" s="3"/>
      <c r="V16" s="3"/>
      <c r="W16" s="3"/>
      <c r="X16" s="3"/>
      <c r="Y16" s="3"/>
      <c r="Z16" s="3"/>
      <c r="AA16" s="3"/>
      <c r="AB16" s="3"/>
      <c r="AC16" s="3"/>
      <c r="AD16" s="3"/>
      <c r="AE16" s="3"/>
      <c r="AF16" s="3"/>
      <c r="AG16" s="3"/>
      <c r="AH16" s="3"/>
      <c r="AI16" s="3"/>
      <c r="AJ16" s="3"/>
      <c r="AK16" s="3"/>
      <c r="AL16" s="3"/>
      <c r="AM16" s="3"/>
    </row>
    <row r="17" spans="1:39" x14ac:dyDescent="0.2">
      <c r="A17" s="3"/>
      <c r="B17" s="71">
        <v>13</v>
      </c>
      <c r="C17" s="69" t="str">
        <f>IFERROR(INDEX(Table_Prescript_Meas[Measure Number], MATCH(E17, Table_Prescript_Meas[Measure Description], 0)), "")</f>
        <v/>
      </c>
      <c r="D17" s="61"/>
      <c r="E17" s="60"/>
      <c r="F17" s="69" t="str">
        <f>IFERROR(INDEX(Table_Prescript_Meas[Units], MATCH(Table_Controls_Input[[#This Row],[Measure Number]], Table_Prescript_Meas[Measure Number], 0)), "")</f>
        <v/>
      </c>
      <c r="G17" s="272"/>
      <c r="H17" s="155"/>
      <c r="I17" s="155"/>
      <c r="J17"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7" s="72" t="str">
        <f>IFERROR(Table_Controls_Input[[#This Row],[Number of Units]]*Table_Controls_Input[[#This Row],[Per-Unit Incentive]], "")</f>
        <v/>
      </c>
      <c r="L17" s="73" t="str">
        <f>IFERROR(Table_Controls_Input[[#This Row],[Number of Units]]*INDEX(Table_Prescript_Meas[Deemed kWh Savings], MATCH(Table_Controls_Input[[#This Row],[Measure Number]], Table_Prescript_Meas[Measure Number], 0)),"" )</f>
        <v/>
      </c>
      <c r="M17" s="79" t="str">
        <f>IFERROR(Table_Controls_Input[[#This Row],[Number of Units]]*INDEX(Table_Prescript_Meas[Deemed kW Savings], MATCH(Table_Controls_Input[[#This Row],[Measure Number]], Table_Prescript_Meas[Measure Number], 0)),"" )</f>
        <v/>
      </c>
      <c r="N17" s="72" t="str">
        <f t="shared" si="2"/>
        <v/>
      </c>
      <c r="O17" s="72" t="str">
        <f>IF(Table_Controls_Input[[#This Row],[Measure Number]]="", "", Table_Controls_Input[[#This Row],[Total Equipment Cost]]+Table_Controls_Input[[#This Row],[Total Labor Cost]])</f>
        <v/>
      </c>
      <c r="P17" s="72" t="str">
        <f>IFERROR(Table_Controls_Input[[#This Row],[Gross Measure Cost]]-Table_Controls_Input[[#This Row],[Estimated Incentive]], "")</f>
        <v/>
      </c>
      <c r="Q17" s="73" t="str">
        <f t="shared" si="1"/>
        <v/>
      </c>
      <c r="R17" s="3"/>
      <c r="S17" s="3"/>
      <c r="T17" s="3"/>
      <c r="U17" s="3"/>
      <c r="V17" s="3"/>
      <c r="W17" s="3"/>
      <c r="X17" s="3"/>
      <c r="Y17" s="3"/>
      <c r="Z17" s="3"/>
      <c r="AA17" s="3"/>
      <c r="AB17" s="3"/>
      <c r="AC17" s="3"/>
      <c r="AD17" s="3"/>
      <c r="AE17" s="3"/>
      <c r="AF17" s="3"/>
      <c r="AG17" s="3"/>
      <c r="AH17" s="3"/>
      <c r="AI17" s="3"/>
      <c r="AJ17" s="3"/>
      <c r="AK17" s="3"/>
      <c r="AL17" s="3"/>
      <c r="AM17" s="3"/>
    </row>
    <row r="18" spans="1:39" x14ac:dyDescent="0.2">
      <c r="A18" s="3"/>
      <c r="B18" s="71">
        <v>14</v>
      </c>
      <c r="C18" s="69" t="str">
        <f>IFERROR(INDEX(Table_Prescript_Meas[Measure Number], MATCH(E18, Table_Prescript_Meas[Measure Description], 0)), "")</f>
        <v/>
      </c>
      <c r="D18" s="61"/>
      <c r="E18" s="60"/>
      <c r="F18" s="69" t="str">
        <f>IFERROR(INDEX(Table_Prescript_Meas[Units], MATCH(Table_Controls_Input[[#This Row],[Measure Number]], Table_Prescript_Meas[Measure Number], 0)), "")</f>
        <v/>
      </c>
      <c r="G18" s="272"/>
      <c r="H18" s="155"/>
      <c r="I18" s="155"/>
      <c r="J18"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8" s="72" t="str">
        <f>IFERROR(Table_Controls_Input[[#This Row],[Number of Units]]*Table_Controls_Input[[#This Row],[Per-Unit Incentive]], "")</f>
        <v/>
      </c>
      <c r="L18" s="73" t="str">
        <f>IFERROR(Table_Controls_Input[[#This Row],[Number of Units]]*INDEX(Table_Prescript_Meas[Deemed kWh Savings], MATCH(Table_Controls_Input[[#This Row],[Measure Number]], Table_Prescript_Meas[Measure Number], 0)),"" )</f>
        <v/>
      </c>
      <c r="M18" s="79" t="str">
        <f>IFERROR(Table_Controls_Input[[#This Row],[Number of Units]]*INDEX(Table_Prescript_Meas[Deemed kW Savings], MATCH(Table_Controls_Input[[#This Row],[Measure Number]], Table_Prescript_Meas[Measure Number], 0)),"" )</f>
        <v/>
      </c>
      <c r="N18" s="72" t="str">
        <f t="shared" si="2"/>
        <v/>
      </c>
      <c r="O18" s="72" t="str">
        <f>IF(Table_Controls_Input[[#This Row],[Measure Number]]="", "", Table_Controls_Input[[#This Row],[Total Equipment Cost]]+Table_Controls_Input[[#This Row],[Total Labor Cost]])</f>
        <v/>
      </c>
      <c r="P18" s="72" t="str">
        <f>IFERROR(Table_Controls_Input[[#This Row],[Gross Measure Cost]]-Table_Controls_Input[[#This Row],[Estimated Incentive]], "")</f>
        <v/>
      </c>
      <c r="Q18" s="73" t="str">
        <f t="shared" si="1"/>
        <v/>
      </c>
      <c r="R18" s="3"/>
      <c r="S18" s="3"/>
      <c r="T18" s="3"/>
      <c r="U18" s="3"/>
      <c r="V18" s="3"/>
      <c r="W18" s="3"/>
      <c r="X18" s="3"/>
      <c r="Y18" s="3"/>
      <c r="Z18" s="3"/>
      <c r="AA18" s="3"/>
      <c r="AB18" s="3"/>
      <c r="AC18" s="3"/>
      <c r="AD18" s="3"/>
      <c r="AE18" s="3"/>
      <c r="AF18" s="3"/>
      <c r="AG18" s="3"/>
      <c r="AH18" s="3"/>
      <c r="AI18" s="3"/>
      <c r="AJ18" s="3"/>
      <c r="AK18" s="3"/>
      <c r="AL18" s="3"/>
      <c r="AM18" s="3"/>
    </row>
    <row r="19" spans="1:39" x14ac:dyDescent="0.2">
      <c r="A19" s="3"/>
      <c r="B19" s="71">
        <v>15</v>
      </c>
      <c r="C19" s="69" t="str">
        <f>IFERROR(INDEX(Table_Prescript_Meas[Measure Number], MATCH(E19, Table_Prescript_Meas[Measure Description], 0)), "")</f>
        <v/>
      </c>
      <c r="D19" s="61"/>
      <c r="E19" s="60"/>
      <c r="F19" s="69" t="str">
        <f>IFERROR(INDEX(Table_Prescript_Meas[Units], MATCH(Table_Controls_Input[[#This Row],[Measure Number]], Table_Prescript_Meas[Measure Number], 0)), "")</f>
        <v/>
      </c>
      <c r="G19" s="272"/>
      <c r="H19" s="155"/>
      <c r="I19" s="155"/>
      <c r="J19"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19" s="72" t="str">
        <f>IFERROR(Table_Controls_Input[[#This Row],[Number of Units]]*Table_Controls_Input[[#This Row],[Per-Unit Incentive]], "")</f>
        <v/>
      </c>
      <c r="L19" s="73" t="str">
        <f>IFERROR(Table_Controls_Input[[#This Row],[Number of Units]]*INDEX(Table_Prescript_Meas[Deemed kWh Savings], MATCH(Table_Controls_Input[[#This Row],[Measure Number]], Table_Prescript_Meas[Measure Number], 0)),"" )</f>
        <v/>
      </c>
      <c r="M19" s="79" t="str">
        <f>IFERROR(Table_Controls_Input[[#This Row],[Number of Units]]*INDEX(Table_Prescript_Meas[Deemed kW Savings], MATCH(Table_Controls_Input[[#This Row],[Measure Number]], Table_Prescript_Meas[Measure Number], 0)),"" )</f>
        <v/>
      </c>
      <c r="N19" s="72" t="str">
        <f t="shared" si="2"/>
        <v/>
      </c>
      <c r="O19" s="72" t="str">
        <f>IF(Table_Controls_Input[[#This Row],[Measure Number]]="", "", Table_Controls_Input[[#This Row],[Total Equipment Cost]]+Table_Controls_Input[[#This Row],[Total Labor Cost]])</f>
        <v/>
      </c>
      <c r="P19" s="72" t="str">
        <f>IFERROR(Table_Controls_Input[[#This Row],[Gross Measure Cost]]-Table_Controls_Input[[#This Row],[Estimated Incentive]], "")</f>
        <v/>
      </c>
      <c r="Q19" s="73" t="str">
        <f t="shared" si="1"/>
        <v/>
      </c>
      <c r="R19" s="3"/>
      <c r="S19" s="3"/>
      <c r="T19" s="3"/>
      <c r="U19" s="3"/>
      <c r="V19" s="3"/>
      <c r="W19" s="3"/>
      <c r="X19" s="3"/>
      <c r="Y19" s="3"/>
      <c r="Z19" s="3"/>
      <c r="AA19" s="3"/>
      <c r="AB19" s="3"/>
      <c r="AC19" s="3"/>
      <c r="AD19" s="3"/>
      <c r="AE19" s="3"/>
      <c r="AF19" s="3"/>
      <c r="AG19" s="3"/>
      <c r="AH19" s="3"/>
      <c r="AI19" s="3"/>
      <c r="AJ19" s="3"/>
      <c r="AK19" s="3"/>
      <c r="AL19" s="3"/>
      <c r="AM19" s="3"/>
    </row>
    <row r="20" spans="1:39" x14ac:dyDescent="0.2">
      <c r="A20" s="3"/>
      <c r="B20" s="71">
        <v>16</v>
      </c>
      <c r="C20" s="69" t="str">
        <f>IFERROR(INDEX(Table_Prescript_Meas[Measure Number], MATCH(E20, Table_Prescript_Meas[Measure Description], 0)), "")</f>
        <v/>
      </c>
      <c r="D20" s="61"/>
      <c r="E20" s="60"/>
      <c r="F20" s="69" t="str">
        <f>IFERROR(INDEX(Table_Prescript_Meas[Units], MATCH(Table_Controls_Input[[#This Row],[Measure Number]], Table_Prescript_Meas[Measure Number], 0)), "")</f>
        <v/>
      </c>
      <c r="G20" s="272"/>
      <c r="H20" s="155"/>
      <c r="I20" s="155"/>
      <c r="J20"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0" s="72" t="str">
        <f>IFERROR(Table_Controls_Input[[#This Row],[Number of Units]]*Table_Controls_Input[[#This Row],[Per-Unit Incentive]], "")</f>
        <v/>
      </c>
      <c r="L20" s="73" t="str">
        <f>IFERROR(Table_Controls_Input[[#This Row],[Number of Units]]*INDEX(Table_Prescript_Meas[Deemed kWh Savings], MATCH(Table_Controls_Input[[#This Row],[Measure Number]], Table_Prescript_Meas[Measure Number], 0)),"" )</f>
        <v/>
      </c>
      <c r="M20" s="79" t="str">
        <f>IFERROR(Table_Controls_Input[[#This Row],[Number of Units]]*INDEX(Table_Prescript_Meas[Deemed kW Savings], MATCH(Table_Controls_Input[[#This Row],[Measure Number]], Table_Prescript_Meas[Measure Number], 0)),"" )</f>
        <v/>
      </c>
      <c r="N20" s="72" t="str">
        <f t="shared" si="2"/>
        <v/>
      </c>
      <c r="O20" s="72" t="str">
        <f>IF(Table_Controls_Input[[#This Row],[Measure Number]]="", "", Table_Controls_Input[[#This Row],[Total Equipment Cost]]+Table_Controls_Input[[#This Row],[Total Labor Cost]])</f>
        <v/>
      </c>
      <c r="P20" s="72" t="str">
        <f>IFERROR(Table_Controls_Input[[#This Row],[Gross Measure Cost]]-Table_Controls_Input[[#This Row],[Estimated Incentive]], "")</f>
        <v/>
      </c>
      <c r="Q20" s="73" t="str">
        <f t="shared" si="1"/>
        <v/>
      </c>
      <c r="R20" s="3"/>
      <c r="S20" s="3"/>
      <c r="T20" s="3"/>
      <c r="U20" s="3"/>
      <c r="V20" s="3"/>
      <c r="W20" s="3"/>
      <c r="X20" s="3"/>
      <c r="Y20" s="3"/>
      <c r="Z20" s="3"/>
      <c r="AA20" s="3"/>
      <c r="AB20" s="3"/>
      <c r="AC20" s="3"/>
      <c r="AD20" s="3"/>
      <c r="AE20" s="3"/>
      <c r="AF20" s="3"/>
      <c r="AG20" s="3"/>
      <c r="AH20" s="3"/>
      <c r="AI20" s="3"/>
      <c r="AJ20" s="3"/>
      <c r="AK20" s="3"/>
      <c r="AL20" s="3"/>
      <c r="AM20" s="3"/>
    </row>
    <row r="21" spans="1:39" x14ac:dyDescent="0.2">
      <c r="A21" s="3"/>
      <c r="B21" s="71">
        <v>17</v>
      </c>
      <c r="C21" s="69" t="str">
        <f>IFERROR(INDEX(Table_Prescript_Meas[Measure Number], MATCH(E21, Table_Prescript_Meas[Measure Description], 0)), "")</f>
        <v/>
      </c>
      <c r="D21" s="61"/>
      <c r="E21" s="60"/>
      <c r="F21" s="69" t="str">
        <f>IFERROR(INDEX(Table_Prescript_Meas[Units], MATCH(Table_Controls_Input[[#This Row],[Measure Number]], Table_Prescript_Meas[Measure Number], 0)), "")</f>
        <v/>
      </c>
      <c r="G21" s="272"/>
      <c r="H21" s="155"/>
      <c r="I21" s="155"/>
      <c r="J21"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1" s="72" t="str">
        <f>IFERROR(Table_Controls_Input[[#This Row],[Number of Units]]*Table_Controls_Input[[#This Row],[Per-Unit Incentive]], "")</f>
        <v/>
      </c>
      <c r="L21" s="73" t="str">
        <f>IFERROR(Table_Controls_Input[[#This Row],[Number of Units]]*INDEX(Table_Prescript_Meas[Deemed kWh Savings], MATCH(Table_Controls_Input[[#This Row],[Measure Number]], Table_Prescript_Meas[Measure Number], 0)),"" )</f>
        <v/>
      </c>
      <c r="M21" s="79" t="str">
        <f>IFERROR(Table_Controls_Input[[#This Row],[Number of Units]]*INDEX(Table_Prescript_Meas[Deemed kW Savings], MATCH(Table_Controls_Input[[#This Row],[Measure Number]], Table_Prescript_Meas[Measure Number], 0)),"" )</f>
        <v/>
      </c>
      <c r="N21" s="72" t="str">
        <f t="shared" si="2"/>
        <v/>
      </c>
      <c r="O21" s="72" t="str">
        <f>IF(Table_Controls_Input[[#This Row],[Measure Number]]="", "", Table_Controls_Input[[#This Row],[Total Equipment Cost]]+Table_Controls_Input[[#This Row],[Total Labor Cost]])</f>
        <v/>
      </c>
      <c r="P21" s="72" t="str">
        <f>IFERROR(Table_Controls_Input[[#This Row],[Gross Measure Cost]]-Table_Controls_Input[[#This Row],[Estimated Incentive]], "")</f>
        <v/>
      </c>
      <c r="Q21" s="73" t="str">
        <f t="shared" si="1"/>
        <v/>
      </c>
      <c r="R21" s="3"/>
      <c r="S21" s="3"/>
      <c r="T21" s="3"/>
      <c r="U21" s="3"/>
      <c r="V21" s="3"/>
      <c r="W21" s="3"/>
      <c r="X21" s="3"/>
      <c r="Y21" s="3"/>
      <c r="Z21" s="3"/>
      <c r="AA21" s="3"/>
      <c r="AB21" s="3"/>
      <c r="AC21" s="3"/>
      <c r="AD21" s="3"/>
      <c r="AE21" s="3"/>
      <c r="AF21" s="3"/>
      <c r="AG21" s="3"/>
      <c r="AH21" s="3"/>
      <c r="AI21" s="3"/>
      <c r="AJ21" s="3"/>
      <c r="AK21" s="3"/>
      <c r="AL21" s="3"/>
      <c r="AM21" s="3"/>
    </row>
    <row r="22" spans="1:39" x14ac:dyDescent="0.2">
      <c r="A22" s="3"/>
      <c r="B22" s="71">
        <v>18</v>
      </c>
      <c r="C22" s="69" t="str">
        <f>IFERROR(INDEX(Table_Prescript_Meas[Measure Number], MATCH(E22, Table_Prescript_Meas[Measure Description], 0)), "")</f>
        <v/>
      </c>
      <c r="D22" s="61"/>
      <c r="E22" s="60"/>
      <c r="F22" s="69" t="str">
        <f>IFERROR(INDEX(Table_Prescript_Meas[Units], MATCH(Table_Controls_Input[[#This Row],[Measure Number]], Table_Prescript_Meas[Measure Number], 0)), "")</f>
        <v/>
      </c>
      <c r="G22" s="272"/>
      <c r="H22" s="155"/>
      <c r="I22" s="155"/>
      <c r="J22"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2" s="72" t="str">
        <f>IFERROR(Table_Controls_Input[[#This Row],[Number of Units]]*Table_Controls_Input[[#This Row],[Per-Unit Incentive]], "")</f>
        <v/>
      </c>
      <c r="L22" s="73" t="str">
        <f>IFERROR(Table_Controls_Input[[#This Row],[Number of Units]]*INDEX(Table_Prescript_Meas[Deemed kWh Savings], MATCH(Table_Controls_Input[[#This Row],[Measure Number]], Table_Prescript_Meas[Measure Number], 0)),"" )</f>
        <v/>
      </c>
      <c r="M22" s="79" t="str">
        <f>IFERROR(Table_Controls_Input[[#This Row],[Number of Units]]*INDEX(Table_Prescript_Meas[Deemed kW Savings], MATCH(Table_Controls_Input[[#This Row],[Measure Number]], Table_Prescript_Meas[Measure Number], 0)),"" )</f>
        <v/>
      </c>
      <c r="N22" s="72" t="str">
        <f t="shared" si="2"/>
        <v/>
      </c>
      <c r="O22" s="72" t="str">
        <f>IF(Table_Controls_Input[[#This Row],[Measure Number]]="", "", Table_Controls_Input[[#This Row],[Total Equipment Cost]]+Table_Controls_Input[[#This Row],[Total Labor Cost]])</f>
        <v/>
      </c>
      <c r="P22" s="72" t="str">
        <f>IFERROR(Table_Controls_Input[[#This Row],[Gross Measure Cost]]-Table_Controls_Input[[#This Row],[Estimated Incentive]], "")</f>
        <v/>
      </c>
      <c r="Q22" s="73" t="str">
        <f t="shared" si="1"/>
        <v/>
      </c>
      <c r="R22" s="3"/>
      <c r="S22" s="3"/>
      <c r="T22" s="3"/>
      <c r="U22" s="3"/>
      <c r="V22" s="3"/>
      <c r="W22" s="3"/>
      <c r="X22" s="3"/>
      <c r="Y22" s="3"/>
      <c r="Z22" s="3"/>
      <c r="AA22" s="3"/>
      <c r="AB22" s="3"/>
      <c r="AC22" s="3"/>
      <c r="AD22" s="3"/>
      <c r="AE22" s="3"/>
      <c r="AF22" s="3"/>
      <c r="AG22" s="3"/>
      <c r="AH22" s="3"/>
      <c r="AI22" s="3"/>
      <c r="AJ22" s="3"/>
      <c r="AK22" s="3"/>
      <c r="AL22" s="3"/>
      <c r="AM22" s="3"/>
    </row>
    <row r="23" spans="1:39" x14ac:dyDescent="0.2">
      <c r="A23" s="3"/>
      <c r="B23" s="71">
        <v>19</v>
      </c>
      <c r="C23" s="69" t="str">
        <f>IFERROR(INDEX(Table_Prescript_Meas[Measure Number], MATCH(E23, Table_Prescript_Meas[Measure Description], 0)), "")</f>
        <v/>
      </c>
      <c r="D23" s="61"/>
      <c r="E23" s="60"/>
      <c r="F23" s="69" t="str">
        <f>IFERROR(INDEX(Table_Prescript_Meas[Units], MATCH(Table_Controls_Input[[#This Row],[Measure Number]], Table_Prescript_Meas[Measure Number], 0)), "")</f>
        <v/>
      </c>
      <c r="G23" s="272"/>
      <c r="H23" s="155"/>
      <c r="I23" s="155"/>
      <c r="J23"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3" s="72" t="str">
        <f>IFERROR(Table_Controls_Input[[#This Row],[Number of Units]]*Table_Controls_Input[[#This Row],[Per-Unit Incentive]], "")</f>
        <v/>
      </c>
      <c r="L23" s="73" t="str">
        <f>IFERROR(Table_Controls_Input[[#This Row],[Number of Units]]*INDEX(Table_Prescript_Meas[Deemed kWh Savings], MATCH(Table_Controls_Input[[#This Row],[Measure Number]], Table_Prescript_Meas[Measure Number], 0)),"" )</f>
        <v/>
      </c>
      <c r="M23" s="79" t="str">
        <f>IFERROR(Table_Controls_Input[[#This Row],[Number of Units]]*INDEX(Table_Prescript_Meas[Deemed kW Savings], MATCH(Table_Controls_Input[[#This Row],[Measure Number]], Table_Prescript_Meas[Measure Number], 0)),"" )</f>
        <v/>
      </c>
      <c r="N23" s="72" t="str">
        <f t="shared" si="2"/>
        <v/>
      </c>
      <c r="O23" s="72" t="str">
        <f>IF(Table_Controls_Input[[#This Row],[Measure Number]]="", "", Table_Controls_Input[[#This Row],[Total Equipment Cost]]+Table_Controls_Input[[#This Row],[Total Labor Cost]])</f>
        <v/>
      </c>
      <c r="P23" s="72" t="str">
        <f>IFERROR(Table_Controls_Input[[#This Row],[Gross Measure Cost]]-Table_Controls_Input[[#This Row],[Estimated Incentive]], "")</f>
        <v/>
      </c>
      <c r="Q23" s="73" t="str">
        <f t="shared" si="1"/>
        <v/>
      </c>
      <c r="R23" s="3"/>
      <c r="S23" s="3"/>
      <c r="T23" s="3"/>
      <c r="U23" s="3"/>
      <c r="V23" s="3"/>
      <c r="W23" s="3"/>
      <c r="X23" s="3"/>
      <c r="Y23" s="3"/>
      <c r="Z23" s="3"/>
      <c r="AA23" s="3"/>
      <c r="AB23" s="3"/>
      <c r="AC23" s="3"/>
      <c r="AD23" s="3"/>
      <c r="AE23" s="3"/>
      <c r="AF23" s="3"/>
      <c r="AG23" s="3"/>
      <c r="AH23" s="3"/>
      <c r="AI23" s="3"/>
      <c r="AJ23" s="3"/>
      <c r="AK23" s="3"/>
      <c r="AL23" s="3"/>
      <c r="AM23" s="3"/>
    </row>
    <row r="24" spans="1:39" x14ac:dyDescent="0.2">
      <c r="A24" s="3"/>
      <c r="B24" s="71">
        <v>20</v>
      </c>
      <c r="C24" s="69" t="str">
        <f>IFERROR(INDEX(Table_Prescript_Meas[Measure Number], MATCH(E24, Table_Prescript_Meas[Measure Description], 0)), "")</f>
        <v/>
      </c>
      <c r="D24" s="61"/>
      <c r="E24" s="60"/>
      <c r="F24" s="69" t="str">
        <f>IFERROR(INDEX(Table_Prescript_Meas[Units], MATCH(Table_Controls_Input[[#This Row],[Measure Number]], Table_Prescript_Meas[Measure Number], 0)), "")</f>
        <v/>
      </c>
      <c r="G24" s="272"/>
      <c r="H24" s="155"/>
      <c r="I24" s="155"/>
      <c r="J24"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4" s="72" t="str">
        <f>IFERROR(Table_Controls_Input[[#This Row],[Number of Units]]*Table_Controls_Input[[#This Row],[Per-Unit Incentive]], "")</f>
        <v/>
      </c>
      <c r="L24" s="73" t="str">
        <f>IFERROR(Table_Controls_Input[[#This Row],[Number of Units]]*INDEX(Table_Prescript_Meas[Deemed kWh Savings], MATCH(Table_Controls_Input[[#This Row],[Measure Number]], Table_Prescript_Meas[Measure Number], 0)),"" )</f>
        <v/>
      </c>
      <c r="M24" s="79" t="str">
        <f>IFERROR(Table_Controls_Input[[#This Row],[Number of Units]]*INDEX(Table_Prescript_Meas[Deemed kW Savings], MATCH(Table_Controls_Input[[#This Row],[Measure Number]], Table_Prescript_Meas[Measure Number], 0)),"" )</f>
        <v/>
      </c>
      <c r="N24" s="72" t="str">
        <f t="shared" si="2"/>
        <v/>
      </c>
      <c r="O24" s="72" t="str">
        <f>IF(Table_Controls_Input[[#This Row],[Measure Number]]="", "", Table_Controls_Input[[#This Row],[Total Equipment Cost]]+Table_Controls_Input[[#This Row],[Total Labor Cost]])</f>
        <v/>
      </c>
      <c r="P24" s="72" t="str">
        <f>IFERROR(Table_Controls_Input[[#This Row],[Gross Measure Cost]]-Table_Controls_Input[[#This Row],[Estimated Incentive]], "")</f>
        <v/>
      </c>
      <c r="Q24" s="73" t="str">
        <f t="shared" si="1"/>
        <v/>
      </c>
      <c r="R24" s="3"/>
      <c r="S24" s="3"/>
      <c r="T24" s="3"/>
      <c r="U24" s="3"/>
      <c r="V24" s="3"/>
      <c r="W24" s="3"/>
      <c r="X24" s="3"/>
      <c r="Y24" s="3"/>
      <c r="Z24" s="3"/>
      <c r="AA24" s="3"/>
      <c r="AB24" s="3"/>
      <c r="AC24" s="3"/>
      <c r="AD24" s="3"/>
      <c r="AE24" s="3"/>
      <c r="AF24" s="3"/>
      <c r="AG24" s="3"/>
      <c r="AH24" s="3"/>
      <c r="AI24" s="3"/>
      <c r="AJ24" s="3"/>
      <c r="AK24" s="3"/>
      <c r="AL24" s="3"/>
      <c r="AM24" s="3"/>
    </row>
    <row r="25" spans="1:39" x14ac:dyDescent="0.2">
      <c r="A25" s="3"/>
      <c r="B25" s="71">
        <v>21</v>
      </c>
      <c r="C25" s="69" t="str">
        <f>IFERROR(INDEX(Table_Prescript_Meas[Measure Number], MATCH(E25, Table_Prescript_Meas[Measure Description], 0)), "")</f>
        <v/>
      </c>
      <c r="D25" s="61"/>
      <c r="E25" s="60"/>
      <c r="F25" s="69" t="str">
        <f>IFERROR(INDEX(Table_Prescript_Meas[Units], MATCH(Table_Controls_Input[[#This Row],[Measure Number]], Table_Prescript_Meas[Measure Number], 0)), "")</f>
        <v/>
      </c>
      <c r="G25" s="272"/>
      <c r="H25" s="155"/>
      <c r="I25" s="155"/>
      <c r="J25"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5" s="72" t="str">
        <f>IFERROR(Table_Controls_Input[[#This Row],[Number of Units]]*Table_Controls_Input[[#This Row],[Per-Unit Incentive]], "")</f>
        <v/>
      </c>
      <c r="L25" s="73" t="str">
        <f>IFERROR(Table_Controls_Input[[#This Row],[Number of Units]]*INDEX(Table_Prescript_Meas[Deemed kWh Savings], MATCH(Table_Controls_Input[[#This Row],[Measure Number]], Table_Prescript_Meas[Measure Number], 0)),"" )</f>
        <v/>
      </c>
      <c r="M25" s="79" t="str">
        <f>IFERROR(Table_Controls_Input[[#This Row],[Number of Units]]*INDEX(Table_Prescript_Meas[Deemed kW Savings], MATCH(Table_Controls_Input[[#This Row],[Measure Number]], Table_Prescript_Meas[Measure Number], 0)),"" )</f>
        <v/>
      </c>
      <c r="N25" s="72" t="str">
        <f t="shared" si="2"/>
        <v/>
      </c>
      <c r="O25" s="72" t="str">
        <f>IF(Table_Controls_Input[[#This Row],[Measure Number]]="", "", Table_Controls_Input[[#This Row],[Total Equipment Cost]]+Table_Controls_Input[[#This Row],[Total Labor Cost]])</f>
        <v/>
      </c>
      <c r="P25" s="72" t="str">
        <f>IFERROR(Table_Controls_Input[[#This Row],[Gross Measure Cost]]-Table_Controls_Input[[#This Row],[Estimated Incentive]], "")</f>
        <v/>
      </c>
      <c r="Q25" s="73" t="str">
        <f t="shared" si="1"/>
        <v/>
      </c>
      <c r="R25" s="3"/>
      <c r="S25" s="3"/>
      <c r="T25" s="3"/>
      <c r="U25" s="3"/>
      <c r="V25" s="3"/>
      <c r="W25" s="3"/>
      <c r="X25" s="3"/>
      <c r="Y25" s="3"/>
      <c r="Z25" s="3"/>
      <c r="AA25" s="3"/>
      <c r="AB25" s="3"/>
      <c r="AC25" s="3"/>
      <c r="AD25" s="3"/>
      <c r="AE25" s="3"/>
      <c r="AF25" s="3"/>
      <c r="AG25" s="3"/>
      <c r="AH25" s="3"/>
      <c r="AI25" s="3"/>
      <c r="AJ25" s="3"/>
      <c r="AK25" s="3"/>
      <c r="AL25" s="3"/>
      <c r="AM25" s="3"/>
    </row>
    <row r="26" spans="1:39" x14ac:dyDescent="0.2">
      <c r="A26" s="3"/>
      <c r="B26" s="71">
        <v>22</v>
      </c>
      <c r="C26" s="69" t="str">
        <f>IFERROR(INDEX(Table_Prescript_Meas[Measure Number], MATCH(E26, Table_Prescript_Meas[Measure Description], 0)), "")</f>
        <v/>
      </c>
      <c r="D26" s="61"/>
      <c r="E26" s="60"/>
      <c r="F26" s="69" t="str">
        <f>IFERROR(INDEX(Table_Prescript_Meas[Units], MATCH(Table_Controls_Input[[#This Row],[Measure Number]], Table_Prescript_Meas[Measure Number], 0)), "")</f>
        <v/>
      </c>
      <c r="G26" s="272"/>
      <c r="H26" s="155"/>
      <c r="I26" s="155"/>
      <c r="J26"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6" s="72" t="str">
        <f>IFERROR(Table_Controls_Input[[#This Row],[Number of Units]]*Table_Controls_Input[[#This Row],[Per-Unit Incentive]], "")</f>
        <v/>
      </c>
      <c r="L26" s="73" t="str">
        <f>IFERROR(Table_Controls_Input[[#This Row],[Number of Units]]*INDEX(Table_Prescript_Meas[Deemed kWh Savings], MATCH(Table_Controls_Input[[#This Row],[Measure Number]], Table_Prescript_Meas[Measure Number], 0)),"" )</f>
        <v/>
      </c>
      <c r="M26" s="79" t="str">
        <f>IFERROR(Table_Controls_Input[[#This Row],[Number of Units]]*INDEX(Table_Prescript_Meas[Deemed kW Savings], MATCH(Table_Controls_Input[[#This Row],[Measure Number]], Table_Prescript_Meas[Measure Number], 0)),"" )</f>
        <v/>
      </c>
      <c r="N26" s="72" t="str">
        <f t="shared" si="2"/>
        <v/>
      </c>
      <c r="O26" s="72" t="str">
        <f>IF(Table_Controls_Input[[#This Row],[Measure Number]]="", "", Table_Controls_Input[[#This Row],[Total Equipment Cost]]+Table_Controls_Input[[#This Row],[Total Labor Cost]])</f>
        <v/>
      </c>
      <c r="P26" s="72" t="str">
        <f>IFERROR(Table_Controls_Input[[#This Row],[Gross Measure Cost]]-Table_Controls_Input[[#This Row],[Estimated Incentive]], "")</f>
        <v/>
      </c>
      <c r="Q26" s="73" t="str">
        <f t="shared" si="1"/>
        <v/>
      </c>
      <c r="R26" s="3"/>
      <c r="S26" s="3"/>
      <c r="T26" s="3"/>
      <c r="U26" s="3"/>
      <c r="V26" s="3"/>
      <c r="W26" s="3"/>
      <c r="X26" s="3"/>
      <c r="Y26" s="3"/>
      <c r="Z26" s="3"/>
      <c r="AA26" s="3"/>
      <c r="AB26" s="3"/>
      <c r="AC26" s="3"/>
      <c r="AD26" s="3"/>
      <c r="AE26" s="3"/>
      <c r="AF26" s="3"/>
      <c r="AG26" s="3"/>
      <c r="AH26" s="3"/>
      <c r="AI26" s="3"/>
      <c r="AJ26" s="3"/>
      <c r="AK26" s="3"/>
      <c r="AL26" s="3"/>
      <c r="AM26" s="3"/>
    </row>
    <row r="27" spans="1:39" x14ac:dyDescent="0.2">
      <c r="A27" s="3"/>
      <c r="B27" s="71">
        <v>23</v>
      </c>
      <c r="C27" s="69" t="str">
        <f>IFERROR(INDEX(Table_Prescript_Meas[Measure Number], MATCH(E27, Table_Prescript_Meas[Measure Description], 0)), "")</f>
        <v/>
      </c>
      <c r="D27" s="61"/>
      <c r="E27" s="60"/>
      <c r="F27" s="69" t="str">
        <f>IFERROR(INDEX(Table_Prescript_Meas[Units], MATCH(Table_Controls_Input[[#This Row],[Measure Number]], Table_Prescript_Meas[Measure Number], 0)), "")</f>
        <v/>
      </c>
      <c r="G27" s="272"/>
      <c r="H27" s="155"/>
      <c r="I27" s="155"/>
      <c r="J27"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7" s="72" t="str">
        <f>IFERROR(Table_Controls_Input[[#This Row],[Number of Units]]*Table_Controls_Input[[#This Row],[Per-Unit Incentive]], "")</f>
        <v/>
      </c>
      <c r="L27" s="73" t="str">
        <f>IFERROR(Table_Controls_Input[[#This Row],[Number of Units]]*INDEX(Table_Prescript_Meas[Deemed kWh Savings], MATCH(Table_Controls_Input[[#This Row],[Measure Number]], Table_Prescript_Meas[Measure Number], 0)),"" )</f>
        <v/>
      </c>
      <c r="M27" s="79" t="str">
        <f>IFERROR(Table_Controls_Input[[#This Row],[Number of Units]]*INDEX(Table_Prescript_Meas[Deemed kW Savings], MATCH(Table_Controls_Input[[#This Row],[Measure Number]], Table_Prescript_Meas[Measure Number], 0)),"" )</f>
        <v/>
      </c>
      <c r="N27" s="72" t="str">
        <f t="shared" si="2"/>
        <v/>
      </c>
      <c r="O27" s="72" t="str">
        <f>IF(Table_Controls_Input[[#This Row],[Measure Number]]="", "", Table_Controls_Input[[#This Row],[Total Equipment Cost]]+Table_Controls_Input[[#This Row],[Total Labor Cost]])</f>
        <v/>
      </c>
      <c r="P27" s="72" t="str">
        <f>IFERROR(Table_Controls_Input[[#This Row],[Gross Measure Cost]]-Table_Controls_Input[[#This Row],[Estimated Incentive]], "")</f>
        <v/>
      </c>
      <c r="Q27" s="73" t="str">
        <f t="shared" si="1"/>
        <v/>
      </c>
      <c r="R27" s="3"/>
      <c r="S27" s="3"/>
      <c r="T27" s="3"/>
      <c r="U27" s="3"/>
      <c r="V27" s="3"/>
      <c r="W27" s="3"/>
      <c r="X27" s="3"/>
      <c r="Y27" s="3"/>
      <c r="Z27" s="3"/>
      <c r="AA27" s="3"/>
      <c r="AB27" s="3"/>
      <c r="AC27" s="3"/>
      <c r="AD27" s="3"/>
      <c r="AE27" s="3"/>
      <c r="AF27" s="3"/>
      <c r="AG27" s="3"/>
      <c r="AH27" s="3"/>
      <c r="AI27" s="3"/>
      <c r="AJ27" s="3"/>
      <c r="AK27" s="3"/>
      <c r="AL27" s="3"/>
      <c r="AM27" s="3"/>
    </row>
    <row r="28" spans="1:39" x14ac:dyDescent="0.2">
      <c r="A28" s="3"/>
      <c r="B28" s="71">
        <v>24</v>
      </c>
      <c r="C28" s="69" t="str">
        <f>IFERROR(INDEX(Table_Prescript_Meas[Measure Number], MATCH(E28, Table_Prescript_Meas[Measure Description], 0)), "")</f>
        <v/>
      </c>
      <c r="D28" s="61"/>
      <c r="E28" s="60"/>
      <c r="F28" s="69" t="str">
        <f>IFERROR(INDEX(Table_Prescript_Meas[Units], MATCH(Table_Controls_Input[[#This Row],[Measure Number]], Table_Prescript_Meas[Measure Number], 0)), "")</f>
        <v/>
      </c>
      <c r="G28" s="272"/>
      <c r="H28" s="155"/>
      <c r="I28" s="155"/>
      <c r="J28"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8" s="72" t="str">
        <f>IFERROR(Table_Controls_Input[[#This Row],[Number of Units]]*Table_Controls_Input[[#This Row],[Per-Unit Incentive]], "")</f>
        <v/>
      </c>
      <c r="L28" s="73" t="str">
        <f>IFERROR(Table_Controls_Input[[#This Row],[Number of Units]]*INDEX(Table_Prescript_Meas[Deemed kWh Savings], MATCH(Table_Controls_Input[[#This Row],[Measure Number]], Table_Prescript_Meas[Measure Number], 0)),"" )</f>
        <v/>
      </c>
      <c r="M28" s="79" t="str">
        <f>IFERROR(Table_Controls_Input[[#This Row],[Number of Units]]*INDEX(Table_Prescript_Meas[Deemed kW Savings], MATCH(Table_Controls_Input[[#This Row],[Measure Number]], Table_Prescript_Meas[Measure Number], 0)),"" )</f>
        <v/>
      </c>
      <c r="N28" s="72" t="str">
        <f t="shared" si="2"/>
        <v/>
      </c>
      <c r="O28" s="72" t="str">
        <f>IF(Table_Controls_Input[[#This Row],[Measure Number]]="", "", Table_Controls_Input[[#This Row],[Total Equipment Cost]]+Table_Controls_Input[[#This Row],[Total Labor Cost]])</f>
        <v/>
      </c>
      <c r="P28" s="72" t="str">
        <f>IFERROR(Table_Controls_Input[[#This Row],[Gross Measure Cost]]-Table_Controls_Input[[#This Row],[Estimated Incentive]], "")</f>
        <v/>
      </c>
      <c r="Q28" s="73" t="str">
        <f t="shared" si="1"/>
        <v/>
      </c>
      <c r="R28" s="3"/>
      <c r="S28" s="3"/>
      <c r="T28" s="3"/>
      <c r="U28" s="3"/>
      <c r="V28" s="3"/>
      <c r="W28" s="3"/>
      <c r="X28" s="3"/>
      <c r="Y28" s="3"/>
      <c r="Z28" s="3"/>
      <c r="AA28" s="3"/>
      <c r="AB28" s="3"/>
      <c r="AC28" s="3"/>
      <c r="AD28" s="3"/>
      <c r="AE28" s="3"/>
      <c r="AF28" s="3"/>
      <c r="AG28" s="3"/>
      <c r="AH28" s="3"/>
      <c r="AI28" s="3"/>
      <c r="AJ28" s="3"/>
      <c r="AK28" s="3"/>
      <c r="AL28" s="3"/>
      <c r="AM28" s="3"/>
    </row>
    <row r="29" spans="1:39" x14ac:dyDescent="0.2">
      <c r="A29" s="3"/>
      <c r="B29" s="71">
        <v>25</v>
      </c>
      <c r="C29" s="69" t="str">
        <f>IFERROR(INDEX(Table_Prescript_Meas[Measure Number], MATCH(E29, Table_Prescript_Meas[Measure Description], 0)), "")</f>
        <v/>
      </c>
      <c r="D29" s="61"/>
      <c r="E29" s="60"/>
      <c r="F29" s="69" t="str">
        <f>IFERROR(INDEX(Table_Prescript_Meas[Units], MATCH(Table_Controls_Input[[#This Row],[Measure Number]], Table_Prescript_Meas[Measure Number], 0)), "")</f>
        <v/>
      </c>
      <c r="G29" s="272"/>
      <c r="H29" s="155"/>
      <c r="I29" s="155"/>
      <c r="J29"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29" s="72" t="str">
        <f>IFERROR(Table_Controls_Input[[#This Row],[Number of Units]]*Table_Controls_Input[[#This Row],[Per-Unit Incentive]], "")</f>
        <v/>
      </c>
      <c r="L29" s="73" t="str">
        <f>IFERROR(Table_Controls_Input[[#This Row],[Number of Units]]*INDEX(Table_Prescript_Meas[Deemed kWh Savings], MATCH(Table_Controls_Input[[#This Row],[Measure Number]], Table_Prescript_Meas[Measure Number], 0)),"" )</f>
        <v/>
      </c>
      <c r="M29" s="79" t="str">
        <f>IFERROR(Table_Controls_Input[[#This Row],[Number of Units]]*INDEX(Table_Prescript_Meas[Deemed kW Savings], MATCH(Table_Controls_Input[[#This Row],[Measure Number]], Table_Prescript_Meas[Measure Number], 0)),"" )</f>
        <v/>
      </c>
      <c r="N29" s="72" t="str">
        <f t="shared" si="2"/>
        <v/>
      </c>
      <c r="O29" s="72" t="str">
        <f>IF(Table_Controls_Input[[#This Row],[Measure Number]]="", "", Table_Controls_Input[[#This Row],[Total Equipment Cost]]+Table_Controls_Input[[#This Row],[Total Labor Cost]])</f>
        <v/>
      </c>
      <c r="P29" s="72" t="str">
        <f>IFERROR(Table_Controls_Input[[#This Row],[Gross Measure Cost]]-Table_Controls_Input[[#This Row],[Estimated Incentive]], "")</f>
        <v/>
      </c>
      <c r="Q29" s="73" t="str">
        <f t="shared" si="1"/>
        <v/>
      </c>
      <c r="R29" s="3"/>
      <c r="S29" s="3"/>
      <c r="T29" s="3"/>
      <c r="U29" s="3"/>
      <c r="V29" s="3"/>
      <c r="W29" s="3"/>
      <c r="X29" s="3"/>
      <c r="Y29" s="3"/>
      <c r="Z29" s="3"/>
      <c r="AA29" s="3"/>
      <c r="AB29" s="3"/>
      <c r="AC29" s="3"/>
      <c r="AD29" s="3"/>
      <c r="AE29" s="3"/>
      <c r="AF29" s="3"/>
      <c r="AG29" s="3"/>
      <c r="AH29" s="3"/>
      <c r="AI29" s="3"/>
      <c r="AJ29" s="3"/>
      <c r="AK29" s="3"/>
      <c r="AL29" s="3"/>
      <c r="AM29" s="3"/>
    </row>
    <row r="30" spans="1:39" x14ac:dyDescent="0.2">
      <c r="A30" s="3"/>
      <c r="B30" s="71">
        <v>26</v>
      </c>
      <c r="C30" s="69" t="str">
        <f>IFERROR(INDEX(Table_Prescript_Meas[Measure Number], MATCH(E30, Table_Prescript_Meas[Measure Description], 0)), "")</f>
        <v/>
      </c>
      <c r="D30" s="61"/>
      <c r="E30" s="60"/>
      <c r="F30" s="69" t="str">
        <f>IFERROR(INDEX(Table_Prescript_Meas[Units], MATCH(Table_Controls_Input[[#This Row],[Measure Number]], Table_Prescript_Meas[Measure Number], 0)), "")</f>
        <v/>
      </c>
      <c r="G30" s="272"/>
      <c r="H30" s="155"/>
      <c r="I30" s="155"/>
      <c r="J30"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0" s="72" t="str">
        <f>IFERROR(Table_Controls_Input[[#This Row],[Number of Units]]*Table_Controls_Input[[#This Row],[Per-Unit Incentive]], "")</f>
        <v/>
      </c>
      <c r="L30" s="73" t="str">
        <f>IFERROR(Table_Controls_Input[[#This Row],[Number of Units]]*INDEX(Table_Prescript_Meas[Deemed kWh Savings], MATCH(Table_Controls_Input[[#This Row],[Measure Number]], Table_Prescript_Meas[Measure Number], 0)),"" )</f>
        <v/>
      </c>
      <c r="M30" s="79" t="str">
        <f>IFERROR(Table_Controls_Input[[#This Row],[Number of Units]]*INDEX(Table_Prescript_Meas[Deemed kW Savings], MATCH(Table_Controls_Input[[#This Row],[Measure Number]], Table_Prescript_Meas[Measure Number], 0)),"" )</f>
        <v/>
      </c>
      <c r="N30" s="72" t="str">
        <f t="shared" si="2"/>
        <v/>
      </c>
      <c r="O30" s="72" t="str">
        <f>IF(Table_Controls_Input[[#This Row],[Measure Number]]="", "", Table_Controls_Input[[#This Row],[Total Equipment Cost]]+Table_Controls_Input[[#This Row],[Total Labor Cost]])</f>
        <v/>
      </c>
      <c r="P30" s="72" t="str">
        <f>IFERROR(Table_Controls_Input[[#This Row],[Gross Measure Cost]]-Table_Controls_Input[[#This Row],[Estimated Incentive]], "")</f>
        <v/>
      </c>
      <c r="Q30" s="73" t="str">
        <f t="shared" si="1"/>
        <v/>
      </c>
      <c r="R30" s="3"/>
      <c r="S30" s="3"/>
      <c r="T30" s="3"/>
      <c r="U30" s="3"/>
      <c r="V30" s="3"/>
      <c r="W30" s="3"/>
      <c r="X30" s="3"/>
      <c r="Y30" s="3"/>
      <c r="Z30" s="3"/>
      <c r="AA30" s="3"/>
      <c r="AB30" s="3"/>
      <c r="AC30" s="3"/>
      <c r="AD30" s="3"/>
      <c r="AE30" s="3"/>
      <c r="AF30" s="3"/>
      <c r="AG30" s="3"/>
      <c r="AH30" s="3"/>
      <c r="AI30" s="3"/>
      <c r="AJ30" s="3"/>
      <c r="AK30" s="3"/>
      <c r="AL30" s="3"/>
      <c r="AM30" s="3"/>
    </row>
    <row r="31" spans="1:39" x14ac:dyDescent="0.2">
      <c r="A31" s="4"/>
      <c r="B31" s="71">
        <v>27</v>
      </c>
      <c r="C31" s="69" t="str">
        <f>IFERROR(INDEX(Table_Prescript_Meas[Measure Number], MATCH(E31, Table_Prescript_Meas[Measure Description], 0)), "")</f>
        <v/>
      </c>
      <c r="D31" s="61"/>
      <c r="E31" s="60"/>
      <c r="F31" s="69" t="str">
        <f>IFERROR(INDEX(Table_Prescript_Meas[Units], MATCH(Table_Controls_Input[[#This Row],[Measure Number]], Table_Prescript_Meas[Measure Number], 0)), "")</f>
        <v/>
      </c>
      <c r="G31" s="272"/>
      <c r="H31" s="155"/>
      <c r="I31" s="155"/>
      <c r="J31"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1" s="72" t="str">
        <f>IFERROR(Table_Controls_Input[[#This Row],[Number of Units]]*Table_Controls_Input[[#This Row],[Per-Unit Incentive]], "")</f>
        <v/>
      </c>
      <c r="L31" s="73" t="str">
        <f>IFERROR(Table_Controls_Input[[#This Row],[Number of Units]]*INDEX(Table_Prescript_Meas[Deemed kWh Savings], MATCH(Table_Controls_Input[[#This Row],[Measure Number]], Table_Prescript_Meas[Measure Number], 0)),"" )</f>
        <v/>
      </c>
      <c r="M31" s="79" t="str">
        <f>IFERROR(Table_Controls_Input[[#This Row],[Number of Units]]*INDEX(Table_Prescript_Meas[Deemed kW Savings], MATCH(Table_Controls_Input[[#This Row],[Measure Number]], Table_Prescript_Meas[Measure Number], 0)),"" )</f>
        <v/>
      </c>
      <c r="N31" s="72" t="str">
        <f t="shared" si="2"/>
        <v/>
      </c>
      <c r="O31" s="72" t="str">
        <f>IF(Table_Controls_Input[[#This Row],[Measure Number]]="", "", Table_Controls_Input[[#This Row],[Total Equipment Cost]]+Table_Controls_Input[[#This Row],[Total Labor Cost]])</f>
        <v/>
      </c>
      <c r="P31" s="72" t="str">
        <f>IFERROR(Table_Controls_Input[[#This Row],[Gross Measure Cost]]-Table_Controls_Input[[#This Row],[Estimated Incentive]], "")</f>
        <v/>
      </c>
      <c r="Q31" s="73" t="str">
        <f t="shared" si="1"/>
        <v/>
      </c>
      <c r="R31" s="4"/>
      <c r="S31" s="4"/>
      <c r="T31" s="4"/>
      <c r="U31" s="4"/>
      <c r="V31" s="4"/>
      <c r="W31" s="4"/>
      <c r="X31" s="4"/>
      <c r="Y31" s="4"/>
      <c r="Z31" s="4"/>
      <c r="AA31" s="4"/>
      <c r="AB31" s="4"/>
      <c r="AC31" s="4"/>
      <c r="AD31" s="4"/>
      <c r="AE31" s="4"/>
      <c r="AF31" s="4"/>
      <c r="AG31" s="4"/>
      <c r="AH31" s="4"/>
      <c r="AI31" s="4"/>
      <c r="AJ31" s="4"/>
      <c r="AK31" s="4"/>
      <c r="AL31" s="4"/>
      <c r="AM31" s="4"/>
    </row>
    <row r="32" spans="1:39" x14ac:dyDescent="0.2">
      <c r="A32" s="4"/>
      <c r="B32" s="71">
        <v>28</v>
      </c>
      <c r="C32" s="69" t="str">
        <f>IFERROR(INDEX(Table_Prescript_Meas[Measure Number], MATCH(E32, Table_Prescript_Meas[Measure Description], 0)), "")</f>
        <v/>
      </c>
      <c r="D32" s="61"/>
      <c r="E32" s="60"/>
      <c r="F32" s="69" t="str">
        <f>IFERROR(INDEX(Table_Prescript_Meas[Units], MATCH(Table_Controls_Input[[#This Row],[Measure Number]], Table_Prescript_Meas[Measure Number], 0)), "")</f>
        <v/>
      </c>
      <c r="G32" s="272"/>
      <c r="H32" s="155"/>
      <c r="I32" s="155"/>
      <c r="J32"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2" s="72" t="str">
        <f>IFERROR(Table_Controls_Input[[#This Row],[Number of Units]]*Table_Controls_Input[[#This Row],[Per-Unit Incentive]], "")</f>
        <v/>
      </c>
      <c r="L32" s="73" t="str">
        <f>IFERROR(Table_Controls_Input[[#This Row],[Number of Units]]*INDEX(Table_Prescript_Meas[Deemed kWh Savings], MATCH(Table_Controls_Input[[#This Row],[Measure Number]], Table_Prescript_Meas[Measure Number], 0)),"" )</f>
        <v/>
      </c>
      <c r="M32" s="79" t="str">
        <f>IFERROR(Table_Controls_Input[[#This Row],[Number of Units]]*INDEX(Table_Prescript_Meas[Deemed kW Savings], MATCH(Table_Controls_Input[[#This Row],[Measure Number]], Table_Prescript_Meas[Measure Number], 0)),"" )</f>
        <v/>
      </c>
      <c r="N32" s="72" t="str">
        <f t="shared" si="2"/>
        <v/>
      </c>
      <c r="O32" s="72" t="str">
        <f>IF(Table_Controls_Input[[#This Row],[Measure Number]]="", "", Table_Controls_Input[[#This Row],[Total Equipment Cost]]+Table_Controls_Input[[#This Row],[Total Labor Cost]])</f>
        <v/>
      </c>
      <c r="P32" s="72" t="str">
        <f>IFERROR(Table_Controls_Input[[#This Row],[Gross Measure Cost]]-Table_Controls_Input[[#This Row],[Estimated Incentive]], "")</f>
        <v/>
      </c>
      <c r="Q32" s="73" t="str">
        <f t="shared" si="1"/>
        <v/>
      </c>
      <c r="R32" s="4"/>
      <c r="S32" s="4"/>
      <c r="T32" s="4"/>
      <c r="U32" s="4"/>
      <c r="V32" s="4"/>
      <c r="W32" s="4"/>
      <c r="X32" s="4"/>
      <c r="Y32" s="4"/>
      <c r="Z32" s="4"/>
      <c r="AA32" s="4"/>
      <c r="AB32" s="4"/>
      <c r="AC32" s="4"/>
      <c r="AD32" s="4"/>
      <c r="AE32" s="4"/>
      <c r="AF32" s="4"/>
      <c r="AG32" s="4"/>
      <c r="AH32" s="4"/>
      <c r="AI32" s="4"/>
      <c r="AJ32" s="4"/>
      <c r="AK32" s="4"/>
      <c r="AL32" s="4"/>
      <c r="AM32" s="4"/>
    </row>
    <row r="33" spans="1:39" x14ac:dyDescent="0.2">
      <c r="A33" s="4"/>
      <c r="B33" s="71">
        <v>29</v>
      </c>
      <c r="C33" s="69" t="str">
        <f>IFERROR(INDEX(Table_Prescript_Meas[Measure Number], MATCH(E33, Table_Prescript_Meas[Measure Description], 0)), "")</f>
        <v/>
      </c>
      <c r="D33" s="61"/>
      <c r="E33" s="60"/>
      <c r="F33" s="69" t="str">
        <f>IFERROR(INDEX(Table_Prescript_Meas[Units], MATCH(Table_Controls_Input[[#This Row],[Measure Number]], Table_Prescript_Meas[Measure Number], 0)), "")</f>
        <v/>
      </c>
      <c r="G33" s="272"/>
      <c r="H33" s="155"/>
      <c r="I33" s="155"/>
      <c r="J33"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3" s="72" t="str">
        <f>IFERROR(Table_Controls_Input[[#This Row],[Number of Units]]*Table_Controls_Input[[#This Row],[Per-Unit Incentive]], "")</f>
        <v/>
      </c>
      <c r="L33" s="73" t="str">
        <f>IFERROR(Table_Controls_Input[[#This Row],[Number of Units]]*INDEX(Table_Prescript_Meas[Deemed kWh Savings], MATCH(Table_Controls_Input[[#This Row],[Measure Number]], Table_Prescript_Meas[Measure Number], 0)),"" )</f>
        <v/>
      </c>
      <c r="M33" s="79" t="str">
        <f>IFERROR(Table_Controls_Input[[#This Row],[Number of Units]]*INDEX(Table_Prescript_Meas[Deemed kW Savings], MATCH(Table_Controls_Input[[#This Row],[Measure Number]], Table_Prescript_Meas[Measure Number], 0)),"" )</f>
        <v/>
      </c>
      <c r="N33" s="72" t="str">
        <f t="shared" si="2"/>
        <v/>
      </c>
      <c r="O33" s="72" t="str">
        <f>IF(Table_Controls_Input[[#This Row],[Measure Number]]="", "", Table_Controls_Input[[#This Row],[Total Equipment Cost]]+Table_Controls_Input[[#This Row],[Total Labor Cost]])</f>
        <v/>
      </c>
      <c r="P33" s="72" t="str">
        <f>IFERROR(Table_Controls_Input[[#This Row],[Gross Measure Cost]]-Table_Controls_Input[[#This Row],[Estimated Incentive]], "")</f>
        <v/>
      </c>
      <c r="Q33" s="73" t="str">
        <f t="shared" si="1"/>
        <v/>
      </c>
      <c r="R33" s="4"/>
      <c r="S33" s="4"/>
      <c r="T33" s="4"/>
      <c r="U33" s="4"/>
      <c r="V33" s="4"/>
      <c r="W33" s="4"/>
      <c r="X33" s="4"/>
      <c r="Y33" s="4"/>
      <c r="Z33" s="4"/>
      <c r="AA33" s="4"/>
      <c r="AB33" s="4"/>
      <c r="AC33" s="4"/>
      <c r="AD33" s="4"/>
      <c r="AE33" s="4"/>
      <c r="AF33" s="4"/>
      <c r="AG33" s="4"/>
      <c r="AH33" s="4"/>
      <c r="AI33" s="4"/>
      <c r="AJ33" s="4"/>
      <c r="AK33" s="4"/>
      <c r="AL33" s="4"/>
      <c r="AM33" s="4"/>
    </row>
    <row r="34" spans="1:39" x14ac:dyDescent="0.2">
      <c r="A34" s="4"/>
      <c r="B34" s="71">
        <v>30</v>
      </c>
      <c r="C34" s="69" t="str">
        <f>IFERROR(INDEX(Table_Prescript_Meas[Measure Number], MATCH(E34, Table_Prescript_Meas[Measure Description], 0)), "")</f>
        <v/>
      </c>
      <c r="D34" s="61"/>
      <c r="E34" s="60"/>
      <c r="F34" s="69" t="str">
        <f>IFERROR(INDEX(Table_Prescript_Meas[Units], MATCH(Table_Controls_Input[[#This Row],[Measure Number]], Table_Prescript_Meas[Measure Number], 0)), "")</f>
        <v/>
      </c>
      <c r="G34" s="272"/>
      <c r="H34" s="155"/>
      <c r="I34" s="155"/>
      <c r="J34" s="72" t="str">
        <f>IFERROR(IF(Input_ProgramType=References!$W$4, INDEX(Table_Prescript_Meas[Incentive - SC], MATCH(Table_Controls_Input[[#This Row],[Measure Number]], Table_Prescript_Meas[Measure Number], 0)), INDEX(Table_Prescript_Meas[Incentive - LC], MATCH(Table_Controls_Input[[#This Row],[Measure Number]], Table_Prescript_Meas[Measure Number], 0))), "")</f>
        <v/>
      </c>
      <c r="K34" s="72" t="str">
        <f>IFERROR(Table_Controls_Input[[#This Row],[Number of Units]]*Table_Controls_Input[[#This Row],[Per-Unit Incentive]], "")</f>
        <v/>
      </c>
      <c r="L34" s="73" t="str">
        <f>IFERROR(Table_Controls_Input[[#This Row],[Number of Units]]*INDEX(Table_Prescript_Meas[Deemed kWh Savings], MATCH(Table_Controls_Input[[#This Row],[Measure Number]], Table_Prescript_Meas[Measure Number], 0)),"" )</f>
        <v/>
      </c>
      <c r="M34" s="79" t="str">
        <f>IFERROR(Table_Controls_Input[[#This Row],[Number of Units]]*INDEX(Table_Prescript_Meas[Deemed kW Savings], MATCH(Table_Controls_Input[[#This Row],[Measure Number]], Table_Prescript_Meas[Measure Number], 0)),"" )</f>
        <v/>
      </c>
      <c r="N34" s="72" t="str">
        <f t="shared" si="2"/>
        <v/>
      </c>
      <c r="O34" s="72" t="str">
        <f>IF(Table_Controls_Input[[#This Row],[Measure Number]]="", "", Table_Controls_Input[[#This Row],[Total Equipment Cost]]+Table_Controls_Input[[#This Row],[Total Labor Cost]])</f>
        <v/>
      </c>
      <c r="P34" s="72" t="str">
        <f>IFERROR(Table_Controls_Input[[#This Row],[Gross Measure Cost]]-Table_Controls_Input[[#This Row],[Estimated Incentive]], "")</f>
        <v/>
      </c>
      <c r="Q34" s="73" t="str">
        <f t="shared" si="1"/>
        <v/>
      </c>
      <c r="R34" s="4"/>
      <c r="S34" s="4"/>
      <c r="T34" s="4"/>
      <c r="U34" s="4"/>
      <c r="V34" s="4"/>
      <c r="W34" s="4"/>
      <c r="X34" s="4"/>
      <c r="Y34" s="4"/>
      <c r="Z34" s="4"/>
      <c r="AA34" s="4"/>
      <c r="AB34" s="4"/>
      <c r="AC34" s="4"/>
      <c r="AD34" s="4"/>
      <c r="AE34" s="4"/>
      <c r="AF34" s="4"/>
      <c r="AG34" s="4"/>
      <c r="AH34" s="4"/>
      <c r="AI34" s="4"/>
      <c r="AJ34" s="4"/>
      <c r="AK34" s="4"/>
      <c r="AL34" s="4"/>
      <c r="AM34" s="4"/>
    </row>
    <row r="35" spans="1:39" x14ac:dyDescent="0.2">
      <c r="A35" s="4"/>
      <c r="R35" s="4"/>
      <c r="S35" s="4"/>
      <c r="T35" s="4"/>
      <c r="U35" s="4"/>
      <c r="V35" s="4"/>
      <c r="W35" s="4"/>
      <c r="X35" s="4"/>
      <c r="Y35" s="4"/>
      <c r="Z35" s="4"/>
      <c r="AA35" s="4"/>
      <c r="AB35" s="4"/>
      <c r="AC35" s="4"/>
      <c r="AD35" s="4"/>
      <c r="AE35" s="4"/>
      <c r="AF35" s="4"/>
      <c r="AG35" s="4"/>
      <c r="AH35" s="4"/>
      <c r="AI35" s="4"/>
      <c r="AJ35" s="4"/>
      <c r="AK35" s="4"/>
      <c r="AL35" s="4"/>
      <c r="AM35" s="4"/>
    </row>
    <row r="36" spans="1:39" x14ac:dyDescent="0.2"/>
    <row r="37" spans="1:39" x14ac:dyDescent="0.2">
      <c r="B37" t="s">
        <v>11</v>
      </c>
    </row>
    <row r="38" spans="1:39" x14ac:dyDescent="0.2">
      <c r="B38" t="str">
        <f>Value_Application_Version</f>
        <v>Version 5.0</v>
      </c>
    </row>
    <row r="39" spans="1:39" x14ac:dyDescent="0.2"/>
    <row r="40" spans="1:39" x14ac:dyDescent="0.2">
      <c r="A40" s="4"/>
      <c r="R40" s="4"/>
      <c r="S40" s="4"/>
      <c r="T40" s="4"/>
      <c r="U40" s="4"/>
      <c r="V40" s="4"/>
      <c r="W40" s="4"/>
      <c r="X40" s="4"/>
      <c r="Y40" s="4"/>
      <c r="Z40" s="4"/>
      <c r="AA40" s="4"/>
      <c r="AB40" s="4"/>
      <c r="AC40" s="4"/>
      <c r="AD40" s="4"/>
      <c r="AE40" s="4"/>
      <c r="AF40" s="4"/>
      <c r="AG40" s="4"/>
      <c r="AH40" s="4"/>
      <c r="AI40" s="4"/>
      <c r="AJ40" s="4"/>
      <c r="AK40" s="4"/>
      <c r="AL40" s="4"/>
      <c r="AM40" s="4"/>
    </row>
    <row r="41" spans="1:39" x14ac:dyDescent="0.2">
      <c r="A41" s="4"/>
      <c r="R41" s="4"/>
      <c r="S41" s="4"/>
      <c r="T41" s="4"/>
      <c r="U41" s="4"/>
      <c r="V41" s="4"/>
      <c r="W41" s="4"/>
      <c r="X41" s="4"/>
      <c r="Y41" s="4"/>
      <c r="Z41" s="4"/>
      <c r="AA41" s="4"/>
      <c r="AB41" s="4"/>
      <c r="AC41" s="4"/>
      <c r="AD41" s="4"/>
      <c r="AE41" s="4"/>
      <c r="AF41" s="4"/>
      <c r="AG41" s="4"/>
      <c r="AH41" s="4"/>
      <c r="AI41" s="4"/>
      <c r="AJ41" s="4"/>
      <c r="AK41" s="4"/>
      <c r="AL41" s="4"/>
      <c r="AM41" s="4"/>
    </row>
    <row r="42" spans="1:39" x14ac:dyDescent="0.2">
      <c r="A42" s="4"/>
      <c r="R42" s="4"/>
      <c r="S42" s="4"/>
      <c r="T42" s="4"/>
      <c r="U42" s="4"/>
      <c r="V42" s="4"/>
      <c r="W42" s="4"/>
      <c r="X42" s="4"/>
      <c r="Y42" s="4"/>
      <c r="Z42" s="4"/>
      <c r="AA42" s="4"/>
      <c r="AB42" s="4"/>
      <c r="AC42" s="4"/>
      <c r="AD42" s="4"/>
      <c r="AE42" s="4"/>
      <c r="AF42" s="4"/>
      <c r="AG42" s="4"/>
      <c r="AH42" s="4"/>
      <c r="AI42" s="4"/>
      <c r="AJ42" s="4"/>
      <c r="AK42" s="4"/>
      <c r="AL42" s="4"/>
      <c r="AM42" s="4"/>
    </row>
    <row r="43" spans="1:39" x14ac:dyDescent="0.2">
      <c r="A43" s="4"/>
      <c r="R43" s="4"/>
      <c r="S43" s="4"/>
      <c r="T43" s="4"/>
      <c r="U43" s="4"/>
      <c r="V43" s="4"/>
      <c r="W43" s="4"/>
      <c r="X43" s="4"/>
      <c r="Y43" s="4"/>
      <c r="Z43" s="4"/>
      <c r="AA43" s="4"/>
      <c r="AB43" s="4"/>
      <c r="AC43" s="4"/>
      <c r="AD43" s="4"/>
      <c r="AE43" s="4"/>
      <c r="AF43" s="4"/>
      <c r="AG43" s="4"/>
      <c r="AH43" s="4"/>
      <c r="AI43" s="4"/>
      <c r="AJ43" s="4"/>
      <c r="AK43" s="4"/>
      <c r="AL43" s="4"/>
      <c r="AM43" s="4"/>
    </row>
    <row r="44" spans="1:39" x14ac:dyDescent="0.2">
      <c r="A44" s="4"/>
      <c r="R44" s="4"/>
      <c r="S44" s="4"/>
      <c r="T44" s="4"/>
      <c r="U44" s="4"/>
      <c r="V44" s="4"/>
      <c r="W44" s="4"/>
      <c r="X44" s="4"/>
      <c r="Y44" s="4"/>
      <c r="Z44" s="4"/>
      <c r="AA44" s="4"/>
      <c r="AB44" s="4"/>
      <c r="AC44" s="4"/>
      <c r="AD44" s="4"/>
      <c r="AE44" s="4"/>
      <c r="AF44" s="4"/>
      <c r="AG44" s="4"/>
      <c r="AH44" s="4"/>
      <c r="AI44" s="4"/>
      <c r="AJ44" s="4"/>
      <c r="AK44" s="4"/>
      <c r="AL44" s="4"/>
      <c r="AM44" s="4"/>
    </row>
    <row r="45" spans="1:39" x14ac:dyDescent="0.2">
      <c r="A45" s="4"/>
      <c r="R45" s="4"/>
      <c r="S45" s="4"/>
      <c r="T45" s="4"/>
      <c r="U45" s="4"/>
      <c r="V45" s="4"/>
      <c r="W45" s="4"/>
      <c r="X45" s="4"/>
      <c r="Y45" s="4"/>
      <c r="Z45" s="4"/>
      <c r="AA45" s="4"/>
      <c r="AB45" s="4"/>
      <c r="AC45" s="4"/>
      <c r="AD45" s="4"/>
      <c r="AE45" s="4"/>
      <c r="AF45" s="4"/>
      <c r="AG45" s="4"/>
      <c r="AH45" s="4"/>
      <c r="AI45" s="4"/>
      <c r="AJ45" s="4"/>
      <c r="AK45" s="4"/>
      <c r="AL45" s="4"/>
      <c r="AM45" s="4"/>
    </row>
    <row r="46" spans="1:39" x14ac:dyDescent="0.2">
      <c r="A46" s="4"/>
      <c r="R46" s="4"/>
      <c r="S46" s="4"/>
      <c r="T46" s="4"/>
      <c r="U46" s="4"/>
      <c r="V46" s="4"/>
      <c r="W46" s="4"/>
      <c r="X46" s="4"/>
      <c r="Y46" s="4"/>
      <c r="Z46" s="4"/>
      <c r="AA46" s="4"/>
      <c r="AB46" s="4"/>
      <c r="AC46" s="4"/>
      <c r="AD46" s="4"/>
      <c r="AE46" s="4"/>
      <c r="AF46" s="4"/>
      <c r="AG46" s="4"/>
      <c r="AH46" s="4"/>
      <c r="AI46" s="4"/>
      <c r="AJ46" s="4"/>
      <c r="AK46" s="4"/>
      <c r="AL46" s="4"/>
      <c r="AM46" s="4"/>
    </row>
    <row r="47" spans="1:39" x14ac:dyDescent="0.2">
      <c r="A47" s="4"/>
      <c r="R47" s="4"/>
      <c r="S47" s="4"/>
      <c r="T47" s="4"/>
      <c r="U47" s="4"/>
      <c r="V47" s="4"/>
      <c r="W47" s="4"/>
      <c r="X47" s="4"/>
      <c r="Y47" s="4"/>
      <c r="Z47" s="4"/>
      <c r="AA47" s="4"/>
      <c r="AB47" s="4"/>
      <c r="AC47" s="4"/>
      <c r="AD47" s="4"/>
      <c r="AE47" s="4"/>
      <c r="AF47" s="4"/>
      <c r="AG47" s="4"/>
      <c r="AH47" s="4"/>
      <c r="AI47" s="4"/>
      <c r="AJ47" s="4"/>
      <c r="AK47" s="4"/>
      <c r="AL47" s="4"/>
      <c r="AM47" s="4"/>
    </row>
    <row r="48" spans="1:39" x14ac:dyDescent="0.2">
      <c r="A48" s="4"/>
      <c r="R48" s="4"/>
      <c r="S48" s="4"/>
      <c r="T48" s="4"/>
      <c r="U48" s="4"/>
      <c r="V48" s="4"/>
      <c r="W48" s="4"/>
      <c r="X48" s="4"/>
      <c r="Y48" s="4"/>
      <c r="Z48" s="4"/>
      <c r="AA48" s="4"/>
      <c r="AB48" s="4"/>
      <c r="AC48" s="4"/>
      <c r="AD48" s="4"/>
      <c r="AE48" s="4"/>
      <c r="AF48" s="4"/>
      <c r="AG48" s="4"/>
      <c r="AH48" s="4"/>
      <c r="AI48" s="4"/>
      <c r="AJ48" s="4"/>
      <c r="AK48" s="4"/>
      <c r="AL48" s="4"/>
      <c r="AM48" s="4"/>
    </row>
    <row r="49" spans="1:39" x14ac:dyDescent="0.2">
      <c r="A49" s="4"/>
      <c r="R49" s="4"/>
      <c r="S49" s="4"/>
      <c r="T49" s="4"/>
      <c r="U49" s="4"/>
      <c r="V49" s="4"/>
      <c r="W49" s="4"/>
      <c r="X49" s="4"/>
      <c r="Y49" s="4"/>
      <c r="Z49" s="4"/>
      <c r="AA49" s="4"/>
      <c r="AB49" s="4"/>
      <c r="AC49" s="4"/>
      <c r="AD49" s="4"/>
      <c r="AE49" s="4"/>
      <c r="AF49" s="4"/>
      <c r="AG49" s="4"/>
      <c r="AH49" s="4"/>
      <c r="AI49" s="4"/>
      <c r="AJ49" s="4"/>
      <c r="AK49" s="4"/>
      <c r="AL49" s="4"/>
      <c r="AM49" s="4"/>
    </row>
    <row r="50" spans="1:39" x14ac:dyDescent="0.2">
      <c r="A50" s="4"/>
      <c r="R50" s="4"/>
      <c r="S50" s="4"/>
      <c r="T50" s="4"/>
      <c r="U50" s="4"/>
      <c r="V50" s="4"/>
      <c r="W50" s="4"/>
      <c r="X50" s="4"/>
      <c r="Y50" s="4"/>
      <c r="Z50" s="4"/>
      <c r="AA50" s="4"/>
      <c r="AB50" s="4"/>
      <c r="AC50" s="4"/>
      <c r="AD50" s="4"/>
      <c r="AE50" s="4"/>
      <c r="AF50" s="4"/>
      <c r="AG50" s="4"/>
      <c r="AH50" s="4"/>
      <c r="AI50" s="4"/>
      <c r="AJ50" s="4"/>
      <c r="AK50" s="4"/>
      <c r="AL50" s="4"/>
      <c r="AM50" s="4"/>
    </row>
    <row r="51" spans="1:39" x14ac:dyDescent="0.2">
      <c r="A51" s="4"/>
      <c r="R51" s="4"/>
      <c r="S51" s="4"/>
      <c r="T51" s="4"/>
      <c r="U51" s="4"/>
      <c r="V51" s="4"/>
      <c r="W51" s="4"/>
      <c r="X51" s="4"/>
      <c r="Y51" s="4"/>
      <c r="Z51" s="4"/>
      <c r="AA51" s="4"/>
      <c r="AB51" s="4"/>
      <c r="AC51" s="4"/>
      <c r="AD51" s="4"/>
      <c r="AE51" s="4"/>
      <c r="AF51" s="4"/>
      <c r="AG51" s="4"/>
      <c r="AH51" s="4"/>
      <c r="AI51" s="4"/>
      <c r="AJ51" s="4"/>
      <c r="AK51" s="4"/>
      <c r="AL51" s="4"/>
      <c r="AM51" s="4"/>
    </row>
    <row r="52" spans="1:39" x14ac:dyDescent="0.2">
      <c r="A52" s="4"/>
      <c r="R52" s="4"/>
      <c r="S52" s="4"/>
      <c r="T52" s="4"/>
      <c r="U52" s="4"/>
      <c r="V52" s="4"/>
      <c r="W52" s="4"/>
      <c r="X52" s="4"/>
      <c r="Y52" s="4"/>
      <c r="Z52" s="4"/>
      <c r="AA52" s="4"/>
      <c r="AB52" s="4"/>
      <c r="AC52" s="4"/>
      <c r="AD52" s="4"/>
      <c r="AE52" s="4"/>
      <c r="AF52" s="4"/>
      <c r="AG52" s="4"/>
      <c r="AH52" s="4"/>
      <c r="AI52" s="4"/>
      <c r="AJ52" s="4"/>
      <c r="AK52" s="4"/>
      <c r="AL52" s="4"/>
      <c r="AM52" s="4"/>
    </row>
    <row r="53" spans="1:39" x14ac:dyDescent="0.2">
      <c r="A53" s="4"/>
      <c r="R53" s="4"/>
      <c r="S53" s="4"/>
      <c r="T53" s="4"/>
      <c r="U53" s="4"/>
      <c r="V53" s="4"/>
      <c r="W53" s="4"/>
      <c r="X53" s="4"/>
      <c r="Y53" s="4"/>
      <c r="Z53" s="4"/>
      <c r="AA53" s="4"/>
      <c r="AB53" s="4"/>
      <c r="AC53" s="4"/>
      <c r="AD53" s="4"/>
      <c r="AE53" s="4"/>
      <c r="AF53" s="4"/>
      <c r="AG53" s="4"/>
      <c r="AH53" s="4"/>
      <c r="AI53" s="4"/>
      <c r="AJ53" s="4"/>
      <c r="AK53" s="4"/>
      <c r="AL53" s="4"/>
      <c r="AM53" s="4"/>
    </row>
    <row r="54" spans="1:39" x14ac:dyDescent="0.2">
      <c r="A54" s="4"/>
      <c r="R54" s="4"/>
      <c r="S54" s="4"/>
      <c r="T54" s="4"/>
      <c r="U54" s="4"/>
      <c r="V54" s="4"/>
      <c r="W54" s="4"/>
      <c r="X54" s="4"/>
      <c r="Y54" s="4"/>
      <c r="Z54" s="4"/>
      <c r="AA54" s="4"/>
      <c r="AB54" s="4"/>
      <c r="AC54" s="4"/>
      <c r="AD54" s="4"/>
      <c r="AE54" s="4"/>
      <c r="AF54" s="4"/>
      <c r="AG54" s="4"/>
      <c r="AH54" s="4"/>
      <c r="AI54" s="4"/>
      <c r="AJ54" s="4"/>
      <c r="AK54" s="4"/>
      <c r="AL54" s="4"/>
      <c r="AM54" s="4"/>
    </row>
    <row r="55" spans="1:39" x14ac:dyDescent="0.2">
      <c r="A55" s="4"/>
      <c r="R55" s="4"/>
      <c r="S55" s="4"/>
      <c r="T55" s="4"/>
      <c r="U55" s="4"/>
      <c r="V55" s="4"/>
      <c r="W55" s="4"/>
      <c r="X55" s="4"/>
      <c r="Y55" s="4"/>
      <c r="Z55" s="4"/>
      <c r="AA55" s="4"/>
      <c r="AB55" s="4"/>
      <c r="AC55" s="4"/>
      <c r="AD55" s="4"/>
      <c r="AE55" s="4"/>
      <c r="AF55" s="4"/>
      <c r="AG55" s="4"/>
      <c r="AH55" s="4"/>
      <c r="AI55" s="4"/>
      <c r="AJ55" s="4"/>
      <c r="AK55" s="4"/>
      <c r="AL55" s="4"/>
      <c r="AM55" s="4"/>
    </row>
    <row r="56" spans="1:39" x14ac:dyDescent="0.2">
      <c r="A56" s="4"/>
      <c r="R56" s="4"/>
      <c r="S56" s="4"/>
      <c r="T56" s="4"/>
      <c r="U56" s="4"/>
      <c r="V56" s="4"/>
      <c r="W56" s="4"/>
      <c r="X56" s="4"/>
      <c r="Y56" s="4"/>
      <c r="Z56" s="4"/>
      <c r="AA56" s="4"/>
      <c r="AB56" s="4"/>
      <c r="AC56" s="4"/>
      <c r="AD56" s="4"/>
      <c r="AE56" s="4"/>
      <c r="AF56" s="4"/>
      <c r="AG56" s="4"/>
      <c r="AH56" s="4"/>
      <c r="AI56" s="4"/>
      <c r="AJ56" s="4"/>
      <c r="AK56" s="4"/>
      <c r="AL56" s="4"/>
      <c r="AM56" s="4"/>
    </row>
    <row r="57" spans="1:39" x14ac:dyDescent="0.2">
      <c r="A57" s="4"/>
      <c r="R57" s="4"/>
      <c r="S57" s="4"/>
      <c r="T57" s="4"/>
      <c r="U57" s="4"/>
      <c r="V57" s="4"/>
      <c r="W57" s="4"/>
      <c r="X57" s="4"/>
      <c r="Y57" s="4"/>
      <c r="Z57" s="4"/>
      <c r="AA57" s="4"/>
      <c r="AB57" s="4"/>
      <c r="AC57" s="4"/>
      <c r="AD57" s="4"/>
      <c r="AE57" s="4"/>
      <c r="AF57" s="4"/>
      <c r="AG57" s="4"/>
      <c r="AH57" s="4"/>
      <c r="AI57" s="4"/>
      <c r="AJ57" s="4"/>
      <c r="AK57" s="4"/>
      <c r="AL57" s="4"/>
      <c r="AM57" s="4"/>
    </row>
    <row r="58" spans="1:39" x14ac:dyDescent="0.2">
      <c r="A58" s="4"/>
      <c r="R58" s="4"/>
      <c r="S58" s="4"/>
      <c r="T58" s="4"/>
      <c r="U58" s="4"/>
      <c r="V58" s="4"/>
      <c r="W58" s="4"/>
      <c r="X58" s="4"/>
      <c r="Y58" s="4"/>
      <c r="Z58" s="4"/>
      <c r="AA58" s="4"/>
      <c r="AB58" s="4"/>
      <c r="AC58" s="4"/>
      <c r="AD58" s="4"/>
      <c r="AE58" s="4"/>
      <c r="AF58" s="4"/>
      <c r="AG58" s="4"/>
      <c r="AH58" s="4"/>
      <c r="AI58" s="4"/>
      <c r="AJ58" s="4"/>
      <c r="AK58" s="4"/>
      <c r="AL58" s="4"/>
      <c r="AM58" s="4"/>
    </row>
    <row r="59" spans="1:39" x14ac:dyDescent="0.2">
      <c r="A59" s="4"/>
      <c r="R59" s="4"/>
      <c r="S59" s="4"/>
      <c r="T59" s="4"/>
      <c r="U59" s="4"/>
      <c r="V59" s="4"/>
      <c r="W59" s="4"/>
      <c r="X59" s="4"/>
      <c r="Y59" s="4"/>
      <c r="Z59" s="4"/>
      <c r="AA59" s="4"/>
      <c r="AB59" s="4"/>
      <c r="AC59" s="4"/>
      <c r="AD59" s="4"/>
      <c r="AE59" s="4"/>
      <c r="AF59" s="4"/>
      <c r="AG59" s="4"/>
      <c r="AH59" s="4"/>
      <c r="AI59" s="4"/>
      <c r="AJ59" s="4"/>
      <c r="AK59" s="4"/>
      <c r="AL59" s="4"/>
      <c r="AM59" s="4"/>
    </row>
    <row r="60" spans="1:39" x14ac:dyDescent="0.2">
      <c r="A60" s="4"/>
      <c r="R60" s="4"/>
      <c r="S60" s="4"/>
      <c r="T60" s="4"/>
      <c r="U60" s="4"/>
      <c r="V60" s="4"/>
      <c r="W60" s="4"/>
      <c r="X60" s="4"/>
      <c r="Y60" s="4"/>
      <c r="Z60" s="4"/>
      <c r="AA60" s="4"/>
      <c r="AB60" s="4"/>
      <c r="AC60" s="4"/>
      <c r="AD60" s="4"/>
      <c r="AE60" s="4"/>
      <c r="AF60" s="4"/>
      <c r="AG60" s="4"/>
      <c r="AH60" s="4"/>
      <c r="AI60" s="4"/>
      <c r="AJ60" s="4"/>
      <c r="AK60" s="4"/>
      <c r="AL60" s="4"/>
      <c r="AM60" s="4"/>
    </row>
    <row r="61" spans="1:39" x14ac:dyDescent="0.2">
      <c r="A61" s="4"/>
      <c r="R61" s="4"/>
      <c r="S61" s="4"/>
      <c r="T61" s="4"/>
      <c r="U61" s="4"/>
      <c r="V61" s="4"/>
      <c r="W61" s="4"/>
      <c r="X61" s="4"/>
      <c r="Y61" s="4"/>
      <c r="Z61" s="4"/>
      <c r="AA61" s="4"/>
      <c r="AB61" s="4"/>
      <c r="AC61" s="4"/>
      <c r="AD61" s="4"/>
      <c r="AE61" s="4"/>
      <c r="AF61" s="4"/>
      <c r="AG61" s="4"/>
      <c r="AH61" s="4"/>
      <c r="AI61" s="4"/>
      <c r="AJ61" s="4"/>
      <c r="AK61" s="4"/>
      <c r="AL61" s="4"/>
      <c r="AM61" s="4"/>
    </row>
    <row r="62" spans="1:39" x14ac:dyDescent="0.2">
      <c r="A62" s="4"/>
      <c r="R62" s="4"/>
      <c r="S62" s="4"/>
      <c r="T62" s="4"/>
      <c r="U62" s="4"/>
      <c r="V62" s="4"/>
      <c r="W62" s="4"/>
      <c r="X62" s="4"/>
      <c r="Y62" s="4"/>
      <c r="Z62" s="4"/>
      <c r="AA62" s="4"/>
      <c r="AB62" s="4"/>
      <c r="AC62" s="4"/>
      <c r="AD62" s="4"/>
      <c r="AE62" s="4"/>
      <c r="AF62" s="4"/>
      <c r="AG62" s="4"/>
      <c r="AH62" s="4"/>
      <c r="AI62" s="4"/>
      <c r="AJ62" s="4"/>
      <c r="AK62" s="4"/>
      <c r="AL62" s="4"/>
      <c r="AM62" s="4"/>
    </row>
    <row r="63" spans="1:39" x14ac:dyDescent="0.2">
      <c r="A63" s="4"/>
      <c r="R63" s="4"/>
      <c r="S63" s="4"/>
      <c r="T63" s="4"/>
      <c r="U63" s="4"/>
      <c r="V63" s="4"/>
      <c r="W63" s="4"/>
      <c r="X63" s="4"/>
      <c r="Y63" s="4"/>
      <c r="Z63" s="4"/>
      <c r="AA63" s="4"/>
      <c r="AB63" s="4"/>
      <c r="AC63" s="4"/>
      <c r="AD63" s="4"/>
      <c r="AE63" s="4"/>
      <c r="AF63" s="4"/>
      <c r="AG63" s="4"/>
      <c r="AH63" s="4"/>
      <c r="AI63" s="4"/>
      <c r="AJ63" s="4"/>
      <c r="AK63" s="4"/>
      <c r="AL63" s="4"/>
      <c r="AM63" s="4"/>
    </row>
    <row r="64" spans="1:39" x14ac:dyDescent="0.2">
      <c r="A64" s="4"/>
      <c r="R64" s="4"/>
      <c r="S64" s="4"/>
      <c r="T64" s="4"/>
      <c r="U64" s="4"/>
      <c r="V64" s="4"/>
      <c r="W64" s="4"/>
      <c r="X64" s="4"/>
      <c r="Y64" s="4"/>
      <c r="Z64" s="4"/>
      <c r="AA64" s="4"/>
      <c r="AB64" s="4"/>
      <c r="AC64" s="4"/>
      <c r="AD64" s="4"/>
      <c r="AE64" s="4"/>
      <c r="AF64" s="4"/>
      <c r="AG64" s="4"/>
      <c r="AH64" s="4"/>
      <c r="AI64" s="4"/>
      <c r="AJ64" s="4"/>
      <c r="AK64" s="4"/>
      <c r="AL64" s="4"/>
      <c r="AM64" s="4"/>
    </row>
    <row r="65" spans="1:39" x14ac:dyDescent="0.2">
      <c r="A65" s="4"/>
      <c r="R65" s="4"/>
      <c r="S65" s="4"/>
      <c r="T65" s="4"/>
      <c r="U65" s="4"/>
      <c r="V65" s="4"/>
      <c r="W65" s="4"/>
      <c r="X65" s="4"/>
      <c r="Y65" s="4"/>
      <c r="Z65" s="4"/>
      <c r="AA65" s="4"/>
      <c r="AB65" s="4"/>
      <c r="AC65" s="4"/>
      <c r="AD65" s="4"/>
      <c r="AE65" s="4"/>
      <c r="AF65" s="4"/>
      <c r="AG65" s="4"/>
      <c r="AH65" s="4"/>
      <c r="AI65" s="4"/>
      <c r="AJ65" s="4"/>
      <c r="AK65" s="4"/>
      <c r="AL65" s="4"/>
      <c r="AM65" s="4"/>
    </row>
    <row r="66" spans="1:39" x14ac:dyDescent="0.2">
      <c r="A66" s="4"/>
      <c r="R66" s="4"/>
      <c r="S66" s="4"/>
      <c r="T66" s="4"/>
      <c r="U66" s="4"/>
      <c r="V66" s="4"/>
      <c r="W66" s="4"/>
      <c r="X66" s="4"/>
      <c r="Y66" s="4"/>
      <c r="Z66" s="4"/>
      <c r="AA66" s="4"/>
      <c r="AB66" s="4"/>
      <c r="AC66" s="4"/>
      <c r="AD66" s="4"/>
      <c r="AE66" s="4"/>
      <c r="AF66" s="4"/>
      <c r="AG66" s="4"/>
      <c r="AH66" s="4"/>
      <c r="AI66" s="4"/>
      <c r="AJ66" s="4"/>
      <c r="AK66" s="4"/>
      <c r="AL66" s="4"/>
      <c r="AM66" s="4"/>
    </row>
    <row r="67" spans="1:39" x14ac:dyDescent="0.2">
      <c r="A67" s="4"/>
      <c r="R67" s="4"/>
      <c r="S67" s="4"/>
      <c r="T67" s="4"/>
      <c r="U67" s="4"/>
      <c r="V67" s="4"/>
      <c r="W67" s="4"/>
      <c r="X67" s="4"/>
      <c r="Y67" s="4"/>
      <c r="Z67" s="4"/>
      <c r="AA67" s="4"/>
      <c r="AB67" s="4"/>
      <c r="AC67" s="4"/>
      <c r="AD67" s="4"/>
      <c r="AE67" s="4"/>
      <c r="AF67" s="4"/>
      <c r="AG67" s="4"/>
      <c r="AH67" s="4"/>
      <c r="AI67" s="4"/>
      <c r="AJ67" s="4"/>
      <c r="AK67" s="4"/>
      <c r="AL67" s="4"/>
      <c r="AM67" s="4"/>
    </row>
    <row r="68" spans="1:39" x14ac:dyDescent="0.2">
      <c r="A68" s="4"/>
      <c r="R68" s="4"/>
      <c r="S68" s="4"/>
      <c r="T68" s="4"/>
      <c r="U68" s="4"/>
      <c r="V68" s="4"/>
      <c r="W68" s="4"/>
      <c r="X68" s="4"/>
      <c r="Y68" s="4"/>
      <c r="Z68" s="4"/>
      <c r="AA68" s="4"/>
      <c r="AB68" s="4"/>
      <c r="AC68" s="4"/>
      <c r="AD68" s="4"/>
      <c r="AE68" s="4"/>
      <c r="AF68" s="4"/>
      <c r="AG68" s="4"/>
      <c r="AH68" s="4"/>
      <c r="AI68" s="4"/>
      <c r="AJ68" s="4"/>
      <c r="AK68" s="4"/>
      <c r="AL68" s="4"/>
      <c r="AM68" s="4"/>
    </row>
    <row r="69" spans="1:39" x14ac:dyDescent="0.2">
      <c r="A69" s="4"/>
      <c r="R69" s="4"/>
      <c r="S69" s="4"/>
      <c r="T69" s="4"/>
      <c r="U69" s="4"/>
      <c r="V69" s="4"/>
      <c r="W69" s="4"/>
      <c r="X69" s="4"/>
      <c r="Y69" s="4"/>
      <c r="Z69" s="4"/>
      <c r="AA69" s="4"/>
      <c r="AB69" s="4"/>
      <c r="AC69" s="4"/>
      <c r="AD69" s="4"/>
      <c r="AE69" s="4"/>
      <c r="AF69" s="4"/>
      <c r="AG69" s="4"/>
      <c r="AH69" s="4"/>
      <c r="AI69" s="4"/>
      <c r="AJ69" s="4"/>
      <c r="AK69" s="4"/>
      <c r="AL69" s="4"/>
      <c r="AM69" s="4"/>
    </row>
    <row r="70" spans="1:39" x14ac:dyDescent="0.2">
      <c r="A70" s="4"/>
      <c r="R70" s="4"/>
      <c r="S70" s="4"/>
      <c r="T70" s="4"/>
      <c r="U70" s="4"/>
      <c r="V70" s="4"/>
      <c r="W70" s="4"/>
      <c r="X70" s="4"/>
      <c r="Y70" s="4"/>
      <c r="Z70" s="4"/>
      <c r="AA70" s="4"/>
      <c r="AB70" s="4"/>
      <c r="AC70" s="4"/>
      <c r="AD70" s="4"/>
      <c r="AE70" s="4"/>
      <c r="AF70" s="4"/>
      <c r="AG70" s="4"/>
      <c r="AH70" s="4"/>
      <c r="AI70" s="4"/>
      <c r="AJ70" s="4"/>
      <c r="AK70" s="4"/>
      <c r="AL70" s="4"/>
      <c r="AM70" s="4"/>
    </row>
    <row r="71" spans="1:39" x14ac:dyDescent="0.2">
      <c r="A71" s="4"/>
      <c r="R71" s="4"/>
      <c r="S71" s="4"/>
      <c r="T71" s="4"/>
      <c r="U71" s="4"/>
      <c r="V71" s="4"/>
      <c r="W71" s="4"/>
      <c r="X71" s="4"/>
      <c r="Y71" s="4"/>
      <c r="Z71" s="4"/>
      <c r="AA71" s="4"/>
      <c r="AB71" s="4"/>
      <c r="AC71" s="4"/>
      <c r="AD71" s="4"/>
      <c r="AE71" s="4"/>
      <c r="AF71" s="4"/>
      <c r="AG71" s="4"/>
      <c r="AH71" s="4"/>
      <c r="AI71" s="4"/>
      <c r="AJ71" s="4"/>
      <c r="AK71" s="4"/>
      <c r="AL71" s="4"/>
      <c r="AM71" s="4"/>
    </row>
    <row r="72" spans="1:39" x14ac:dyDescent="0.2">
      <c r="A72" s="4"/>
      <c r="R72" s="4"/>
      <c r="S72" s="4"/>
      <c r="T72" s="4"/>
      <c r="U72" s="4"/>
      <c r="V72" s="4"/>
      <c r="W72" s="4"/>
      <c r="X72" s="4"/>
      <c r="Y72" s="4"/>
      <c r="Z72" s="4"/>
      <c r="AA72" s="4"/>
      <c r="AB72" s="4"/>
      <c r="AC72" s="4"/>
      <c r="AD72" s="4"/>
      <c r="AE72" s="4"/>
      <c r="AF72" s="4"/>
      <c r="AG72" s="4"/>
      <c r="AH72" s="4"/>
      <c r="AI72" s="4"/>
      <c r="AJ72" s="4"/>
      <c r="AK72" s="4"/>
      <c r="AL72" s="4"/>
      <c r="AM72" s="4"/>
    </row>
    <row r="73" spans="1:39" x14ac:dyDescent="0.2">
      <c r="A73" s="4"/>
      <c r="R73" s="4"/>
      <c r="S73" s="4"/>
      <c r="T73" s="4"/>
      <c r="U73" s="4"/>
      <c r="V73" s="4"/>
      <c r="W73" s="4"/>
      <c r="X73" s="4"/>
      <c r="Y73" s="4"/>
      <c r="Z73" s="4"/>
      <c r="AA73" s="4"/>
      <c r="AB73" s="4"/>
      <c r="AC73" s="4"/>
      <c r="AD73" s="4"/>
      <c r="AE73" s="4"/>
      <c r="AF73" s="4"/>
      <c r="AG73" s="4"/>
      <c r="AH73" s="4"/>
      <c r="AI73" s="4"/>
      <c r="AJ73" s="4"/>
      <c r="AK73" s="4"/>
      <c r="AL73" s="4"/>
      <c r="AM73" s="4"/>
    </row>
    <row r="74" spans="1:39" x14ac:dyDescent="0.2">
      <c r="A74" s="4"/>
      <c r="R74" s="4"/>
      <c r="S74" s="4"/>
      <c r="T74" s="4"/>
      <c r="U74" s="4"/>
      <c r="V74" s="4"/>
      <c r="W74" s="4"/>
      <c r="X74" s="4"/>
      <c r="Y74" s="4"/>
      <c r="Z74" s="4"/>
      <c r="AA74" s="4"/>
      <c r="AB74" s="4"/>
      <c r="AC74" s="4"/>
      <c r="AD74" s="4"/>
      <c r="AE74" s="4"/>
      <c r="AF74" s="4"/>
      <c r="AG74" s="4"/>
      <c r="AH74" s="4"/>
      <c r="AI74" s="4"/>
      <c r="AJ74" s="4"/>
      <c r="AK74" s="4"/>
      <c r="AL74" s="4"/>
      <c r="AM74" s="4"/>
    </row>
    <row r="75" spans="1:39" x14ac:dyDescent="0.2">
      <c r="A75" s="4"/>
      <c r="R75" s="4"/>
      <c r="S75" s="4"/>
      <c r="T75" s="4"/>
      <c r="U75" s="4"/>
      <c r="V75" s="4"/>
      <c r="W75" s="4"/>
      <c r="X75" s="4"/>
      <c r="Y75" s="4"/>
      <c r="Z75" s="4"/>
      <c r="AA75" s="4"/>
      <c r="AB75" s="4"/>
      <c r="AC75" s="4"/>
      <c r="AD75" s="4"/>
      <c r="AE75" s="4"/>
      <c r="AF75" s="4"/>
      <c r="AG75" s="4"/>
      <c r="AH75" s="4"/>
      <c r="AI75" s="4"/>
      <c r="AJ75" s="4"/>
      <c r="AK75" s="4"/>
      <c r="AL75" s="4"/>
      <c r="AM75" s="4"/>
    </row>
    <row r="76" spans="1:39" x14ac:dyDescent="0.2">
      <c r="A76" s="4"/>
      <c r="R76" s="4"/>
      <c r="S76" s="4"/>
      <c r="T76" s="4"/>
      <c r="U76" s="4"/>
      <c r="V76" s="4"/>
      <c r="W76" s="4"/>
      <c r="X76" s="4"/>
      <c r="Y76" s="4"/>
      <c r="Z76" s="4"/>
      <c r="AA76" s="4"/>
      <c r="AB76" s="4"/>
      <c r="AC76" s="4"/>
      <c r="AD76" s="4"/>
      <c r="AE76" s="4"/>
      <c r="AF76" s="4"/>
      <c r="AG76" s="4"/>
      <c r="AH76" s="4"/>
      <c r="AI76" s="4"/>
      <c r="AJ76" s="4"/>
      <c r="AK76" s="4"/>
      <c r="AL76" s="4"/>
      <c r="AM76" s="4"/>
    </row>
    <row r="77" spans="1:39" x14ac:dyDescent="0.2">
      <c r="A77" s="4"/>
      <c r="R77" s="4"/>
      <c r="S77" s="4"/>
      <c r="T77" s="4"/>
      <c r="U77" s="4"/>
      <c r="V77" s="4"/>
      <c r="W77" s="4"/>
      <c r="X77" s="4"/>
      <c r="Y77" s="4"/>
      <c r="Z77" s="4"/>
      <c r="AA77" s="4"/>
      <c r="AB77" s="4"/>
      <c r="AC77" s="4"/>
      <c r="AD77" s="4"/>
      <c r="AE77" s="4"/>
      <c r="AF77" s="4"/>
      <c r="AG77" s="4"/>
      <c r="AH77" s="4"/>
      <c r="AI77" s="4"/>
      <c r="AJ77" s="4"/>
      <c r="AK77" s="4"/>
      <c r="AL77" s="4"/>
      <c r="AM77" s="4"/>
    </row>
    <row r="78" spans="1:39" x14ac:dyDescent="0.2">
      <c r="A78" s="4"/>
      <c r="R78" s="4"/>
      <c r="S78" s="4"/>
      <c r="T78" s="4"/>
      <c r="U78" s="4"/>
      <c r="V78" s="4"/>
      <c r="W78" s="4"/>
      <c r="X78" s="4"/>
      <c r="Y78" s="4"/>
      <c r="Z78" s="4"/>
      <c r="AA78" s="4"/>
      <c r="AB78" s="4"/>
      <c r="AC78" s="4"/>
      <c r="AD78" s="4"/>
      <c r="AE78" s="4"/>
      <c r="AF78" s="4"/>
      <c r="AG78" s="4"/>
      <c r="AH78" s="4"/>
      <c r="AI78" s="4"/>
      <c r="AJ78" s="4"/>
      <c r="AK78" s="4"/>
      <c r="AL78" s="4"/>
      <c r="AM78" s="4"/>
    </row>
    <row r="79" spans="1:39" x14ac:dyDescent="0.2">
      <c r="A79" s="4"/>
      <c r="R79" s="4"/>
      <c r="S79" s="4"/>
      <c r="T79" s="4"/>
      <c r="U79" s="4"/>
      <c r="V79" s="4"/>
      <c r="W79" s="4"/>
      <c r="X79" s="4"/>
      <c r="Y79" s="4"/>
      <c r="Z79" s="4"/>
      <c r="AA79" s="4"/>
      <c r="AB79" s="4"/>
      <c r="AC79" s="4"/>
      <c r="AD79" s="4"/>
      <c r="AE79" s="4"/>
      <c r="AF79" s="4"/>
      <c r="AG79" s="4"/>
      <c r="AH79" s="4"/>
      <c r="AI79" s="4"/>
      <c r="AJ79" s="4"/>
      <c r="AK79" s="4"/>
      <c r="AL79" s="4"/>
      <c r="AM79" s="4"/>
    </row>
    <row r="80" spans="1:39" x14ac:dyDescent="0.2">
      <c r="A80" s="4"/>
      <c r="R80" s="4"/>
      <c r="S80" s="4"/>
      <c r="T80" s="4"/>
      <c r="U80" s="4"/>
      <c r="V80" s="4"/>
      <c r="W80" s="4"/>
      <c r="X80" s="4"/>
      <c r="Y80" s="4"/>
      <c r="Z80" s="4"/>
      <c r="AA80" s="4"/>
      <c r="AB80" s="4"/>
      <c r="AC80" s="4"/>
      <c r="AD80" s="4"/>
      <c r="AE80" s="4"/>
      <c r="AF80" s="4"/>
      <c r="AG80" s="4"/>
      <c r="AH80" s="4"/>
      <c r="AI80" s="4"/>
      <c r="AJ80" s="4"/>
      <c r="AK80" s="4"/>
      <c r="AL80" s="4"/>
      <c r="AM80" s="4"/>
    </row>
    <row r="81" spans="1:39" x14ac:dyDescent="0.2">
      <c r="A81" s="4"/>
      <c r="R81" s="4"/>
      <c r="S81" s="4"/>
      <c r="T81" s="4"/>
      <c r="U81" s="4"/>
      <c r="V81" s="4"/>
      <c r="W81" s="4"/>
      <c r="X81" s="4"/>
      <c r="Y81" s="4"/>
      <c r="Z81" s="4"/>
      <c r="AA81" s="4"/>
      <c r="AB81" s="4"/>
      <c r="AC81" s="4"/>
      <c r="AD81" s="4"/>
      <c r="AE81" s="4"/>
      <c r="AF81" s="4"/>
      <c r="AG81" s="4"/>
      <c r="AH81" s="4"/>
      <c r="AI81" s="4"/>
      <c r="AJ81" s="4"/>
      <c r="AK81" s="4"/>
      <c r="AL81" s="4"/>
      <c r="AM81" s="4"/>
    </row>
    <row r="82" spans="1:39" x14ac:dyDescent="0.2">
      <c r="A82" s="4"/>
      <c r="R82" s="4"/>
      <c r="S82" s="4"/>
      <c r="T82" s="4"/>
      <c r="U82" s="4"/>
      <c r="V82" s="4"/>
      <c r="W82" s="4"/>
      <c r="X82" s="4"/>
      <c r="Y82" s="4"/>
      <c r="Z82" s="4"/>
      <c r="AA82" s="4"/>
      <c r="AB82" s="4"/>
      <c r="AC82" s="4"/>
      <c r="AD82" s="4"/>
      <c r="AE82" s="4"/>
      <c r="AF82" s="4"/>
      <c r="AG82" s="4"/>
      <c r="AH82" s="4"/>
      <c r="AI82" s="4"/>
      <c r="AJ82" s="4"/>
      <c r="AK82" s="4"/>
      <c r="AL82" s="4"/>
      <c r="AM82" s="4"/>
    </row>
    <row r="83" spans="1:39" x14ac:dyDescent="0.2">
      <c r="A83" s="4"/>
      <c r="R83" s="4"/>
      <c r="S83" s="4"/>
      <c r="T83" s="4"/>
      <c r="U83" s="4"/>
      <c r="V83" s="4"/>
      <c r="W83" s="4"/>
      <c r="X83" s="4"/>
      <c r="Y83" s="4"/>
      <c r="Z83" s="4"/>
      <c r="AA83" s="4"/>
      <c r="AB83" s="4"/>
      <c r="AC83" s="4"/>
      <c r="AD83" s="4"/>
      <c r="AE83" s="4"/>
      <c r="AF83" s="4"/>
      <c r="AG83" s="4"/>
      <c r="AH83" s="4"/>
      <c r="AI83" s="4"/>
      <c r="AJ83" s="4"/>
      <c r="AK83" s="4"/>
      <c r="AL83" s="4"/>
      <c r="AM83" s="4"/>
    </row>
    <row r="84" spans="1:39" x14ac:dyDescent="0.2">
      <c r="A84" s="4"/>
      <c r="R84" s="4"/>
      <c r="S84" s="4"/>
      <c r="T84" s="4"/>
      <c r="U84" s="4"/>
      <c r="V84" s="4"/>
      <c r="W84" s="4"/>
      <c r="X84" s="4"/>
      <c r="Y84" s="4"/>
      <c r="Z84" s="4"/>
      <c r="AA84" s="4"/>
      <c r="AB84" s="4"/>
      <c r="AC84" s="4"/>
      <c r="AD84" s="4"/>
      <c r="AE84" s="4"/>
      <c r="AF84" s="4"/>
      <c r="AG84" s="4"/>
      <c r="AH84" s="4"/>
      <c r="AI84" s="4"/>
      <c r="AJ84" s="4"/>
      <c r="AK84" s="4"/>
      <c r="AL84" s="4"/>
      <c r="AM84" s="4"/>
    </row>
    <row r="85" spans="1:39" x14ac:dyDescent="0.2">
      <c r="A85" s="4"/>
      <c r="R85" s="4"/>
      <c r="S85" s="4"/>
      <c r="T85" s="4"/>
      <c r="U85" s="4"/>
      <c r="V85" s="4"/>
      <c r="W85" s="4"/>
      <c r="X85" s="4"/>
      <c r="Y85" s="4"/>
      <c r="Z85" s="4"/>
      <c r="AA85" s="4"/>
      <c r="AB85" s="4"/>
      <c r="AC85" s="4"/>
      <c r="AD85" s="4"/>
      <c r="AE85" s="4"/>
      <c r="AF85" s="4"/>
      <c r="AG85" s="4"/>
      <c r="AH85" s="4"/>
      <c r="AI85" s="4"/>
      <c r="AJ85" s="4"/>
      <c r="AK85" s="4"/>
      <c r="AL85" s="4"/>
      <c r="AM85" s="4"/>
    </row>
    <row r="86" spans="1:39" x14ac:dyDescent="0.2">
      <c r="A86" s="4"/>
      <c r="R86" s="4"/>
      <c r="S86" s="4"/>
      <c r="T86" s="4"/>
      <c r="U86" s="4"/>
      <c r="V86" s="4"/>
      <c r="W86" s="4"/>
      <c r="X86" s="4"/>
      <c r="Y86" s="4"/>
      <c r="Z86" s="4"/>
      <c r="AA86" s="4"/>
      <c r="AB86" s="4"/>
      <c r="AC86" s="4"/>
      <c r="AD86" s="4"/>
      <c r="AE86" s="4"/>
      <c r="AF86" s="4"/>
      <c r="AG86" s="4"/>
      <c r="AH86" s="4"/>
      <c r="AI86" s="4"/>
      <c r="AJ86" s="4"/>
      <c r="AK86" s="4"/>
      <c r="AL86" s="4"/>
      <c r="AM86" s="4"/>
    </row>
    <row r="87" spans="1:39" x14ac:dyDescent="0.2">
      <c r="A87" s="4"/>
      <c r="R87" s="4"/>
      <c r="S87" s="4"/>
      <c r="T87" s="4"/>
      <c r="U87" s="4"/>
      <c r="V87" s="4"/>
      <c r="W87" s="4"/>
      <c r="X87" s="4"/>
      <c r="Y87" s="4"/>
      <c r="Z87" s="4"/>
      <c r="AA87" s="4"/>
      <c r="AB87" s="4"/>
      <c r="AC87" s="4"/>
      <c r="AD87" s="4"/>
      <c r="AE87" s="4"/>
      <c r="AF87" s="4"/>
      <c r="AG87" s="4"/>
      <c r="AH87" s="4"/>
      <c r="AI87" s="4"/>
      <c r="AJ87" s="4"/>
      <c r="AK87" s="4"/>
      <c r="AL87" s="4"/>
      <c r="AM87" s="4"/>
    </row>
    <row r="88" spans="1:39" x14ac:dyDescent="0.2">
      <c r="A88" s="4"/>
      <c r="R88" s="4"/>
      <c r="S88" s="4"/>
      <c r="T88" s="4"/>
      <c r="U88" s="4"/>
      <c r="V88" s="4"/>
      <c r="W88" s="4"/>
      <c r="X88" s="4"/>
      <c r="Y88" s="4"/>
      <c r="Z88" s="4"/>
      <c r="AA88" s="4"/>
      <c r="AB88" s="4"/>
      <c r="AC88" s="4"/>
      <c r="AD88" s="4"/>
      <c r="AE88" s="4"/>
      <c r="AF88" s="4"/>
      <c r="AG88" s="4"/>
      <c r="AH88" s="4"/>
      <c r="AI88" s="4"/>
      <c r="AJ88" s="4"/>
      <c r="AK88" s="4"/>
      <c r="AL88" s="4"/>
      <c r="AM88" s="4"/>
    </row>
    <row r="89" spans="1:39" x14ac:dyDescent="0.2">
      <c r="A89" s="4"/>
      <c r="R89" s="4"/>
      <c r="S89" s="4"/>
      <c r="T89" s="4"/>
      <c r="U89" s="4"/>
      <c r="V89" s="4"/>
      <c r="W89" s="4"/>
      <c r="X89" s="4"/>
      <c r="Y89" s="4"/>
      <c r="Z89" s="4"/>
      <c r="AA89" s="4"/>
      <c r="AB89" s="4"/>
      <c r="AC89" s="4"/>
      <c r="AD89" s="4"/>
      <c r="AE89" s="4"/>
      <c r="AF89" s="4"/>
      <c r="AG89" s="4"/>
      <c r="AH89" s="4"/>
      <c r="AI89" s="4"/>
      <c r="AJ89" s="4"/>
      <c r="AK89" s="4"/>
      <c r="AL89" s="4"/>
      <c r="AM89" s="4"/>
    </row>
    <row r="90" spans="1:39" x14ac:dyDescent="0.2">
      <c r="A90" s="4"/>
      <c r="R90" s="4"/>
      <c r="S90" s="4"/>
      <c r="T90" s="4"/>
      <c r="U90" s="4"/>
      <c r="V90" s="4"/>
      <c r="W90" s="4"/>
      <c r="X90" s="4"/>
      <c r="Y90" s="4"/>
      <c r="Z90" s="4"/>
      <c r="AA90" s="4"/>
      <c r="AB90" s="4"/>
      <c r="AC90" s="4"/>
      <c r="AD90" s="4"/>
      <c r="AE90" s="4"/>
      <c r="AF90" s="4"/>
      <c r="AG90" s="4"/>
      <c r="AH90" s="4"/>
      <c r="AI90" s="4"/>
      <c r="AJ90" s="4"/>
      <c r="AK90" s="4"/>
      <c r="AL90" s="4"/>
      <c r="AM90" s="4"/>
    </row>
    <row r="91" spans="1:39" x14ac:dyDescent="0.2">
      <c r="A91" s="4"/>
      <c r="R91" s="4"/>
      <c r="S91" s="4"/>
      <c r="T91" s="4"/>
      <c r="U91" s="4"/>
      <c r="V91" s="4"/>
      <c r="W91" s="4"/>
      <c r="X91" s="4"/>
      <c r="Y91" s="4"/>
      <c r="Z91" s="4"/>
      <c r="AA91" s="4"/>
      <c r="AB91" s="4"/>
      <c r="AC91" s="4"/>
      <c r="AD91" s="4"/>
      <c r="AE91" s="4"/>
      <c r="AF91" s="4"/>
      <c r="AG91" s="4"/>
      <c r="AH91" s="4"/>
      <c r="AI91" s="4"/>
      <c r="AJ91" s="4"/>
      <c r="AK91" s="4"/>
      <c r="AL91" s="4"/>
      <c r="AM91" s="4"/>
    </row>
    <row r="92" spans="1:39" x14ac:dyDescent="0.2">
      <c r="A92" s="4"/>
      <c r="R92" s="4"/>
      <c r="S92" s="4"/>
      <c r="T92" s="4"/>
      <c r="U92" s="4"/>
      <c r="V92" s="4"/>
      <c r="W92" s="4"/>
      <c r="X92" s="4"/>
      <c r="Y92" s="4"/>
      <c r="Z92" s="4"/>
      <c r="AA92" s="4"/>
      <c r="AB92" s="4"/>
      <c r="AC92" s="4"/>
      <c r="AD92" s="4"/>
      <c r="AE92" s="4"/>
      <c r="AF92" s="4"/>
      <c r="AG92" s="4"/>
      <c r="AH92" s="4"/>
      <c r="AI92" s="4"/>
      <c r="AJ92" s="4"/>
      <c r="AK92" s="4"/>
      <c r="AL92" s="4"/>
      <c r="AM92" s="4"/>
    </row>
    <row r="93" spans="1:39" x14ac:dyDescent="0.2">
      <c r="A93" s="4"/>
      <c r="R93" s="4"/>
      <c r="S93" s="4"/>
      <c r="T93" s="4"/>
      <c r="U93" s="4"/>
      <c r="V93" s="4"/>
      <c r="W93" s="4"/>
      <c r="X93" s="4"/>
      <c r="Y93" s="4"/>
      <c r="Z93" s="4"/>
      <c r="AA93" s="4"/>
      <c r="AB93" s="4"/>
      <c r="AC93" s="4"/>
      <c r="AD93" s="4"/>
      <c r="AE93" s="4"/>
      <c r="AF93" s="4"/>
      <c r="AG93" s="4"/>
      <c r="AH93" s="4"/>
      <c r="AI93" s="4"/>
      <c r="AJ93" s="4"/>
      <c r="AK93" s="4"/>
      <c r="AL93" s="4"/>
      <c r="AM93" s="4"/>
    </row>
    <row r="94" spans="1:39" x14ac:dyDescent="0.2">
      <c r="A94" s="4"/>
      <c r="R94" s="4"/>
      <c r="S94" s="4"/>
      <c r="T94" s="4"/>
      <c r="U94" s="4"/>
      <c r="V94" s="4"/>
      <c r="W94" s="4"/>
      <c r="X94" s="4"/>
      <c r="Y94" s="4"/>
      <c r="Z94" s="4"/>
      <c r="AA94" s="4"/>
      <c r="AB94" s="4"/>
      <c r="AC94" s="4"/>
      <c r="AD94" s="4"/>
      <c r="AE94" s="4"/>
      <c r="AF94" s="4"/>
      <c r="AG94" s="4"/>
      <c r="AH94" s="4"/>
      <c r="AI94" s="4"/>
      <c r="AJ94" s="4"/>
      <c r="AK94" s="4"/>
      <c r="AL94" s="4"/>
      <c r="AM94" s="4"/>
    </row>
    <row r="95" spans="1:39" x14ac:dyDescent="0.2">
      <c r="A95" s="4"/>
      <c r="R95" s="4"/>
      <c r="S95" s="4"/>
      <c r="T95" s="4"/>
      <c r="U95" s="4"/>
      <c r="V95" s="4"/>
      <c r="W95" s="4"/>
      <c r="X95" s="4"/>
      <c r="Y95" s="4"/>
      <c r="Z95" s="4"/>
      <c r="AA95" s="4"/>
      <c r="AB95" s="4"/>
      <c r="AC95" s="4"/>
      <c r="AD95" s="4"/>
      <c r="AE95" s="4"/>
      <c r="AF95" s="4"/>
      <c r="AG95" s="4"/>
      <c r="AH95" s="4"/>
      <c r="AI95" s="4"/>
      <c r="AJ95" s="4"/>
      <c r="AK95" s="4"/>
      <c r="AL95" s="4"/>
      <c r="AM95" s="4"/>
    </row>
    <row r="96" spans="1:39" x14ac:dyDescent="0.2">
      <c r="A96" s="4"/>
      <c r="R96" s="4"/>
      <c r="S96" s="4"/>
      <c r="T96" s="4"/>
      <c r="U96" s="4"/>
      <c r="V96" s="4"/>
      <c r="W96" s="4"/>
      <c r="X96" s="4"/>
      <c r="Y96" s="4"/>
      <c r="Z96" s="4"/>
      <c r="AA96" s="4"/>
      <c r="AB96" s="4"/>
      <c r="AC96" s="4"/>
      <c r="AD96" s="4"/>
      <c r="AE96" s="4"/>
      <c r="AF96" s="4"/>
      <c r="AG96" s="4"/>
      <c r="AH96" s="4"/>
      <c r="AI96" s="4"/>
      <c r="AJ96" s="4"/>
      <c r="AK96" s="4"/>
      <c r="AL96" s="4"/>
      <c r="AM96" s="4"/>
    </row>
    <row r="97" spans="1:39" x14ac:dyDescent="0.2">
      <c r="A97" s="4"/>
      <c r="R97" s="4"/>
      <c r="S97" s="4"/>
      <c r="T97" s="4"/>
      <c r="U97" s="4"/>
      <c r="V97" s="4"/>
      <c r="W97" s="4"/>
      <c r="X97" s="4"/>
      <c r="Y97" s="4"/>
      <c r="Z97" s="4"/>
      <c r="AA97" s="4"/>
      <c r="AB97" s="4"/>
      <c r="AC97" s="4"/>
      <c r="AD97" s="4"/>
      <c r="AE97" s="4"/>
      <c r="AF97" s="4"/>
      <c r="AG97" s="4"/>
      <c r="AH97" s="4"/>
      <c r="AI97" s="4"/>
      <c r="AJ97" s="4"/>
      <c r="AK97" s="4"/>
      <c r="AL97" s="4"/>
      <c r="AM97" s="4"/>
    </row>
    <row r="98" spans="1:39" x14ac:dyDescent="0.2">
      <c r="A98" s="4"/>
      <c r="R98" s="4"/>
      <c r="S98" s="4"/>
      <c r="T98" s="4"/>
      <c r="U98" s="4"/>
      <c r="V98" s="4"/>
      <c r="W98" s="4"/>
      <c r="X98" s="4"/>
      <c r="Y98" s="4"/>
      <c r="Z98" s="4"/>
      <c r="AA98" s="4"/>
      <c r="AB98" s="4"/>
      <c r="AC98" s="4"/>
      <c r="AD98" s="4"/>
      <c r="AE98" s="4"/>
      <c r="AF98" s="4"/>
      <c r="AG98" s="4"/>
      <c r="AH98" s="4"/>
      <c r="AI98" s="4"/>
      <c r="AJ98" s="4"/>
      <c r="AK98" s="4"/>
      <c r="AL98" s="4"/>
      <c r="AM98" s="4"/>
    </row>
    <row r="99" spans="1:39" x14ac:dyDescent="0.2">
      <c r="A99" s="4"/>
      <c r="R99" s="4"/>
      <c r="S99" s="4"/>
      <c r="T99" s="4"/>
      <c r="U99" s="4"/>
      <c r="V99" s="4"/>
      <c r="W99" s="4"/>
      <c r="X99" s="4"/>
      <c r="Y99" s="4"/>
      <c r="Z99" s="4"/>
      <c r="AA99" s="4"/>
      <c r="AB99" s="4"/>
      <c r="AC99" s="4"/>
      <c r="AD99" s="4"/>
      <c r="AE99" s="4"/>
      <c r="AF99" s="4"/>
      <c r="AG99" s="4"/>
      <c r="AH99" s="4"/>
      <c r="AI99" s="4"/>
      <c r="AJ99" s="4"/>
      <c r="AK99" s="4"/>
      <c r="AL99" s="4"/>
      <c r="AM99" s="4"/>
    </row>
    <row r="100" spans="1:39" x14ac:dyDescent="0.2">
      <c r="A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
      <c r="A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
      <c r="A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
      <c r="A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
      <c r="A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
      <c r="A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
      <c r="A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
      <c r="A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
      <c r="A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
      <c r="A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
      <c r="A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
      <c r="A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
      <c r="A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
      <c r="A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
      <c r="A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
      <c r="A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
      <c r="A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x14ac:dyDescent="0.2">
      <c r="A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
      <c r="A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
      <c r="A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
      <c r="A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
      <c r="A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
      <c r="A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
      <c r="A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
      <c r="A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
      <c r="A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
      <c r="A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
      <c r="A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
      <c r="A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
      <c r="A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
      <c r="A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
      <c r="A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x14ac:dyDescent="0.2">
      <c r="A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
      <c r="A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
      <c r="A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x14ac:dyDescent="0.2">
      <c r="A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x14ac:dyDescent="0.2">
      <c r="A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x14ac:dyDescent="0.2">
      <c r="A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x14ac:dyDescent="0.2">
      <c r="A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
      <c r="A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
      <c r="A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x14ac:dyDescent="0.2">
      <c r="A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
      <c r="A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
      <c r="A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
      <c r="A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
      <c r="A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
      <c r="A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
      <c r="A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
      <c r="A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
      <c r="A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
      <c r="A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
      <c r="A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
      <c r="A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
      <c r="A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
      <c r="A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
      <c r="A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
      <c r="A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
      <c r="A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
      <c r="A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
      <c r="A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
      <c r="A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
      <c r="A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
      <c r="A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x14ac:dyDescent="0.2">
      <c r="A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
      <c r="A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
      <c r="A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
      <c r="A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
      <c r="A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
      <c r="A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
      <c r="A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
      <c r="A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
      <c r="A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
      <c r="A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
      <c r="A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
      <c r="A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
      <c r="A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
      <c r="A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
      <c r="A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
      <c r="A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
      <c r="A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1:39" x14ac:dyDescent="0.2">
      <c r="A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1:39" x14ac:dyDescent="0.2">
      <c r="A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1:39" x14ac:dyDescent="0.2">
      <c r="A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1:39" x14ac:dyDescent="0.2">
      <c r="A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x14ac:dyDescent="0.2">
      <c r="A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1:39" x14ac:dyDescent="0.2">
      <c r="A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1:39" x14ac:dyDescent="0.2">
      <c r="A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1:39" x14ac:dyDescent="0.2">
      <c r="A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1:39" x14ac:dyDescent="0.2">
      <c r="A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1:39" x14ac:dyDescent="0.2">
      <c r="A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1:39" x14ac:dyDescent="0.2">
      <c r="A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x14ac:dyDescent="0.2">
      <c r="A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1:39" x14ac:dyDescent="0.2">
      <c r="A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1:39" x14ac:dyDescent="0.2">
      <c r="A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1:39" x14ac:dyDescent="0.2">
      <c r="A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1:39" x14ac:dyDescent="0.2">
      <c r="A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1:39" x14ac:dyDescent="0.2">
      <c r="A196" s="4"/>
      <c r="R196" s="4"/>
      <c r="S196" s="4"/>
      <c r="T196" s="4"/>
      <c r="U196" s="4"/>
      <c r="V196" s="4"/>
      <c r="W196" s="4"/>
      <c r="X196" s="4"/>
      <c r="Y196" s="4"/>
      <c r="Z196" s="4"/>
      <c r="AA196" s="4"/>
      <c r="AB196" s="4"/>
      <c r="AC196" s="4"/>
      <c r="AD196" s="4"/>
      <c r="AE196" s="4"/>
      <c r="AF196" s="4"/>
      <c r="AG196" s="4"/>
      <c r="AH196" s="4"/>
      <c r="AI196" s="4"/>
      <c r="AJ196" s="4"/>
      <c r="AK196" s="4"/>
      <c r="AL196" s="4"/>
      <c r="AM196" s="4"/>
    </row>
    <row r="197" spans="1:39" x14ac:dyDescent="0.2">
      <c r="A197" s="4"/>
      <c r="R197" s="4"/>
      <c r="S197" s="4"/>
      <c r="T197" s="4"/>
      <c r="U197" s="4"/>
      <c r="V197" s="4"/>
      <c r="W197" s="4"/>
      <c r="X197" s="4"/>
      <c r="Y197" s="4"/>
      <c r="Z197" s="4"/>
      <c r="AA197" s="4"/>
      <c r="AB197" s="4"/>
      <c r="AC197" s="4"/>
      <c r="AD197" s="4"/>
      <c r="AE197" s="4"/>
      <c r="AF197" s="4"/>
      <c r="AG197" s="4"/>
      <c r="AH197" s="4"/>
      <c r="AI197" s="4"/>
      <c r="AJ197" s="4"/>
      <c r="AK197" s="4"/>
      <c r="AL197" s="4"/>
      <c r="AM197" s="4"/>
    </row>
    <row r="198" spans="1:39" x14ac:dyDescent="0.2">
      <c r="A198" s="4"/>
      <c r="R198" s="4"/>
      <c r="S198" s="4"/>
      <c r="T198" s="4"/>
      <c r="U198" s="4"/>
      <c r="V198" s="4"/>
      <c r="W198" s="4"/>
      <c r="X198" s="4"/>
      <c r="Y198" s="4"/>
      <c r="Z198" s="4"/>
      <c r="AA198" s="4"/>
      <c r="AB198" s="4"/>
      <c r="AC198" s="4"/>
      <c r="AD198" s="4"/>
      <c r="AE198" s="4"/>
      <c r="AF198" s="4"/>
      <c r="AG198" s="4"/>
      <c r="AH198" s="4"/>
      <c r="AI198" s="4"/>
      <c r="AJ198" s="4"/>
      <c r="AK198" s="4"/>
      <c r="AL198" s="4"/>
      <c r="AM198" s="4"/>
    </row>
    <row r="199" spans="1:39" x14ac:dyDescent="0.2">
      <c r="A199" s="4"/>
      <c r="R199" s="4"/>
      <c r="S199" s="4"/>
      <c r="T199" s="4"/>
      <c r="U199" s="4"/>
      <c r="V199" s="4"/>
      <c r="W199" s="4"/>
      <c r="X199" s="4"/>
      <c r="Y199" s="4"/>
      <c r="Z199" s="4"/>
      <c r="AA199" s="4"/>
      <c r="AB199" s="4"/>
      <c r="AC199" s="4"/>
      <c r="AD199" s="4"/>
      <c r="AE199" s="4"/>
      <c r="AF199" s="4"/>
      <c r="AG199" s="4"/>
      <c r="AH199" s="4"/>
      <c r="AI199" s="4"/>
      <c r="AJ199" s="4"/>
      <c r="AK199" s="4"/>
      <c r="AL199" s="4"/>
      <c r="AM199" s="4"/>
    </row>
    <row r="200" spans="1:39" x14ac:dyDescent="0.2">
      <c r="A200" s="4"/>
      <c r="R200" s="4"/>
      <c r="S200" s="4"/>
      <c r="T200" s="4"/>
      <c r="U200" s="4"/>
      <c r="V200" s="4"/>
      <c r="W200" s="4"/>
      <c r="X200" s="4"/>
      <c r="Y200" s="4"/>
      <c r="Z200" s="4"/>
      <c r="AA200" s="4"/>
      <c r="AB200" s="4"/>
      <c r="AC200" s="4"/>
      <c r="AD200" s="4"/>
      <c r="AE200" s="4"/>
      <c r="AF200" s="4"/>
      <c r="AG200" s="4"/>
      <c r="AH200" s="4"/>
      <c r="AI200" s="4"/>
      <c r="AJ200" s="4"/>
      <c r="AK200" s="4"/>
      <c r="AL200" s="4"/>
      <c r="AM200" s="4"/>
    </row>
    <row r="201" spans="1:39" x14ac:dyDescent="0.2">
      <c r="A201" s="4"/>
      <c r="R201" s="4"/>
      <c r="S201" s="4"/>
      <c r="T201" s="4"/>
      <c r="U201" s="4"/>
      <c r="V201" s="4"/>
      <c r="W201" s="4"/>
      <c r="X201" s="4"/>
      <c r="Y201" s="4"/>
      <c r="Z201" s="4"/>
      <c r="AA201" s="4"/>
      <c r="AB201" s="4"/>
      <c r="AC201" s="4"/>
      <c r="AD201" s="4"/>
      <c r="AE201" s="4"/>
      <c r="AF201" s="4"/>
      <c r="AG201" s="4"/>
      <c r="AH201" s="4"/>
      <c r="AI201" s="4"/>
      <c r="AJ201" s="4"/>
      <c r="AK201" s="4"/>
      <c r="AL201" s="4"/>
      <c r="AM201" s="4"/>
    </row>
    <row r="202" spans="1:39" x14ac:dyDescent="0.2">
      <c r="A202" s="4"/>
      <c r="R202" s="4"/>
      <c r="S202" s="4"/>
      <c r="T202" s="4"/>
      <c r="U202" s="4"/>
      <c r="V202" s="4"/>
      <c r="W202" s="4"/>
      <c r="X202" s="4"/>
      <c r="Y202" s="4"/>
      <c r="Z202" s="4"/>
      <c r="AA202" s="4"/>
      <c r="AB202" s="4"/>
      <c r="AC202" s="4"/>
      <c r="AD202" s="4"/>
      <c r="AE202" s="4"/>
      <c r="AF202" s="4"/>
      <c r="AG202" s="4"/>
      <c r="AH202" s="4"/>
      <c r="AI202" s="4"/>
      <c r="AJ202" s="4"/>
      <c r="AK202" s="4"/>
      <c r="AL202" s="4"/>
      <c r="AM202" s="4"/>
    </row>
    <row r="203" spans="1:39" x14ac:dyDescent="0.2">
      <c r="A203" s="4"/>
      <c r="R203" s="4"/>
      <c r="S203" s="4"/>
      <c r="T203" s="4"/>
      <c r="U203" s="4"/>
      <c r="V203" s="4"/>
      <c r="W203" s="4"/>
      <c r="X203" s="4"/>
      <c r="Y203" s="4"/>
      <c r="Z203" s="4"/>
      <c r="AA203" s="4"/>
      <c r="AB203" s="4"/>
      <c r="AC203" s="4"/>
      <c r="AD203" s="4"/>
      <c r="AE203" s="4"/>
      <c r="AF203" s="4"/>
      <c r="AG203" s="4"/>
      <c r="AH203" s="4"/>
      <c r="AI203" s="4"/>
      <c r="AJ203" s="4"/>
      <c r="AK203" s="4"/>
      <c r="AL203" s="4"/>
      <c r="AM203" s="4"/>
    </row>
    <row r="204" spans="1:39" x14ac:dyDescent="0.2">
      <c r="A204" s="4"/>
      <c r="R204" s="4"/>
      <c r="S204" s="4"/>
      <c r="T204" s="4"/>
      <c r="U204" s="4"/>
      <c r="V204" s="4"/>
      <c r="W204" s="4"/>
      <c r="X204" s="4"/>
      <c r="Y204" s="4"/>
      <c r="Z204" s="4"/>
      <c r="AA204" s="4"/>
      <c r="AB204" s="4"/>
      <c r="AC204" s="4"/>
      <c r="AD204" s="4"/>
      <c r="AE204" s="4"/>
      <c r="AF204" s="4"/>
      <c r="AG204" s="4"/>
      <c r="AH204" s="4"/>
      <c r="AI204" s="4"/>
      <c r="AJ204" s="4"/>
      <c r="AK204" s="4"/>
      <c r="AL204" s="4"/>
      <c r="AM204" s="4"/>
    </row>
  </sheetData>
  <sheetProtection algorithmName="SHA-512" hashValue="df5CeKnmK5udn4iqvV/koG/1yLXBKGn1ePJet+p4s8JW+nU2oPLPA9jpGZCpJHTwBuLVyjD43pMz/4TgERFtqA==" saltValue="aqS/nHqWg8+cBJa7YXzbzA==" spinCount="100000" sheet="1" selectLockedCells="1"/>
  <mergeCells count="2">
    <mergeCell ref="G3:I3"/>
    <mergeCell ref="B1:N1"/>
  </mergeCells>
  <conditionalFormatting sqref="G5:I34">
    <cfRule type="expression" dxfId="197" priority="8">
      <formula>$E5=""</formula>
    </cfRule>
  </conditionalFormatting>
  <dataValidations count="1">
    <dataValidation type="list" allowBlank="1" showInputMessage="1" showErrorMessage="1" sqref="E5:E34" xr:uid="{5B50157E-9B79-4E32-996C-BF9CD323E81E}">
      <formula1>List_ComKitch_Measure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D04B9-C36D-4929-9F40-E83688F76ACE}">
  <sheetPr>
    <tabColor theme="4"/>
  </sheetPr>
  <dimension ref="A1:AN204"/>
  <sheetViews>
    <sheetView showGridLines="0" showRowColHeaders="0" workbookViewId="0">
      <selection activeCell="D5" sqref="D5"/>
    </sheetView>
  </sheetViews>
  <sheetFormatPr defaultColWidth="9.140625" defaultRowHeight="12.75" x14ac:dyDescent="0.2"/>
  <cols>
    <col min="1" max="1" width="2.140625" customWidth="1"/>
    <col min="2" max="2" width="5.28515625" customWidth="1"/>
    <col min="3" max="3" width="8.140625" customWidth="1"/>
    <col min="4" max="4" width="17.140625" customWidth="1"/>
    <col min="5" max="6" width="29.85546875" customWidth="1"/>
    <col min="7" max="7" width="21.5703125" customWidth="1"/>
    <col min="8" max="8" width="11.5703125" customWidth="1"/>
    <col min="9" max="9" width="12.42578125" customWidth="1"/>
    <col min="10" max="10" width="9.85546875" customWidth="1"/>
    <col min="11" max="11" width="10" customWidth="1"/>
    <col min="12" max="12" width="11" customWidth="1"/>
    <col min="13" max="13" width="12" customWidth="1"/>
    <col min="14" max="14" width="11.85546875" customWidth="1"/>
    <col min="15" max="16" width="10.28515625" customWidth="1"/>
    <col min="17" max="17" width="13.42578125" customWidth="1"/>
    <col min="18" max="18" width="9.5703125" customWidth="1"/>
    <col min="19" max="19" width="25.85546875" style="110" hidden="1" customWidth="1"/>
  </cols>
  <sheetData>
    <row r="1" spans="1:40" ht="37.5" customHeight="1" x14ac:dyDescent="0.2">
      <c r="B1" s="293" t="s">
        <v>111</v>
      </c>
      <c r="C1" s="293"/>
      <c r="D1" s="293"/>
      <c r="E1" s="293"/>
      <c r="F1" s="293"/>
      <c r="G1" s="293"/>
      <c r="H1" s="293"/>
      <c r="I1" s="293"/>
      <c r="J1" s="293"/>
      <c r="K1" s="293"/>
      <c r="L1" s="293"/>
      <c r="M1" s="293"/>
      <c r="N1" s="293"/>
      <c r="O1" s="293"/>
      <c r="P1" s="149"/>
      <c r="Q1" s="149"/>
      <c r="R1" s="149"/>
    </row>
    <row r="2" spans="1:40" x14ac:dyDescent="0.2">
      <c r="L2" s="4"/>
    </row>
    <row r="3" spans="1:40" x14ac:dyDescent="0.2">
      <c r="A3" s="4"/>
      <c r="G3" s="318" t="s">
        <v>75</v>
      </c>
      <c r="H3" s="318"/>
      <c r="I3" s="318"/>
      <c r="J3" s="318"/>
      <c r="K3" s="82" t="s">
        <v>76</v>
      </c>
      <c r="L3" s="143">
        <f>SUM(Table_Controls_Input23[Estimated Incentive])</f>
        <v>0</v>
      </c>
      <c r="M3" s="152">
        <f>SUM(Table_Controls_Input23[Energy Savings (kWh)])</f>
        <v>0</v>
      </c>
      <c r="N3" s="151">
        <f>SUM(Table_Controls_Input23[Demand Reduction (kW)])</f>
        <v>0</v>
      </c>
      <c r="O3" s="143">
        <f>SUM(Table_Controls_Input23[Cost Savings])</f>
        <v>0</v>
      </c>
      <c r="P3" s="143">
        <f>SUM(Table_Controls_Input23[Gross Measure Cost])</f>
        <v>0</v>
      </c>
      <c r="Q3" s="143">
        <f>SUM(Table_Controls_Input23[Net Measure Cost])</f>
        <v>0</v>
      </c>
      <c r="R3" s="81" t="str">
        <f>IFERROR(Q3/O3,"")</f>
        <v/>
      </c>
      <c r="S3" s="111"/>
      <c r="T3" s="4"/>
      <c r="U3" s="4"/>
      <c r="V3" s="4"/>
      <c r="W3" s="4"/>
      <c r="X3" s="4"/>
      <c r="Y3" s="4"/>
      <c r="Z3" s="4"/>
      <c r="AA3" s="4"/>
      <c r="AB3" s="4"/>
      <c r="AC3" s="4"/>
      <c r="AD3" s="4"/>
      <c r="AE3" s="4"/>
      <c r="AF3" s="4"/>
      <c r="AG3" s="4"/>
      <c r="AH3" s="4"/>
      <c r="AI3" s="4"/>
      <c r="AJ3" s="4"/>
      <c r="AK3" s="4"/>
      <c r="AL3" s="4"/>
      <c r="AM3" s="4"/>
      <c r="AN3" s="4"/>
    </row>
    <row r="4" spans="1:40" ht="38.25" x14ac:dyDescent="0.2">
      <c r="A4" s="16"/>
      <c r="B4" s="62" t="s">
        <v>77</v>
      </c>
      <c r="C4" s="63" t="s">
        <v>78</v>
      </c>
      <c r="D4" s="66" t="s">
        <v>79</v>
      </c>
      <c r="E4" s="63" t="s">
        <v>112</v>
      </c>
      <c r="F4" s="64" t="s">
        <v>81</v>
      </c>
      <c r="G4" s="65" t="s">
        <v>113</v>
      </c>
      <c r="H4" s="65" t="s">
        <v>114</v>
      </c>
      <c r="I4" s="65" t="s">
        <v>86</v>
      </c>
      <c r="J4" s="65" t="s">
        <v>87</v>
      </c>
      <c r="K4" s="64" t="s">
        <v>88</v>
      </c>
      <c r="L4" s="64" t="s">
        <v>89</v>
      </c>
      <c r="M4" s="64" t="s">
        <v>90</v>
      </c>
      <c r="N4" s="64" t="s">
        <v>91</v>
      </c>
      <c r="O4" s="64" t="s">
        <v>92</v>
      </c>
      <c r="P4" s="64" t="s">
        <v>93</v>
      </c>
      <c r="Q4" s="64" t="s">
        <v>94</v>
      </c>
      <c r="R4" s="64" t="s">
        <v>95</v>
      </c>
      <c r="S4" s="112" t="s">
        <v>115</v>
      </c>
      <c r="T4" s="16"/>
      <c r="U4" s="16"/>
      <c r="V4" s="16"/>
      <c r="W4" s="16"/>
      <c r="X4" s="16"/>
      <c r="Y4" s="16"/>
      <c r="Z4" s="16"/>
      <c r="AA4" s="16"/>
      <c r="AB4" s="16"/>
      <c r="AC4" s="16"/>
      <c r="AD4" s="16"/>
      <c r="AE4" s="16"/>
      <c r="AF4" s="16"/>
      <c r="AG4" s="16"/>
      <c r="AH4" s="16"/>
      <c r="AI4" s="16"/>
      <c r="AJ4" s="16"/>
      <c r="AK4" s="16"/>
      <c r="AL4" s="16"/>
      <c r="AM4" s="16"/>
      <c r="AN4" s="16"/>
    </row>
    <row r="5" spans="1:40" x14ac:dyDescent="0.2">
      <c r="A5" s="3"/>
      <c r="B5" s="71">
        <v>1</v>
      </c>
      <c r="C5" s="69" t="str">
        <f>IFERROR(INDEX(Table_WinFilm_Savings[Measure No], MATCH(Table_Controls_Input23[[#This Row],[Measure Lookup Detail]], Table_WinFilm_Savings[Lookup Detail], 0)), "")</f>
        <v/>
      </c>
      <c r="D5" s="61"/>
      <c r="E5" s="60"/>
      <c r="F5" s="69" t="str">
        <f>IFERROR(INDEX(Table_Prescript_Meas[Units], MATCH(Table_Controls_Input23[[#This Row],[Measure Number]], Table_Prescript_Meas[Measure Number], 0)), "")</f>
        <v/>
      </c>
      <c r="G5" s="49"/>
      <c r="H5" s="272"/>
      <c r="I5" s="155"/>
      <c r="J5" s="155"/>
      <c r="K5"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5" s="72" t="str">
        <f>IFERROR(Table_Controls_Input23[[#This Row],[Number of Units (Sq.Ft.)]]*Table_Controls_Input23[[#This Row],[Per-Unit Incentive]], "")</f>
        <v/>
      </c>
      <c r="M5" s="73" t="str">
        <f>IFERROR(Table_Controls_Input23[[#This Row],[Number of Units (Sq.Ft.)]]*INDEX(Table_WinFilm_Savings[Deemed kWh Savings], MATCH(Table_Controls_Input23[[#This Row],[Measure Lookup Detail]], Table_WinFilm_Savings[Lookup Detail], 0)),"" )</f>
        <v/>
      </c>
      <c r="N5" s="79" t="str">
        <f>IFERROR(Table_Controls_Input23[[#This Row],[Number of Units (Sq.Ft.)]]*INDEX(Table_WinFilm_Savings[Deemed kW Savings], MATCH(Table_Controls_Input23[[#This Row],[Measure Lookup Detail]], Table_WinFilm_Savings[Lookup Detail], 0)),"" )</f>
        <v/>
      </c>
      <c r="O5" s="72" t="str">
        <f t="shared" ref="O5:O34" si="0">IFERROR(M5*Input_AvgkWhRate, "")</f>
        <v/>
      </c>
      <c r="P5" s="72" t="str">
        <f>IF(Table_Controls_Input23[[#This Row],[Measure Number]]="", "", Table_Controls_Input23[[#This Row],[Total Equipment Cost]]+Table_Controls_Input23[[#This Row],[Total Labor Cost]])</f>
        <v/>
      </c>
      <c r="Q5" s="72" t="str">
        <f>IFERROR(Table_Controls_Input23[[#This Row],[Gross Measure Cost]]-Table_Controls_Input23[[#This Row],[Estimated Incentive]], "")</f>
        <v/>
      </c>
      <c r="R5" s="73" t="str">
        <f t="shared" ref="R5:R34" si="1">IFERROR($Q5/$O5,"")</f>
        <v/>
      </c>
      <c r="S5" s="113" t="str">
        <f>_xlfn.CONCAT(Table_Controls_Input23[[#This Row],[Window Film Measure]], Table_Controls_Input23[[#This Row],[Window Direction]])</f>
        <v/>
      </c>
      <c r="T5" s="3"/>
      <c r="U5" s="3"/>
      <c r="V5" s="3"/>
      <c r="W5" s="3"/>
      <c r="X5" s="3"/>
      <c r="Y5" s="3"/>
      <c r="Z5" s="3"/>
      <c r="AA5" s="3"/>
      <c r="AB5" s="3"/>
      <c r="AC5" s="3"/>
      <c r="AD5" s="3"/>
      <c r="AE5" s="3"/>
      <c r="AF5" s="3"/>
      <c r="AG5" s="3"/>
      <c r="AH5" s="3"/>
      <c r="AI5" s="3"/>
      <c r="AJ5" s="3"/>
      <c r="AK5" s="3"/>
      <c r="AL5" s="3"/>
      <c r="AM5" s="3"/>
      <c r="AN5" s="3"/>
    </row>
    <row r="6" spans="1:40" x14ac:dyDescent="0.2">
      <c r="A6" s="3"/>
      <c r="B6" s="71">
        <v>2</v>
      </c>
      <c r="C6" s="69" t="str">
        <f>IFERROR(INDEX(Table_WinFilm_Savings[Measure No], MATCH(Table_Controls_Input23[[#This Row],[Measure Lookup Detail]], Table_WinFilm_Savings[Lookup Detail], 0)), "")</f>
        <v/>
      </c>
      <c r="D6" s="61"/>
      <c r="E6" s="60"/>
      <c r="F6" s="69" t="str">
        <f>IFERROR(INDEX(Table_Prescript_Meas[Units], MATCH(Table_Controls_Input23[[#This Row],[Measure Number]], Table_Prescript_Meas[Measure Number], 0)), "")</f>
        <v/>
      </c>
      <c r="G6" s="49"/>
      <c r="H6" s="272"/>
      <c r="I6" s="155"/>
      <c r="J6" s="155"/>
      <c r="K6"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6" s="72" t="str">
        <f>IFERROR(Table_Controls_Input23[[#This Row],[Number of Units (Sq.Ft.)]]*Table_Controls_Input23[[#This Row],[Per-Unit Incentive]], "")</f>
        <v/>
      </c>
      <c r="M6" s="73" t="str">
        <f>IFERROR(Table_Controls_Input23[[#This Row],[Number of Units (Sq.Ft.)]]*INDEX(Table_WinFilm_Savings[Deemed kWh Savings], MATCH(Table_Controls_Input23[[#This Row],[Measure Lookup Detail]], Table_WinFilm_Savings[Lookup Detail], 0)),"" )</f>
        <v/>
      </c>
      <c r="N6" s="79" t="str">
        <f>IFERROR(Table_Controls_Input23[[#This Row],[Number of Units (Sq.Ft.)]]*INDEX(Table_WinFilm_Savings[Deemed kW Savings], MATCH(Table_Controls_Input23[[#This Row],[Measure Lookup Detail]], Table_WinFilm_Savings[Lookup Detail], 0)),"" )</f>
        <v/>
      </c>
      <c r="O6" s="72" t="str">
        <f t="shared" si="0"/>
        <v/>
      </c>
      <c r="P6" s="72" t="str">
        <f>IF(Table_Controls_Input23[[#This Row],[Measure Number]]="", "", Table_Controls_Input23[[#This Row],[Total Equipment Cost]]+Table_Controls_Input23[[#This Row],[Total Labor Cost]])</f>
        <v/>
      </c>
      <c r="Q6" s="72" t="str">
        <f>IFERROR(Table_Controls_Input23[[#This Row],[Gross Measure Cost]]-Table_Controls_Input23[[#This Row],[Estimated Incentive]], "")</f>
        <v/>
      </c>
      <c r="R6" s="73" t="str">
        <f t="shared" si="1"/>
        <v/>
      </c>
      <c r="S6" s="113" t="str">
        <f>_xlfn.CONCAT(Table_Controls_Input23[[#This Row],[Window Film Measure]], Table_Controls_Input23[[#This Row],[Window Direction]])</f>
        <v/>
      </c>
      <c r="T6" s="3"/>
      <c r="U6" s="3"/>
      <c r="V6" s="3"/>
      <c r="W6" s="3"/>
      <c r="X6" s="3"/>
      <c r="Y6" s="3"/>
      <c r="Z6" s="3"/>
      <c r="AA6" s="3"/>
      <c r="AB6" s="3"/>
      <c r="AC6" s="3"/>
      <c r="AD6" s="3"/>
      <c r="AE6" s="3"/>
      <c r="AF6" s="3"/>
      <c r="AG6" s="3"/>
      <c r="AH6" s="3"/>
      <c r="AI6" s="3"/>
      <c r="AJ6" s="3"/>
      <c r="AK6" s="3"/>
      <c r="AL6" s="3"/>
      <c r="AM6" s="3"/>
      <c r="AN6" s="3"/>
    </row>
    <row r="7" spans="1:40" x14ac:dyDescent="0.2">
      <c r="A7" s="3"/>
      <c r="B7" s="71">
        <v>3</v>
      </c>
      <c r="C7" s="69" t="str">
        <f>IFERROR(INDEX(Table_WinFilm_Savings[Measure No], MATCH(Table_Controls_Input23[[#This Row],[Measure Lookup Detail]], Table_WinFilm_Savings[Lookup Detail], 0)), "")</f>
        <v/>
      </c>
      <c r="D7" s="61"/>
      <c r="E7" s="60"/>
      <c r="F7" s="69" t="str">
        <f>IFERROR(INDEX(Table_Prescript_Meas[Units], MATCH(Table_Controls_Input23[[#This Row],[Measure Number]], Table_Prescript_Meas[Measure Number], 0)), "")</f>
        <v/>
      </c>
      <c r="G7" s="49"/>
      <c r="H7" s="272"/>
      <c r="I7" s="155"/>
      <c r="J7" s="155"/>
      <c r="K7"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7" s="72" t="str">
        <f>IFERROR(Table_Controls_Input23[[#This Row],[Number of Units (Sq.Ft.)]]*Table_Controls_Input23[[#This Row],[Per-Unit Incentive]], "")</f>
        <v/>
      </c>
      <c r="M7" s="73" t="str">
        <f>IFERROR(Table_Controls_Input23[[#This Row],[Number of Units (Sq.Ft.)]]*INDEX(Table_WinFilm_Savings[Deemed kWh Savings], MATCH(Table_Controls_Input23[[#This Row],[Measure Lookup Detail]], Table_WinFilm_Savings[Lookup Detail], 0)),"" )</f>
        <v/>
      </c>
      <c r="N7" s="79" t="str">
        <f>IFERROR(Table_Controls_Input23[[#This Row],[Number of Units (Sq.Ft.)]]*INDEX(Table_WinFilm_Savings[Deemed kW Savings], MATCH(Table_Controls_Input23[[#This Row],[Measure Lookup Detail]], Table_WinFilm_Savings[Lookup Detail], 0)),"" )</f>
        <v/>
      </c>
      <c r="O7" s="72" t="str">
        <f t="shared" si="0"/>
        <v/>
      </c>
      <c r="P7" s="72" t="str">
        <f>IF(Table_Controls_Input23[[#This Row],[Measure Number]]="", "", Table_Controls_Input23[[#This Row],[Total Equipment Cost]]+Table_Controls_Input23[[#This Row],[Total Labor Cost]])</f>
        <v/>
      </c>
      <c r="Q7" s="72" t="str">
        <f>IFERROR(Table_Controls_Input23[[#This Row],[Gross Measure Cost]]-Table_Controls_Input23[[#This Row],[Estimated Incentive]], "")</f>
        <v/>
      </c>
      <c r="R7" s="73" t="str">
        <f t="shared" si="1"/>
        <v/>
      </c>
      <c r="S7" s="113" t="str">
        <f>_xlfn.CONCAT(Table_Controls_Input23[[#This Row],[Window Film Measure]], Table_Controls_Input23[[#This Row],[Window Direction]])</f>
        <v/>
      </c>
      <c r="T7" s="3"/>
      <c r="U7" s="3"/>
      <c r="V7" s="3"/>
      <c r="W7" s="3"/>
      <c r="X7" s="3"/>
      <c r="Y7" s="3"/>
      <c r="Z7" s="3"/>
      <c r="AA7" s="3"/>
      <c r="AB7" s="3"/>
      <c r="AC7" s="3"/>
      <c r="AD7" s="3"/>
      <c r="AE7" s="3"/>
      <c r="AF7" s="3"/>
      <c r="AG7" s="3"/>
      <c r="AH7" s="3"/>
      <c r="AI7" s="3"/>
      <c r="AJ7" s="3"/>
      <c r="AK7" s="3"/>
      <c r="AL7" s="3"/>
      <c r="AM7" s="3"/>
      <c r="AN7" s="3"/>
    </row>
    <row r="8" spans="1:40" x14ac:dyDescent="0.2">
      <c r="A8" s="3"/>
      <c r="B8" s="71">
        <v>4</v>
      </c>
      <c r="C8" s="69" t="str">
        <f>IFERROR(INDEX(Table_WinFilm_Savings[Measure No], MATCH(Table_Controls_Input23[[#This Row],[Measure Lookup Detail]], Table_WinFilm_Savings[Lookup Detail], 0)), "")</f>
        <v/>
      </c>
      <c r="D8" s="61"/>
      <c r="E8" s="60"/>
      <c r="F8" s="69" t="str">
        <f>IFERROR(INDEX(Table_Prescript_Meas[Units], MATCH(Table_Controls_Input23[[#This Row],[Measure Number]], Table_Prescript_Meas[Measure Number], 0)), "")</f>
        <v/>
      </c>
      <c r="G8" s="49"/>
      <c r="H8" s="272"/>
      <c r="I8" s="155"/>
      <c r="J8" s="155"/>
      <c r="K8"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8" s="72" t="str">
        <f>IFERROR(Table_Controls_Input23[[#This Row],[Number of Units (Sq.Ft.)]]*Table_Controls_Input23[[#This Row],[Per-Unit Incentive]], "")</f>
        <v/>
      </c>
      <c r="M8" s="73" t="str">
        <f>IFERROR(Table_Controls_Input23[[#This Row],[Number of Units (Sq.Ft.)]]*INDEX(Table_WinFilm_Savings[Deemed kWh Savings], MATCH(Table_Controls_Input23[[#This Row],[Measure Lookup Detail]], Table_WinFilm_Savings[Lookup Detail], 0)),"" )</f>
        <v/>
      </c>
      <c r="N8" s="79" t="str">
        <f>IFERROR(Table_Controls_Input23[[#This Row],[Number of Units (Sq.Ft.)]]*INDEX(Table_WinFilm_Savings[Deemed kW Savings], MATCH(Table_Controls_Input23[[#This Row],[Measure Lookup Detail]], Table_WinFilm_Savings[Lookup Detail], 0)),"" )</f>
        <v/>
      </c>
      <c r="O8" s="72" t="str">
        <f t="shared" si="0"/>
        <v/>
      </c>
      <c r="P8" s="72" t="str">
        <f>IF(Table_Controls_Input23[[#This Row],[Measure Number]]="", "", Table_Controls_Input23[[#This Row],[Total Equipment Cost]]+Table_Controls_Input23[[#This Row],[Total Labor Cost]])</f>
        <v/>
      </c>
      <c r="Q8" s="72" t="str">
        <f>IFERROR(Table_Controls_Input23[[#This Row],[Gross Measure Cost]]-Table_Controls_Input23[[#This Row],[Estimated Incentive]], "")</f>
        <v/>
      </c>
      <c r="R8" s="73" t="str">
        <f t="shared" si="1"/>
        <v/>
      </c>
      <c r="S8" s="113" t="str">
        <f>_xlfn.CONCAT(Table_Controls_Input23[[#This Row],[Window Film Measure]], Table_Controls_Input23[[#This Row],[Window Direction]])</f>
        <v/>
      </c>
      <c r="T8" s="3"/>
      <c r="U8" s="3"/>
      <c r="V8" s="3"/>
      <c r="W8" s="3"/>
      <c r="X8" s="3"/>
      <c r="Y8" s="3"/>
      <c r="Z8" s="3"/>
      <c r="AA8" s="3"/>
      <c r="AB8" s="3"/>
      <c r="AC8" s="3"/>
      <c r="AD8" s="3"/>
      <c r="AE8" s="3"/>
      <c r="AF8" s="3"/>
      <c r="AG8" s="3"/>
      <c r="AH8" s="3"/>
      <c r="AI8" s="3"/>
      <c r="AJ8" s="3"/>
      <c r="AK8" s="3"/>
      <c r="AL8" s="3"/>
      <c r="AM8" s="3"/>
      <c r="AN8" s="3"/>
    </row>
    <row r="9" spans="1:40" x14ac:dyDescent="0.2">
      <c r="A9" s="3"/>
      <c r="B9" s="71">
        <v>5</v>
      </c>
      <c r="C9" s="69" t="str">
        <f>IFERROR(INDEX(Table_WinFilm_Savings[Measure No], MATCH(Table_Controls_Input23[[#This Row],[Measure Lookup Detail]], Table_WinFilm_Savings[Lookup Detail], 0)), "")</f>
        <v/>
      </c>
      <c r="D9" s="61"/>
      <c r="E9" s="60"/>
      <c r="F9" s="69" t="str">
        <f>IFERROR(INDEX(Table_Prescript_Meas[Units], MATCH(Table_Controls_Input23[[#This Row],[Measure Number]], Table_Prescript_Meas[Measure Number], 0)), "")</f>
        <v/>
      </c>
      <c r="G9" s="49"/>
      <c r="H9" s="272"/>
      <c r="I9" s="155"/>
      <c r="J9" s="155"/>
      <c r="K9"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9" s="72" t="str">
        <f>IFERROR(Table_Controls_Input23[[#This Row],[Number of Units (Sq.Ft.)]]*Table_Controls_Input23[[#This Row],[Per-Unit Incentive]], "")</f>
        <v/>
      </c>
      <c r="M9" s="73" t="str">
        <f>IFERROR(Table_Controls_Input23[[#This Row],[Number of Units (Sq.Ft.)]]*INDEX(Table_WinFilm_Savings[Deemed kWh Savings], MATCH(Table_Controls_Input23[[#This Row],[Measure Lookup Detail]], Table_WinFilm_Savings[Lookup Detail], 0)),"" )</f>
        <v/>
      </c>
      <c r="N9" s="79" t="str">
        <f>IFERROR(Table_Controls_Input23[[#This Row],[Number of Units (Sq.Ft.)]]*INDEX(Table_WinFilm_Savings[Deemed kW Savings], MATCH(Table_Controls_Input23[[#This Row],[Measure Lookup Detail]], Table_WinFilm_Savings[Lookup Detail], 0)),"" )</f>
        <v/>
      </c>
      <c r="O9" s="72" t="str">
        <f t="shared" si="0"/>
        <v/>
      </c>
      <c r="P9" s="72" t="str">
        <f>IF(Table_Controls_Input23[[#This Row],[Measure Number]]="", "", Table_Controls_Input23[[#This Row],[Total Equipment Cost]]+Table_Controls_Input23[[#This Row],[Total Labor Cost]])</f>
        <v/>
      </c>
      <c r="Q9" s="72" t="str">
        <f>IFERROR(Table_Controls_Input23[[#This Row],[Gross Measure Cost]]-Table_Controls_Input23[[#This Row],[Estimated Incentive]], "")</f>
        <v/>
      </c>
      <c r="R9" s="73" t="str">
        <f t="shared" si="1"/>
        <v/>
      </c>
      <c r="S9" s="113" t="str">
        <f>_xlfn.CONCAT(Table_Controls_Input23[[#This Row],[Window Film Measure]], Table_Controls_Input23[[#This Row],[Window Direction]])</f>
        <v/>
      </c>
      <c r="T9" s="3"/>
      <c r="U9" s="3"/>
      <c r="V9" s="3"/>
      <c r="W9" s="3"/>
      <c r="X9" s="3"/>
      <c r="Y9" s="3"/>
      <c r="Z9" s="3"/>
      <c r="AA9" s="3"/>
      <c r="AB9" s="3"/>
      <c r="AC9" s="3"/>
      <c r="AD9" s="3"/>
      <c r="AE9" s="3"/>
      <c r="AF9" s="3"/>
      <c r="AG9" s="3"/>
      <c r="AH9" s="3"/>
      <c r="AI9" s="3"/>
      <c r="AJ9" s="3"/>
      <c r="AK9" s="3"/>
      <c r="AL9" s="3"/>
      <c r="AM9" s="3"/>
      <c r="AN9" s="3"/>
    </row>
    <row r="10" spans="1:40" x14ac:dyDescent="0.2">
      <c r="A10" s="3"/>
      <c r="B10" s="71">
        <v>6</v>
      </c>
      <c r="C10" s="69" t="str">
        <f>IFERROR(INDEX(Table_WinFilm_Savings[Measure No], MATCH(Table_Controls_Input23[[#This Row],[Measure Lookup Detail]], Table_WinFilm_Savings[Lookup Detail], 0)), "")</f>
        <v/>
      </c>
      <c r="D10" s="61"/>
      <c r="E10" s="60"/>
      <c r="F10" s="69" t="str">
        <f>IFERROR(INDEX(Table_Prescript_Meas[Units], MATCH(Table_Controls_Input23[[#This Row],[Measure Number]], Table_Prescript_Meas[Measure Number], 0)), "")</f>
        <v/>
      </c>
      <c r="G10" s="49"/>
      <c r="H10" s="272"/>
      <c r="I10" s="155"/>
      <c r="J10" s="155"/>
      <c r="K10"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0" s="72" t="str">
        <f>IFERROR(Table_Controls_Input23[[#This Row],[Number of Units (Sq.Ft.)]]*Table_Controls_Input23[[#This Row],[Per-Unit Incentive]], "")</f>
        <v/>
      </c>
      <c r="M10" s="73" t="str">
        <f>IFERROR(Table_Controls_Input23[[#This Row],[Number of Units (Sq.Ft.)]]*INDEX(Table_WinFilm_Savings[Deemed kWh Savings], MATCH(Table_Controls_Input23[[#This Row],[Measure Lookup Detail]], Table_WinFilm_Savings[Lookup Detail], 0)),"" )</f>
        <v/>
      </c>
      <c r="N10" s="79" t="str">
        <f>IFERROR(Table_Controls_Input23[[#This Row],[Number of Units (Sq.Ft.)]]*INDEX(Table_WinFilm_Savings[Deemed kW Savings], MATCH(Table_Controls_Input23[[#This Row],[Measure Lookup Detail]], Table_WinFilm_Savings[Lookup Detail], 0)),"" )</f>
        <v/>
      </c>
      <c r="O10" s="72" t="str">
        <f t="shared" si="0"/>
        <v/>
      </c>
      <c r="P10" s="72" t="str">
        <f>IF(Table_Controls_Input23[[#This Row],[Measure Number]]="", "", Table_Controls_Input23[[#This Row],[Total Equipment Cost]]+Table_Controls_Input23[[#This Row],[Total Labor Cost]])</f>
        <v/>
      </c>
      <c r="Q10" s="72" t="str">
        <f>IFERROR(Table_Controls_Input23[[#This Row],[Gross Measure Cost]]-Table_Controls_Input23[[#This Row],[Estimated Incentive]], "")</f>
        <v/>
      </c>
      <c r="R10" s="73" t="str">
        <f t="shared" si="1"/>
        <v/>
      </c>
      <c r="S10" s="113" t="str">
        <f>_xlfn.CONCAT(Table_Controls_Input23[[#This Row],[Window Film Measure]], Table_Controls_Input23[[#This Row],[Window Direction]])</f>
        <v/>
      </c>
      <c r="T10" s="3"/>
      <c r="U10" s="3"/>
      <c r="V10" s="3"/>
      <c r="W10" s="3"/>
      <c r="X10" s="3"/>
      <c r="Y10" s="3"/>
      <c r="Z10" s="3"/>
      <c r="AA10" s="3"/>
      <c r="AB10" s="3"/>
      <c r="AC10" s="3"/>
      <c r="AD10" s="3"/>
      <c r="AE10" s="3"/>
      <c r="AF10" s="3"/>
      <c r="AG10" s="3"/>
      <c r="AH10" s="3"/>
      <c r="AI10" s="3"/>
      <c r="AJ10" s="3"/>
      <c r="AK10" s="3"/>
      <c r="AL10" s="3"/>
      <c r="AM10" s="3"/>
      <c r="AN10" s="3"/>
    </row>
    <row r="11" spans="1:40" x14ac:dyDescent="0.2">
      <c r="A11" s="3"/>
      <c r="B11" s="71">
        <v>7</v>
      </c>
      <c r="C11" s="69" t="str">
        <f>IFERROR(INDEX(Table_WinFilm_Savings[Measure No], MATCH(Table_Controls_Input23[[#This Row],[Measure Lookup Detail]], Table_WinFilm_Savings[Lookup Detail], 0)), "")</f>
        <v/>
      </c>
      <c r="D11" s="61"/>
      <c r="E11" s="60"/>
      <c r="F11" s="69" t="str">
        <f>IFERROR(INDEX(Table_Prescript_Meas[Units], MATCH(Table_Controls_Input23[[#This Row],[Measure Number]], Table_Prescript_Meas[Measure Number], 0)), "")</f>
        <v/>
      </c>
      <c r="G11" s="49"/>
      <c r="H11" s="272"/>
      <c r="I11" s="155"/>
      <c r="J11" s="155"/>
      <c r="K11"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1" s="72" t="str">
        <f>IFERROR(Table_Controls_Input23[[#This Row],[Number of Units (Sq.Ft.)]]*Table_Controls_Input23[[#This Row],[Per-Unit Incentive]], "")</f>
        <v/>
      </c>
      <c r="M11" s="73" t="str">
        <f>IFERROR(Table_Controls_Input23[[#This Row],[Number of Units (Sq.Ft.)]]*INDEX(Table_WinFilm_Savings[Deemed kWh Savings], MATCH(Table_Controls_Input23[[#This Row],[Measure Lookup Detail]], Table_WinFilm_Savings[Lookup Detail], 0)),"" )</f>
        <v/>
      </c>
      <c r="N11" s="79" t="str">
        <f>IFERROR(Table_Controls_Input23[[#This Row],[Number of Units (Sq.Ft.)]]*INDEX(Table_WinFilm_Savings[Deemed kW Savings], MATCH(Table_Controls_Input23[[#This Row],[Measure Lookup Detail]], Table_WinFilm_Savings[Lookup Detail], 0)),"" )</f>
        <v/>
      </c>
      <c r="O11" s="72" t="str">
        <f t="shared" si="0"/>
        <v/>
      </c>
      <c r="P11" s="72" t="str">
        <f>IF(Table_Controls_Input23[[#This Row],[Measure Number]]="", "", Table_Controls_Input23[[#This Row],[Total Equipment Cost]]+Table_Controls_Input23[[#This Row],[Total Labor Cost]])</f>
        <v/>
      </c>
      <c r="Q11" s="72" t="str">
        <f>IFERROR(Table_Controls_Input23[[#This Row],[Gross Measure Cost]]-Table_Controls_Input23[[#This Row],[Estimated Incentive]], "")</f>
        <v/>
      </c>
      <c r="R11" s="73" t="str">
        <f t="shared" si="1"/>
        <v/>
      </c>
      <c r="S11" s="113" t="str">
        <f>_xlfn.CONCAT(Table_Controls_Input23[[#This Row],[Window Film Measure]], Table_Controls_Input23[[#This Row],[Window Direction]])</f>
        <v/>
      </c>
      <c r="T11" s="3"/>
      <c r="U11" s="3"/>
      <c r="V11" s="3"/>
      <c r="W11" s="3"/>
      <c r="X11" s="3"/>
      <c r="Y11" s="3"/>
      <c r="Z11" s="3"/>
      <c r="AA11" s="3"/>
      <c r="AB11" s="3"/>
      <c r="AC11" s="3"/>
      <c r="AD11" s="3"/>
      <c r="AE11" s="3"/>
      <c r="AF11" s="3"/>
      <c r="AG11" s="3"/>
      <c r="AH11" s="3"/>
      <c r="AI11" s="3"/>
      <c r="AJ11" s="3"/>
      <c r="AK11" s="3"/>
      <c r="AL11" s="3"/>
      <c r="AM11" s="3"/>
      <c r="AN11" s="3"/>
    </row>
    <row r="12" spans="1:40" x14ac:dyDescent="0.2">
      <c r="A12" s="3"/>
      <c r="B12" s="71">
        <v>8</v>
      </c>
      <c r="C12" s="69" t="str">
        <f>IFERROR(INDEX(Table_WinFilm_Savings[Measure No], MATCH(Table_Controls_Input23[[#This Row],[Measure Lookup Detail]], Table_WinFilm_Savings[Lookup Detail], 0)), "")</f>
        <v/>
      </c>
      <c r="D12" s="61"/>
      <c r="E12" s="60"/>
      <c r="F12" s="69" t="str">
        <f>IFERROR(INDEX(Table_Prescript_Meas[Units], MATCH(Table_Controls_Input23[[#This Row],[Measure Number]], Table_Prescript_Meas[Measure Number], 0)), "")</f>
        <v/>
      </c>
      <c r="G12" s="49"/>
      <c r="H12" s="272"/>
      <c r="I12" s="155"/>
      <c r="J12" s="155"/>
      <c r="K12"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2" s="72" t="str">
        <f>IFERROR(Table_Controls_Input23[[#This Row],[Number of Units (Sq.Ft.)]]*Table_Controls_Input23[[#This Row],[Per-Unit Incentive]], "")</f>
        <v/>
      </c>
      <c r="M12" s="73" t="str">
        <f>IFERROR(Table_Controls_Input23[[#This Row],[Number of Units (Sq.Ft.)]]*INDEX(Table_WinFilm_Savings[Deemed kWh Savings], MATCH(Table_Controls_Input23[[#This Row],[Measure Lookup Detail]], Table_WinFilm_Savings[Lookup Detail], 0)),"" )</f>
        <v/>
      </c>
      <c r="N12" s="79" t="str">
        <f>IFERROR(Table_Controls_Input23[[#This Row],[Number of Units (Sq.Ft.)]]*INDEX(Table_WinFilm_Savings[Deemed kW Savings], MATCH(Table_Controls_Input23[[#This Row],[Measure Lookup Detail]], Table_WinFilm_Savings[Lookup Detail], 0)),"" )</f>
        <v/>
      </c>
      <c r="O12" s="72" t="str">
        <f t="shared" si="0"/>
        <v/>
      </c>
      <c r="P12" s="72" t="str">
        <f>IF(Table_Controls_Input23[[#This Row],[Measure Number]]="", "", Table_Controls_Input23[[#This Row],[Total Equipment Cost]]+Table_Controls_Input23[[#This Row],[Total Labor Cost]])</f>
        <v/>
      </c>
      <c r="Q12" s="72" t="str">
        <f>IFERROR(Table_Controls_Input23[[#This Row],[Gross Measure Cost]]-Table_Controls_Input23[[#This Row],[Estimated Incentive]], "")</f>
        <v/>
      </c>
      <c r="R12" s="73" t="str">
        <f t="shared" si="1"/>
        <v/>
      </c>
      <c r="S12" s="113" t="str">
        <f>_xlfn.CONCAT(Table_Controls_Input23[[#This Row],[Window Film Measure]], Table_Controls_Input23[[#This Row],[Window Direction]])</f>
        <v/>
      </c>
      <c r="T12" s="3"/>
      <c r="U12" s="3"/>
      <c r="V12" s="3"/>
      <c r="W12" s="3"/>
      <c r="X12" s="3"/>
      <c r="Y12" s="3"/>
      <c r="Z12" s="3"/>
      <c r="AA12" s="3"/>
      <c r="AB12" s="3"/>
      <c r="AC12" s="3"/>
      <c r="AD12" s="3"/>
      <c r="AE12" s="3"/>
      <c r="AF12" s="3"/>
      <c r="AG12" s="3"/>
      <c r="AH12" s="3"/>
      <c r="AI12" s="3"/>
      <c r="AJ12" s="3"/>
      <c r="AK12" s="3"/>
      <c r="AL12" s="3"/>
      <c r="AM12" s="3"/>
      <c r="AN12" s="3"/>
    </row>
    <row r="13" spans="1:40" x14ac:dyDescent="0.2">
      <c r="A13" s="3"/>
      <c r="B13" s="71">
        <v>9</v>
      </c>
      <c r="C13" s="69" t="str">
        <f>IFERROR(INDEX(Table_WinFilm_Savings[Measure No], MATCH(Table_Controls_Input23[[#This Row],[Measure Lookup Detail]], Table_WinFilm_Savings[Lookup Detail], 0)), "")</f>
        <v/>
      </c>
      <c r="D13" s="61"/>
      <c r="E13" s="60"/>
      <c r="F13" s="69" t="str">
        <f>IFERROR(INDEX(Table_Prescript_Meas[Units], MATCH(Table_Controls_Input23[[#This Row],[Measure Number]], Table_Prescript_Meas[Measure Number], 0)), "")</f>
        <v/>
      </c>
      <c r="G13" s="49"/>
      <c r="H13" s="272"/>
      <c r="I13" s="155"/>
      <c r="J13" s="155"/>
      <c r="K13"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3" s="72" t="str">
        <f>IFERROR(Table_Controls_Input23[[#This Row],[Number of Units (Sq.Ft.)]]*Table_Controls_Input23[[#This Row],[Per-Unit Incentive]], "")</f>
        <v/>
      </c>
      <c r="M13" s="73" t="str">
        <f>IFERROR(Table_Controls_Input23[[#This Row],[Number of Units (Sq.Ft.)]]*INDEX(Table_WinFilm_Savings[Deemed kWh Savings], MATCH(Table_Controls_Input23[[#This Row],[Measure Lookup Detail]], Table_WinFilm_Savings[Lookup Detail], 0)),"" )</f>
        <v/>
      </c>
      <c r="N13" s="79" t="str">
        <f>IFERROR(Table_Controls_Input23[[#This Row],[Number of Units (Sq.Ft.)]]*INDEX(Table_WinFilm_Savings[Deemed kW Savings], MATCH(Table_Controls_Input23[[#This Row],[Measure Lookup Detail]], Table_WinFilm_Savings[Lookup Detail], 0)),"" )</f>
        <v/>
      </c>
      <c r="O13" s="72" t="str">
        <f t="shared" si="0"/>
        <v/>
      </c>
      <c r="P13" s="72" t="str">
        <f>IF(Table_Controls_Input23[[#This Row],[Measure Number]]="", "", Table_Controls_Input23[[#This Row],[Total Equipment Cost]]+Table_Controls_Input23[[#This Row],[Total Labor Cost]])</f>
        <v/>
      </c>
      <c r="Q13" s="72" t="str">
        <f>IFERROR(Table_Controls_Input23[[#This Row],[Gross Measure Cost]]-Table_Controls_Input23[[#This Row],[Estimated Incentive]], "")</f>
        <v/>
      </c>
      <c r="R13" s="73" t="str">
        <f t="shared" si="1"/>
        <v/>
      </c>
      <c r="S13" s="113" t="str">
        <f>_xlfn.CONCAT(Table_Controls_Input23[[#This Row],[Window Film Measure]], Table_Controls_Input23[[#This Row],[Window Direction]])</f>
        <v/>
      </c>
      <c r="T13" s="3"/>
      <c r="U13" s="3"/>
      <c r="V13" s="3"/>
      <c r="W13" s="3"/>
      <c r="X13" s="3"/>
      <c r="Y13" s="3"/>
      <c r="Z13" s="3"/>
      <c r="AA13" s="3"/>
      <c r="AB13" s="3"/>
      <c r="AC13" s="3"/>
      <c r="AD13" s="3"/>
      <c r="AE13" s="3"/>
      <c r="AF13" s="3"/>
      <c r="AG13" s="3"/>
      <c r="AH13" s="3"/>
      <c r="AI13" s="3"/>
      <c r="AJ13" s="3"/>
      <c r="AK13" s="3"/>
      <c r="AL13" s="3"/>
      <c r="AM13" s="3"/>
      <c r="AN13" s="3"/>
    </row>
    <row r="14" spans="1:40" x14ac:dyDescent="0.2">
      <c r="A14" s="3"/>
      <c r="B14" s="71">
        <v>10</v>
      </c>
      <c r="C14" s="69" t="str">
        <f>IFERROR(INDEX(Table_WinFilm_Savings[Measure No], MATCH(Table_Controls_Input23[[#This Row],[Measure Lookup Detail]], Table_WinFilm_Savings[Lookup Detail], 0)), "")</f>
        <v/>
      </c>
      <c r="D14" s="61"/>
      <c r="E14" s="60"/>
      <c r="F14" s="69" t="str">
        <f>IFERROR(INDEX(Table_Prescript_Meas[Units], MATCH(Table_Controls_Input23[[#This Row],[Measure Number]], Table_Prescript_Meas[Measure Number], 0)), "")</f>
        <v/>
      </c>
      <c r="G14" s="49"/>
      <c r="H14" s="272"/>
      <c r="I14" s="155"/>
      <c r="J14" s="155"/>
      <c r="K14"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4" s="72" t="str">
        <f>IFERROR(Table_Controls_Input23[[#This Row],[Number of Units (Sq.Ft.)]]*Table_Controls_Input23[[#This Row],[Per-Unit Incentive]], "")</f>
        <v/>
      </c>
      <c r="M14" s="73" t="str">
        <f>IFERROR(Table_Controls_Input23[[#This Row],[Number of Units (Sq.Ft.)]]*INDEX(Table_WinFilm_Savings[Deemed kWh Savings], MATCH(Table_Controls_Input23[[#This Row],[Measure Lookup Detail]], Table_WinFilm_Savings[Lookup Detail], 0)),"" )</f>
        <v/>
      </c>
      <c r="N14" s="79" t="str">
        <f>IFERROR(Table_Controls_Input23[[#This Row],[Number of Units (Sq.Ft.)]]*INDEX(Table_WinFilm_Savings[Deemed kW Savings], MATCH(Table_Controls_Input23[[#This Row],[Measure Lookup Detail]], Table_WinFilm_Savings[Lookup Detail], 0)),"" )</f>
        <v/>
      </c>
      <c r="O14" s="72" t="str">
        <f t="shared" si="0"/>
        <v/>
      </c>
      <c r="P14" s="72" t="str">
        <f>IF(Table_Controls_Input23[[#This Row],[Measure Number]]="", "", Table_Controls_Input23[[#This Row],[Total Equipment Cost]]+Table_Controls_Input23[[#This Row],[Total Labor Cost]])</f>
        <v/>
      </c>
      <c r="Q14" s="72" t="str">
        <f>IFERROR(Table_Controls_Input23[[#This Row],[Gross Measure Cost]]-Table_Controls_Input23[[#This Row],[Estimated Incentive]], "")</f>
        <v/>
      </c>
      <c r="R14" s="73" t="str">
        <f t="shared" si="1"/>
        <v/>
      </c>
      <c r="S14" s="113" t="str">
        <f>_xlfn.CONCAT(Table_Controls_Input23[[#This Row],[Window Film Measure]], Table_Controls_Input23[[#This Row],[Window Direction]])</f>
        <v/>
      </c>
      <c r="T14" s="3"/>
      <c r="U14" s="3"/>
      <c r="V14" s="3"/>
      <c r="W14" s="3"/>
      <c r="X14" s="3"/>
      <c r="Y14" s="3"/>
      <c r="Z14" s="3"/>
      <c r="AA14" s="3"/>
      <c r="AB14" s="3"/>
      <c r="AC14" s="3"/>
      <c r="AD14" s="3"/>
      <c r="AE14" s="3"/>
      <c r="AF14" s="3"/>
      <c r="AG14" s="3"/>
      <c r="AH14" s="3"/>
      <c r="AI14" s="3"/>
      <c r="AJ14" s="3"/>
      <c r="AK14" s="3"/>
      <c r="AL14" s="3"/>
      <c r="AM14" s="3"/>
      <c r="AN14" s="3"/>
    </row>
    <row r="15" spans="1:40" x14ac:dyDescent="0.2">
      <c r="A15" s="3"/>
      <c r="B15" s="71">
        <v>11</v>
      </c>
      <c r="C15" s="69" t="str">
        <f>IFERROR(INDEX(Table_WinFilm_Savings[Measure No], MATCH(Table_Controls_Input23[[#This Row],[Measure Lookup Detail]], Table_WinFilm_Savings[Lookup Detail], 0)), "")</f>
        <v/>
      </c>
      <c r="D15" s="61"/>
      <c r="E15" s="60"/>
      <c r="F15" s="69" t="str">
        <f>IFERROR(INDEX(Table_Prescript_Meas[Units], MATCH(Table_Controls_Input23[[#This Row],[Measure Number]], Table_Prescript_Meas[Measure Number], 0)), "")</f>
        <v/>
      </c>
      <c r="G15" s="49"/>
      <c r="H15" s="272"/>
      <c r="I15" s="155"/>
      <c r="J15" s="155"/>
      <c r="K15"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5" s="72" t="str">
        <f>IFERROR(Table_Controls_Input23[[#This Row],[Number of Units (Sq.Ft.)]]*Table_Controls_Input23[[#This Row],[Per-Unit Incentive]], "")</f>
        <v/>
      </c>
      <c r="M15" s="73" t="str">
        <f>IFERROR(Table_Controls_Input23[[#This Row],[Number of Units (Sq.Ft.)]]*INDEX(Table_WinFilm_Savings[Deemed kWh Savings], MATCH(Table_Controls_Input23[[#This Row],[Measure Lookup Detail]], Table_WinFilm_Savings[Lookup Detail], 0)),"" )</f>
        <v/>
      </c>
      <c r="N15" s="79" t="str">
        <f>IFERROR(Table_Controls_Input23[[#This Row],[Number of Units (Sq.Ft.)]]*INDEX(Table_WinFilm_Savings[Deemed kW Savings], MATCH(Table_Controls_Input23[[#This Row],[Measure Lookup Detail]], Table_WinFilm_Savings[Lookup Detail], 0)),"" )</f>
        <v/>
      </c>
      <c r="O15" s="72" t="str">
        <f t="shared" si="0"/>
        <v/>
      </c>
      <c r="P15" s="72" t="str">
        <f>IF(Table_Controls_Input23[[#This Row],[Measure Number]]="", "", Table_Controls_Input23[[#This Row],[Total Equipment Cost]]+Table_Controls_Input23[[#This Row],[Total Labor Cost]])</f>
        <v/>
      </c>
      <c r="Q15" s="72" t="str">
        <f>IFERROR(Table_Controls_Input23[[#This Row],[Gross Measure Cost]]-Table_Controls_Input23[[#This Row],[Estimated Incentive]], "")</f>
        <v/>
      </c>
      <c r="R15" s="73" t="str">
        <f t="shared" si="1"/>
        <v/>
      </c>
      <c r="S15" s="113" t="str">
        <f>_xlfn.CONCAT(Table_Controls_Input23[[#This Row],[Window Film Measure]], Table_Controls_Input23[[#This Row],[Window Direction]])</f>
        <v/>
      </c>
      <c r="T15" s="3"/>
      <c r="U15" s="3"/>
      <c r="V15" s="3"/>
      <c r="W15" s="3"/>
      <c r="X15" s="3"/>
      <c r="Y15" s="3"/>
      <c r="Z15" s="3"/>
      <c r="AA15" s="3"/>
      <c r="AB15" s="3"/>
      <c r="AC15" s="3"/>
      <c r="AD15" s="3"/>
      <c r="AE15" s="3"/>
      <c r="AF15" s="3"/>
      <c r="AG15" s="3"/>
      <c r="AH15" s="3"/>
      <c r="AI15" s="3"/>
      <c r="AJ15" s="3"/>
      <c r="AK15" s="3"/>
      <c r="AL15" s="3"/>
      <c r="AM15" s="3"/>
      <c r="AN15" s="3"/>
    </row>
    <row r="16" spans="1:40" x14ac:dyDescent="0.2">
      <c r="A16" s="3"/>
      <c r="B16" s="71">
        <v>12</v>
      </c>
      <c r="C16" s="69" t="str">
        <f>IFERROR(INDEX(Table_WinFilm_Savings[Measure No], MATCH(Table_Controls_Input23[[#This Row],[Measure Lookup Detail]], Table_WinFilm_Savings[Lookup Detail], 0)), "")</f>
        <v/>
      </c>
      <c r="D16" s="61"/>
      <c r="E16" s="60"/>
      <c r="F16" s="69" t="str">
        <f>IFERROR(INDEX(Table_Prescript_Meas[Units], MATCH(Table_Controls_Input23[[#This Row],[Measure Number]], Table_Prescript_Meas[Measure Number], 0)), "")</f>
        <v/>
      </c>
      <c r="G16" s="49"/>
      <c r="H16" s="272"/>
      <c r="I16" s="155"/>
      <c r="J16" s="155"/>
      <c r="K16"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6" s="72" t="str">
        <f>IFERROR(Table_Controls_Input23[[#This Row],[Number of Units (Sq.Ft.)]]*Table_Controls_Input23[[#This Row],[Per-Unit Incentive]], "")</f>
        <v/>
      </c>
      <c r="M16" s="73" t="str">
        <f>IFERROR(Table_Controls_Input23[[#This Row],[Number of Units (Sq.Ft.)]]*INDEX(Table_WinFilm_Savings[Deemed kWh Savings], MATCH(Table_Controls_Input23[[#This Row],[Measure Lookup Detail]], Table_WinFilm_Savings[Lookup Detail], 0)),"" )</f>
        <v/>
      </c>
      <c r="N16" s="79" t="str">
        <f>IFERROR(Table_Controls_Input23[[#This Row],[Number of Units (Sq.Ft.)]]*INDEX(Table_WinFilm_Savings[Deemed kW Savings], MATCH(Table_Controls_Input23[[#This Row],[Measure Lookup Detail]], Table_WinFilm_Savings[Lookup Detail], 0)),"" )</f>
        <v/>
      </c>
      <c r="O16" s="72" t="str">
        <f t="shared" si="0"/>
        <v/>
      </c>
      <c r="P16" s="72" t="str">
        <f>IF(Table_Controls_Input23[[#This Row],[Measure Number]]="", "", Table_Controls_Input23[[#This Row],[Total Equipment Cost]]+Table_Controls_Input23[[#This Row],[Total Labor Cost]])</f>
        <v/>
      </c>
      <c r="Q16" s="72" t="str">
        <f>IFERROR(Table_Controls_Input23[[#This Row],[Gross Measure Cost]]-Table_Controls_Input23[[#This Row],[Estimated Incentive]], "")</f>
        <v/>
      </c>
      <c r="R16" s="73" t="str">
        <f t="shared" si="1"/>
        <v/>
      </c>
      <c r="S16" s="113" t="str">
        <f>_xlfn.CONCAT(Table_Controls_Input23[[#This Row],[Window Film Measure]], Table_Controls_Input23[[#This Row],[Window Direction]])</f>
        <v/>
      </c>
      <c r="T16" s="3"/>
      <c r="U16" s="3"/>
      <c r="V16" s="3"/>
      <c r="W16" s="3"/>
      <c r="X16" s="3"/>
      <c r="Y16" s="3"/>
      <c r="Z16" s="3"/>
      <c r="AA16" s="3"/>
      <c r="AB16" s="3"/>
      <c r="AC16" s="3"/>
      <c r="AD16" s="3"/>
      <c r="AE16" s="3"/>
      <c r="AF16" s="3"/>
      <c r="AG16" s="3"/>
      <c r="AH16" s="3"/>
      <c r="AI16" s="3"/>
      <c r="AJ16" s="3"/>
      <c r="AK16" s="3"/>
      <c r="AL16" s="3"/>
      <c r="AM16" s="3"/>
      <c r="AN16" s="3"/>
    </row>
    <row r="17" spans="1:40" x14ac:dyDescent="0.2">
      <c r="A17" s="3"/>
      <c r="B17" s="71">
        <v>13</v>
      </c>
      <c r="C17" s="69" t="str">
        <f>IFERROR(INDEX(Table_WinFilm_Savings[Measure No], MATCH(Table_Controls_Input23[[#This Row],[Measure Lookup Detail]], Table_WinFilm_Savings[Lookup Detail], 0)), "")</f>
        <v/>
      </c>
      <c r="D17" s="61"/>
      <c r="E17" s="60"/>
      <c r="F17" s="69" t="str">
        <f>IFERROR(INDEX(Table_Prescript_Meas[Units], MATCH(Table_Controls_Input23[[#This Row],[Measure Number]], Table_Prescript_Meas[Measure Number], 0)), "")</f>
        <v/>
      </c>
      <c r="G17" s="49"/>
      <c r="H17" s="272"/>
      <c r="I17" s="155"/>
      <c r="J17" s="155"/>
      <c r="K17"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7" s="72" t="str">
        <f>IFERROR(Table_Controls_Input23[[#This Row],[Number of Units (Sq.Ft.)]]*Table_Controls_Input23[[#This Row],[Per-Unit Incentive]], "")</f>
        <v/>
      </c>
      <c r="M17" s="73" t="str">
        <f>IFERROR(Table_Controls_Input23[[#This Row],[Number of Units (Sq.Ft.)]]*INDEX(Table_WinFilm_Savings[Deemed kWh Savings], MATCH(Table_Controls_Input23[[#This Row],[Measure Lookup Detail]], Table_WinFilm_Savings[Lookup Detail], 0)),"" )</f>
        <v/>
      </c>
      <c r="N17" s="79" t="str">
        <f>IFERROR(Table_Controls_Input23[[#This Row],[Number of Units (Sq.Ft.)]]*INDEX(Table_WinFilm_Savings[Deemed kW Savings], MATCH(Table_Controls_Input23[[#This Row],[Measure Lookup Detail]], Table_WinFilm_Savings[Lookup Detail], 0)),"" )</f>
        <v/>
      </c>
      <c r="O17" s="72" t="str">
        <f t="shared" si="0"/>
        <v/>
      </c>
      <c r="P17" s="72" t="str">
        <f>IF(Table_Controls_Input23[[#This Row],[Measure Number]]="", "", Table_Controls_Input23[[#This Row],[Total Equipment Cost]]+Table_Controls_Input23[[#This Row],[Total Labor Cost]])</f>
        <v/>
      </c>
      <c r="Q17" s="72" t="str">
        <f>IFERROR(Table_Controls_Input23[[#This Row],[Gross Measure Cost]]-Table_Controls_Input23[[#This Row],[Estimated Incentive]], "")</f>
        <v/>
      </c>
      <c r="R17" s="73" t="str">
        <f t="shared" si="1"/>
        <v/>
      </c>
      <c r="S17" s="113" t="str">
        <f>_xlfn.CONCAT(Table_Controls_Input23[[#This Row],[Window Film Measure]], Table_Controls_Input23[[#This Row],[Window Direction]])</f>
        <v/>
      </c>
      <c r="T17" s="3"/>
      <c r="U17" s="3"/>
      <c r="V17" s="3"/>
      <c r="W17" s="3"/>
      <c r="X17" s="3"/>
      <c r="Y17" s="3"/>
      <c r="Z17" s="3"/>
      <c r="AA17" s="3"/>
      <c r="AB17" s="3"/>
      <c r="AC17" s="3"/>
      <c r="AD17" s="3"/>
      <c r="AE17" s="3"/>
      <c r="AF17" s="3"/>
      <c r="AG17" s="3"/>
      <c r="AH17" s="3"/>
      <c r="AI17" s="3"/>
      <c r="AJ17" s="3"/>
      <c r="AK17" s="3"/>
      <c r="AL17" s="3"/>
      <c r="AM17" s="3"/>
      <c r="AN17" s="3"/>
    </row>
    <row r="18" spans="1:40" x14ac:dyDescent="0.2">
      <c r="A18" s="3"/>
      <c r="B18" s="71">
        <v>14</v>
      </c>
      <c r="C18" s="69" t="str">
        <f>IFERROR(INDEX(Table_WinFilm_Savings[Measure No], MATCH(Table_Controls_Input23[[#This Row],[Measure Lookup Detail]], Table_WinFilm_Savings[Lookup Detail], 0)), "")</f>
        <v/>
      </c>
      <c r="D18" s="61"/>
      <c r="E18" s="60"/>
      <c r="F18" s="69" t="str">
        <f>IFERROR(INDEX(Table_Prescript_Meas[Units], MATCH(Table_Controls_Input23[[#This Row],[Measure Number]], Table_Prescript_Meas[Measure Number], 0)), "")</f>
        <v/>
      </c>
      <c r="G18" s="49"/>
      <c r="H18" s="272"/>
      <c r="I18" s="155"/>
      <c r="J18" s="155"/>
      <c r="K18"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8" s="72" t="str">
        <f>IFERROR(Table_Controls_Input23[[#This Row],[Number of Units (Sq.Ft.)]]*Table_Controls_Input23[[#This Row],[Per-Unit Incentive]], "")</f>
        <v/>
      </c>
      <c r="M18" s="73" t="str">
        <f>IFERROR(Table_Controls_Input23[[#This Row],[Number of Units (Sq.Ft.)]]*INDEX(Table_WinFilm_Savings[Deemed kWh Savings], MATCH(Table_Controls_Input23[[#This Row],[Measure Lookup Detail]], Table_WinFilm_Savings[Lookup Detail], 0)),"" )</f>
        <v/>
      </c>
      <c r="N18" s="79" t="str">
        <f>IFERROR(Table_Controls_Input23[[#This Row],[Number of Units (Sq.Ft.)]]*INDEX(Table_WinFilm_Savings[Deemed kW Savings], MATCH(Table_Controls_Input23[[#This Row],[Measure Lookup Detail]], Table_WinFilm_Savings[Lookup Detail], 0)),"" )</f>
        <v/>
      </c>
      <c r="O18" s="72" t="str">
        <f t="shared" si="0"/>
        <v/>
      </c>
      <c r="P18" s="72" t="str">
        <f>IF(Table_Controls_Input23[[#This Row],[Measure Number]]="", "", Table_Controls_Input23[[#This Row],[Total Equipment Cost]]+Table_Controls_Input23[[#This Row],[Total Labor Cost]])</f>
        <v/>
      </c>
      <c r="Q18" s="72" t="str">
        <f>IFERROR(Table_Controls_Input23[[#This Row],[Gross Measure Cost]]-Table_Controls_Input23[[#This Row],[Estimated Incentive]], "")</f>
        <v/>
      </c>
      <c r="R18" s="73" t="str">
        <f t="shared" si="1"/>
        <v/>
      </c>
      <c r="S18" s="113" t="str">
        <f>_xlfn.CONCAT(Table_Controls_Input23[[#This Row],[Window Film Measure]], Table_Controls_Input23[[#This Row],[Window Direction]])</f>
        <v/>
      </c>
      <c r="T18" s="3"/>
      <c r="U18" s="3"/>
      <c r="V18" s="3"/>
      <c r="W18" s="3"/>
      <c r="X18" s="3"/>
      <c r="Y18" s="3"/>
      <c r="Z18" s="3"/>
      <c r="AA18" s="3"/>
      <c r="AB18" s="3"/>
      <c r="AC18" s="3"/>
      <c r="AD18" s="3"/>
      <c r="AE18" s="3"/>
      <c r="AF18" s="3"/>
      <c r="AG18" s="3"/>
      <c r="AH18" s="3"/>
      <c r="AI18" s="3"/>
      <c r="AJ18" s="3"/>
      <c r="AK18" s="3"/>
      <c r="AL18" s="3"/>
      <c r="AM18" s="3"/>
      <c r="AN18" s="3"/>
    </row>
    <row r="19" spans="1:40" x14ac:dyDescent="0.2">
      <c r="A19" s="3"/>
      <c r="B19" s="71">
        <v>15</v>
      </c>
      <c r="C19" s="69" t="str">
        <f>IFERROR(INDEX(Table_WinFilm_Savings[Measure No], MATCH(Table_Controls_Input23[[#This Row],[Measure Lookup Detail]], Table_WinFilm_Savings[Lookup Detail], 0)), "")</f>
        <v/>
      </c>
      <c r="D19" s="61"/>
      <c r="E19" s="60"/>
      <c r="F19" s="69" t="str">
        <f>IFERROR(INDEX(Table_Prescript_Meas[Units], MATCH(Table_Controls_Input23[[#This Row],[Measure Number]], Table_Prescript_Meas[Measure Number], 0)), "")</f>
        <v/>
      </c>
      <c r="G19" s="49"/>
      <c r="H19" s="272"/>
      <c r="I19" s="155"/>
      <c r="J19" s="155"/>
      <c r="K19"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19" s="72" t="str">
        <f>IFERROR(Table_Controls_Input23[[#This Row],[Number of Units (Sq.Ft.)]]*Table_Controls_Input23[[#This Row],[Per-Unit Incentive]], "")</f>
        <v/>
      </c>
      <c r="M19" s="73" t="str">
        <f>IFERROR(Table_Controls_Input23[[#This Row],[Number of Units (Sq.Ft.)]]*INDEX(Table_WinFilm_Savings[Deemed kWh Savings], MATCH(Table_Controls_Input23[[#This Row],[Measure Lookup Detail]], Table_WinFilm_Savings[Lookup Detail], 0)),"" )</f>
        <v/>
      </c>
      <c r="N19" s="79" t="str">
        <f>IFERROR(Table_Controls_Input23[[#This Row],[Number of Units (Sq.Ft.)]]*INDEX(Table_WinFilm_Savings[Deemed kW Savings], MATCH(Table_Controls_Input23[[#This Row],[Measure Lookup Detail]], Table_WinFilm_Savings[Lookup Detail], 0)),"" )</f>
        <v/>
      </c>
      <c r="O19" s="72" t="str">
        <f t="shared" si="0"/>
        <v/>
      </c>
      <c r="P19" s="72" t="str">
        <f>IF(Table_Controls_Input23[[#This Row],[Measure Number]]="", "", Table_Controls_Input23[[#This Row],[Total Equipment Cost]]+Table_Controls_Input23[[#This Row],[Total Labor Cost]])</f>
        <v/>
      </c>
      <c r="Q19" s="72" t="str">
        <f>IFERROR(Table_Controls_Input23[[#This Row],[Gross Measure Cost]]-Table_Controls_Input23[[#This Row],[Estimated Incentive]], "")</f>
        <v/>
      </c>
      <c r="R19" s="73" t="str">
        <f t="shared" si="1"/>
        <v/>
      </c>
      <c r="S19" s="113" t="str">
        <f>_xlfn.CONCAT(Table_Controls_Input23[[#This Row],[Window Film Measure]], Table_Controls_Input23[[#This Row],[Window Direction]])</f>
        <v/>
      </c>
      <c r="T19" s="3"/>
      <c r="U19" s="3"/>
      <c r="V19" s="3"/>
      <c r="W19" s="3"/>
      <c r="X19" s="3"/>
      <c r="Y19" s="3"/>
      <c r="Z19" s="3"/>
      <c r="AA19" s="3"/>
      <c r="AB19" s="3"/>
      <c r="AC19" s="3"/>
      <c r="AD19" s="3"/>
      <c r="AE19" s="3"/>
      <c r="AF19" s="3"/>
      <c r="AG19" s="3"/>
      <c r="AH19" s="3"/>
      <c r="AI19" s="3"/>
      <c r="AJ19" s="3"/>
      <c r="AK19" s="3"/>
      <c r="AL19" s="3"/>
      <c r="AM19" s="3"/>
      <c r="AN19" s="3"/>
    </row>
    <row r="20" spans="1:40" x14ac:dyDescent="0.2">
      <c r="A20" s="3"/>
      <c r="B20" s="71">
        <v>16</v>
      </c>
      <c r="C20" s="69" t="str">
        <f>IFERROR(INDEX(Table_WinFilm_Savings[Measure No], MATCH(Table_Controls_Input23[[#This Row],[Measure Lookup Detail]], Table_WinFilm_Savings[Lookup Detail], 0)), "")</f>
        <v/>
      </c>
      <c r="D20" s="61"/>
      <c r="E20" s="60"/>
      <c r="F20" s="69" t="str">
        <f>IFERROR(INDEX(Table_Prescript_Meas[Units], MATCH(Table_Controls_Input23[[#This Row],[Measure Number]], Table_Prescript_Meas[Measure Number], 0)), "")</f>
        <v/>
      </c>
      <c r="G20" s="49"/>
      <c r="H20" s="272"/>
      <c r="I20" s="155"/>
      <c r="J20" s="155"/>
      <c r="K20"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0" s="72" t="str">
        <f>IFERROR(Table_Controls_Input23[[#This Row],[Number of Units (Sq.Ft.)]]*Table_Controls_Input23[[#This Row],[Per-Unit Incentive]], "")</f>
        <v/>
      </c>
      <c r="M20" s="73" t="str">
        <f>IFERROR(Table_Controls_Input23[[#This Row],[Number of Units (Sq.Ft.)]]*INDEX(Table_WinFilm_Savings[Deemed kWh Savings], MATCH(Table_Controls_Input23[[#This Row],[Measure Lookup Detail]], Table_WinFilm_Savings[Lookup Detail], 0)),"" )</f>
        <v/>
      </c>
      <c r="N20" s="79" t="str">
        <f>IFERROR(Table_Controls_Input23[[#This Row],[Number of Units (Sq.Ft.)]]*INDEX(Table_WinFilm_Savings[Deemed kW Savings], MATCH(Table_Controls_Input23[[#This Row],[Measure Lookup Detail]], Table_WinFilm_Savings[Lookup Detail], 0)),"" )</f>
        <v/>
      </c>
      <c r="O20" s="72" t="str">
        <f t="shared" si="0"/>
        <v/>
      </c>
      <c r="P20" s="72" t="str">
        <f>IF(Table_Controls_Input23[[#This Row],[Measure Number]]="", "", Table_Controls_Input23[[#This Row],[Total Equipment Cost]]+Table_Controls_Input23[[#This Row],[Total Labor Cost]])</f>
        <v/>
      </c>
      <c r="Q20" s="72" t="str">
        <f>IFERROR(Table_Controls_Input23[[#This Row],[Gross Measure Cost]]-Table_Controls_Input23[[#This Row],[Estimated Incentive]], "")</f>
        <v/>
      </c>
      <c r="R20" s="73" t="str">
        <f t="shared" si="1"/>
        <v/>
      </c>
      <c r="S20" s="113" t="str">
        <f>_xlfn.CONCAT(Table_Controls_Input23[[#This Row],[Window Film Measure]], Table_Controls_Input23[[#This Row],[Window Direction]])</f>
        <v/>
      </c>
      <c r="T20" s="3"/>
      <c r="U20" s="3"/>
      <c r="V20" s="3"/>
      <c r="W20" s="3"/>
      <c r="X20" s="3"/>
      <c r="Y20" s="3"/>
      <c r="Z20" s="3"/>
      <c r="AA20" s="3"/>
      <c r="AB20" s="3"/>
      <c r="AC20" s="3"/>
      <c r="AD20" s="3"/>
      <c r="AE20" s="3"/>
      <c r="AF20" s="3"/>
      <c r="AG20" s="3"/>
      <c r="AH20" s="3"/>
      <c r="AI20" s="3"/>
      <c r="AJ20" s="3"/>
      <c r="AK20" s="3"/>
      <c r="AL20" s="3"/>
      <c r="AM20" s="3"/>
      <c r="AN20" s="3"/>
    </row>
    <row r="21" spans="1:40" x14ac:dyDescent="0.2">
      <c r="A21" s="3"/>
      <c r="B21" s="71">
        <v>17</v>
      </c>
      <c r="C21" s="69" t="str">
        <f>IFERROR(INDEX(Table_WinFilm_Savings[Measure No], MATCH(Table_Controls_Input23[[#This Row],[Measure Lookup Detail]], Table_WinFilm_Savings[Lookup Detail], 0)), "")</f>
        <v/>
      </c>
      <c r="D21" s="61"/>
      <c r="E21" s="60"/>
      <c r="F21" s="69" t="str">
        <f>IFERROR(INDEX(Table_Prescript_Meas[Units], MATCH(Table_Controls_Input23[[#This Row],[Measure Number]], Table_Prescript_Meas[Measure Number], 0)), "")</f>
        <v/>
      </c>
      <c r="G21" s="49"/>
      <c r="H21" s="272"/>
      <c r="I21" s="155"/>
      <c r="J21" s="155"/>
      <c r="K21"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1" s="72" t="str">
        <f>IFERROR(Table_Controls_Input23[[#This Row],[Number of Units (Sq.Ft.)]]*Table_Controls_Input23[[#This Row],[Per-Unit Incentive]], "")</f>
        <v/>
      </c>
      <c r="M21" s="73" t="str">
        <f>IFERROR(Table_Controls_Input23[[#This Row],[Number of Units (Sq.Ft.)]]*INDEX(Table_WinFilm_Savings[Deemed kWh Savings], MATCH(Table_Controls_Input23[[#This Row],[Measure Lookup Detail]], Table_WinFilm_Savings[Lookup Detail], 0)),"" )</f>
        <v/>
      </c>
      <c r="N21" s="79" t="str">
        <f>IFERROR(Table_Controls_Input23[[#This Row],[Number of Units (Sq.Ft.)]]*INDEX(Table_WinFilm_Savings[Deemed kW Savings], MATCH(Table_Controls_Input23[[#This Row],[Measure Lookup Detail]], Table_WinFilm_Savings[Lookup Detail], 0)),"" )</f>
        <v/>
      </c>
      <c r="O21" s="72" t="str">
        <f t="shared" si="0"/>
        <v/>
      </c>
      <c r="P21" s="72" t="str">
        <f>IF(Table_Controls_Input23[[#This Row],[Measure Number]]="", "", Table_Controls_Input23[[#This Row],[Total Equipment Cost]]+Table_Controls_Input23[[#This Row],[Total Labor Cost]])</f>
        <v/>
      </c>
      <c r="Q21" s="72" t="str">
        <f>IFERROR(Table_Controls_Input23[[#This Row],[Gross Measure Cost]]-Table_Controls_Input23[[#This Row],[Estimated Incentive]], "")</f>
        <v/>
      </c>
      <c r="R21" s="73" t="str">
        <f t="shared" si="1"/>
        <v/>
      </c>
      <c r="S21" s="113" t="str">
        <f>_xlfn.CONCAT(Table_Controls_Input23[[#This Row],[Window Film Measure]], Table_Controls_Input23[[#This Row],[Window Direction]])</f>
        <v/>
      </c>
      <c r="T21" s="3"/>
      <c r="U21" s="3"/>
      <c r="V21" s="3"/>
      <c r="W21" s="3"/>
      <c r="X21" s="3"/>
      <c r="Y21" s="3"/>
      <c r="Z21" s="3"/>
      <c r="AA21" s="3"/>
      <c r="AB21" s="3"/>
      <c r="AC21" s="3"/>
      <c r="AD21" s="3"/>
      <c r="AE21" s="3"/>
      <c r="AF21" s="3"/>
      <c r="AG21" s="3"/>
      <c r="AH21" s="3"/>
      <c r="AI21" s="3"/>
      <c r="AJ21" s="3"/>
      <c r="AK21" s="3"/>
      <c r="AL21" s="3"/>
      <c r="AM21" s="3"/>
      <c r="AN21" s="3"/>
    </row>
    <row r="22" spans="1:40" x14ac:dyDescent="0.2">
      <c r="A22" s="3"/>
      <c r="B22" s="71">
        <v>18</v>
      </c>
      <c r="C22" s="69" t="str">
        <f>IFERROR(INDEX(Table_WinFilm_Savings[Measure No], MATCH(Table_Controls_Input23[[#This Row],[Measure Lookup Detail]], Table_WinFilm_Savings[Lookup Detail], 0)), "")</f>
        <v/>
      </c>
      <c r="D22" s="61"/>
      <c r="E22" s="60"/>
      <c r="F22" s="69" t="str">
        <f>IFERROR(INDEX(Table_Prescript_Meas[Units], MATCH(Table_Controls_Input23[[#This Row],[Measure Number]], Table_Prescript_Meas[Measure Number], 0)), "")</f>
        <v/>
      </c>
      <c r="G22" s="49"/>
      <c r="H22" s="272"/>
      <c r="I22" s="155"/>
      <c r="J22" s="155"/>
      <c r="K22"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2" s="72" t="str">
        <f>IFERROR(Table_Controls_Input23[[#This Row],[Number of Units (Sq.Ft.)]]*Table_Controls_Input23[[#This Row],[Per-Unit Incentive]], "")</f>
        <v/>
      </c>
      <c r="M22" s="73" t="str">
        <f>IFERROR(Table_Controls_Input23[[#This Row],[Number of Units (Sq.Ft.)]]*INDEX(Table_WinFilm_Savings[Deemed kWh Savings], MATCH(Table_Controls_Input23[[#This Row],[Measure Lookup Detail]], Table_WinFilm_Savings[Lookup Detail], 0)),"" )</f>
        <v/>
      </c>
      <c r="N22" s="79" t="str">
        <f>IFERROR(Table_Controls_Input23[[#This Row],[Number of Units (Sq.Ft.)]]*INDEX(Table_WinFilm_Savings[Deemed kW Savings], MATCH(Table_Controls_Input23[[#This Row],[Measure Lookup Detail]], Table_WinFilm_Savings[Lookup Detail], 0)),"" )</f>
        <v/>
      </c>
      <c r="O22" s="72" t="str">
        <f t="shared" si="0"/>
        <v/>
      </c>
      <c r="P22" s="72" t="str">
        <f>IF(Table_Controls_Input23[[#This Row],[Measure Number]]="", "", Table_Controls_Input23[[#This Row],[Total Equipment Cost]]+Table_Controls_Input23[[#This Row],[Total Labor Cost]])</f>
        <v/>
      </c>
      <c r="Q22" s="72" t="str">
        <f>IFERROR(Table_Controls_Input23[[#This Row],[Gross Measure Cost]]-Table_Controls_Input23[[#This Row],[Estimated Incentive]], "")</f>
        <v/>
      </c>
      <c r="R22" s="73" t="str">
        <f t="shared" si="1"/>
        <v/>
      </c>
      <c r="S22" s="113" t="str">
        <f>_xlfn.CONCAT(Table_Controls_Input23[[#This Row],[Window Film Measure]], Table_Controls_Input23[[#This Row],[Window Direction]])</f>
        <v/>
      </c>
      <c r="T22" s="3"/>
      <c r="U22" s="3"/>
      <c r="V22" s="3"/>
      <c r="W22" s="3"/>
      <c r="X22" s="3"/>
      <c r="Y22" s="3"/>
      <c r="Z22" s="3"/>
      <c r="AA22" s="3"/>
      <c r="AB22" s="3"/>
      <c r="AC22" s="3"/>
      <c r="AD22" s="3"/>
      <c r="AE22" s="3"/>
      <c r="AF22" s="3"/>
      <c r="AG22" s="3"/>
      <c r="AH22" s="3"/>
      <c r="AI22" s="3"/>
      <c r="AJ22" s="3"/>
      <c r="AK22" s="3"/>
      <c r="AL22" s="3"/>
      <c r="AM22" s="3"/>
      <c r="AN22" s="3"/>
    </row>
    <row r="23" spans="1:40" x14ac:dyDescent="0.2">
      <c r="A23" s="3"/>
      <c r="B23" s="71">
        <v>19</v>
      </c>
      <c r="C23" s="69" t="str">
        <f>IFERROR(INDEX(Table_WinFilm_Savings[Measure No], MATCH(Table_Controls_Input23[[#This Row],[Measure Lookup Detail]], Table_WinFilm_Savings[Lookup Detail], 0)), "")</f>
        <v/>
      </c>
      <c r="D23" s="61"/>
      <c r="E23" s="60"/>
      <c r="F23" s="69" t="str">
        <f>IFERROR(INDEX(Table_Prescript_Meas[Units], MATCH(Table_Controls_Input23[[#This Row],[Measure Number]], Table_Prescript_Meas[Measure Number], 0)), "")</f>
        <v/>
      </c>
      <c r="G23" s="49"/>
      <c r="H23" s="272"/>
      <c r="I23" s="155"/>
      <c r="J23" s="155"/>
      <c r="K23"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3" s="72" t="str">
        <f>IFERROR(Table_Controls_Input23[[#This Row],[Number of Units (Sq.Ft.)]]*Table_Controls_Input23[[#This Row],[Per-Unit Incentive]], "")</f>
        <v/>
      </c>
      <c r="M23" s="73" t="str">
        <f>IFERROR(Table_Controls_Input23[[#This Row],[Number of Units (Sq.Ft.)]]*INDEX(Table_WinFilm_Savings[Deemed kWh Savings], MATCH(Table_Controls_Input23[[#This Row],[Measure Lookup Detail]], Table_WinFilm_Savings[Lookup Detail], 0)),"" )</f>
        <v/>
      </c>
      <c r="N23" s="79" t="str">
        <f>IFERROR(Table_Controls_Input23[[#This Row],[Number of Units (Sq.Ft.)]]*INDEX(Table_WinFilm_Savings[Deemed kW Savings], MATCH(Table_Controls_Input23[[#This Row],[Measure Lookup Detail]], Table_WinFilm_Savings[Lookup Detail], 0)),"" )</f>
        <v/>
      </c>
      <c r="O23" s="72" t="str">
        <f t="shared" si="0"/>
        <v/>
      </c>
      <c r="P23" s="72" t="str">
        <f>IF(Table_Controls_Input23[[#This Row],[Measure Number]]="", "", Table_Controls_Input23[[#This Row],[Total Equipment Cost]]+Table_Controls_Input23[[#This Row],[Total Labor Cost]])</f>
        <v/>
      </c>
      <c r="Q23" s="72" t="str">
        <f>IFERROR(Table_Controls_Input23[[#This Row],[Gross Measure Cost]]-Table_Controls_Input23[[#This Row],[Estimated Incentive]], "")</f>
        <v/>
      </c>
      <c r="R23" s="73" t="str">
        <f t="shared" si="1"/>
        <v/>
      </c>
      <c r="S23" s="113" t="str">
        <f>_xlfn.CONCAT(Table_Controls_Input23[[#This Row],[Window Film Measure]], Table_Controls_Input23[[#This Row],[Window Direction]])</f>
        <v/>
      </c>
      <c r="T23" s="3"/>
      <c r="U23" s="3"/>
      <c r="V23" s="3"/>
      <c r="W23" s="3"/>
      <c r="X23" s="3"/>
      <c r="Y23" s="3"/>
      <c r="Z23" s="3"/>
      <c r="AA23" s="3"/>
      <c r="AB23" s="3"/>
      <c r="AC23" s="3"/>
      <c r="AD23" s="3"/>
      <c r="AE23" s="3"/>
      <c r="AF23" s="3"/>
      <c r="AG23" s="3"/>
      <c r="AH23" s="3"/>
      <c r="AI23" s="3"/>
      <c r="AJ23" s="3"/>
      <c r="AK23" s="3"/>
      <c r="AL23" s="3"/>
      <c r="AM23" s="3"/>
      <c r="AN23" s="3"/>
    </row>
    <row r="24" spans="1:40" x14ac:dyDescent="0.2">
      <c r="A24" s="3"/>
      <c r="B24" s="71">
        <v>20</v>
      </c>
      <c r="C24" s="69" t="str">
        <f>IFERROR(INDEX(Table_WinFilm_Savings[Measure No], MATCH(Table_Controls_Input23[[#This Row],[Measure Lookup Detail]], Table_WinFilm_Savings[Lookup Detail], 0)), "")</f>
        <v/>
      </c>
      <c r="D24" s="61"/>
      <c r="E24" s="60"/>
      <c r="F24" s="69" t="str">
        <f>IFERROR(INDEX(Table_Prescript_Meas[Units], MATCH(Table_Controls_Input23[[#This Row],[Measure Number]], Table_Prescript_Meas[Measure Number], 0)), "")</f>
        <v/>
      </c>
      <c r="G24" s="49"/>
      <c r="H24" s="272"/>
      <c r="I24" s="155"/>
      <c r="J24" s="155"/>
      <c r="K24"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4" s="72" t="str">
        <f>IFERROR(Table_Controls_Input23[[#This Row],[Number of Units (Sq.Ft.)]]*Table_Controls_Input23[[#This Row],[Per-Unit Incentive]], "")</f>
        <v/>
      </c>
      <c r="M24" s="73" t="str">
        <f>IFERROR(Table_Controls_Input23[[#This Row],[Number of Units (Sq.Ft.)]]*INDEX(Table_WinFilm_Savings[Deemed kWh Savings], MATCH(Table_Controls_Input23[[#This Row],[Measure Lookup Detail]], Table_WinFilm_Savings[Lookup Detail], 0)),"" )</f>
        <v/>
      </c>
      <c r="N24" s="79" t="str">
        <f>IFERROR(Table_Controls_Input23[[#This Row],[Number of Units (Sq.Ft.)]]*INDEX(Table_WinFilm_Savings[Deemed kW Savings], MATCH(Table_Controls_Input23[[#This Row],[Measure Lookup Detail]], Table_WinFilm_Savings[Lookup Detail], 0)),"" )</f>
        <v/>
      </c>
      <c r="O24" s="72" t="str">
        <f t="shared" si="0"/>
        <v/>
      </c>
      <c r="P24" s="72" t="str">
        <f>IF(Table_Controls_Input23[[#This Row],[Measure Number]]="", "", Table_Controls_Input23[[#This Row],[Total Equipment Cost]]+Table_Controls_Input23[[#This Row],[Total Labor Cost]])</f>
        <v/>
      </c>
      <c r="Q24" s="72" t="str">
        <f>IFERROR(Table_Controls_Input23[[#This Row],[Gross Measure Cost]]-Table_Controls_Input23[[#This Row],[Estimated Incentive]], "")</f>
        <v/>
      </c>
      <c r="R24" s="73" t="str">
        <f t="shared" si="1"/>
        <v/>
      </c>
      <c r="S24" s="113" t="str">
        <f>_xlfn.CONCAT(Table_Controls_Input23[[#This Row],[Window Film Measure]], Table_Controls_Input23[[#This Row],[Window Direction]])</f>
        <v/>
      </c>
      <c r="T24" s="3"/>
      <c r="U24" s="3"/>
      <c r="V24" s="3"/>
      <c r="W24" s="3"/>
      <c r="X24" s="3"/>
      <c r="Y24" s="3"/>
      <c r="Z24" s="3"/>
      <c r="AA24" s="3"/>
      <c r="AB24" s="3"/>
      <c r="AC24" s="3"/>
      <c r="AD24" s="3"/>
      <c r="AE24" s="3"/>
      <c r="AF24" s="3"/>
      <c r="AG24" s="3"/>
      <c r="AH24" s="3"/>
      <c r="AI24" s="3"/>
      <c r="AJ24" s="3"/>
      <c r="AK24" s="3"/>
      <c r="AL24" s="3"/>
      <c r="AM24" s="3"/>
      <c r="AN24" s="3"/>
    </row>
    <row r="25" spans="1:40" x14ac:dyDescent="0.2">
      <c r="A25" s="3"/>
      <c r="B25" s="71">
        <v>21</v>
      </c>
      <c r="C25" s="69" t="str">
        <f>IFERROR(INDEX(Table_WinFilm_Savings[Measure No], MATCH(Table_Controls_Input23[[#This Row],[Measure Lookup Detail]], Table_WinFilm_Savings[Lookup Detail], 0)), "")</f>
        <v/>
      </c>
      <c r="D25" s="61"/>
      <c r="E25" s="60"/>
      <c r="F25" s="69" t="str">
        <f>IFERROR(INDEX(Table_Prescript_Meas[Units], MATCH(Table_Controls_Input23[[#This Row],[Measure Number]], Table_Prescript_Meas[Measure Number], 0)), "")</f>
        <v/>
      </c>
      <c r="G25" s="49"/>
      <c r="H25" s="272"/>
      <c r="I25" s="155"/>
      <c r="J25" s="155"/>
      <c r="K25"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5" s="72" t="str">
        <f>IFERROR(Table_Controls_Input23[[#This Row],[Number of Units (Sq.Ft.)]]*Table_Controls_Input23[[#This Row],[Per-Unit Incentive]], "")</f>
        <v/>
      </c>
      <c r="M25" s="73" t="str">
        <f>IFERROR(Table_Controls_Input23[[#This Row],[Number of Units (Sq.Ft.)]]*INDEX(Table_WinFilm_Savings[Deemed kWh Savings], MATCH(Table_Controls_Input23[[#This Row],[Measure Lookup Detail]], Table_WinFilm_Savings[Lookup Detail], 0)),"" )</f>
        <v/>
      </c>
      <c r="N25" s="79" t="str">
        <f>IFERROR(Table_Controls_Input23[[#This Row],[Number of Units (Sq.Ft.)]]*INDEX(Table_WinFilm_Savings[Deemed kW Savings], MATCH(Table_Controls_Input23[[#This Row],[Measure Lookup Detail]], Table_WinFilm_Savings[Lookup Detail], 0)),"" )</f>
        <v/>
      </c>
      <c r="O25" s="72" t="str">
        <f t="shared" si="0"/>
        <v/>
      </c>
      <c r="P25" s="72" t="str">
        <f>IF(Table_Controls_Input23[[#This Row],[Measure Number]]="", "", Table_Controls_Input23[[#This Row],[Total Equipment Cost]]+Table_Controls_Input23[[#This Row],[Total Labor Cost]])</f>
        <v/>
      </c>
      <c r="Q25" s="72" t="str">
        <f>IFERROR(Table_Controls_Input23[[#This Row],[Gross Measure Cost]]-Table_Controls_Input23[[#This Row],[Estimated Incentive]], "")</f>
        <v/>
      </c>
      <c r="R25" s="73" t="str">
        <f t="shared" si="1"/>
        <v/>
      </c>
      <c r="S25" s="113" t="str">
        <f>_xlfn.CONCAT(Table_Controls_Input23[[#This Row],[Window Film Measure]], Table_Controls_Input23[[#This Row],[Window Direction]])</f>
        <v/>
      </c>
      <c r="T25" s="3"/>
      <c r="U25" s="3"/>
      <c r="V25" s="3"/>
      <c r="W25" s="3"/>
      <c r="X25" s="3"/>
      <c r="Y25" s="3"/>
      <c r="Z25" s="3"/>
      <c r="AA25" s="3"/>
      <c r="AB25" s="3"/>
      <c r="AC25" s="3"/>
      <c r="AD25" s="3"/>
      <c r="AE25" s="3"/>
      <c r="AF25" s="3"/>
      <c r="AG25" s="3"/>
      <c r="AH25" s="3"/>
      <c r="AI25" s="3"/>
      <c r="AJ25" s="3"/>
      <c r="AK25" s="3"/>
      <c r="AL25" s="3"/>
      <c r="AM25" s="3"/>
      <c r="AN25" s="3"/>
    </row>
    <row r="26" spans="1:40" x14ac:dyDescent="0.2">
      <c r="A26" s="3"/>
      <c r="B26" s="71">
        <v>22</v>
      </c>
      <c r="C26" s="69" t="str">
        <f>IFERROR(INDEX(Table_WinFilm_Savings[Measure No], MATCH(Table_Controls_Input23[[#This Row],[Measure Lookup Detail]], Table_WinFilm_Savings[Lookup Detail], 0)), "")</f>
        <v/>
      </c>
      <c r="D26" s="61"/>
      <c r="E26" s="60"/>
      <c r="F26" s="69" t="str">
        <f>IFERROR(INDEX(Table_Prescript_Meas[Units], MATCH(Table_Controls_Input23[[#This Row],[Measure Number]], Table_Prescript_Meas[Measure Number], 0)), "")</f>
        <v/>
      </c>
      <c r="G26" s="49"/>
      <c r="H26" s="272"/>
      <c r="I26" s="155"/>
      <c r="J26" s="155"/>
      <c r="K26"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6" s="72" t="str">
        <f>IFERROR(Table_Controls_Input23[[#This Row],[Number of Units (Sq.Ft.)]]*Table_Controls_Input23[[#This Row],[Per-Unit Incentive]], "")</f>
        <v/>
      </c>
      <c r="M26" s="73" t="str">
        <f>IFERROR(Table_Controls_Input23[[#This Row],[Number of Units (Sq.Ft.)]]*INDEX(Table_WinFilm_Savings[Deemed kWh Savings], MATCH(Table_Controls_Input23[[#This Row],[Measure Lookup Detail]], Table_WinFilm_Savings[Lookup Detail], 0)),"" )</f>
        <v/>
      </c>
      <c r="N26" s="79" t="str">
        <f>IFERROR(Table_Controls_Input23[[#This Row],[Number of Units (Sq.Ft.)]]*INDEX(Table_WinFilm_Savings[Deemed kW Savings], MATCH(Table_Controls_Input23[[#This Row],[Measure Lookup Detail]], Table_WinFilm_Savings[Lookup Detail], 0)),"" )</f>
        <v/>
      </c>
      <c r="O26" s="72" t="str">
        <f t="shared" si="0"/>
        <v/>
      </c>
      <c r="P26" s="72" t="str">
        <f>IF(Table_Controls_Input23[[#This Row],[Measure Number]]="", "", Table_Controls_Input23[[#This Row],[Total Equipment Cost]]+Table_Controls_Input23[[#This Row],[Total Labor Cost]])</f>
        <v/>
      </c>
      <c r="Q26" s="72" t="str">
        <f>IFERROR(Table_Controls_Input23[[#This Row],[Gross Measure Cost]]-Table_Controls_Input23[[#This Row],[Estimated Incentive]], "")</f>
        <v/>
      </c>
      <c r="R26" s="73" t="str">
        <f t="shared" si="1"/>
        <v/>
      </c>
      <c r="S26" s="113" t="str">
        <f>_xlfn.CONCAT(Table_Controls_Input23[[#This Row],[Window Film Measure]], Table_Controls_Input23[[#This Row],[Window Direction]])</f>
        <v/>
      </c>
      <c r="T26" s="3"/>
      <c r="U26" s="3"/>
      <c r="V26" s="3"/>
      <c r="W26" s="3"/>
      <c r="X26" s="3"/>
      <c r="Y26" s="3"/>
      <c r="Z26" s="3"/>
      <c r="AA26" s="3"/>
      <c r="AB26" s="3"/>
      <c r="AC26" s="3"/>
      <c r="AD26" s="3"/>
      <c r="AE26" s="3"/>
      <c r="AF26" s="3"/>
      <c r="AG26" s="3"/>
      <c r="AH26" s="3"/>
      <c r="AI26" s="3"/>
      <c r="AJ26" s="3"/>
      <c r="AK26" s="3"/>
      <c r="AL26" s="3"/>
      <c r="AM26" s="3"/>
      <c r="AN26" s="3"/>
    </row>
    <row r="27" spans="1:40" x14ac:dyDescent="0.2">
      <c r="A27" s="3"/>
      <c r="B27" s="71">
        <v>23</v>
      </c>
      <c r="C27" s="69" t="str">
        <f>IFERROR(INDEX(Table_WinFilm_Savings[Measure No], MATCH(Table_Controls_Input23[[#This Row],[Measure Lookup Detail]], Table_WinFilm_Savings[Lookup Detail], 0)), "")</f>
        <v/>
      </c>
      <c r="D27" s="61"/>
      <c r="E27" s="60"/>
      <c r="F27" s="69" t="str">
        <f>IFERROR(INDEX(Table_Prescript_Meas[Units], MATCH(Table_Controls_Input23[[#This Row],[Measure Number]], Table_Prescript_Meas[Measure Number], 0)), "")</f>
        <v/>
      </c>
      <c r="G27" s="49"/>
      <c r="H27" s="272"/>
      <c r="I27" s="155"/>
      <c r="J27" s="155"/>
      <c r="K27"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7" s="72" t="str">
        <f>IFERROR(Table_Controls_Input23[[#This Row],[Number of Units (Sq.Ft.)]]*Table_Controls_Input23[[#This Row],[Per-Unit Incentive]], "")</f>
        <v/>
      </c>
      <c r="M27" s="73" t="str">
        <f>IFERROR(Table_Controls_Input23[[#This Row],[Number of Units (Sq.Ft.)]]*INDEX(Table_WinFilm_Savings[Deemed kWh Savings], MATCH(Table_Controls_Input23[[#This Row],[Measure Lookup Detail]], Table_WinFilm_Savings[Lookup Detail], 0)),"" )</f>
        <v/>
      </c>
      <c r="N27" s="79" t="str">
        <f>IFERROR(Table_Controls_Input23[[#This Row],[Number of Units (Sq.Ft.)]]*INDEX(Table_WinFilm_Savings[Deemed kW Savings], MATCH(Table_Controls_Input23[[#This Row],[Measure Lookup Detail]], Table_WinFilm_Savings[Lookup Detail], 0)),"" )</f>
        <v/>
      </c>
      <c r="O27" s="72" t="str">
        <f t="shared" si="0"/>
        <v/>
      </c>
      <c r="P27" s="72" t="str">
        <f>IF(Table_Controls_Input23[[#This Row],[Measure Number]]="", "", Table_Controls_Input23[[#This Row],[Total Equipment Cost]]+Table_Controls_Input23[[#This Row],[Total Labor Cost]])</f>
        <v/>
      </c>
      <c r="Q27" s="72" t="str">
        <f>IFERROR(Table_Controls_Input23[[#This Row],[Gross Measure Cost]]-Table_Controls_Input23[[#This Row],[Estimated Incentive]], "")</f>
        <v/>
      </c>
      <c r="R27" s="73" t="str">
        <f t="shared" si="1"/>
        <v/>
      </c>
      <c r="S27" s="113" t="str">
        <f>_xlfn.CONCAT(Table_Controls_Input23[[#This Row],[Window Film Measure]], Table_Controls_Input23[[#This Row],[Window Direction]])</f>
        <v/>
      </c>
      <c r="T27" s="3"/>
      <c r="U27" s="3"/>
      <c r="V27" s="3"/>
      <c r="W27" s="3"/>
      <c r="X27" s="3"/>
      <c r="Y27" s="3"/>
      <c r="Z27" s="3"/>
      <c r="AA27" s="3"/>
      <c r="AB27" s="3"/>
      <c r="AC27" s="3"/>
      <c r="AD27" s="3"/>
      <c r="AE27" s="3"/>
      <c r="AF27" s="3"/>
      <c r="AG27" s="3"/>
      <c r="AH27" s="3"/>
      <c r="AI27" s="3"/>
      <c r="AJ27" s="3"/>
      <c r="AK27" s="3"/>
      <c r="AL27" s="3"/>
      <c r="AM27" s="3"/>
      <c r="AN27" s="3"/>
    </row>
    <row r="28" spans="1:40" x14ac:dyDescent="0.2">
      <c r="A28" s="3"/>
      <c r="B28" s="71">
        <v>24</v>
      </c>
      <c r="C28" s="69" t="str">
        <f>IFERROR(INDEX(Table_WinFilm_Savings[Measure No], MATCH(Table_Controls_Input23[[#This Row],[Measure Lookup Detail]], Table_WinFilm_Savings[Lookup Detail], 0)), "")</f>
        <v/>
      </c>
      <c r="D28" s="61"/>
      <c r="E28" s="60"/>
      <c r="F28" s="69" t="str">
        <f>IFERROR(INDEX(Table_Prescript_Meas[Units], MATCH(Table_Controls_Input23[[#This Row],[Measure Number]], Table_Prescript_Meas[Measure Number], 0)), "")</f>
        <v/>
      </c>
      <c r="G28" s="49"/>
      <c r="H28" s="272"/>
      <c r="I28" s="155"/>
      <c r="J28" s="155"/>
      <c r="K28"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8" s="72" t="str">
        <f>IFERROR(Table_Controls_Input23[[#This Row],[Number of Units (Sq.Ft.)]]*Table_Controls_Input23[[#This Row],[Per-Unit Incentive]], "")</f>
        <v/>
      </c>
      <c r="M28" s="73" t="str">
        <f>IFERROR(Table_Controls_Input23[[#This Row],[Number of Units (Sq.Ft.)]]*INDEX(Table_WinFilm_Savings[Deemed kWh Savings], MATCH(Table_Controls_Input23[[#This Row],[Measure Lookup Detail]], Table_WinFilm_Savings[Lookup Detail], 0)),"" )</f>
        <v/>
      </c>
      <c r="N28" s="79" t="str">
        <f>IFERROR(Table_Controls_Input23[[#This Row],[Number of Units (Sq.Ft.)]]*INDEX(Table_WinFilm_Savings[Deemed kW Savings], MATCH(Table_Controls_Input23[[#This Row],[Measure Lookup Detail]], Table_WinFilm_Savings[Lookup Detail], 0)),"" )</f>
        <v/>
      </c>
      <c r="O28" s="72" t="str">
        <f t="shared" si="0"/>
        <v/>
      </c>
      <c r="P28" s="72" t="str">
        <f>IF(Table_Controls_Input23[[#This Row],[Measure Number]]="", "", Table_Controls_Input23[[#This Row],[Total Equipment Cost]]+Table_Controls_Input23[[#This Row],[Total Labor Cost]])</f>
        <v/>
      </c>
      <c r="Q28" s="72" t="str">
        <f>IFERROR(Table_Controls_Input23[[#This Row],[Gross Measure Cost]]-Table_Controls_Input23[[#This Row],[Estimated Incentive]], "")</f>
        <v/>
      </c>
      <c r="R28" s="73" t="str">
        <f t="shared" si="1"/>
        <v/>
      </c>
      <c r="S28" s="113" t="str">
        <f>_xlfn.CONCAT(Table_Controls_Input23[[#This Row],[Window Film Measure]], Table_Controls_Input23[[#This Row],[Window Direction]])</f>
        <v/>
      </c>
      <c r="T28" s="3"/>
      <c r="U28" s="3"/>
      <c r="V28" s="3"/>
      <c r="W28" s="3"/>
      <c r="X28" s="3"/>
      <c r="Y28" s="3"/>
      <c r="Z28" s="3"/>
      <c r="AA28" s="3"/>
      <c r="AB28" s="3"/>
      <c r="AC28" s="3"/>
      <c r="AD28" s="3"/>
      <c r="AE28" s="3"/>
      <c r="AF28" s="3"/>
      <c r="AG28" s="3"/>
      <c r="AH28" s="3"/>
      <c r="AI28" s="3"/>
      <c r="AJ28" s="3"/>
      <c r="AK28" s="3"/>
      <c r="AL28" s="3"/>
      <c r="AM28" s="3"/>
      <c r="AN28" s="3"/>
    </row>
    <row r="29" spans="1:40" x14ac:dyDescent="0.2">
      <c r="A29" s="3"/>
      <c r="B29" s="71">
        <v>25</v>
      </c>
      <c r="C29" s="69" t="str">
        <f>IFERROR(INDEX(Table_WinFilm_Savings[Measure No], MATCH(Table_Controls_Input23[[#This Row],[Measure Lookup Detail]], Table_WinFilm_Savings[Lookup Detail], 0)), "")</f>
        <v/>
      </c>
      <c r="D29" s="61"/>
      <c r="E29" s="60"/>
      <c r="F29" s="69" t="str">
        <f>IFERROR(INDEX(Table_Prescript_Meas[Units], MATCH(Table_Controls_Input23[[#This Row],[Measure Number]], Table_Prescript_Meas[Measure Number], 0)), "")</f>
        <v/>
      </c>
      <c r="G29" s="49"/>
      <c r="H29" s="272"/>
      <c r="I29" s="155"/>
      <c r="J29" s="155"/>
      <c r="K29"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29" s="72" t="str">
        <f>IFERROR(Table_Controls_Input23[[#This Row],[Number of Units (Sq.Ft.)]]*Table_Controls_Input23[[#This Row],[Per-Unit Incentive]], "")</f>
        <v/>
      </c>
      <c r="M29" s="73" t="str">
        <f>IFERROR(Table_Controls_Input23[[#This Row],[Number of Units (Sq.Ft.)]]*INDEX(Table_WinFilm_Savings[Deemed kWh Savings], MATCH(Table_Controls_Input23[[#This Row],[Measure Lookup Detail]], Table_WinFilm_Savings[Lookup Detail], 0)),"" )</f>
        <v/>
      </c>
      <c r="N29" s="79" t="str">
        <f>IFERROR(Table_Controls_Input23[[#This Row],[Number of Units (Sq.Ft.)]]*INDEX(Table_WinFilm_Savings[Deemed kW Savings], MATCH(Table_Controls_Input23[[#This Row],[Measure Lookup Detail]], Table_WinFilm_Savings[Lookup Detail], 0)),"" )</f>
        <v/>
      </c>
      <c r="O29" s="72" t="str">
        <f t="shared" si="0"/>
        <v/>
      </c>
      <c r="P29" s="72" t="str">
        <f>IF(Table_Controls_Input23[[#This Row],[Measure Number]]="", "", Table_Controls_Input23[[#This Row],[Total Equipment Cost]]+Table_Controls_Input23[[#This Row],[Total Labor Cost]])</f>
        <v/>
      </c>
      <c r="Q29" s="72" t="str">
        <f>IFERROR(Table_Controls_Input23[[#This Row],[Gross Measure Cost]]-Table_Controls_Input23[[#This Row],[Estimated Incentive]], "")</f>
        <v/>
      </c>
      <c r="R29" s="73" t="str">
        <f t="shared" si="1"/>
        <v/>
      </c>
      <c r="S29" s="113" t="str">
        <f>_xlfn.CONCAT(Table_Controls_Input23[[#This Row],[Window Film Measure]], Table_Controls_Input23[[#This Row],[Window Direction]])</f>
        <v/>
      </c>
      <c r="T29" s="3"/>
      <c r="U29" s="3"/>
      <c r="V29" s="3"/>
      <c r="W29" s="3"/>
      <c r="X29" s="3"/>
      <c r="Y29" s="3"/>
      <c r="Z29" s="3"/>
      <c r="AA29" s="3"/>
      <c r="AB29" s="3"/>
      <c r="AC29" s="3"/>
      <c r="AD29" s="3"/>
      <c r="AE29" s="3"/>
      <c r="AF29" s="3"/>
      <c r="AG29" s="3"/>
      <c r="AH29" s="3"/>
      <c r="AI29" s="3"/>
      <c r="AJ29" s="3"/>
      <c r="AK29" s="3"/>
      <c r="AL29" s="3"/>
      <c r="AM29" s="3"/>
      <c r="AN29" s="3"/>
    </row>
    <row r="30" spans="1:40" x14ac:dyDescent="0.2">
      <c r="A30" s="3"/>
      <c r="B30" s="71">
        <v>26</v>
      </c>
      <c r="C30" s="69" t="str">
        <f>IFERROR(INDEX(Table_WinFilm_Savings[Measure No], MATCH(Table_Controls_Input23[[#This Row],[Measure Lookup Detail]], Table_WinFilm_Savings[Lookup Detail], 0)), "")</f>
        <v/>
      </c>
      <c r="D30" s="61"/>
      <c r="E30" s="60"/>
      <c r="F30" s="69" t="str">
        <f>IFERROR(INDEX(Table_Prescript_Meas[Units], MATCH(Table_Controls_Input23[[#This Row],[Measure Number]], Table_Prescript_Meas[Measure Number], 0)), "")</f>
        <v/>
      </c>
      <c r="G30" s="49"/>
      <c r="H30" s="272"/>
      <c r="I30" s="155"/>
      <c r="J30" s="155"/>
      <c r="K30"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0" s="72" t="str">
        <f>IFERROR(Table_Controls_Input23[[#This Row],[Number of Units (Sq.Ft.)]]*Table_Controls_Input23[[#This Row],[Per-Unit Incentive]], "")</f>
        <v/>
      </c>
      <c r="M30" s="73" t="str">
        <f>IFERROR(Table_Controls_Input23[[#This Row],[Number of Units (Sq.Ft.)]]*INDEX(Table_WinFilm_Savings[Deemed kWh Savings], MATCH(Table_Controls_Input23[[#This Row],[Measure Lookup Detail]], Table_WinFilm_Savings[Lookup Detail], 0)),"" )</f>
        <v/>
      </c>
      <c r="N30" s="79" t="str">
        <f>IFERROR(Table_Controls_Input23[[#This Row],[Number of Units (Sq.Ft.)]]*INDEX(Table_WinFilm_Savings[Deemed kW Savings], MATCH(Table_Controls_Input23[[#This Row],[Measure Lookup Detail]], Table_WinFilm_Savings[Lookup Detail], 0)),"" )</f>
        <v/>
      </c>
      <c r="O30" s="72" t="str">
        <f t="shared" si="0"/>
        <v/>
      </c>
      <c r="P30" s="72" t="str">
        <f>IF(Table_Controls_Input23[[#This Row],[Measure Number]]="", "", Table_Controls_Input23[[#This Row],[Total Equipment Cost]]+Table_Controls_Input23[[#This Row],[Total Labor Cost]])</f>
        <v/>
      </c>
      <c r="Q30" s="72" t="str">
        <f>IFERROR(Table_Controls_Input23[[#This Row],[Gross Measure Cost]]-Table_Controls_Input23[[#This Row],[Estimated Incentive]], "")</f>
        <v/>
      </c>
      <c r="R30" s="73" t="str">
        <f t="shared" si="1"/>
        <v/>
      </c>
      <c r="S30" s="113" t="str">
        <f>_xlfn.CONCAT(Table_Controls_Input23[[#This Row],[Window Film Measure]], Table_Controls_Input23[[#This Row],[Window Direction]])</f>
        <v/>
      </c>
      <c r="T30" s="3"/>
      <c r="U30" s="3"/>
      <c r="V30" s="3"/>
      <c r="W30" s="3"/>
      <c r="X30" s="3"/>
      <c r="Y30" s="3"/>
      <c r="Z30" s="3"/>
      <c r="AA30" s="3"/>
      <c r="AB30" s="3"/>
      <c r="AC30" s="3"/>
      <c r="AD30" s="3"/>
      <c r="AE30" s="3"/>
      <c r="AF30" s="3"/>
      <c r="AG30" s="3"/>
      <c r="AH30" s="3"/>
      <c r="AI30" s="3"/>
      <c r="AJ30" s="3"/>
      <c r="AK30" s="3"/>
      <c r="AL30" s="3"/>
      <c r="AM30" s="3"/>
      <c r="AN30" s="3"/>
    </row>
    <row r="31" spans="1:40" x14ac:dyDescent="0.2">
      <c r="A31" s="4"/>
      <c r="B31" s="71">
        <v>27</v>
      </c>
      <c r="C31" s="69" t="str">
        <f>IFERROR(INDEX(Table_WinFilm_Savings[Measure No], MATCH(Table_Controls_Input23[[#This Row],[Measure Lookup Detail]], Table_WinFilm_Savings[Lookup Detail], 0)), "")</f>
        <v/>
      </c>
      <c r="D31" s="61"/>
      <c r="E31" s="60"/>
      <c r="F31" s="69" t="str">
        <f>IFERROR(INDEX(Table_Prescript_Meas[Units], MATCH(Table_Controls_Input23[[#This Row],[Measure Number]], Table_Prescript_Meas[Measure Number], 0)), "")</f>
        <v/>
      </c>
      <c r="G31" s="49"/>
      <c r="H31" s="272"/>
      <c r="I31" s="155"/>
      <c r="J31" s="155"/>
      <c r="K31"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1" s="72" t="str">
        <f>IFERROR(Table_Controls_Input23[[#This Row],[Number of Units (Sq.Ft.)]]*Table_Controls_Input23[[#This Row],[Per-Unit Incentive]], "")</f>
        <v/>
      </c>
      <c r="M31" s="73" t="str">
        <f>IFERROR(Table_Controls_Input23[[#This Row],[Number of Units (Sq.Ft.)]]*INDEX(Table_WinFilm_Savings[Deemed kWh Savings], MATCH(Table_Controls_Input23[[#This Row],[Measure Lookup Detail]], Table_WinFilm_Savings[Lookup Detail], 0)),"" )</f>
        <v/>
      </c>
      <c r="N31" s="79" t="str">
        <f>IFERROR(Table_Controls_Input23[[#This Row],[Number of Units (Sq.Ft.)]]*INDEX(Table_WinFilm_Savings[Deemed kW Savings], MATCH(Table_Controls_Input23[[#This Row],[Measure Lookup Detail]], Table_WinFilm_Savings[Lookup Detail], 0)),"" )</f>
        <v/>
      </c>
      <c r="O31" s="72" t="str">
        <f t="shared" si="0"/>
        <v/>
      </c>
      <c r="P31" s="72" t="str">
        <f>IF(Table_Controls_Input23[[#This Row],[Measure Number]]="", "", Table_Controls_Input23[[#This Row],[Total Equipment Cost]]+Table_Controls_Input23[[#This Row],[Total Labor Cost]])</f>
        <v/>
      </c>
      <c r="Q31" s="72" t="str">
        <f>IFERROR(Table_Controls_Input23[[#This Row],[Gross Measure Cost]]-Table_Controls_Input23[[#This Row],[Estimated Incentive]], "")</f>
        <v/>
      </c>
      <c r="R31" s="73" t="str">
        <f t="shared" si="1"/>
        <v/>
      </c>
      <c r="S31" s="113" t="str">
        <f>_xlfn.CONCAT(Table_Controls_Input23[[#This Row],[Window Film Measure]], Table_Controls_Input23[[#This Row],[Window Direction]])</f>
        <v/>
      </c>
      <c r="T31" s="4"/>
      <c r="U31" s="4"/>
      <c r="V31" s="4"/>
      <c r="W31" s="4"/>
      <c r="X31" s="4"/>
      <c r="Y31" s="4"/>
      <c r="Z31" s="4"/>
      <c r="AA31" s="4"/>
      <c r="AB31" s="4"/>
      <c r="AC31" s="4"/>
      <c r="AD31" s="4"/>
      <c r="AE31" s="4"/>
      <c r="AF31" s="4"/>
      <c r="AG31" s="4"/>
      <c r="AH31" s="4"/>
      <c r="AI31" s="4"/>
      <c r="AJ31" s="4"/>
      <c r="AK31" s="4"/>
      <c r="AL31" s="4"/>
      <c r="AM31" s="4"/>
      <c r="AN31" s="4"/>
    </row>
    <row r="32" spans="1:40" x14ac:dyDescent="0.2">
      <c r="A32" s="4"/>
      <c r="B32" s="71">
        <v>28</v>
      </c>
      <c r="C32" s="69" t="str">
        <f>IFERROR(INDEX(Table_WinFilm_Savings[Measure No], MATCH(Table_Controls_Input23[[#This Row],[Measure Lookup Detail]], Table_WinFilm_Savings[Lookup Detail], 0)), "")</f>
        <v/>
      </c>
      <c r="D32" s="61"/>
      <c r="E32" s="60"/>
      <c r="F32" s="69" t="str">
        <f>IFERROR(INDEX(Table_Prescript_Meas[Units], MATCH(Table_Controls_Input23[[#This Row],[Measure Number]], Table_Prescript_Meas[Measure Number], 0)), "")</f>
        <v/>
      </c>
      <c r="G32" s="49"/>
      <c r="H32" s="272"/>
      <c r="I32" s="155"/>
      <c r="J32" s="155"/>
      <c r="K32"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2" s="72" t="str">
        <f>IFERROR(Table_Controls_Input23[[#This Row],[Number of Units (Sq.Ft.)]]*Table_Controls_Input23[[#This Row],[Per-Unit Incentive]], "")</f>
        <v/>
      </c>
      <c r="M32" s="73" t="str">
        <f>IFERROR(Table_Controls_Input23[[#This Row],[Number of Units (Sq.Ft.)]]*INDEX(Table_WinFilm_Savings[Deemed kWh Savings], MATCH(Table_Controls_Input23[[#This Row],[Measure Lookup Detail]], Table_WinFilm_Savings[Lookup Detail], 0)),"" )</f>
        <v/>
      </c>
      <c r="N32" s="79" t="str">
        <f>IFERROR(Table_Controls_Input23[[#This Row],[Number of Units (Sq.Ft.)]]*INDEX(Table_WinFilm_Savings[Deemed kW Savings], MATCH(Table_Controls_Input23[[#This Row],[Measure Lookup Detail]], Table_WinFilm_Savings[Lookup Detail], 0)),"" )</f>
        <v/>
      </c>
      <c r="O32" s="72" t="str">
        <f t="shared" si="0"/>
        <v/>
      </c>
      <c r="P32" s="72" t="str">
        <f>IF(Table_Controls_Input23[[#This Row],[Measure Number]]="", "", Table_Controls_Input23[[#This Row],[Total Equipment Cost]]+Table_Controls_Input23[[#This Row],[Total Labor Cost]])</f>
        <v/>
      </c>
      <c r="Q32" s="72" t="str">
        <f>IFERROR(Table_Controls_Input23[[#This Row],[Gross Measure Cost]]-Table_Controls_Input23[[#This Row],[Estimated Incentive]], "")</f>
        <v/>
      </c>
      <c r="R32" s="73" t="str">
        <f t="shared" si="1"/>
        <v/>
      </c>
      <c r="S32" s="113" t="str">
        <f>_xlfn.CONCAT(Table_Controls_Input23[[#This Row],[Window Film Measure]], Table_Controls_Input23[[#This Row],[Window Direction]])</f>
        <v/>
      </c>
      <c r="T32" s="4"/>
      <c r="U32" s="4"/>
      <c r="V32" s="4"/>
      <c r="W32" s="4"/>
      <c r="X32" s="4"/>
      <c r="Y32" s="4"/>
      <c r="Z32" s="4"/>
      <c r="AA32" s="4"/>
      <c r="AB32" s="4"/>
      <c r="AC32" s="4"/>
      <c r="AD32" s="4"/>
      <c r="AE32" s="4"/>
      <c r="AF32" s="4"/>
      <c r="AG32" s="4"/>
      <c r="AH32" s="4"/>
      <c r="AI32" s="4"/>
      <c r="AJ32" s="4"/>
      <c r="AK32" s="4"/>
      <c r="AL32" s="4"/>
      <c r="AM32" s="4"/>
      <c r="AN32" s="4"/>
    </row>
    <row r="33" spans="1:40" x14ac:dyDescent="0.2">
      <c r="A33" s="4"/>
      <c r="B33" s="71">
        <v>29</v>
      </c>
      <c r="C33" s="69" t="str">
        <f>IFERROR(INDEX(Table_WinFilm_Savings[Measure No], MATCH(Table_Controls_Input23[[#This Row],[Measure Lookup Detail]], Table_WinFilm_Savings[Lookup Detail], 0)), "")</f>
        <v/>
      </c>
      <c r="D33" s="61"/>
      <c r="E33" s="60"/>
      <c r="F33" s="69" t="str">
        <f>IFERROR(INDEX(Table_Prescript_Meas[Units], MATCH(Table_Controls_Input23[[#This Row],[Measure Number]], Table_Prescript_Meas[Measure Number], 0)), "")</f>
        <v/>
      </c>
      <c r="G33" s="49"/>
      <c r="H33" s="272"/>
      <c r="I33" s="155"/>
      <c r="J33" s="155"/>
      <c r="K33"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3" s="72" t="str">
        <f>IFERROR(Table_Controls_Input23[[#This Row],[Number of Units (Sq.Ft.)]]*Table_Controls_Input23[[#This Row],[Per-Unit Incentive]], "")</f>
        <v/>
      </c>
      <c r="M33" s="73" t="str">
        <f>IFERROR(Table_Controls_Input23[[#This Row],[Number of Units (Sq.Ft.)]]*INDEX(Table_WinFilm_Savings[Deemed kWh Savings], MATCH(Table_Controls_Input23[[#This Row],[Measure Lookup Detail]], Table_WinFilm_Savings[Lookup Detail], 0)),"" )</f>
        <v/>
      </c>
      <c r="N33" s="79" t="str">
        <f>IFERROR(Table_Controls_Input23[[#This Row],[Number of Units (Sq.Ft.)]]*INDEX(Table_WinFilm_Savings[Deemed kW Savings], MATCH(Table_Controls_Input23[[#This Row],[Measure Lookup Detail]], Table_WinFilm_Savings[Lookup Detail], 0)),"" )</f>
        <v/>
      </c>
      <c r="O33" s="72" t="str">
        <f t="shared" si="0"/>
        <v/>
      </c>
      <c r="P33" s="72" t="str">
        <f>IF(Table_Controls_Input23[[#This Row],[Measure Number]]="", "", Table_Controls_Input23[[#This Row],[Total Equipment Cost]]+Table_Controls_Input23[[#This Row],[Total Labor Cost]])</f>
        <v/>
      </c>
      <c r="Q33" s="72" t="str">
        <f>IFERROR(Table_Controls_Input23[[#This Row],[Gross Measure Cost]]-Table_Controls_Input23[[#This Row],[Estimated Incentive]], "")</f>
        <v/>
      </c>
      <c r="R33" s="73" t="str">
        <f t="shared" si="1"/>
        <v/>
      </c>
      <c r="S33" s="113" t="str">
        <f>_xlfn.CONCAT(Table_Controls_Input23[[#This Row],[Window Film Measure]], Table_Controls_Input23[[#This Row],[Window Direction]])</f>
        <v/>
      </c>
      <c r="T33" s="4"/>
      <c r="U33" s="4"/>
      <c r="V33" s="4"/>
      <c r="W33" s="4"/>
      <c r="X33" s="4"/>
      <c r="Y33" s="4"/>
      <c r="Z33" s="4"/>
      <c r="AA33" s="4"/>
      <c r="AB33" s="4"/>
      <c r="AC33" s="4"/>
      <c r="AD33" s="4"/>
      <c r="AE33" s="4"/>
      <c r="AF33" s="4"/>
      <c r="AG33" s="4"/>
      <c r="AH33" s="4"/>
      <c r="AI33" s="4"/>
      <c r="AJ33" s="4"/>
      <c r="AK33" s="4"/>
      <c r="AL33" s="4"/>
      <c r="AM33" s="4"/>
      <c r="AN33" s="4"/>
    </row>
    <row r="34" spans="1:40" x14ac:dyDescent="0.2">
      <c r="A34" s="4"/>
      <c r="B34" s="71">
        <v>30</v>
      </c>
      <c r="C34" s="69" t="str">
        <f>IFERROR(INDEX(Table_WinFilm_Savings[Measure No], MATCH(Table_Controls_Input23[[#This Row],[Measure Lookup Detail]], Table_WinFilm_Savings[Lookup Detail], 0)), "")</f>
        <v/>
      </c>
      <c r="D34" s="61"/>
      <c r="E34" s="60"/>
      <c r="F34" s="69" t="str">
        <f>IFERROR(INDEX(Table_Prescript_Meas[Units], MATCH(Table_Controls_Input23[[#This Row],[Measure Number]], Table_Prescript_Meas[Measure Number], 0)), "")</f>
        <v/>
      </c>
      <c r="G34" s="49"/>
      <c r="H34" s="272"/>
      <c r="I34" s="155"/>
      <c r="J34" s="155"/>
      <c r="K34" s="72" t="str">
        <f>IFERROR(IF(Input_ProgramType=References!$W$4, INDEX(Table_Prescript_Meas[Incentive - SC], MATCH(Table_Controls_Input23[[#This Row],[Measure Number]], Table_Prescript_Meas[Measure Number], 0)), INDEX(Table_Prescript_Meas[Incentive - LC], MATCH(Table_Controls_Input23[[#This Row],[Measure Number]], Table_Prescript_Meas[Measure Number], 0))), "")</f>
        <v/>
      </c>
      <c r="L34" s="72" t="str">
        <f>IFERROR(Table_Controls_Input23[[#This Row],[Number of Units (Sq.Ft.)]]*Table_Controls_Input23[[#This Row],[Per-Unit Incentive]], "")</f>
        <v/>
      </c>
      <c r="M34" s="73" t="str">
        <f>IFERROR(Table_Controls_Input23[[#This Row],[Number of Units (Sq.Ft.)]]*INDEX(Table_WinFilm_Savings[Deemed kWh Savings], MATCH(Table_Controls_Input23[[#This Row],[Measure Lookup Detail]], Table_WinFilm_Savings[Lookup Detail], 0)),"" )</f>
        <v/>
      </c>
      <c r="N34" s="79" t="str">
        <f>IFERROR(Table_Controls_Input23[[#This Row],[Number of Units (Sq.Ft.)]]*INDEX(Table_WinFilm_Savings[Deemed kW Savings], MATCH(Table_Controls_Input23[[#This Row],[Measure Lookup Detail]], Table_WinFilm_Savings[Lookup Detail], 0)),"" )</f>
        <v/>
      </c>
      <c r="O34" s="72" t="str">
        <f t="shared" si="0"/>
        <v/>
      </c>
      <c r="P34" s="72" t="str">
        <f>IF(Table_Controls_Input23[[#This Row],[Measure Number]]="", "", Table_Controls_Input23[[#This Row],[Total Equipment Cost]]+Table_Controls_Input23[[#This Row],[Total Labor Cost]])</f>
        <v/>
      </c>
      <c r="Q34" s="72" t="str">
        <f>IFERROR(Table_Controls_Input23[[#This Row],[Gross Measure Cost]]-Table_Controls_Input23[[#This Row],[Estimated Incentive]], "")</f>
        <v/>
      </c>
      <c r="R34" s="73" t="str">
        <f t="shared" si="1"/>
        <v/>
      </c>
      <c r="S34" s="113" t="str">
        <f>_xlfn.CONCAT(Table_Controls_Input23[[#This Row],[Window Film Measure]], Table_Controls_Input23[[#This Row],[Window Direction]])</f>
        <v/>
      </c>
      <c r="T34" s="4"/>
      <c r="U34" s="4"/>
      <c r="V34" s="4"/>
      <c r="W34" s="4"/>
      <c r="X34" s="4"/>
      <c r="Y34" s="4"/>
      <c r="Z34" s="4"/>
      <c r="AA34" s="4"/>
      <c r="AB34" s="4"/>
      <c r="AC34" s="4"/>
      <c r="AD34" s="4"/>
      <c r="AE34" s="4"/>
      <c r="AF34" s="4"/>
      <c r="AG34" s="4"/>
      <c r="AH34" s="4"/>
      <c r="AI34" s="4"/>
      <c r="AJ34" s="4"/>
      <c r="AK34" s="4"/>
      <c r="AL34" s="4"/>
      <c r="AM34" s="4"/>
      <c r="AN34" s="4"/>
    </row>
    <row r="35" spans="1:40" x14ac:dyDescent="0.2">
      <c r="A35" s="4"/>
      <c r="S35" s="111"/>
      <c r="T35" s="4"/>
      <c r="U35" s="4"/>
      <c r="V35" s="4"/>
      <c r="W35" s="4"/>
      <c r="X35" s="4"/>
      <c r="Y35" s="4"/>
      <c r="Z35" s="4"/>
      <c r="AA35" s="4"/>
      <c r="AB35" s="4"/>
      <c r="AC35" s="4"/>
      <c r="AD35" s="4"/>
      <c r="AE35" s="4"/>
      <c r="AF35" s="4"/>
      <c r="AG35" s="4"/>
      <c r="AH35" s="4"/>
      <c r="AI35" s="4"/>
      <c r="AJ35" s="4"/>
      <c r="AK35" s="4"/>
      <c r="AL35" s="4"/>
      <c r="AM35" s="4"/>
      <c r="AN35" s="4"/>
    </row>
    <row r="36" spans="1:40" x14ac:dyDescent="0.2">
      <c r="S36"/>
    </row>
    <row r="37" spans="1:40" x14ac:dyDescent="0.2">
      <c r="B37" t="s">
        <v>11</v>
      </c>
      <c r="S37"/>
    </row>
    <row r="38" spans="1:40" x14ac:dyDescent="0.2">
      <c r="B38" t="str">
        <f>Value_Application_Version</f>
        <v>Version 5.0</v>
      </c>
      <c r="S38"/>
    </row>
    <row r="39" spans="1:40" x14ac:dyDescent="0.2">
      <c r="S39"/>
    </row>
    <row r="40" spans="1:40" x14ac:dyDescent="0.2">
      <c r="A40" s="4"/>
      <c r="S40" s="111"/>
      <c r="T40" s="4"/>
      <c r="U40" s="4"/>
      <c r="V40" s="4"/>
      <c r="W40" s="4"/>
      <c r="X40" s="4"/>
      <c r="Y40" s="4"/>
      <c r="Z40" s="4"/>
      <c r="AA40" s="4"/>
      <c r="AB40" s="4"/>
      <c r="AC40" s="4"/>
      <c r="AD40" s="4"/>
      <c r="AE40" s="4"/>
      <c r="AF40" s="4"/>
      <c r="AG40" s="4"/>
      <c r="AH40" s="4"/>
      <c r="AI40" s="4"/>
      <c r="AJ40" s="4"/>
      <c r="AK40" s="4"/>
      <c r="AL40" s="4"/>
      <c r="AM40" s="4"/>
      <c r="AN40" s="4"/>
    </row>
    <row r="41" spans="1:40" x14ac:dyDescent="0.2">
      <c r="A41" s="4"/>
      <c r="S41" s="111"/>
      <c r="T41" s="4"/>
      <c r="U41" s="4"/>
      <c r="V41" s="4"/>
      <c r="W41" s="4"/>
      <c r="X41" s="4"/>
      <c r="Y41" s="4"/>
      <c r="Z41" s="4"/>
      <c r="AA41" s="4"/>
      <c r="AB41" s="4"/>
      <c r="AC41" s="4"/>
      <c r="AD41" s="4"/>
      <c r="AE41" s="4"/>
      <c r="AF41" s="4"/>
      <c r="AG41" s="4"/>
      <c r="AH41" s="4"/>
      <c r="AI41" s="4"/>
      <c r="AJ41" s="4"/>
      <c r="AK41" s="4"/>
      <c r="AL41" s="4"/>
      <c r="AM41" s="4"/>
      <c r="AN41" s="4"/>
    </row>
    <row r="42" spans="1:40" x14ac:dyDescent="0.2">
      <c r="A42" s="4"/>
      <c r="S42" s="111"/>
      <c r="T42" s="4"/>
      <c r="U42" s="4"/>
      <c r="V42" s="4"/>
      <c r="W42" s="4"/>
      <c r="X42" s="4"/>
      <c r="Y42" s="4"/>
      <c r="Z42" s="4"/>
      <c r="AA42" s="4"/>
      <c r="AB42" s="4"/>
      <c r="AC42" s="4"/>
      <c r="AD42" s="4"/>
      <c r="AE42" s="4"/>
      <c r="AF42" s="4"/>
      <c r="AG42" s="4"/>
      <c r="AH42" s="4"/>
      <c r="AI42" s="4"/>
      <c r="AJ42" s="4"/>
      <c r="AK42" s="4"/>
      <c r="AL42" s="4"/>
      <c r="AM42" s="4"/>
      <c r="AN42" s="4"/>
    </row>
    <row r="43" spans="1:40" x14ac:dyDescent="0.2">
      <c r="A43" s="4"/>
      <c r="S43" s="111"/>
      <c r="T43" s="4"/>
      <c r="U43" s="4"/>
      <c r="V43" s="4"/>
      <c r="W43" s="4"/>
      <c r="X43" s="4"/>
      <c r="Y43" s="4"/>
      <c r="Z43" s="4"/>
      <c r="AA43" s="4"/>
      <c r="AB43" s="4"/>
      <c r="AC43" s="4"/>
      <c r="AD43" s="4"/>
      <c r="AE43" s="4"/>
      <c r="AF43" s="4"/>
      <c r="AG43" s="4"/>
      <c r="AH43" s="4"/>
      <c r="AI43" s="4"/>
      <c r="AJ43" s="4"/>
      <c r="AK43" s="4"/>
      <c r="AL43" s="4"/>
      <c r="AM43" s="4"/>
      <c r="AN43" s="4"/>
    </row>
    <row r="44" spans="1:40" x14ac:dyDescent="0.2">
      <c r="A44" s="4"/>
      <c r="S44" s="111"/>
      <c r="T44" s="4"/>
      <c r="U44" s="4"/>
      <c r="V44" s="4"/>
      <c r="W44" s="4"/>
      <c r="X44" s="4"/>
      <c r="Y44" s="4"/>
      <c r="Z44" s="4"/>
      <c r="AA44" s="4"/>
      <c r="AB44" s="4"/>
      <c r="AC44" s="4"/>
      <c r="AD44" s="4"/>
      <c r="AE44" s="4"/>
      <c r="AF44" s="4"/>
      <c r="AG44" s="4"/>
      <c r="AH44" s="4"/>
      <c r="AI44" s="4"/>
      <c r="AJ44" s="4"/>
      <c r="AK44" s="4"/>
      <c r="AL44" s="4"/>
      <c r="AM44" s="4"/>
      <c r="AN44" s="4"/>
    </row>
    <row r="45" spans="1:40" x14ac:dyDescent="0.2">
      <c r="A45" s="4"/>
      <c r="S45" s="111"/>
      <c r="T45" s="4"/>
      <c r="U45" s="4"/>
      <c r="V45" s="4"/>
      <c r="W45" s="4"/>
      <c r="X45" s="4"/>
      <c r="Y45" s="4"/>
      <c r="Z45" s="4"/>
      <c r="AA45" s="4"/>
      <c r="AB45" s="4"/>
      <c r="AC45" s="4"/>
      <c r="AD45" s="4"/>
      <c r="AE45" s="4"/>
      <c r="AF45" s="4"/>
      <c r="AG45" s="4"/>
      <c r="AH45" s="4"/>
      <c r="AI45" s="4"/>
      <c r="AJ45" s="4"/>
      <c r="AK45" s="4"/>
      <c r="AL45" s="4"/>
      <c r="AM45" s="4"/>
      <c r="AN45" s="4"/>
    </row>
    <row r="46" spans="1:40" x14ac:dyDescent="0.2">
      <c r="A46" s="4"/>
      <c r="S46" s="111"/>
      <c r="T46" s="4"/>
      <c r="U46" s="4"/>
      <c r="V46" s="4"/>
      <c r="W46" s="4"/>
      <c r="X46" s="4"/>
      <c r="Y46" s="4"/>
      <c r="Z46" s="4"/>
      <c r="AA46" s="4"/>
      <c r="AB46" s="4"/>
      <c r="AC46" s="4"/>
      <c r="AD46" s="4"/>
      <c r="AE46" s="4"/>
      <c r="AF46" s="4"/>
      <c r="AG46" s="4"/>
      <c r="AH46" s="4"/>
      <c r="AI46" s="4"/>
      <c r="AJ46" s="4"/>
      <c r="AK46" s="4"/>
      <c r="AL46" s="4"/>
      <c r="AM46" s="4"/>
      <c r="AN46" s="4"/>
    </row>
    <row r="47" spans="1:40" x14ac:dyDescent="0.2">
      <c r="A47" s="4"/>
      <c r="S47" s="111"/>
      <c r="T47" s="4"/>
      <c r="U47" s="4"/>
      <c r="V47" s="4"/>
      <c r="W47" s="4"/>
      <c r="X47" s="4"/>
      <c r="Y47" s="4"/>
      <c r="Z47" s="4"/>
      <c r="AA47" s="4"/>
      <c r="AB47" s="4"/>
      <c r="AC47" s="4"/>
      <c r="AD47" s="4"/>
      <c r="AE47" s="4"/>
      <c r="AF47" s="4"/>
      <c r="AG47" s="4"/>
      <c r="AH47" s="4"/>
      <c r="AI47" s="4"/>
      <c r="AJ47" s="4"/>
      <c r="AK47" s="4"/>
      <c r="AL47" s="4"/>
      <c r="AM47" s="4"/>
      <c r="AN47" s="4"/>
    </row>
    <row r="48" spans="1:40" x14ac:dyDescent="0.2">
      <c r="A48" s="4"/>
      <c r="S48" s="111"/>
      <c r="T48" s="4"/>
      <c r="U48" s="4"/>
      <c r="V48" s="4"/>
      <c r="W48" s="4"/>
      <c r="X48" s="4"/>
      <c r="Y48" s="4"/>
      <c r="Z48" s="4"/>
      <c r="AA48" s="4"/>
      <c r="AB48" s="4"/>
      <c r="AC48" s="4"/>
      <c r="AD48" s="4"/>
      <c r="AE48" s="4"/>
      <c r="AF48" s="4"/>
      <c r="AG48" s="4"/>
      <c r="AH48" s="4"/>
      <c r="AI48" s="4"/>
      <c r="AJ48" s="4"/>
      <c r="AK48" s="4"/>
      <c r="AL48" s="4"/>
      <c r="AM48" s="4"/>
      <c r="AN48" s="4"/>
    </row>
    <row r="49" spans="1:40" x14ac:dyDescent="0.2">
      <c r="A49" s="4"/>
      <c r="S49" s="111"/>
      <c r="T49" s="4"/>
      <c r="U49" s="4"/>
      <c r="V49" s="4"/>
      <c r="W49" s="4"/>
      <c r="X49" s="4"/>
      <c r="Y49" s="4"/>
      <c r="Z49" s="4"/>
      <c r="AA49" s="4"/>
      <c r="AB49" s="4"/>
      <c r="AC49" s="4"/>
      <c r="AD49" s="4"/>
      <c r="AE49" s="4"/>
      <c r="AF49" s="4"/>
      <c r="AG49" s="4"/>
      <c r="AH49" s="4"/>
      <c r="AI49" s="4"/>
      <c r="AJ49" s="4"/>
      <c r="AK49" s="4"/>
      <c r="AL49" s="4"/>
      <c r="AM49" s="4"/>
      <c r="AN49" s="4"/>
    </row>
    <row r="50" spans="1:40" x14ac:dyDescent="0.2">
      <c r="A50" s="4"/>
      <c r="S50" s="111"/>
      <c r="T50" s="4"/>
      <c r="U50" s="4"/>
      <c r="V50" s="4"/>
      <c r="W50" s="4"/>
      <c r="X50" s="4"/>
      <c r="Y50" s="4"/>
      <c r="Z50" s="4"/>
      <c r="AA50" s="4"/>
      <c r="AB50" s="4"/>
      <c r="AC50" s="4"/>
      <c r="AD50" s="4"/>
      <c r="AE50" s="4"/>
      <c r="AF50" s="4"/>
      <c r="AG50" s="4"/>
      <c r="AH50" s="4"/>
      <c r="AI50" s="4"/>
      <c r="AJ50" s="4"/>
      <c r="AK50" s="4"/>
      <c r="AL50" s="4"/>
      <c r="AM50" s="4"/>
      <c r="AN50" s="4"/>
    </row>
    <row r="51" spans="1:40" x14ac:dyDescent="0.2">
      <c r="A51" s="4"/>
      <c r="S51" s="111"/>
      <c r="T51" s="4"/>
      <c r="U51" s="4"/>
      <c r="V51" s="4"/>
      <c r="W51" s="4"/>
      <c r="X51" s="4"/>
      <c r="Y51" s="4"/>
      <c r="Z51" s="4"/>
      <c r="AA51" s="4"/>
      <c r="AB51" s="4"/>
      <c r="AC51" s="4"/>
      <c r="AD51" s="4"/>
      <c r="AE51" s="4"/>
      <c r="AF51" s="4"/>
      <c r="AG51" s="4"/>
      <c r="AH51" s="4"/>
      <c r="AI51" s="4"/>
      <c r="AJ51" s="4"/>
      <c r="AK51" s="4"/>
      <c r="AL51" s="4"/>
      <c r="AM51" s="4"/>
      <c r="AN51" s="4"/>
    </row>
    <row r="52" spans="1:40" x14ac:dyDescent="0.2">
      <c r="A52" s="4"/>
      <c r="S52" s="111"/>
      <c r="T52" s="4"/>
      <c r="U52" s="4"/>
      <c r="V52" s="4"/>
      <c r="W52" s="4"/>
      <c r="X52" s="4"/>
      <c r="Y52" s="4"/>
      <c r="Z52" s="4"/>
      <c r="AA52" s="4"/>
      <c r="AB52" s="4"/>
      <c r="AC52" s="4"/>
      <c r="AD52" s="4"/>
      <c r="AE52" s="4"/>
      <c r="AF52" s="4"/>
      <c r="AG52" s="4"/>
      <c r="AH52" s="4"/>
      <c r="AI52" s="4"/>
      <c r="AJ52" s="4"/>
      <c r="AK52" s="4"/>
      <c r="AL52" s="4"/>
      <c r="AM52" s="4"/>
      <c r="AN52" s="4"/>
    </row>
    <row r="53" spans="1:40" x14ac:dyDescent="0.2">
      <c r="A53" s="4"/>
      <c r="S53" s="111"/>
      <c r="T53" s="4"/>
      <c r="U53" s="4"/>
      <c r="V53" s="4"/>
      <c r="W53" s="4"/>
      <c r="X53" s="4"/>
      <c r="Y53" s="4"/>
      <c r="Z53" s="4"/>
      <c r="AA53" s="4"/>
      <c r="AB53" s="4"/>
      <c r="AC53" s="4"/>
      <c r="AD53" s="4"/>
      <c r="AE53" s="4"/>
      <c r="AF53" s="4"/>
      <c r="AG53" s="4"/>
      <c r="AH53" s="4"/>
      <c r="AI53" s="4"/>
      <c r="AJ53" s="4"/>
      <c r="AK53" s="4"/>
      <c r="AL53" s="4"/>
      <c r="AM53" s="4"/>
      <c r="AN53" s="4"/>
    </row>
    <row r="54" spans="1:40" x14ac:dyDescent="0.2">
      <c r="A54" s="4"/>
      <c r="S54" s="111"/>
      <c r="T54" s="4"/>
      <c r="U54" s="4"/>
      <c r="V54" s="4"/>
      <c r="W54" s="4"/>
      <c r="X54" s="4"/>
      <c r="Y54" s="4"/>
      <c r="Z54" s="4"/>
      <c r="AA54" s="4"/>
      <c r="AB54" s="4"/>
      <c r="AC54" s="4"/>
      <c r="AD54" s="4"/>
      <c r="AE54" s="4"/>
      <c r="AF54" s="4"/>
      <c r="AG54" s="4"/>
      <c r="AH54" s="4"/>
      <c r="AI54" s="4"/>
      <c r="AJ54" s="4"/>
      <c r="AK54" s="4"/>
      <c r="AL54" s="4"/>
      <c r="AM54" s="4"/>
      <c r="AN54" s="4"/>
    </row>
    <row r="55" spans="1:40" x14ac:dyDescent="0.2">
      <c r="A55" s="4"/>
      <c r="S55" s="111"/>
      <c r="T55" s="4"/>
      <c r="U55" s="4"/>
      <c r="V55" s="4"/>
      <c r="W55" s="4"/>
      <c r="X55" s="4"/>
      <c r="Y55" s="4"/>
      <c r="Z55" s="4"/>
      <c r="AA55" s="4"/>
      <c r="AB55" s="4"/>
      <c r="AC55" s="4"/>
      <c r="AD55" s="4"/>
      <c r="AE55" s="4"/>
      <c r="AF55" s="4"/>
      <c r="AG55" s="4"/>
      <c r="AH55" s="4"/>
      <c r="AI55" s="4"/>
      <c r="AJ55" s="4"/>
      <c r="AK55" s="4"/>
      <c r="AL55" s="4"/>
      <c r="AM55" s="4"/>
      <c r="AN55" s="4"/>
    </row>
    <row r="56" spans="1:40" x14ac:dyDescent="0.2">
      <c r="A56" s="4"/>
      <c r="S56" s="111"/>
      <c r="T56" s="4"/>
      <c r="U56" s="4"/>
      <c r="V56" s="4"/>
      <c r="W56" s="4"/>
      <c r="X56" s="4"/>
      <c r="Y56" s="4"/>
      <c r="Z56" s="4"/>
      <c r="AA56" s="4"/>
      <c r="AB56" s="4"/>
      <c r="AC56" s="4"/>
      <c r="AD56" s="4"/>
      <c r="AE56" s="4"/>
      <c r="AF56" s="4"/>
      <c r="AG56" s="4"/>
      <c r="AH56" s="4"/>
      <c r="AI56" s="4"/>
      <c r="AJ56" s="4"/>
      <c r="AK56" s="4"/>
      <c r="AL56" s="4"/>
      <c r="AM56" s="4"/>
      <c r="AN56" s="4"/>
    </row>
    <row r="57" spans="1:40" x14ac:dyDescent="0.2">
      <c r="A57" s="4"/>
      <c r="S57" s="111"/>
      <c r="T57" s="4"/>
      <c r="U57" s="4"/>
      <c r="V57" s="4"/>
      <c r="W57" s="4"/>
      <c r="X57" s="4"/>
      <c r="Y57" s="4"/>
      <c r="Z57" s="4"/>
      <c r="AA57" s="4"/>
      <c r="AB57" s="4"/>
      <c r="AC57" s="4"/>
      <c r="AD57" s="4"/>
      <c r="AE57" s="4"/>
      <c r="AF57" s="4"/>
      <c r="AG57" s="4"/>
      <c r="AH57" s="4"/>
      <c r="AI57" s="4"/>
      <c r="AJ57" s="4"/>
      <c r="AK57" s="4"/>
      <c r="AL57" s="4"/>
      <c r="AM57" s="4"/>
      <c r="AN57" s="4"/>
    </row>
    <row r="58" spans="1:40" x14ac:dyDescent="0.2">
      <c r="A58" s="4"/>
      <c r="S58" s="111"/>
      <c r="T58" s="4"/>
      <c r="U58" s="4"/>
      <c r="V58" s="4"/>
      <c r="W58" s="4"/>
      <c r="X58" s="4"/>
      <c r="Y58" s="4"/>
      <c r="Z58" s="4"/>
      <c r="AA58" s="4"/>
      <c r="AB58" s="4"/>
      <c r="AC58" s="4"/>
      <c r="AD58" s="4"/>
      <c r="AE58" s="4"/>
      <c r="AF58" s="4"/>
      <c r="AG58" s="4"/>
      <c r="AH58" s="4"/>
      <c r="AI58" s="4"/>
      <c r="AJ58" s="4"/>
      <c r="AK58" s="4"/>
      <c r="AL58" s="4"/>
      <c r="AM58" s="4"/>
      <c r="AN58" s="4"/>
    </row>
    <row r="59" spans="1:40" x14ac:dyDescent="0.2">
      <c r="A59" s="4"/>
      <c r="S59" s="111"/>
      <c r="T59" s="4"/>
      <c r="U59" s="4"/>
      <c r="V59" s="4"/>
      <c r="W59" s="4"/>
      <c r="X59" s="4"/>
      <c r="Y59" s="4"/>
      <c r="Z59" s="4"/>
      <c r="AA59" s="4"/>
      <c r="AB59" s="4"/>
      <c r="AC59" s="4"/>
      <c r="AD59" s="4"/>
      <c r="AE59" s="4"/>
      <c r="AF59" s="4"/>
      <c r="AG59" s="4"/>
      <c r="AH59" s="4"/>
      <c r="AI59" s="4"/>
      <c r="AJ59" s="4"/>
      <c r="AK59" s="4"/>
      <c r="AL59" s="4"/>
      <c r="AM59" s="4"/>
      <c r="AN59" s="4"/>
    </row>
    <row r="60" spans="1:40" x14ac:dyDescent="0.2">
      <c r="A60" s="4"/>
      <c r="S60" s="111"/>
      <c r="T60" s="4"/>
      <c r="U60" s="4"/>
      <c r="V60" s="4"/>
      <c r="W60" s="4"/>
      <c r="X60" s="4"/>
      <c r="Y60" s="4"/>
      <c r="Z60" s="4"/>
      <c r="AA60" s="4"/>
      <c r="AB60" s="4"/>
      <c r="AC60" s="4"/>
      <c r="AD60" s="4"/>
      <c r="AE60" s="4"/>
      <c r="AF60" s="4"/>
      <c r="AG60" s="4"/>
      <c r="AH60" s="4"/>
      <c r="AI60" s="4"/>
      <c r="AJ60" s="4"/>
      <c r="AK60" s="4"/>
      <c r="AL60" s="4"/>
      <c r="AM60" s="4"/>
      <c r="AN60" s="4"/>
    </row>
    <row r="61" spans="1:40" x14ac:dyDescent="0.2">
      <c r="A61" s="4"/>
      <c r="S61" s="111"/>
      <c r="T61" s="4"/>
      <c r="U61" s="4"/>
      <c r="V61" s="4"/>
      <c r="W61" s="4"/>
      <c r="X61" s="4"/>
      <c r="Y61" s="4"/>
      <c r="Z61" s="4"/>
      <c r="AA61" s="4"/>
      <c r="AB61" s="4"/>
      <c r="AC61" s="4"/>
      <c r="AD61" s="4"/>
      <c r="AE61" s="4"/>
      <c r="AF61" s="4"/>
      <c r="AG61" s="4"/>
      <c r="AH61" s="4"/>
      <c r="AI61" s="4"/>
      <c r="AJ61" s="4"/>
      <c r="AK61" s="4"/>
      <c r="AL61" s="4"/>
      <c r="AM61" s="4"/>
      <c r="AN61" s="4"/>
    </row>
    <row r="62" spans="1:40" x14ac:dyDescent="0.2">
      <c r="A62" s="4"/>
      <c r="S62" s="111"/>
      <c r="T62" s="4"/>
      <c r="U62" s="4"/>
      <c r="V62" s="4"/>
      <c r="W62" s="4"/>
      <c r="X62" s="4"/>
      <c r="Y62" s="4"/>
      <c r="Z62" s="4"/>
      <c r="AA62" s="4"/>
      <c r="AB62" s="4"/>
      <c r="AC62" s="4"/>
      <c r="AD62" s="4"/>
      <c r="AE62" s="4"/>
      <c r="AF62" s="4"/>
      <c r="AG62" s="4"/>
      <c r="AH62" s="4"/>
      <c r="AI62" s="4"/>
      <c r="AJ62" s="4"/>
      <c r="AK62" s="4"/>
      <c r="AL62" s="4"/>
      <c r="AM62" s="4"/>
      <c r="AN62" s="4"/>
    </row>
    <row r="63" spans="1:40" x14ac:dyDescent="0.2">
      <c r="A63" s="4"/>
      <c r="S63" s="111"/>
      <c r="T63" s="4"/>
      <c r="U63" s="4"/>
      <c r="V63" s="4"/>
      <c r="W63" s="4"/>
      <c r="X63" s="4"/>
      <c r="Y63" s="4"/>
      <c r="Z63" s="4"/>
      <c r="AA63" s="4"/>
      <c r="AB63" s="4"/>
      <c r="AC63" s="4"/>
      <c r="AD63" s="4"/>
      <c r="AE63" s="4"/>
      <c r="AF63" s="4"/>
      <c r="AG63" s="4"/>
      <c r="AH63" s="4"/>
      <c r="AI63" s="4"/>
      <c r="AJ63" s="4"/>
      <c r="AK63" s="4"/>
      <c r="AL63" s="4"/>
      <c r="AM63" s="4"/>
      <c r="AN63" s="4"/>
    </row>
    <row r="64" spans="1:40" x14ac:dyDescent="0.2">
      <c r="A64" s="4"/>
      <c r="S64" s="111"/>
      <c r="T64" s="4"/>
      <c r="U64" s="4"/>
      <c r="V64" s="4"/>
      <c r="W64" s="4"/>
      <c r="X64" s="4"/>
      <c r="Y64" s="4"/>
      <c r="Z64" s="4"/>
      <c r="AA64" s="4"/>
      <c r="AB64" s="4"/>
      <c r="AC64" s="4"/>
      <c r="AD64" s="4"/>
      <c r="AE64" s="4"/>
      <c r="AF64" s="4"/>
      <c r="AG64" s="4"/>
      <c r="AH64" s="4"/>
      <c r="AI64" s="4"/>
      <c r="AJ64" s="4"/>
      <c r="AK64" s="4"/>
      <c r="AL64" s="4"/>
      <c r="AM64" s="4"/>
      <c r="AN64" s="4"/>
    </row>
    <row r="65" spans="1:40" x14ac:dyDescent="0.2">
      <c r="A65" s="4"/>
      <c r="S65" s="111"/>
      <c r="T65" s="4"/>
      <c r="U65" s="4"/>
      <c r="V65" s="4"/>
      <c r="W65" s="4"/>
      <c r="X65" s="4"/>
      <c r="Y65" s="4"/>
      <c r="Z65" s="4"/>
      <c r="AA65" s="4"/>
      <c r="AB65" s="4"/>
      <c r="AC65" s="4"/>
      <c r="AD65" s="4"/>
      <c r="AE65" s="4"/>
      <c r="AF65" s="4"/>
      <c r="AG65" s="4"/>
      <c r="AH65" s="4"/>
      <c r="AI65" s="4"/>
      <c r="AJ65" s="4"/>
      <c r="AK65" s="4"/>
      <c r="AL65" s="4"/>
      <c r="AM65" s="4"/>
      <c r="AN65" s="4"/>
    </row>
    <row r="66" spans="1:40" x14ac:dyDescent="0.2">
      <c r="A66" s="4"/>
      <c r="S66" s="111"/>
      <c r="T66" s="4"/>
      <c r="U66" s="4"/>
      <c r="V66" s="4"/>
      <c r="W66" s="4"/>
      <c r="X66" s="4"/>
      <c r="Y66" s="4"/>
      <c r="Z66" s="4"/>
      <c r="AA66" s="4"/>
      <c r="AB66" s="4"/>
      <c r="AC66" s="4"/>
      <c r="AD66" s="4"/>
      <c r="AE66" s="4"/>
      <c r="AF66" s="4"/>
      <c r="AG66" s="4"/>
      <c r="AH66" s="4"/>
      <c r="AI66" s="4"/>
      <c r="AJ66" s="4"/>
      <c r="AK66" s="4"/>
      <c r="AL66" s="4"/>
      <c r="AM66" s="4"/>
      <c r="AN66" s="4"/>
    </row>
    <row r="67" spans="1:40" x14ac:dyDescent="0.2">
      <c r="A67" s="4"/>
      <c r="S67" s="111"/>
      <c r="T67" s="4"/>
      <c r="U67" s="4"/>
      <c r="V67" s="4"/>
      <c r="W67" s="4"/>
      <c r="X67" s="4"/>
      <c r="Y67" s="4"/>
      <c r="Z67" s="4"/>
      <c r="AA67" s="4"/>
      <c r="AB67" s="4"/>
      <c r="AC67" s="4"/>
      <c r="AD67" s="4"/>
      <c r="AE67" s="4"/>
      <c r="AF67" s="4"/>
      <c r="AG67" s="4"/>
      <c r="AH67" s="4"/>
      <c r="AI67" s="4"/>
      <c r="AJ67" s="4"/>
      <c r="AK67" s="4"/>
      <c r="AL67" s="4"/>
      <c r="AM67" s="4"/>
      <c r="AN67" s="4"/>
    </row>
    <row r="68" spans="1:40" x14ac:dyDescent="0.2">
      <c r="A68" s="4"/>
      <c r="S68" s="111"/>
      <c r="T68" s="4"/>
      <c r="U68" s="4"/>
      <c r="V68" s="4"/>
      <c r="W68" s="4"/>
      <c r="X68" s="4"/>
      <c r="Y68" s="4"/>
      <c r="Z68" s="4"/>
      <c r="AA68" s="4"/>
      <c r="AB68" s="4"/>
      <c r="AC68" s="4"/>
      <c r="AD68" s="4"/>
      <c r="AE68" s="4"/>
      <c r="AF68" s="4"/>
      <c r="AG68" s="4"/>
      <c r="AH68" s="4"/>
      <c r="AI68" s="4"/>
      <c r="AJ68" s="4"/>
      <c r="AK68" s="4"/>
      <c r="AL68" s="4"/>
      <c r="AM68" s="4"/>
      <c r="AN68" s="4"/>
    </row>
    <row r="69" spans="1:40" x14ac:dyDescent="0.2">
      <c r="A69" s="4"/>
      <c r="S69" s="111"/>
      <c r="T69" s="4"/>
      <c r="U69" s="4"/>
      <c r="V69" s="4"/>
      <c r="W69" s="4"/>
      <c r="X69" s="4"/>
      <c r="Y69" s="4"/>
      <c r="Z69" s="4"/>
      <c r="AA69" s="4"/>
      <c r="AB69" s="4"/>
      <c r="AC69" s="4"/>
      <c r="AD69" s="4"/>
      <c r="AE69" s="4"/>
      <c r="AF69" s="4"/>
      <c r="AG69" s="4"/>
      <c r="AH69" s="4"/>
      <c r="AI69" s="4"/>
      <c r="AJ69" s="4"/>
      <c r="AK69" s="4"/>
      <c r="AL69" s="4"/>
      <c r="AM69" s="4"/>
      <c r="AN69" s="4"/>
    </row>
    <row r="70" spans="1:40" x14ac:dyDescent="0.2">
      <c r="A70" s="4"/>
      <c r="S70" s="111"/>
      <c r="T70" s="4"/>
      <c r="U70" s="4"/>
      <c r="V70" s="4"/>
      <c r="W70" s="4"/>
      <c r="X70" s="4"/>
      <c r="Y70" s="4"/>
      <c r="Z70" s="4"/>
      <c r="AA70" s="4"/>
      <c r="AB70" s="4"/>
      <c r="AC70" s="4"/>
      <c r="AD70" s="4"/>
      <c r="AE70" s="4"/>
      <c r="AF70" s="4"/>
      <c r="AG70" s="4"/>
      <c r="AH70" s="4"/>
      <c r="AI70" s="4"/>
      <c r="AJ70" s="4"/>
      <c r="AK70" s="4"/>
      <c r="AL70" s="4"/>
      <c r="AM70" s="4"/>
      <c r="AN70" s="4"/>
    </row>
    <row r="71" spans="1:40" x14ac:dyDescent="0.2">
      <c r="A71" s="4"/>
      <c r="S71" s="111"/>
      <c r="T71" s="4"/>
      <c r="U71" s="4"/>
      <c r="V71" s="4"/>
      <c r="W71" s="4"/>
      <c r="X71" s="4"/>
      <c r="Y71" s="4"/>
      <c r="Z71" s="4"/>
      <c r="AA71" s="4"/>
      <c r="AB71" s="4"/>
      <c r="AC71" s="4"/>
      <c r="AD71" s="4"/>
      <c r="AE71" s="4"/>
      <c r="AF71" s="4"/>
      <c r="AG71" s="4"/>
      <c r="AH71" s="4"/>
      <c r="AI71" s="4"/>
      <c r="AJ71" s="4"/>
      <c r="AK71" s="4"/>
      <c r="AL71" s="4"/>
      <c r="AM71" s="4"/>
      <c r="AN71" s="4"/>
    </row>
    <row r="72" spans="1:40" x14ac:dyDescent="0.2">
      <c r="A72" s="4"/>
      <c r="S72" s="111"/>
      <c r="T72" s="4"/>
      <c r="U72" s="4"/>
      <c r="V72" s="4"/>
      <c r="W72" s="4"/>
      <c r="X72" s="4"/>
      <c r="Y72" s="4"/>
      <c r="Z72" s="4"/>
      <c r="AA72" s="4"/>
      <c r="AB72" s="4"/>
      <c r="AC72" s="4"/>
      <c r="AD72" s="4"/>
      <c r="AE72" s="4"/>
      <c r="AF72" s="4"/>
      <c r="AG72" s="4"/>
      <c r="AH72" s="4"/>
      <c r="AI72" s="4"/>
      <c r="AJ72" s="4"/>
      <c r="AK72" s="4"/>
      <c r="AL72" s="4"/>
      <c r="AM72" s="4"/>
      <c r="AN72" s="4"/>
    </row>
    <row r="73" spans="1:40" x14ac:dyDescent="0.2">
      <c r="A73" s="4"/>
      <c r="S73" s="111"/>
      <c r="T73" s="4"/>
      <c r="U73" s="4"/>
      <c r="V73" s="4"/>
      <c r="W73" s="4"/>
      <c r="X73" s="4"/>
      <c r="Y73" s="4"/>
      <c r="Z73" s="4"/>
      <c r="AA73" s="4"/>
      <c r="AB73" s="4"/>
      <c r="AC73" s="4"/>
      <c r="AD73" s="4"/>
      <c r="AE73" s="4"/>
      <c r="AF73" s="4"/>
      <c r="AG73" s="4"/>
      <c r="AH73" s="4"/>
      <c r="AI73" s="4"/>
      <c r="AJ73" s="4"/>
      <c r="AK73" s="4"/>
      <c r="AL73" s="4"/>
      <c r="AM73" s="4"/>
      <c r="AN73" s="4"/>
    </row>
    <row r="74" spans="1:40" x14ac:dyDescent="0.2">
      <c r="A74" s="4"/>
      <c r="S74" s="111"/>
      <c r="T74" s="4"/>
      <c r="U74" s="4"/>
      <c r="V74" s="4"/>
      <c r="W74" s="4"/>
      <c r="X74" s="4"/>
      <c r="Y74" s="4"/>
      <c r="Z74" s="4"/>
      <c r="AA74" s="4"/>
      <c r="AB74" s="4"/>
      <c r="AC74" s="4"/>
      <c r="AD74" s="4"/>
      <c r="AE74" s="4"/>
      <c r="AF74" s="4"/>
      <c r="AG74" s="4"/>
      <c r="AH74" s="4"/>
      <c r="AI74" s="4"/>
      <c r="AJ74" s="4"/>
      <c r="AK74" s="4"/>
      <c r="AL74" s="4"/>
      <c r="AM74" s="4"/>
      <c r="AN74" s="4"/>
    </row>
    <row r="75" spans="1:40" x14ac:dyDescent="0.2">
      <c r="A75" s="4"/>
      <c r="S75" s="111"/>
      <c r="T75" s="4"/>
      <c r="U75" s="4"/>
      <c r="V75" s="4"/>
      <c r="W75" s="4"/>
      <c r="X75" s="4"/>
      <c r="Y75" s="4"/>
      <c r="Z75" s="4"/>
      <c r="AA75" s="4"/>
      <c r="AB75" s="4"/>
      <c r="AC75" s="4"/>
      <c r="AD75" s="4"/>
      <c r="AE75" s="4"/>
      <c r="AF75" s="4"/>
      <c r="AG75" s="4"/>
      <c r="AH75" s="4"/>
      <c r="AI75" s="4"/>
      <c r="AJ75" s="4"/>
      <c r="AK75" s="4"/>
      <c r="AL75" s="4"/>
      <c r="AM75" s="4"/>
      <c r="AN75" s="4"/>
    </row>
    <row r="76" spans="1:40" x14ac:dyDescent="0.2">
      <c r="A76" s="4"/>
      <c r="S76" s="111"/>
      <c r="T76" s="4"/>
      <c r="U76" s="4"/>
      <c r="V76" s="4"/>
      <c r="W76" s="4"/>
      <c r="X76" s="4"/>
      <c r="Y76" s="4"/>
      <c r="Z76" s="4"/>
      <c r="AA76" s="4"/>
      <c r="AB76" s="4"/>
      <c r="AC76" s="4"/>
      <c r="AD76" s="4"/>
      <c r="AE76" s="4"/>
      <c r="AF76" s="4"/>
      <c r="AG76" s="4"/>
      <c r="AH76" s="4"/>
      <c r="AI76" s="4"/>
      <c r="AJ76" s="4"/>
      <c r="AK76" s="4"/>
      <c r="AL76" s="4"/>
      <c r="AM76" s="4"/>
      <c r="AN76" s="4"/>
    </row>
    <row r="77" spans="1:40" x14ac:dyDescent="0.2">
      <c r="A77" s="4"/>
      <c r="S77" s="111"/>
      <c r="T77" s="4"/>
      <c r="U77" s="4"/>
      <c r="V77" s="4"/>
      <c r="W77" s="4"/>
      <c r="X77" s="4"/>
      <c r="Y77" s="4"/>
      <c r="Z77" s="4"/>
      <c r="AA77" s="4"/>
      <c r="AB77" s="4"/>
      <c r="AC77" s="4"/>
      <c r="AD77" s="4"/>
      <c r="AE77" s="4"/>
      <c r="AF77" s="4"/>
      <c r="AG77" s="4"/>
      <c r="AH77" s="4"/>
      <c r="AI77" s="4"/>
      <c r="AJ77" s="4"/>
      <c r="AK77" s="4"/>
      <c r="AL77" s="4"/>
      <c r="AM77" s="4"/>
      <c r="AN77" s="4"/>
    </row>
    <row r="78" spans="1:40" x14ac:dyDescent="0.2">
      <c r="A78" s="4"/>
      <c r="S78" s="111"/>
      <c r="T78" s="4"/>
      <c r="U78" s="4"/>
      <c r="V78" s="4"/>
      <c r="W78" s="4"/>
      <c r="X78" s="4"/>
      <c r="Y78" s="4"/>
      <c r="Z78" s="4"/>
      <c r="AA78" s="4"/>
      <c r="AB78" s="4"/>
      <c r="AC78" s="4"/>
      <c r="AD78" s="4"/>
      <c r="AE78" s="4"/>
      <c r="AF78" s="4"/>
      <c r="AG78" s="4"/>
      <c r="AH78" s="4"/>
      <c r="AI78" s="4"/>
      <c r="AJ78" s="4"/>
      <c r="AK78" s="4"/>
      <c r="AL78" s="4"/>
      <c r="AM78" s="4"/>
      <c r="AN78" s="4"/>
    </row>
    <row r="79" spans="1:40" x14ac:dyDescent="0.2">
      <c r="A79" s="4"/>
      <c r="S79" s="111"/>
      <c r="T79" s="4"/>
      <c r="U79" s="4"/>
      <c r="V79" s="4"/>
      <c r="W79" s="4"/>
      <c r="X79" s="4"/>
      <c r="Y79" s="4"/>
      <c r="Z79" s="4"/>
      <c r="AA79" s="4"/>
      <c r="AB79" s="4"/>
      <c r="AC79" s="4"/>
      <c r="AD79" s="4"/>
      <c r="AE79" s="4"/>
      <c r="AF79" s="4"/>
      <c r="AG79" s="4"/>
      <c r="AH79" s="4"/>
      <c r="AI79" s="4"/>
      <c r="AJ79" s="4"/>
      <c r="AK79" s="4"/>
      <c r="AL79" s="4"/>
      <c r="AM79" s="4"/>
      <c r="AN79" s="4"/>
    </row>
    <row r="80" spans="1:40" x14ac:dyDescent="0.2">
      <c r="A80" s="4"/>
      <c r="S80" s="111"/>
      <c r="T80" s="4"/>
      <c r="U80" s="4"/>
      <c r="V80" s="4"/>
      <c r="W80" s="4"/>
      <c r="X80" s="4"/>
      <c r="Y80" s="4"/>
      <c r="Z80" s="4"/>
      <c r="AA80" s="4"/>
      <c r="AB80" s="4"/>
      <c r="AC80" s="4"/>
      <c r="AD80" s="4"/>
      <c r="AE80" s="4"/>
      <c r="AF80" s="4"/>
      <c r="AG80" s="4"/>
      <c r="AH80" s="4"/>
      <c r="AI80" s="4"/>
      <c r="AJ80" s="4"/>
      <c r="AK80" s="4"/>
      <c r="AL80" s="4"/>
      <c r="AM80" s="4"/>
      <c r="AN80" s="4"/>
    </row>
    <row r="81" spans="1:40" x14ac:dyDescent="0.2">
      <c r="A81" s="4"/>
      <c r="S81" s="111"/>
      <c r="T81" s="4"/>
      <c r="U81" s="4"/>
      <c r="V81" s="4"/>
      <c r="W81" s="4"/>
      <c r="X81" s="4"/>
      <c r="Y81" s="4"/>
      <c r="Z81" s="4"/>
      <c r="AA81" s="4"/>
      <c r="AB81" s="4"/>
      <c r="AC81" s="4"/>
      <c r="AD81" s="4"/>
      <c r="AE81" s="4"/>
      <c r="AF81" s="4"/>
      <c r="AG81" s="4"/>
      <c r="AH81" s="4"/>
      <c r="AI81" s="4"/>
      <c r="AJ81" s="4"/>
      <c r="AK81" s="4"/>
      <c r="AL81" s="4"/>
      <c r="AM81" s="4"/>
      <c r="AN81" s="4"/>
    </row>
    <row r="82" spans="1:40" x14ac:dyDescent="0.2">
      <c r="A82" s="4"/>
      <c r="S82" s="111"/>
      <c r="T82" s="4"/>
      <c r="U82" s="4"/>
      <c r="V82" s="4"/>
      <c r="W82" s="4"/>
      <c r="X82" s="4"/>
      <c r="Y82" s="4"/>
      <c r="Z82" s="4"/>
      <c r="AA82" s="4"/>
      <c r="AB82" s="4"/>
      <c r="AC82" s="4"/>
      <c r="AD82" s="4"/>
      <c r="AE82" s="4"/>
      <c r="AF82" s="4"/>
      <c r="AG82" s="4"/>
      <c r="AH82" s="4"/>
      <c r="AI82" s="4"/>
      <c r="AJ82" s="4"/>
      <c r="AK82" s="4"/>
      <c r="AL82" s="4"/>
      <c r="AM82" s="4"/>
      <c r="AN82" s="4"/>
    </row>
    <row r="83" spans="1:40" x14ac:dyDescent="0.2">
      <c r="A83" s="4"/>
      <c r="S83" s="111"/>
      <c r="T83" s="4"/>
      <c r="U83" s="4"/>
      <c r="V83" s="4"/>
      <c r="W83" s="4"/>
      <c r="X83" s="4"/>
      <c r="Y83" s="4"/>
      <c r="Z83" s="4"/>
      <c r="AA83" s="4"/>
      <c r="AB83" s="4"/>
      <c r="AC83" s="4"/>
      <c r="AD83" s="4"/>
      <c r="AE83" s="4"/>
      <c r="AF83" s="4"/>
      <c r="AG83" s="4"/>
      <c r="AH83" s="4"/>
      <c r="AI83" s="4"/>
      <c r="AJ83" s="4"/>
      <c r="AK83" s="4"/>
      <c r="AL83" s="4"/>
      <c r="AM83" s="4"/>
      <c r="AN83" s="4"/>
    </row>
    <row r="84" spans="1:40" x14ac:dyDescent="0.2">
      <c r="A84" s="4"/>
      <c r="S84" s="111"/>
      <c r="T84" s="4"/>
      <c r="U84" s="4"/>
      <c r="V84" s="4"/>
      <c r="W84" s="4"/>
      <c r="X84" s="4"/>
      <c r="Y84" s="4"/>
      <c r="Z84" s="4"/>
      <c r="AA84" s="4"/>
      <c r="AB84" s="4"/>
      <c r="AC84" s="4"/>
      <c r="AD84" s="4"/>
      <c r="AE84" s="4"/>
      <c r="AF84" s="4"/>
      <c r="AG84" s="4"/>
      <c r="AH84" s="4"/>
      <c r="AI84" s="4"/>
      <c r="AJ84" s="4"/>
      <c r="AK84" s="4"/>
      <c r="AL84" s="4"/>
      <c r="AM84" s="4"/>
      <c r="AN84" s="4"/>
    </row>
    <row r="85" spans="1:40" x14ac:dyDescent="0.2">
      <c r="A85" s="4"/>
      <c r="S85" s="111"/>
      <c r="T85" s="4"/>
      <c r="U85" s="4"/>
      <c r="V85" s="4"/>
      <c r="W85" s="4"/>
      <c r="X85" s="4"/>
      <c r="Y85" s="4"/>
      <c r="Z85" s="4"/>
      <c r="AA85" s="4"/>
      <c r="AB85" s="4"/>
      <c r="AC85" s="4"/>
      <c r="AD85" s="4"/>
      <c r="AE85" s="4"/>
      <c r="AF85" s="4"/>
      <c r="AG85" s="4"/>
      <c r="AH85" s="4"/>
      <c r="AI85" s="4"/>
      <c r="AJ85" s="4"/>
      <c r="AK85" s="4"/>
      <c r="AL85" s="4"/>
      <c r="AM85" s="4"/>
      <c r="AN85" s="4"/>
    </row>
    <row r="86" spans="1:40" x14ac:dyDescent="0.2">
      <c r="A86" s="4"/>
      <c r="S86" s="111"/>
      <c r="T86" s="4"/>
      <c r="U86" s="4"/>
      <c r="V86" s="4"/>
      <c r="W86" s="4"/>
      <c r="X86" s="4"/>
      <c r="Y86" s="4"/>
      <c r="Z86" s="4"/>
      <c r="AA86" s="4"/>
      <c r="AB86" s="4"/>
      <c r="AC86" s="4"/>
      <c r="AD86" s="4"/>
      <c r="AE86" s="4"/>
      <c r="AF86" s="4"/>
      <c r="AG86" s="4"/>
      <c r="AH86" s="4"/>
      <c r="AI86" s="4"/>
      <c r="AJ86" s="4"/>
      <c r="AK86" s="4"/>
      <c r="AL86" s="4"/>
      <c r="AM86" s="4"/>
      <c r="AN86" s="4"/>
    </row>
    <row r="87" spans="1:40" x14ac:dyDescent="0.2">
      <c r="A87" s="4"/>
      <c r="S87" s="111"/>
      <c r="T87" s="4"/>
      <c r="U87" s="4"/>
      <c r="V87" s="4"/>
      <c r="W87" s="4"/>
      <c r="X87" s="4"/>
      <c r="Y87" s="4"/>
      <c r="Z87" s="4"/>
      <c r="AA87" s="4"/>
      <c r="AB87" s="4"/>
      <c r="AC87" s="4"/>
      <c r="AD87" s="4"/>
      <c r="AE87" s="4"/>
      <c r="AF87" s="4"/>
      <c r="AG87" s="4"/>
      <c r="AH87" s="4"/>
      <c r="AI87" s="4"/>
      <c r="AJ87" s="4"/>
      <c r="AK87" s="4"/>
      <c r="AL87" s="4"/>
      <c r="AM87" s="4"/>
      <c r="AN87" s="4"/>
    </row>
    <row r="88" spans="1:40" x14ac:dyDescent="0.2">
      <c r="A88" s="4"/>
      <c r="S88" s="111"/>
      <c r="T88" s="4"/>
      <c r="U88" s="4"/>
      <c r="V88" s="4"/>
      <c r="W88" s="4"/>
      <c r="X88" s="4"/>
      <c r="Y88" s="4"/>
      <c r="Z88" s="4"/>
      <c r="AA88" s="4"/>
      <c r="AB88" s="4"/>
      <c r="AC88" s="4"/>
      <c r="AD88" s="4"/>
      <c r="AE88" s="4"/>
      <c r="AF88" s="4"/>
      <c r="AG88" s="4"/>
      <c r="AH88" s="4"/>
      <c r="AI88" s="4"/>
      <c r="AJ88" s="4"/>
      <c r="AK88" s="4"/>
      <c r="AL88" s="4"/>
      <c r="AM88" s="4"/>
      <c r="AN88" s="4"/>
    </row>
    <row r="89" spans="1:40" x14ac:dyDescent="0.2">
      <c r="A89" s="4"/>
      <c r="S89" s="111"/>
      <c r="T89" s="4"/>
      <c r="U89" s="4"/>
      <c r="V89" s="4"/>
      <c r="W89" s="4"/>
      <c r="X89" s="4"/>
      <c r="Y89" s="4"/>
      <c r="Z89" s="4"/>
      <c r="AA89" s="4"/>
      <c r="AB89" s="4"/>
      <c r="AC89" s="4"/>
      <c r="AD89" s="4"/>
      <c r="AE89" s="4"/>
      <c r="AF89" s="4"/>
      <c r="AG89" s="4"/>
      <c r="AH89" s="4"/>
      <c r="AI89" s="4"/>
      <c r="AJ89" s="4"/>
      <c r="AK89" s="4"/>
      <c r="AL89" s="4"/>
      <c r="AM89" s="4"/>
      <c r="AN89" s="4"/>
    </row>
    <row r="90" spans="1:40" x14ac:dyDescent="0.2">
      <c r="A90" s="4"/>
      <c r="S90" s="111"/>
      <c r="T90" s="4"/>
      <c r="U90" s="4"/>
      <c r="V90" s="4"/>
      <c r="W90" s="4"/>
      <c r="X90" s="4"/>
      <c r="Y90" s="4"/>
      <c r="Z90" s="4"/>
      <c r="AA90" s="4"/>
      <c r="AB90" s="4"/>
      <c r="AC90" s="4"/>
      <c r="AD90" s="4"/>
      <c r="AE90" s="4"/>
      <c r="AF90" s="4"/>
      <c r="AG90" s="4"/>
      <c r="AH90" s="4"/>
      <c r="AI90" s="4"/>
      <c r="AJ90" s="4"/>
      <c r="AK90" s="4"/>
      <c r="AL90" s="4"/>
      <c r="AM90" s="4"/>
      <c r="AN90" s="4"/>
    </row>
    <row r="91" spans="1:40" x14ac:dyDescent="0.2">
      <c r="A91" s="4"/>
      <c r="S91" s="111"/>
      <c r="T91" s="4"/>
      <c r="U91" s="4"/>
      <c r="V91" s="4"/>
      <c r="W91" s="4"/>
      <c r="X91" s="4"/>
      <c r="Y91" s="4"/>
      <c r="Z91" s="4"/>
      <c r="AA91" s="4"/>
      <c r="AB91" s="4"/>
      <c r="AC91" s="4"/>
      <c r="AD91" s="4"/>
      <c r="AE91" s="4"/>
      <c r="AF91" s="4"/>
      <c r="AG91" s="4"/>
      <c r="AH91" s="4"/>
      <c r="AI91" s="4"/>
      <c r="AJ91" s="4"/>
      <c r="AK91" s="4"/>
      <c r="AL91" s="4"/>
      <c r="AM91" s="4"/>
      <c r="AN91" s="4"/>
    </row>
    <row r="92" spans="1:40" x14ac:dyDescent="0.2">
      <c r="A92" s="4"/>
      <c r="S92" s="111"/>
      <c r="T92" s="4"/>
      <c r="U92" s="4"/>
      <c r="V92" s="4"/>
      <c r="W92" s="4"/>
      <c r="X92" s="4"/>
      <c r="Y92" s="4"/>
      <c r="Z92" s="4"/>
      <c r="AA92" s="4"/>
      <c r="AB92" s="4"/>
      <c r="AC92" s="4"/>
      <c r="AD92" s="4"/>
      <c r="AE92" s="4"/>
      <c r="AF92" s="4"/>
      <c r="AG92" s="4"/>
      <c r="AH92" s="4"/>
      <c r="AI92" s="4"/>
      <c r="AJ92" s="4"/>
      <c r="AK92" s="4"/>
      <c r="AL92" s="4"/>
      <c r="AM92" s="4"/>
      <c r="AN92" s="4"/>
    </row>
    <row r="93" spans="1:40" x14ac:dyDescent="0.2">
      <c r="A93" s="4"/>
      <c r="S93" s="111"/>
      <c r="T93" s="4"/>
      <c r="U93" s="4"/>
      <c r="V93" s="4"/>
      <c r="W93" s="4"/>
      <c r="X93" s="4"/>
      <c r="Y93" s="4"/>
      <c r="Z93" s="4"/>
      <c r="AA93" s="4"/>
      <c r="AB93" s="4"/>
      <c r="AC93" s="4"/>
      <c r="AD93" s="4"/>
      <c r="AE93" s="4"/>
      <c r="AF93" s="4"/>
      <c r="AG93" s="4"/>
      <c r="AH93" s="4"/>
      <c r="AI93" s="4"/>
      <c r="AJ93" s="4"/>
      <c r="AK93" s="4"/>
      <c r="AL93" s="4"/>
      <c r="AM93" s="4"/>
      <c r="AN93" s="4"/>
    </row>
    <row r="94" spans="1:40" x14ac:dyDescent="0.2">
      <c r="A94" s="4"/>
      <c r="S94" s="111"/>
      <c r="T94" s="4"/>
      <c r="U94" s="4"/>
      <c r="V94" s="4"/>
      <c r="W94" s="4"/>
      <c r="X94" s="4"/>
      <c r="Y94" s="4"/>
      <c r="Z94" s="4"/>
      <c r="AA94" s="4"/>
      <c r="AB94" s="4"/>
      <c r="AC94" s="4"/>
      <c r="AD94" s="4"/>
      <c r="AE94" s="4"/>
      <c r="AF94" s="4"/>
      <c r="AG94" s="4"/>
      <c r="AH94" s="4"/>
      <c r="AI94" s="4"/>
      <c r="AJ94" s="4"/>
      <c r="AK94" s="4"/>
      <c r="AL94" s="4"/>
      <c r="AM94" s="4"/>
      <c r="AN94" s="4"/>
    </row>
    <row r="95" spans="1:40" x14ac:dyDescent="0.2">
      <c r="A95" s="4"/>
      <c r="S95" s="111"/>
      <c r="T95" s="4"/>
      <c r="U95" s="4"/>
      <c r="V95" s="4"/>
      <c r="W95" s="4"/>
      <c r="X95" s="4"/>
      <c r="Y95" s="4"/>
      <c r="Z95" s="4"/>
      <c r="AA95" s="4"/>
      <c r="AB95" s="4"/>
      <c r="AC95" s="4"/>
      <c r="AD95" s="4"/>
      <c r="AE95" s="4"/>
      <c r="AF95" s="4"/>
      <c r="AG95" s="4"/>
      <c r="AH95" s="4"/>
      <c r="AI95" s="4"/>
      <c r="AJ95" s="4"/>
      <c r="AK95" s="4"/>
      <c r="AL95" s="4"/>
      <c r="AM95" s="4"/>
      <c r="AN95" s="4"/>
    </row>
    <row r="96" spans="1:40" x14ac:dyDescent="0.2">
      <c r="A96" s="4"/>
      <c r="S96" s="111"/>
      <c r="T96" s="4"/>
      <c r="U96" s="4"/>
      <c r="V96" s="4"/>
      <c r="W96" s="4"/>
      <c r="X96" s="4"/>
      <c r="Y96" s="4"/>
      <c r="Z96" s="4"/>
      <c r="AA96" s="4"/>
      <c r="AB96" s="4"/>
      <c r="AC96" s="4"/>
      <c r="AD96" s="4"/>
      <c r="AE96" s="4"/>
      <c r="AF96" s="4"/>
      <c r="AG96" s="4"/>
      <c r="AH96" s="4"/>
      <c r="AI96" s="4"/>
      <c r="AJ96" s="4"/>
      <c r="AK96" s="4"/>
      <c r="AL96" s="4"/>
      <c r="AM96" s="4"/>
      <c r="AN96" s="4"/>
    </row>
    <row r="97" spans="1:40" x14ac:dyDescent="0.2">
      <c r="A97" s="4"/>
      <c r="S97" s="111"/>
      <c r="T97" s="4"/>
      <c r="U97" s="4"/>
      <c r="V97" s="4"/>
      <c r="W97" s="4"/>
      <c r="X97" s="4"/>
      <c r="Y97" s="4"/>
      <c r="Z97" s="4"/>
      <c r="AA97" s="4"/>
      <c r="AB97" s="4"/>
      <c r="AC97" s="4"/>
      <c r="AD97" s="4"/>
      <c r="AE97" s="4"/>
      <c r="AF97" s="4"/>
      <c r="AG97" s="4"/>
      <c r="AH97" s="4"/>
      <c r="AI97" s="4"/>
      <c r="AJ97" s="4"/>
      <c r="AK97" s="4"/>
      <c r="AL97" s="4"/>
      <c r="AM97" s="4"/>
      <c r="AN97" s="4"/>
    </row>
    <row r="98" spans="1:40" x14ac:dyDescent="0.2">
      <c r="A98" s="4"/>
      <c r="S98" s="111"/>
      <c r="T98" s="4"/>
      <c r="U98" s="4"/>
      <c r="V98" s="4"/>
      <c r="W98" s="4"/>
      <c r="X98" s="4"/>
      <c r="Y98" s="4"/>
      <c r="Z98" s="4"/>
      <c r="AA98" s="4"/>
      <c r="AB98" s="4"/>
      <c r="AC98" s="4"/>
      <c r="AD98" s="4"/>
      <c r="AE98" s="4"/>
      <c r="AF98" s="4"/>
      <c r="AG98" s="4"/>
      <c r="AH98" s="4"/>
      <c r="AI98" s="4"/>
      <c r="AJ98" s="4"/>
      <c r="AK98" s="4"/>
      <c r="AL98" s="4"/>
      <c r="AM98" s="4"/>
      <c r="AN98" s="4"/>
    </row>
    <row r="99" spans="1:40" x14ac:dyDescent="0.2">
      <c r="A99" s="4"/>
      <c r="S99" s="111"/>
      <c r="T99" s="4"/>
      <c r="U99" s="4"/>
      <c r="V99" s="4"/>
      <c r="W99" s="4"/>
      <c r="X99" s="4"/>
      <c r="Y99" s="4"/>
      <c r="Z99" s="4"/>
      <c r="AA99" s="4"/>
      <c r="AB99" s="4"/>
      <c r="AC99" s="4"/>
      <c r="AD99" s="4"/>
      <c r="AE99" s="4"/>
      <c r="AF99" s="4"/>
      <c r="AG99" s="4"/>
      <c r="AH99" s="4"/>
      <c r="AI99" s="4"/>
      <c r="AJ99" s="4"/>
      <c r="AK99" s="4"/>
      <c r="AL99" s="4"/>
      <c r="AM99" s="4"/>
      <c r="AN99" s="4"/>
    </row>
    <row r="100" spans="1:40" x14ac:dyDescent="0.2">
      <c r="A100" s="4"/>
      <c r="S100" s="111"/>
      <c r="T100" s="4"/>
      <c r="U100" s="4"/>
      <c r="V100" s="4"/>
      <c r="W100" s="4"/>
      <c r="X100" s="4"/>
      <c r="Y100" s="4"/>
      <c r="Z100" s="4"/>
      <c r="AA100" s="4"/>
      <c r="AB100" s="4"/>
      <c r="AC100" s="4"/>
      <c r="AD100" s="4"/>
      <c r="AE100" s="4"/>
      <c r="AF100" s="4"/>
      <c r="AG100" s="4"/>
      <c r="AH100" s="4"/>
      <c r="AI100" s="4"/>
      <c r="AJ100" s="4"/>
      <c r="AK100" s="4"/>
      <c r="AL100" s="4"/>
      <c r="AM100" s="4"/>
      <c r="AN100" s="4"/>
    </row>
    <row r="101" spans="1:40" x14ac:dyDescent="0.2">
      <c r="A101" s="4"/>
      <c r="S101" s="111"/>
      <c r="T101" s="4"/>
      <c r="U101" s="4"/>
      <c r="V101" s="4"/>
      <c r="W101" s="4"/>
      <c r="X101" s="4"/>
      <c r="Y101" s="4"/>
      <c r="Z101" s="4"/>
      <c r="AA101" s="4"/>
      <c r="AB101" s="4"/>
      <c r="AC101" s="4"/>
      <c r="AD101" s="4"/>
      <c r="AE101" s="4"/>
      <c r="AF101" s="4"/>
      <c r="AG101" s="4"/>
      <c r="AH101" s="4"/>
      <c r="AI101" s="4"/>
      <c r="AJ101" s="4"/>
      <c r="AK101" s="4"/>
      <c r="AL101" s="4"/>
      <c r="AM101" s="4"/>
      <c r="AN101" s="4"/>
    </row>
    <row r="102" spans="1:40" x14ac:dyDescent="0.2">
      <c r="A102" s="4"/>
      <c r="S102" s="111"/>
      <c r="T102" s="4"/>
      <c r="U102" s="4"/>
      <c r="V102" s="4"/>
      <c r="W102" s="4"/>
      <c r="X102" s="4"/>
      <c r="Y102" s="4"/>
      <c r="Z102" s="4"/>
      <c r="AA102" s="4"/>
      <c r="AB102" s="4"/>
      <c r="AC102" s="4"/>
      <c r="AD102" s="4"/>
      <c r="AE102" s="4"/>
      <c r="AF102" s="4"/>
      <c r="AG102" s="4"/>
      <c r="AH102" s="4"/>
      <c r="AI102" s="4"/>
      <c r="AJ102" s="4"/>
      <c r="AK102" s="4"/>
      <c r="AL102" s="4"/>
      <c r="AM102" s="4"/>
      <c r="AN102" s="4"/>
    </row>
    <row r="103" spans="1:40" x14ac:dyDescent="0.2">
      <c r="A103" s="4"/>
      <c r="S103" s="111"/>
      <c r="T103" s="4"/>
      <c r="U103" s="4"/>
      <c r="V103" s="4"/>
      <c r="W103" s="4"/>
      <c r="X103" s="4"/>
      <c r="Y103" s="4"/>
      <c r="Z103" s="4"/>
      <c r="AA103" s="4"/>
      <c r="AB103" s="4"/>
      <c r="AC103" s="4"/>
      <c r="AD103" s="4"/>
      <c r="AE103" s="4"/>
      <c r="AF103" s="4"/>
      <c r="AG103" s="4"/>
      <c r="AH103" s="4"/>
      <c r="AI103" s="4"/>
      <c r="AJ103" s="4"/>
      <c r="AK103" s="4"/>
      <c r="AL103" s="4"/>
      <c r="AM103" s="4"/>
      <c r="AN103" s="4"/>
    </row>
    <row r="104" spans="1:40" x14ac:dyDescent="0.2">
      <c r="A104" s="4"/>
      <c r="S104" s="111"/>
      <c r="T104" s="4"/>
      <c r="U104" s="4"/>
      <c r="V104" s="4"/>
      <c r="W104" s="4"/>
      <c r="X104" s="4"/>
      <c r="Y104" s="4"/>
      <c r="Z104" s="4"/>
      <c r="AA104" s="4"/>
      <c r="AB104" s="4"/>
      <c r="AC104" s="4"/>
      <c r="AD104" s="4"/>
      <c r="AE104" s="4"/>
      <c r="AF104" s="4"/>
      <c r="AG104" s="4"/>
      <c r="AH104" s="4"/>
      <c r="AI104" s="4"/>
      <c r="AJ104" s="4"/>
      <c r="AK104" s="4"/>
      <c r="AL104" s="4"/>
      <c r="AM104" s="4"/>
      <c r="AN104" s="4"/>
    </row>
    <row r="105" spans="1:40" x14ac:dyDescent="0.2">
      <c r="A105" s="4"/>
      <c r="S105" s="111"/>
      <c r="T105" s="4"/>
      <c r="U105" s="4"/>
      <c r="V105" s="4"/>
      <c r="W105" s="4"/>
      <c r="X105" s="4"/>
      <c r="Y105" s="4"/>
      <c r="Z105" s="4"/>
      <c r="AA105" s="4"/>
      <c r="AB105" s="4"/>
      <c r="AC105" s="4"/>
      <c r="AD105" s="4"/>
      <c r="AE105" s="4"/>
      <c r="AF105" s="4"/>
      <c r="AG105" s="4"/>
      <c r="AH105" s="4"/>
      <c r="AI105" s="4"/>
      <c r="AJ105" s="4"/>
      <c r="AK105" s="4"/>
      <c r="AL105" s="4"/>
      <c r="AM105" s="4"/>
      <c r="AN105" s="4"/>
    </row>
    <row r="106" spans="1:40" x14ac:dyDescent="0.2">
      <c r="A106" s="4"/>
      <c r="S106" s="111"/>
      <c r="T106" s="4"/>
      <c r="U106" s="4"/>
      <c r="V106" s="4"/>
      <c r="W106" s="4"/>
      <c r="X106" s="4"/>
      <c r="Y106" s="4"/>
      <c r="Z106" s="4"/>
      <c r="AA106" s="4"/>
      <c r="AB106" s="4"/>
      <c r="AC106" s="4"/>
      <c r="AD106" s="4"/>
      <c r="AE106" s="4"/>
      <c r="AF106" s="4"/>
      <c r="AG106" s="4"/>
      <c r="AH106" s="4"/>
      <c r="AI106" s="4"/>
      <c r="AJ106" s="4"/>
      <c r="AK106" s="4"/>
      <c r="AL106" s="4"/>
      <c r="AM106" s="4"/>
      <c r="AN106" s="4"/>
    </row>
    <row r="107" spans="1:40" x14ac:dyDescent="0.2">
      <c r="A107" s="4"/>
      <c r="S107" s="111"/>
      <c r="T107" s="4"/>
      <c r="U107" s="4"/>
      <c r="V107" s="4"/>
      <c r="W107" s="4"/>
      <c r="X107" s="4"/>
      <c r="Y107" s="4"/>
      <c r="Z107" s="4"/>
      <c r="AA107" s="4"/>
      <c r="AB107" s="4"/>
      <c r="AC107" s="4"/>
      <c r="AD107" s="4"/>
      <c r="AE107" s="4"/>
      <c r="AF107" s="4"/>
      <c r="AG107" s="4"/>
      <c r="AH107" s="4"/>
      <c r="AI107" s="4"/>
      <c r="AJ107" s="4"/>
      <c r="AK107" s="4"/>
      <c r="AL107" s="4"/>
      <c r="AM107" s="4"/>
      <c r="AN107" s="4"/>
    </row>
    <row r="108" spans="1:40" x14ac:dyDescent="0.2">
      <c r="A108" s="4"/>
      <c r="S108" s="111"/>
      <c r="T108" s="4"/>
      <c r="U108" s="4"/>
      <c r="V108" s="4"/>
      <c r="W108" s="4"/>
      <c r="X108" s="4"/>
      <c r="Y108" s="4"/>
      <c r="Z108" s="4"/>
      <c r="AA108" s="4"/>
      <c r="AB108" s="4"/>
      <c r="AC108" s="4"/>
      <c r="AD108" s="4"/>
      <c r="AE108" s="4"/>
      <c r="AF108" s="4"/>
      <c r="AG108" s="4"/>
      <c r="AH108" s="4"/>
      <c r="AI108" s="4"/>
      <c r="AJ108" s="4"/>
      <c r="AK108" s="4"/>
      <c r="AL108" s="4"/>
      <c r="AM108" s="4"/>
      <c r="AN108" s="4"/>
    </row>
    <row r="109" spans="1:40" x14ac:dyDescent="0.2">
      <c r="A109" s="4"/>
      <c r="S109" s="111"/>
      <c r="T109" s="4"/>
      <c r="U109" s="4"/>
      <c r="V109" s="4"/>
      <c r="W109" s="4"/>
      <c r="X109" s="4"/>
      <c r="Y109" s="4"/>
      <c r="Z109" s="4"/>
      <c r="AA109" s="4"/>
      <c r="AB109" s="4"/>
      <c r="AC109" s="4"/>
      <c r="AD109" s="4"/>
      <c r="AE109" s="4"/>
      <c r="AF109" s="4"/>
      <c r="AG109" s="4"/>
      <c r="AH109" s="4"/>
      <c r="AI109" s="4"/>
      <c r="AJ109" s="4"/>
      <c r="AK109" s="4"/>
      <c r="AL109" s="4"/>
      <c r="AM109" s="4"/>
      <c r="AN109" s="4"/>
    </row>
    <row r="110" spans="1:40" x14ac:dyDescent="0.2">
      <c r="A110" s="4"/>
      <c r="S110" s="111"/>
      <c r="T110" s="4"/>
      <c r="U110" s="4"/>
      <c r="V110" s="4"/>
      <c r="W110" s="4"/>
      <c r="X110" s="4"/>
      <c r="Y110" s="4"/>
      <c r="Z110" s="4"/>
      <c r="AA110" s="4"/>
      <c r="AB110" s="4"/>
      <c r="AC110" s="4"/>
      <c r="AD110" s="4"/>
      <c r="AE110" s="4"/>
      <c r="AF110" s="4"/>
      <c r="AG110" s="4"/>
      <c r="AH110" s="4"/>
      <c r="AI110" s="4"/>
      <c r="AJ110" s="4"/>
      <c r="AK110" s="4"/>
      <c r="AL110" s="4"/>
      <c r="AM110" s="4"/>
      <c r="AN110" s="4"/>
    </row>
    <row r="111" spans="1:40" x14ac:dyDescent="0.2">
      <c r="A111" s="4"/>
      <c r="S111" s="111"/>
      <c r="T111" s="4"/>
      <c r="U111" s="4"/>
      <c r="V111" s="4"/>
      <c r="W111" s="4"/>
      <c r="X111" s="4"/>
      <c r="Y111" s="4"/>
      <c r="Z111" s="4"/>
      <c r="AA111" s="4"/>
      <c r="AB111" s="4"/>
      <c r="AC111" s="4"/>
      <c r="AD111" s="4"/>
      <c r="AE111" s="4"/>
      <c r="AF111" s="4"/>
      <c r="AG111" s="4"/>
      <c r="AH111" s="4"/>
      <c r="AI111" s="4"/>
      <c r="AJ111" s="4"/>
      <c r="AK111" s="4"/>
      <c r="AL111" s="4"/>
      <c r="AM111" s="4"/>
      <c r="AN111" s="4"/>
    </row>
    <row r="112" spans="1:40" x14ac:dyDescent="0.2">
      <c r="A112" s="4"/>
      <c r="S112" s="111"/>
      <c r="T112" s="4"/>
      <c r="U112" s="4"/>
      <c r="V112" s="4"/>
      <c r="W112" s="4"/>
      <c r="X112" s="4"/>
      <c r="Y112" s="4"/>
      <c r="Z112" s="4"/>
      <c r="AA112" s="4"/>
      <c r="AB112" s="4"/>
      <c r="AC112" s="4"/>
      <c r="AD112" s="4"/>
      <c r="AE112" s="4"/>
      <c r="AF112" s="4"/>
      <c r="AG112" s="4"/>
      <c r="AH112" s="4"/>
      <c r="AI112" s="4"/>
      <c r="AJ112" s="4"/>
      <c r="AK112" s="4"/>
      <c r="AL112" s="4"/>
      <c r="AM112" s="4"/>
      <c r="AN112" s="4"/>
    </row>
    <row r="113" spans="1:40" x14ac:dyDescent="0.2">
      <c r="A113" s="4"/>
      <c r="S113" s="111"/>
      <c r="T113" s="4"/>
      <c r="U113" s="4"/>
      <c r="V113" s="4"/>
      <c r="W113" s="4"/>
      <c r="X113" s="4"/>
      <c r="Y113" s="4"/>
      <c r="Z113" s="4"/>
      <c r="AA113" s="4"/>
      <c r="AB113" s="4"/>
      <c r="AC113" s="4"/>
      <c r="AD113" s="4"/>
      <c r="AE113" s="4"/>
      <c r="AF113" s="4"/>
      <c r="AG113" s="4"/>
      <c r="AH113" s="4"/>
      <c r="AI113" s="4"/>
      <c r="AJ113" s="4"/>
      <c r="AK113" s="4"/>
      <c r="AL113" s="4"/>
      <c r="AM113" s="4"/>
      <c r="AN113" s="4"/>
    </row>
    <row r="114" spans="1:40" x14ac:dyDescent="0.2">
      <c r="A114" s="4"/>
      <c r="S114" s="111"/>
      <c r="T114" s="4"/>
      <c r="U114" s="4"/>
      <c r="V114" s="4"/>
      <c r="W114" s="4"/>
      <c r="X114" s="4"/>
      <c r="Y114" s="4"/>
      <c r="Z114" s="4"/>
      <c r="AA114" s="4"/>
      <c r="AB114" s="4"/>
      <c r="AC114" s="4"/>
      <c r="AD114" s="4"/>
      <c r="AE114" s="4"/>
      <c r="AF114" s="4"/>
      <c r="AG114" s="4"/>
      <c r="AH114" s="4"/>
      <c r="AI114" s="4"/>
      <c r="AJ114" s="4"/>
      <c r="AK114" s="4"/>
      <c r="AL114" s="4"/>
      <c r="AM114" s="4"/>
      <c r="AN114" s="4"/>
    </row>
    <row r="115" spans="1:40" x14ac:dyDescent="0.2">
      <c r="A115" s="4"/>
      <c r="S115" s="111"/>
      <c r="T115" s="4"/>
      <c r="U115" s="4"/>
      <c r="V115" s="4"/>
      <c r="W115" s="4"/>
      <c r="X115" s="4"/>
      <c r="Y115" s="4"/>
      <c r="Z115" s="4"/>
      <c r="AA115" s="4"/>
      <c r="AB115" s="4"/>
      <c r="AC115" s="4"/>
      <c r="AD115" s="4"/>
      <c r="AE115" s="4"/>
      <c r="AF115" s="4"/>
      <c r="AG115" s="4"/>
      <c r="AH115" s="4"/>
      <c r="AI115" s="4"/>
      <c r="AJ115" s="4"/>
      <c r="AK115" s="4"/>
      <c r="AL115" s="4"/>
      <c r="AM115" s="4"/>
      <c r="AN115" s="4"/>
    </row>
    <row r="116" spans="1:40" x14ac:dyDescent="0.2">
      <c r="A116" s="4"/>
      <c r="S116" s="111"/>
      <c r="T116" s="4"/>
      <c r="U116" s="4"/>
      <c r="V116" s="4"/>
      <c r="W116" s="4"/>
      <c r="X116" s="4"/>
      <c r="Y116" s="4"/>
      <c r="Z116" s="4"/>
      <c r="AA116" s="4"/>
      <c r="AB116" s="4"/>
      <c r="AC116" s="4"/>
      <c r="AD116" s="4"/>
      <c r="AE116" s="4"/>
      <c r="AF116" s="4"/>
      <c r="AG116" s="4"/>
      <c r="AH116" s="4"/>
      <c r="AI116" s="4"/>
      <c r="AJ116" s="4"/>
      <c r="AK116" s="4"/>
      <c r="AL116" s="4"/>
      <c r="AM116" s="4"/>
      <c r="AN116" s="4"/>
    </row>
    <row r="117" spans="1:40" x14ac:dyDescent="0.2">
      <c r="A117" s="4"/>
      <c r="S117" s="111"/>
      <c r="T117" s="4"/>
      <c r="U117" s="4"/>
      <c r="V117" s="4"/>
      <c r="W117" s="4"/>
      <c r="X117" s="4"/>
      <c r="Y117" s="4"/>
      <c r="Z117" s="4"/>
      <c r="AA117" s="4"/>
      <c r="AB117" s="4"/>
      <c r="AC117" s="4"/>
      <c r="AD117" s="4"/>
      <c r="AE117" s="4"/>
      <c r="AF117" s="4"/>
      <c r="AG117" s="4"/>
      <c r="AH117" s="4"/>
      <c r="AI117" s="4"/>
      <c r="AJ117" s="4"/>
      <c r="AK117" s="4"/>
      <c r="AL117" s="4"/>
      <c r="AM117" s="4"/>
      <c r="AN117" s="4"/>
    </row>
    <row r="118" spans="1:40" x14ac:dyDescent="0.2">
      <c r="A118" s="4"/>
      <c r="S118" s="111"/>
      <c r="T118" s="4"/>
      <c r="U118" s="4"/>
      <c r="V118" s="4"/>
      <c r="W118" s="4"/>
      <c r="X118" s="4"/>
      <c r="Y118" s="4"/>
      <c r="Z118" s="4"/>
      <c r="AA118" s="4"/>
      <c r="AB118" s="4"/>
      <c r="AC118" s="4"/>
      <c r="AD118" s="4"/>
      <c r="AE118" s="4"/>
      <c r="AF118" s="4"/>
      <c r="AG118" s="4"/>
      <c r="AH118" s="4"/>
      <c r="AI118" s="4"/>
      <c r="AJ118" s="4"/>
      <c r="AK118" s="4"/>
      <c r="AL118" s="4"/>
      <c r="AM118" s="4"/>
      <c r="AN118" s="4"/>
    </row>
    <row r="119" spans="1:40" x14ac:dyDescent="0.2">
      <c r="A119" s="4"/>
      <c r="S119" s="111"/>
      <c r="T119" s="4"/>
      <c r="U119" s="4"/>
      <c r="V119" s="4"/>
      <c r="W119" s="4"/>
      <c r="X119" s="4"/>
      <c r="Y119" s="4"/>
      <c r="Z119" s="4"/>
      <c r="AA119" s="4"/>
      <c r="AB119" s="4"/>
      <c r="AC119" s="4"/>
      <c r="AD119" s="4"/>
      <c r="AE119" s="4"/>
      <c r="AF119" s="4"/>
      <c r="AG119" s="4"/>
      <c r="AH119" s="4"/>
      <c r="AI119" s="4"/>
      <c r="AJ119" s="4"/>
      <c r="AK119" s="4"/>
      <c r="AL119" s="4"/>
      <c r="AM119" s="4"/>
      <c r="AN119" s="4"/>
    </row>
    <row r="120" spans="1:40" x14ac:dyDescent="0.2">
      <c r="A120" s="4"/>
      <c r="S120" s="111"/>
      <c r="T120" s="4"/>
      <c r="U120" s="4"/>
      <c r="V120" s="4"/>
      <c r="W120" s="4"/>
      <c r="X120" s="4"/>
      <c r="Y120" s="4"/>
      <c r="Z120" s="4"/>
      <c r="AA120" s="4"/>
      <c r="AB120" s="4"/>
      <c r="AC120" s="4"/>
      <c r="AD120" s="4"/>
      <c r="AE120" s="4"/>
      <c r="AF120" s="4"/>
      <c r="AG120" s="4"/>
      <c r="AH120" s="4"/>
      <c r="AI120" s="4"/>
      <c r="AJ120" s="4"/>
      <c r="AK120" s="4"/>
      <c r="AL120" s="4"/>
      <c r="AM120" s="4"/>
      <c r="AN120" s="4"/>
    </row>
    <row r="121" spans="1:40" x14ac:dyDescent="0.2">
      <c r="A121" s="4"/>
      <c r="S121" s="111"/>
      <c r="T121" s="4"/>
      <c r="U121" s="4"/>
      <c r="V121" s="4"/>
      <c r="W121" s="4"/>
      <c r="X121" s="4"/>
      <c r="Y121" s="4"/>
      <c r="Z121" s="4"/>
      <c r="AA121" s="4"/>
      <c r="AB121" s="4"/>
      <c r="AC121" s="4"/>
      <c r="AD121" s="4"/>
      <c r="AE121" s="4"/>
      <c r="AF121" s="4"/>
      <c r="AG121" s="4"/>
      <c r="AH121" s="4"/>
      <c r="AI121" s="4"/>
      <c r="AJ121" s="4"/>
      <c r="AK121" s="4"/>
      <c r="AL121" s="4"/>
      <c r="AM121" s="4"/>
      <c r="AN121" s="4"/>
    </row>
    <row r="122" spans="1:40" x14ac:dyDescent="0.2">
      <c r="A122" s="4"/>
      <c r="S122" s="111"/>
      <c r="T122" s="4"/>
      <c r="U122" s="4"/>
      <c r="V122" s="4"/>
      <c r="W122" s="4"/>
      <c r="X122" s="4"/>
      <c r="Y122" s="4"/>
      <c r="Z122" s="4"/>
      <c r="AA122" s="4"/>
      <c r="AB122" s="4"/>
      <c r="AC122" s="4"/>
      <c r="AD122" s="4"/>
      <c r="AE122" s="4"/>
      <c r="AF122" s="4"/>
      <c r="AG122" s="4"/>
      <c r="AH122" s="4"/>
      <c r="AI122" s="4"/>
      <c r="AJ122" s="4"/>
      <c r="AK122" s="4"/>
      <c r="AL122" s="4"/>
      <c r="AM122" s="4"/>
      <c r="AN122" s="4"/>
    </row>
    <row r="123" spans="1:40" x14ac:dyDescent="0.2">
      <c r="A123" s="4"/>
      <c r="S123" s="111"/>
      <c r="T123" s="4"/>
      <c r="U123" s="4"/>
      <c r="V123" s="4"/>
      <c r="W123" s="4"/>
      <c r="X123" s="4"/>
      <c r="Y123" s="4"/>
      <c r="Z123" s="4"/>
      <c r="AA123" s="4"/>
      <c r="AB123" s="4"/>
      <c r="AC123" s="4"/>
      <c r="AD123" s="4"/>
      <c r="AE123" s="4"/>
      <c r="AF123" s="4"/>
      <c r="AG123" s="4"/>
      <c r="AH123" s="4"/>
      <c r="AI123" s="4"/>
      <c r="AJ123" s="4"/>
      <c r="AK123" s="4"/>
      <c r="AL123" s="4"/>
      <c r="AM123" s="4"/>
      <c r="AN123" s="4"/>
    </row>
    <row r="124" spans="1:40" x14ac:dyDescent="0.2">
      <c r="A124" s="4"/>
      <c r="S124" s="111"/>
      <c r="T124" s="4"/>
      <c r="U124" s="4"/>
      <c r="V124" s="4"/>
      <c r="W124" s="4"/>
      <c r="X124" s="4"/>
      <c r="Y124" s="4"/>
      <c r="Z124" s="4"/>
      <c r="AA124" s="4"/>
      <c r="AB124" s="4"/>
      <c r="AC124" s="4"/>
      <c r="AD124" s="4"/>
      <c r="AE124" s="4"/>
      <c r="AF124" s="4"/>
      <c r="AG124" s="4"/>
      <c r="AH124" s="4"/>
      <c r="AI124" s="4"/>
      <c r="AJ124" s="4"/>
      <c r="AK124" s="4"/>
      <c r="AL124" s="4"/>
      <c r="AM124" s="4"/>
      <c r="AN124" s="4"/>
    </row>
    <row r="125" spans="1:40" x14ac:dyDescent="0.2">
      <c r="A125" s="4"/>
      <c r="S125" s="111"/>
      <c r="T125" s="4"/>
      <c r="U125" s="4"/>
      <c r="V125" s="4"/>
      <c r="W125" s="4"/>
      <c r="X125" s="4"/>
      <c r="Y125" s="4"/>
      <c r="Z125" s="4"/>
      <c r="AA125" s="4"/>
      <c r="AB125" s="4"/>
      <c r="AC125" s="4"/>
      <c r="AD125" s="4"/>
      <c r="AE125" s="4"/>
      <c r="AF125" s="4"/>
      <c r="AG125" s="4"/>
      <c r="AH125" s="4"/>
      <c r="AI125" s="4"/>
      <c r="AJ125" s="4"/>
      <c r="AK125" s="4"/>
      <c r="AL125" s="4"/>
      <c r="AM125" s="4"/>
      <c r="AN125" s="4"/>
    </row>
    <row r="126" spans="1:40" x14ac:dyDescent="0.2">
      <c r="A126" s="4"/>
      <c r="S126" s="111"/>
      <c r="T126" s="4"/>
      <c r="U126" s="4"/>
      <c r="V126" s="4"/>
      <c r="W126" s="4"/>
      <c r="X126" s="4"/>
      <c r="Y126" s="4"/>
      <c r="Z126" s="4"/>
      <c r="AA126" s="4"/>
      <c r="AB126" s="4"/>
      <c r="AC126" s="4"/>
      <c r="AD126" s="4"/>
      <c r="AE126" s="4"/>
      <c r="AF126" s="4"/>
      <c r="AG126" s="4"/>
      <c r="AH126" s="4"/>
      <c r="AI126" s="4"/>
      <c r="AJ126" s="4"/>
      <c r="AK126" s="4"/>
      <c r="AL126" s="4"/>
      <c r="AM126" s="4"/>
      <c r="AN126" s="4"/>
    </row>
    <row r="127" spans="1:40" x14ac:dyDescent="0.2">
      <c r="A127" s="4"/>
      <c r="S127" s="111"/>
      <c r="T127" s="4"/>
      <c r="U127" s="4"/>
      <c r="V127" s="4"/>
      <c r="W127" s="4"/>
      <c r="X127" s="4"/>
      <c r="Y127" s="4"/>
      <c r="Z127" s="4"/>
      <c r="AA127" s="4"/>
      <c r="AB127" s="4"/>
      <c r="AC127" s="4"/>
      <c r="AD127" s="4"/>
      <c r="AE127" s="4"/>
      <c r="AF127" s="4"/>
      <c r="AG127" s="4"/>
      <c r="AH127" s="4"/>
      <c r="AI127" s="4"/>
      <c r="AJ127" s="4"/>
      <c r="AK127" s="4"/>
      <c r="AL127" s="4"/>
      <c r="AM127" s="4"/>
      <c r="AN127" s="4"/>
    </row>
    <row r="128" spans="1:40" x14ac:dyDescent="0.2">
      <c r="A128" s="4"/>
      <c r="S128" s="111"/>
      <c r="T128" s="4"/>
      <c r="U128" s="4"/>
      <c r="V128" s="4"/>
      <c r="W128" s="4"/>
      <c r="X128" s="4"/>
      <c r="Y128" s="4"/>
      <c r="Z128" s="4"/>
      <c r="AA128" s="4"/>
      <c r="AB128" s="4"/>
      <c r="AC128" s="4"/>
      <c r="AD128" s="4"/>
      <c r="AE128" s="4"/>
      <c r="AF128" s="4"/>
      <c r="AG128" s="4"/>
      <c r="AH128" s="4"/>
      <c r="AI128" s="4"/>
      <c r="AJ128" s="4"/>
      <c r="AK128" s="4"/>
      <c r="AL128" s="4"/>
      <c r="AM128" s="4"/>
      <c r="AN128" s="4"/>
    </row>
    <row r="129" spans="1:40" x14ac:dyDescent="0.2">
      <c r="A129" s="4"/>
      <c r="S129" s="111"/>
      <c r="T129" s="4"/>
      <c r="U129" s="4"/>
      <c r="V129" s="4"/>
      <c r="W129" s="4"/>
      <c r="X129" s="4"/>
      <c r="Y129" s="4"/>
      <c r="Z129" s="4"/>
      <c r="AA129" s="4"/>
      <c r="AB129" s="4"/>
      <c r="AC129" s="4"/>
      <c r="AD129" s="4"/>
      <c r="AE129" s="4"/>
      <c r="AF129" s="4"/>
      <c r="AG129" s="4"/>
      <c r="AH129" s="4"/>
      <c r="AI129" s="4"/>
      <c r="AJ129" s="4"/>
      <c r="AK129" s="4"/>
      <c r="AL129" s="4"/>
      <c r="AM129" s="4"/>
      <c r="AN129" s="4"/>
    </row>
    <row r="130" spans="1:40" x14ac:dyDescent="0.2">
      <c r="A130" s="4"/>
      <c r="S130" s="111"/>
      <c r="T130" s="4"/>
      <c r="U130" s="4"/>
      <c r="V130" s="4"/>
      <c r="W130" s="4"/>
      <c r="X130" s="4"/>
      <c r="Y130" s="4"/>
      <c r="Z130" s="4"/>
      <c r="AA130" s="4"/>
      <c r="AB130" s="4"/>
      <c r="AC130" s="4"/>
      <c r="AD130" s="4"/>
      <c r="AE130" s="4"/>
      <c r="AF130" s="4"/>
      <c r="AG130" s="4"/>
      <c r="AH130" s="4"/>
      <c r="AI130" s="4"/>
      <c r="AJ130" s="4"/>
      <c r="AK130" s="4"/>
      <c r="AL130" s="4"/>
      <c r="AM130" s="4"/>
      <c r="AN130" s="4"/>
    </row>
    <row r="131" spans="1:40" x14ac:dyDescent="0.2">
      <c r="A131" s="4"/>
      <c r="S131" s="111"/>
      <c r="T131" s="4"/>
      <c r="U131" s="4"/>
      <c r="V131" s="4"/>
      <c r="W131" s="4"/>
      <c r="X131" s="4"/>
      <c r="Y131" s="4"/>
      <c r="Z131" s="4"/>
      <c r="AA131" s="4"/>
      <c r="AB131" s="4"/>
      <c r="AC131" s="4"/>
      <c r="AD131" s="4"/>
      <c r="AE131" s="4"/>
      <c r="AF131" s="4"/>
      <c r="AG131" s="4"/>
      <c r="AH131" s="4"/>
      <c r="AI131" s="4"/>
      <c r="AJ131" s="4"/>
      <c r="AK131" s="4"/>
      <c r="AL131" s="4"/>
      <c r="AM131" s="4"/>
      <c r="AN131" s="4"/>
    </row>
    <row r="132" spans="1:40" x14ac:dyDescent="0.2">
      <c r="A132" s="4"/>
      <c r="S132" s="111"/>
      <c r="T132" s="4"/>
      <c r="U132" s="4"/>
      <c r="V132" s="4"/>
      <c r="W132" s="4"/>
      <c r="X132" s="4"/>
      <c r="Y132" s="4"/>
      <c r="Z132" s="4"/>
      <c r="AA132" s="4"/>
      <c r="AB132" s="4"/>
      <c r="AC132" s="4"/>
      <c r="AD132" s="4"/>
      <c r="AE132" s="4"/>
      <c r="AF132" s="4"/>
      <c r="AG132" s="4"/>
      <c r="AH132" s="4"/>
      <c r="AI132" s="4"/>
      <c r="AJ132" s="4"/>
      <c r="AK132" s="4"/>
      <c r="AL132" s="4"/>
      <c r="AM132" s="4"/>
      <c r="AN132" s="4"/>
    </row>
    <row r="133" spans="1:40" x14ac:dyDescent="0.2">
      <c r="A133" s="4"/>
      <c r="S133" s="111"/>
      <c r="T133" s="4"/>
      <c r="U133" s="4"/>
      <c r="V133" s="4"/>
      <c r="W133" s="4"/>
      <c r="X133" s="4"/>
      <c r="Y133" s="4"/>
      <c r="Z133" s="4"/>
      <c r="AA133" s="4"/>
      <c r="AB133" s="4"/>
      <c r="AC133" s="4"/>
      <c r="AD133" s="4"/>
      <c r="AE133" s="4"/>
      <c r="AF133" s="4"/>
      <c r="AG133" s="4"/>
      <c r="AH133" s="4"/>
      <c r="AI133" s="4"/>
      <c r="AJ133" s="4"/>
      <c r="AK133" s="4"/>
      <c r="AL133" s="4"/>
      <c r="AM133" s="4"/>
      <c r="AN133" s="4"/>
    </row>
    <row r="134" spans="1:40" x14ac:dyDescent="0.2">
      <c r="A134" s="4"/>
      <c r="S134" s="111"/>
      <c r="T134" s="4"/>
      <c r="U134" s="4"/>
      <c r="V134" s="4"/>
      <c r="W134" s="4"/>
      <c r="X134" s="4"/>
      <c r="Y134" s="4"/>
      <c r="Z134" s="4"/>
      <c r="AA134" s="4"/>
      <c r="AB134" s="4"/>
      <c r="AC134" s="4"/>
      <c r="AD134" s="4"/>
      <c r="AE134" s="4"/>
      <c r="AF134" s="4"/>
      <c r="AG134" s="4"/>
      <c r="AH134" s="4"/>
      <c r="AI134" s="4"/>
      <c r="AJ134" s="4"/>
      <c r="AK134" s="4"/>
      <c r="AL134" s="4"/>
      <c r="AM134" s="4"/>
      <c r="AN134" s="4"/>
    </row>
    <row r="135" spans="1:40" x14ac:dyDescent="0.2">
      <c r="A135" s="4"/>
      <c r="S135" s="111"/>
      <c r="T135" s="4"/>
      <c r="U135" s="4"/>
      <c r="V135" s="4"/>
      <c r="W135" s="4"/>
      <c r="X135" s="4"/>
      <c r="Y135" s="4"/>
      <c r="Z135" s="4"/>
      <c r="AA135" s="4"/>
      <c r="AB135" s="4"/>
      <c r="AC135" s="4"/>
      <c r="AD135" s="4"/>
      <c r="AE135" s="4"/>
      <c r="AF135" s="4"/>
      <c r="AG135" s="4"/>
      <c r="AH135" s="4"/>
      <c r="AI135" s="4"/>
      <c r="AJ135" s="4"/>
      <c r="AK135" s="4"/>
      <c r="AL135" s="4"/>
      <c r="AM135" s="4"/>
      <c r="AN135" s="4"/>
    </row>
    <row r="136" spans="1:40" x14ac:dyDescent="0.2">
      <c r="A136" s="4"/>
      <c r="S136" s="111"/>
      <c r="T136" s="4"/>
      <c r="U136" s="4"/>
      <c r="V136" s="4"/>
      <c r="W136" s="4"/>
      <c r="X136" s="4"/>
      <c r="Y136" s="4"/>
      <c r="Z136" s="4"/>
      <c r="AA136" s="4"/>
      <c r="AB136" s="4"/>
      <c r="AC136" s="4"/>
      <c r="AD136" s="4"/>
      <c r="AE136" s="4"/>
      <c r="AF136" s="4"/>
      <c r="AG136" s="4"/>
      <c r="AH136" s="4"/>
      <c r="AI136" s="4"/>
      <c r="AJ136" s="4"/>
      <c r="AK136" s="4"/>
      <c r="AL136" s="4"/>
      <c r="AM136" s="4"/>
      <c r="AN136" s="4"/>
    </row>
    <row r="137" spans="1:40" x14ac:dyDescent="0.2">
      <c r="A137" s="4"/>
      <c r="S137" s="111"/>
      <c r="T137" s="4"/>
      <c r="U137" s="4"/>
      <c r="V137" s="4"/>
      <c r="W137" s="4"/>
      <c r="X137" s="4"/>
      <c r="Y137" s="4"/>
      <c r="Z137" s="4"/>
      <c r="AA137" s="4"/>
      <c r="AB137" s="4"/>
      <c r="AC137" s="4"/>
      <c r="AD137" s="4"/>
      <c r="AE137" s="4"/>
      <c r="AF137" s="4"/>
      <c r="AG137" s="4"/>
      <c r="AH137" s="4"/>
      <c r="AI137" s="4"/>
      <c r="AJ137" s="4"/>
      <c r="AK137" s="4"/>
      <c r="AL137" s="4"/>
      <c r="AM137" s="4"/>
      <c r="AN137" s="4"/>
    </row>
    <row r="138" spans="1:40" x14ac:dyDescent="0.2">
      <c r="A138" s="4"/>
      <c r="S138" s="111"/>
      <c r="T138" s="4"/>
      <c r="U138" s="4"/>
      <c r="V138" s="4"/>
      <c r="W138" s="4"/>
      <c r="X138" s="4"/>
      <c r="Y138" s="4"/>
      <c r="Z138" s="4"/>
      <c r="AA138" s="4"/>
      <c r="AB138" s="4"/>
      <c r="AC138" s="4"/>
      <c r="AD138" s="4"/>
      <c r="AE138" s="4"/>
      <c r="AF138" s="4"/>
      <c r="AG138" s="4"/>
      <c r="AH138" s="4"/>
      <c r="AI138" s="4"/>
      <c r="AJ138" s="4"/>
      <c r="AK138" s="4"/>
      <c r="AL138" s="4"/>
      <c r="AM138" s="4"/>
      <c r="AN138" s="4"/>
    </row>
    <row r="139" spans="1:40" x14ac:dyDescent="0.2">
      <c r="A139" s="4"/>
      <c r="S139" s="111"/>
      <c r="T139" s="4"/>
      <c r="U139" s="4"/>
      <c r="V139" s="4"/>
      <c r="W139" s="4"/>
      <c r="X139" s="4"/>
      <c r="Y139" s="4"/>
      <c r="Z139" s="4"/>
      <c r="AA139" s="4"/>
      <c r="AB139" s="4"/>
      <c r="AC139" s="4"/>
      <c r="AD139" s="4"/>
      <c r="AE139" s="4"/>
      <c r="AF139" s="4"/>
      <c r="AG139" s="4"/>
      <c r="AH139" s="4"/>
      <c r="AI139" s="4"/>
      <c r="AJ139" s="4"/>
      <c r="AK139" s="4"/>
      <c r="AL139" s="4"/>
      <c r="AM139" s="4"/>
      <c r="AN139" s="4"/>
    </row>
    <row r="140" spans="1:40" x14ac:dyDescent="0.2">
      <c r="A140" s="4"/>
      <c r="S140" s="111"/>
      <c r="T140" s="4"/>
      <c r="U140" s="4"/>
      <c r="V140" s="4"/>
      <c r="W140" s="4"/>
      <c r="X140" s="4"/>
      <c r="Y140" s="4"/>
      <c r="Z140" s="4"/>
      <c r="AA140" s="4"/>
      <c r="AB140" s="4"/>
      <c r="AC140" s="4"/>
      <c r="AD140" s="4"/>
      <c r="AE140" s="4"/>
      <c r="AF140" s="4"/>
      <c r="AG140" s="4"/>
      <c r="AH140" s="4"/>
      <c r="AI140" s="4"/>
      <c r="AJ140" s="4"/>
      <c r="AK140" s="4"/>
      <c r="AL140" s="4"/>
      <c r="AM140" s="4"/>
      <c r="AN140" s="4"/>
    </row>
    <row r="141" spans="1:40" x14ac:dyDescent="0.2">
      <c r="A141" s="4"/>
      <c r="S141" s="111"/>
      <c r="T141" s="4"/>
      <c r="U141" s="4"/>
      <c r="V141" s="4"/>
      <c r="W141" s="4"/>
      <c r="X141" s="4"/>
      <c r="Y141" s="4"/>
      <c r="Z141" s="4"/>
      <c r="AA141" s="4"/>
      <c r="AB141" s="4"/>
      <c r="AC141" s="4"/>
      <c r="AD141" s="4"/>
      <c r="AE141" s="4"/>
      <c r="AF141" s="4"/>
      <c r="AG141" s="4"/>
      <c r="AH141" s="4"/>
      <c r="AI141" s="4"/>
      <c r="AJ141" s="4"/>
      <c r="AK141" s="4"/>
      <c r="AL141" s="4"/>
      <c r="AM141" s="4"/>
      <c r="AN141" s="4"/>
    </row>
    <row r="142" spans="1:40" x14ac:dyDescent="0.2">
      <c r="A142" s="4"/>
      <c r="S142" s="111"/>
      <c r="T142" s="4"/>
      <c r="U142" s="4"/>
      <c r="V142" s="4"/>
      <c r="W142" s="4"/>
      <c r="X142" s="4"/>
      <c r="Y142" s="4"/>
      <c r="Z142" s="4"/>
      <c r="AA142" s="4"/>
      <c r="AB142" s="4"/>
      <c r="AC142" s="4"/>
      <c r="AD142" s="4"/>
      <c r="AE142" s="4"/>
      <c r="AF142" s="4"/>
      <c r="AG142" s="4"/>
      <c r="AH142" s="4"/>
      <c r="AI142" s="4"/>
      <c r="AJ142" s="4"/>
      <c r="AK142" s="4"/>
      <c r="AL142" s="4"/>
      <c r="AM142" s="4"/>
      <c r="AN142" s="4"/>
    </row>
    <row r="143" spans="1:40" x14ac:dyDescent="0.2">
      <c r="A143" s="4"/>
      <c r="S143" s="111"/>
      <c r="T143" s="4"/>
      <c r="U143" s="4"/>
      <c r="V143" s="4"/>
      <c r="W143" s="4"/>
      <c r="X143" s="4"/>
      <c r="Y143" s="4"/>
      <c r="Z143" s="4"/>
      <c r="AA143" s="4"/>
      <c r="AB143" s="4"/>
      <c r="AC143" s="4"/>
      <c r="AD143" s="4"/>
      <c r="AE143" s="4"/>
      <c r="AF143" s="4"/>
      <c r="AG143" s="4"/>
      <c r="AH143" s="4"/>
      <c r="AI143" s="4"/>
      <c r="AJ143" s="4"/>
      <c r="AK143" s="4"/>
      <c r="AL143" s="4"/>
      <c r="AM143" s="4"/>
      <c r="AN143" s="4"/>
    </row>
    <row r="144" spans="1:40" x14ac:dyDescent="0.2">
      <c r="A144" s="4"/>
      <c r="S144" s="111"/>
      <c r="T144" s="4"/>
      <c r="U144" s="4"/>
      <c r="V144" s="4"/>
      <c r="W144" s="4"/>
      <c r="X144" s="4"/>
      <c r="Y144" s="4"/>
      <c r="Z144" s="4"/>
      <c r="AA144" s="4"/>
      <c r="AB144" s="4"/>
      <c r="AC144" s="4"/>
      <c r="AD144" s="4"/>
      <c r="AE144" s="4"/>
      <c r="AF144" s="4"/>
      <c r="AG144" s="4"/>
      <c r="AH144" s="4"/>
      <c r="AI144" s="4"/>
      <c r="AJ144" s="4"/>
      <c r="AK144" s="4"/>
      <c r="AL144" s="4"/>
      <c r="AM144" s="4"/>
      <c r="AN144" s="4"/>
    </row>
    <row r="145" spans="1:40" x14ac:dyDescent="0.2">
      <c r="A145" s="4"/>
      <c r="S145" s="111"/>
      <c r="T145" s="4"/>
      <c r="U145" s="4"/>
      <c r="V145" s="4"/>
      <c r="W145" s="4"/>
      <c r="X145" s="4"/>
      <c r="Y145" s="4"/>
      <c r="Z145" s="4"/>
      <c r="AA145" s="4"/>
      <c r="AB145" s="4"/>
      <c r="AC145" s="4"/>
      <c r="AD145" s="4"/>
      <c r="AE145" s="4"/>
      <c r="AF145" s="4"/>
      <c r="AG145" s="4"/>
      <c r="AH145" s="4"/>
      <c r="AI145" s="4"/>
      <c r="AJ145" s="4"/>
      <c r="AK145" s="4"/>
      <c r="AL145" s="4"/>
      <c r="AM145" s="4"/>
      <c r="AN145" s="4"/>
    </row>
    <row r="146" spans="1:40" x14ac:dyDescent="0.2">
      <c r="A146" s="4"/>
      <c r="S146" s="111"/>
      <c r="T146" s="4"/>
      <c r="U146" s="4"/>
      <c r="V146" s="4"/>
      <c r="W146" s="4"/>
      <c r="X146" s="4"/>
      <c r="Y146" s="4"/>
      <c r="Z146" s="4"/>
      <c r="AA146" s="4"/>
      <c r="AB146" s="4"/>
      <c r="AC146" s="4"/>
      <c r="AD146" s="4"/>
      <c r="AE146" s="4"/>
      <c r="AF146" s="4"/>
      <c r="AG146" s="4"/>
      <c r="AH146" s="4"/>
      <c r="AI146" s="4"/>
      <c r="AJ146" s="4"/>
      <c r="AK146" s="4"/>
      <c r="AL146" s="4"/>
      <c r="AM146" s="4"/>
      <c r="AN146" s="4"/>
    </row>
    <row r="147" spans="1:40" x14ac:dyDescent="0.2">
      <c r="A147" s="4"/>
      <c r="S147" s="111"/>
      <c r="T147" s="4"/>
      <c r="U147" s="4"/>
      <c r="V147" s="4"/>
      <c r="W147" s="4"/>
      <c r="X147" s="4"/>
      <c r="Y147" s="4"/>
      <c r="Z147" s="4"/>
      <c r="AA147" s="4"/>
      <c r="AB147" s="4"/>
      <c r="AC147" s="4"/>
      <c r="AD147" s="4"/>
      <c r="AE147" s="4"/>
      <c r="AF147" s="4"/>
      <c r="AG147" s="4"/>
      <c r="AH147" s="4"/>
      <c r="AI147" s="4"/>
      <c r="AJ147" s="4"/>
      <c r="AK147" s="4"/>
      <c r="AL147" s="4"/>
      <c r="AM147" s="4"/>
      <c r="AN147" s="4"/>
    </row>
    <row r="148" spans="1:40" x14ac:dyDescent="0.2">
      <c r="A148" s="4"/>
      <c r="S148" s="111"/>
      <c r="T148" s="4"/>
      <c r="U148" s="4"/>
      <c r="V148" s="4"/>
      <c r="W148" s="4"/>
      <c r="X148" s="4"/>
      <c r="Y148" s="4"/>
      <c r="Z148" s="4"/>
      <c r="AA148" s="4"/>
      <c r="AB148" s="4"/>
      <c r="AC148" s="4"/>
      <c r="AD148" s="4"/>
      <c r="AE148" s="4"/>
      <c r="AF148" s="4"/>
      <c r="AG148" s="4"/>
      <c r="AH148" s="4"/>
      <c r="AI148" s="4"/>
      <c r="AJ148" s="4"/>
      <c r="AK148" s="4"/>
      <c r="AL148" s="4"/>
      <c r="AM148" s="4"/>
      <c r="AN148" s="4"/>
    </row>
    <row r="149" spans="1:40" x14ac:dyDescent="0.2">
      <c r="A149" s="4"/>
      <c r="S149" s="111"/>
      <c r="T149" s="4"/>
      <c r="U149" s="4"/>
      <c r="V149" s="4"/>
      <c r="W149" s="4"/>
      <c r="X149" s="4"/>
      <c r="Y149" s="4"/>
      <c r="Z149" s="4"/>
      <c r="AA149" s="4"/>
      <c r="AB149" s="4"/>
      <c r="AC149" s="4"/>
      <c r="AD149" s="4"/>
      <c r="AE149" s="4"/>
      <c r="AF149" s="4"/>
      <c r="AG149" s="4"/>
      <c r="AH149" s="4"/>
      <c r="AI149" s="4"/>
      <c r="AJ149" s="4"/>
      <c r="AK149" s="4"/>
      <c r="AL149" s="4"/>
      <c r="AM149" s="4"/>
      <c r="AN149" s="4"/>
    </row>
    <row r="150" spans="1:40" x14ac:dyDescent="0.2">
      <c r="A150" s="4"/>
      <c r="S150" s="111"/>
      <c r="T150" s="4"/>
      <c r="U150" s="4"/>
      <c r="V150" s="4"/>
      <c r="W150" s="4"/>
      <c r="X150" s="4"/>
      <c r="Y150" s="4"/>
      <c r="Z150" s="4"/>
      <c r="AA150" s="4"/>
      <c r="AB150" s="4"/>
      <c r="AC150" s="4"/>
      <c r="AD150" s="4"/>
      <c r="AE150" s="4"/>
      <c r="AF150" s="4"/>
      <c r="AG150" s="4"/>
      <c r="AH150" s="4"/>
      <c r="AI150" s="4"/>
      <c r="AJ150" s="4"/>
      <c r="AK150" s="4"/>
      <c r="AL150" s="4"/>
      <c r="AM150" s="4"/>
      <c r="AN150" s="4"/>
    </row>
    <row r="151" spans="1:40" x14ac:dyDescent="0.2">
      <c r="A151" s="4"/>
      <c r="S151" s="111"/>
      <c r="T151" s="4"/>
      <c r="U151" s="4"/>
      <c r="V151" s="4"/>
      <c r="W151" s="4"/>
      <c r="X151" s="4"/>
      <c r="Y151" s="4"/>
      <c r="Z151" s="4"/>
      <c r="AA151" s="4"/>
      <c r="AB151" s="4"/>
      <c r="AC151" s="4"/>
      <c r="AD151" s="4"/>
      <c r="AE151" s="4"/>
      <c r="AF151" s="4"/>
      <c r="AG151" s="4"/>
      <c r="AH151" s="4"/>
      <c r="AI151" s="4"/>
      <c r="AJ151" s="4"/>
      <c r="AK151" s="4"/>
      <c r="AL151" s="4"/>
      <c r="AM151" s="4"/>
      <c r="AN151" s="4"/>
    </row>
    <row r="152" spans="1:40" x14ac:dyDescent="0.2">
      <c r="A152" s="4"/>
      <c r="S152" s="111"/>
      <c r="T152" s="4"/>
      <c r="U152" s="4"/>
      <c r="V152" s="4"/>
      <c r="W152" s="4"/>
      <c r="X152" s="4"/>
      <c r="Y152" s="4"/>
      <c r="Z152" s="4"/>
      <c r="AA152" s="4"/>
      <c r="AB152" s="4"/>
      <c r="AC152" s="4"/>
      <c r="AD152" s="4"/>
      <c r="AE152" s="4"/>
      <c r="AF152" s="4"/>
      <c r="AG152" s="4"/>
      <c r="AH152" s="4"/>
      <c r="AI152" s="4"/>
      <c r="AJ152" s="4"/>
      <c r="AK152" s="4"/>
      <c r="AL152" s="4"/>
      <c r="AM152" s="4"/>
      <c r="AN152" s="4"/>
    </row>
    <row r="153" spans="1:40" x14ac:dyDescent="0.2">
      <c r="A153" s="4"/>
      <c r="S153" s="111"/>
      <c r="T153" s="4"/>
      <c r="U153" s="4"/>
      <c r="V153" s="4"/>
      <c r="W153" s="4"/>
      <c r="X153" s="4"/>
      <c r="Y153" s="4"/>
      <c r="Z153" s="4"/>
      <c r="AA153" s="4"/>
      <c r="AB153" s="4"/>
      <c r="AC153" s="4"/>
      <c r="AD153" s="4"/>
      <c r="AE153" s="4"/>
      <c r="AF153" s="4"/>
      <c r="AG153" s="4"/>
      <c r="AH153" s="4"/>
      <c r="AI153" s="4"/>
      <c r="AJ153" s="4"/>
      <c r="AK153" s="4"/>
      <c r="AL153" s="4"/>
      <c r="AM153" s="4"/>
      <c r="AN153" s="4"/>
    </row>
    <row r="154" spans="1:40" x14ac:dyDescent="0.2">
      <c r="A154" s="4"/>
      <c r="S154" s="111"/>
      <c r="T154" s="4"/>
      <c r="U154" s="4"/>
      <c r="V154" s="4"/>
      <c r="W154" s="4"/>
      <c r="X154" s="4"/>
      <c r="Y154" s="4"/>
      <c r="Z154" s="4"/>
      <c r="AA154" s="4"/>
      <c r="AB154" s="4"/>
      <c r="AC154" s="4"/>
      <c r="AD154" s="4"/>
      <c r="AE154" s="4"/>
      <c r="AF154" s="4"/>
      <c r="AG154" s="4"/>
      <c r="AH154" s="4"/>
      <c r="AI154" s="4"/>
      <c r="AJ154" s="4"/>
      <c r="AK154" s="4"/>
      <c r="AL154" s="4"/>
      <c r="AM154" s="4"/>
      <c r="AN154" s="4"/>
    </row>
    <row r="155" spans="1:40" x14ac:dyDescent="0.2">
      <c r="A155" s="4"/>
      <c r="S155" s="111"/>
      <c r="T155" s="4"/>
      <c r="U155" s="4"/>
      <c r="V155" s="4"/>
      <c r="W155" s="4"/>
      <c r="X155" s="4"/>
      <c r="Y155" s="4"/>
      <c r="Z155" s="4"/>
      <c r="AA155" s="4"/>
      <c r="AB155" s="4"/>
      <c r="AC155" s="4"/>
      <c r="AD155" s="4"/>
      <c r="AE155" s="4"/>
      <c r="AF155" s="4"/>
      <c r="AG155" s="4"/>
      <c r="AH155" s="4"/>
      <c r="AI155" s="4"/>
      <c r="AJ155" s="4"/>
      <c r="AK155" s="4"/>
      <c r="AL155" s="4"/>
      <c r="AM155" s="4"/>
      <c r="AN155" s="4"/>
    </row>
    <row r="156" spans="1:40" x14ac:dyDescent="0.2">
      <c r="A156" s="4"/>
      <c r="S156" s="111"/>
      <c r="T156" s="4"/>
      <c r="U156" s="4"/>
      <c r="V156" s="4"/>
      <c r="W156" s="4"/>
      <c r="X156" s="4"/>
      <c r="Y156" s="4"/>
      <c r="Z156" s="4"/>
      <c r="AA156" s="4"/>
      <c r="AB156" s="4"/>
      <c r="AC156" s="4"/>
      <c r="AD156" s="4"/>
      <c r="AE156" s="4"/>
      <c r="AF156" s="4"/>
      <c r="AG156" s="4"/>
      <c r="AH156" s="4"/>
      <c r="AI156" s="4"/>
      <c r="AJ156" s="4"/>
      <c r="AK156" s="4"/>
      <c r="AL156" s="4"/>
      <c r="AM156" s="4"/>
      <c r="AN156" s="4"/>
    </row>
    <row r="157" spans="1:40" x14ac:dyDescent="0.2">
      <c r="A157" s="4"/>
      <c r="S157" s="111"/>
      <c r="T157" s="4"/>
      <c r="U157" s="4"/>
      <c r="V157" s="4"/>
      <c r="W157" s="4"/>
      <c r="X157" s="4"/>
      <c r="Y157" s="4"/>
      <c r="Z157" s="4"/>
      <c r="AA157" s="4"/>
      <c r="AB157" s="4"/>
      <c r="AC157" s="4"/>
      <c r="AD157" s="4"/>
      <c r="AE157" s="4"/>
      <c r="AF157" s="4"/>
      <c r="AG157" s="4"/>
      <c r="AH157" s="4"/>
      <c r="AI157" s="4"/>
      <c r="AJ157" s="4"/>
      <c r="AK157" s="4"/>
      <c r="AL157" s="4"/>
      <c r="AM157" s="4"/>
      <c r="AN157" s="4"/>
    </row>
    <row r="158" spans="1:40" x14ac:dyDescent="0.2">
      <c r="A158" s="4"/>
      <c r="S158" s="111"/>
      <c r="T158" s="4"/>
      <c r="U158" s="4"/>
      <c r="V158" s="4"/>
      <c r="W158" s="4"/>
      <c r="X158" s="4"/>
      <c r="Y158" s="4"/>
      <c r="Z158" s="4"/>
      <c r="AA158" s="4"/>
      <c r="AB158" s="4"/>
      <c r="AC158" s="4"/>
      <c r="AD158" s="4"/>
      <c r="AE158" s="4"/>
      <c r="AF158" s="4"/>
      <c r="AG158" s="4"/>
      <c r="AH158" s="4"/>
      <c r="AI158" s="4"/>
      <c r="AJ158" s="4"/>
      <c r="AK158" s="4"/>
      <c r="AL158" s="4"/>
      <c r="AM158" s="4"/>
      <c r="AN158" s="4"/>
    </row>
    <row r="159" spans="1:40" x14ac:dyDescent="0.2">
      <c r="A159" s="4"/>
      <c r="S159" s="111"/>
      <c r="T159" s="4"/>
      <c r="U159" s="4"/>
      <c r="V159" s="4"/>
      <c r="W159" s="4"/>
      <c r="X159" s="4"/>
      <c r="Y159" s="4"/>
      <c r="Z159" s="4"/>
      <c r="AA159" s="4"/>
      <c r="AB159" s="4"/>
      <c r="AC159" s="4"/>
      <c r="AD159" s="4"/>
      <c r="AE159" s="4"/>
      <c r="AF159" s="4"/>
      <c r="AG159" s="4"/>
      <c r="AH159" s="4"/>
      <c r="AI159" s="4"/>
      <c r="AJ159" s="4"/>
      <c r="AK159" s="4"/>
      <c r="AL159" s="4"/>
      <c r="AM159" s="4"/>
      <c r="AN159" s="4"/>
    </row>
    <row r="160" spans="1:40" x14ac:dyDescent="0.2">
      <c r="A160" s="4"/>
      <c r="S160" s="111"/>
      <c r="T160" s="4"/>
      <c r="U160" s="4"/>
      <c r="V160" s="4"/>
      <c r="W160" s="4"/>
      <c r="X160" s="4"/>
      <c r="Y160" s="4"/>
      <c r="Z160" s="4"/>
      <c r="AA160" s="4"/>
      <c r="AB160" s="4"/>
      <c r="AC160" s="4"/>
      <c r="AD160" s="4"/>
      <c r="AE160" s="4"/>
      <c r="AF160" s="4"/>
      <c r="AG160" s="4"/>
      <c r="AH160" s="4"/>
      <c r="AI160" s="4"/>
      <c r="AJ160" s="4"/>
      <c r="AK160" s="4"/>
      <c r="AL160" s="4"/>
      <c r="AM160" s="4"/>
      <c r="AN160" s="4"/>
    </row>
    <row r="161" spans="1:40" x14ac:dyDescent="0.2">
      <c r="A161" s="4"/>
      <c r="S161" s="111"/>
      <c r="T161" s="4"/>
      <c r="U161" s="4"/>
      <c r="V161" s="4"/>
      <c r="W161" s="4"/>
      <c r="X161" s="4"/>
      <c r="Y161" s="4"/>
      <c r="Z161" s="4"/>
      <c r="AA161" s="4"/>
      <c r="AB161" s="4"/>
      <c r="AC161" s="4"/>
      <c r="AD161" s="4"/>
      <c r="AE161" s="4"/>
      <c r="AF161" s="4"/>
      <c r="AG161" s="4"/>
      <c r="AH161" s="4"/>
      <c r="AI161" s="4"/>
      <c r="AJ161" s="4"/>
      <c r="AK161" s="4"/>
      <c r="AL161" s="4"/>
      <c r="AM161" s="4"/>
      <c r="AN161" s="4"/>
    </row>
    <row r="162" spans="1:40" x14ac:dyDescent="0.2">
      <c r="A162" s="4"/>
      <c r="S162" s="111"/>
      <c r="T162" s="4"/>
      <c r="U162" s="4"/>
      <c r="V162" s="4"/>
      <c r="W162" s="4"/>
      <c r="X162" s="4"/>
      <c r="Y162" s="4"/>
      <c r="Z162" s="4"/>
      <c r="AA162" s="4"/>
      <c r="AB162" s="4"/>
      <c r="AC162" s="4"/>
      <c r="AD162" s="4"/>
      <c r="AE162" s="4"/>
      <c r="AF162" s="4"/>
      <c r="AG162" s="4"/>
      <c r="AH162" s="4"/>
      <c r="AI162" s="4"/>
      <c r="AJ162" s="4"/>
      <c r="AK162" s="4"/>
      <c r="AL162" s="4"/>
      <c r="AM162" s="4"/>
      <c r="AN162" s="4"/>
    </row>
    <row r="163" spans="1:40" x14ac:dyDescent="0.2">
      <c r="A163" s="4"/>
      <c r="S163" s="111"/>
      <c r="T163" s="4"/>
      <c r="U163" s="4"/>
      <c r="V163" s="4"/>
      <c r="W163" s="4"/>
      <c r="X163" s="4"/>
      <c r="Y163" s="4"/>
      <c r="Z163" s="4"/>
      <c r="AA163" s="4"/>
      <c r="AB163" s="4"/>
      <c r="AC163" s="4"/>
      <c r="AD163" s="4"/>
      <c r="AE163" s="4"/>
      <c r="AF163" s="4"/>
      <c r="AG163" s="4"/>
      <c r="AH163" s="4"/>
      <c r="AI163" s="4"/>
      <c r="AJ163" s="4"/>
      <c r="AK163" s="4"/>
      <c r="AL163" s="4"/>
      <c r="AM163" s="4"/>
      <c r="AN163" s="4"/>
    </row>
    <row r="164" spans="1:40" x14ac:dyDescent="0.2">
      <c r="A164" s="4"/>
      <c r="S164" s="111"/>
      <c r="T164" s="4"/>
      <c r="U164" s="4"/>
      <c r="V164" s="4"/>
      <c r="W164" s="4"/>
      <c r="X164" s="4"/>
      <c r="Y164" s="4"/>
      <c r="Z164" s="4"/>
      <c r="AA164" s="4"/>
      <c r="AB164" s="4"/>
      <c r="AC164" s="4"/>
      <c r="AD164" s="4"/>
      <c r="AE164" s="4"/>
      <c r="AF164" s="4"/>
      <c r="AG164" s="4"/>
      <c r="AH164" s="4"/>
      <c r="AI164" s="4"/>
      <c r="AJ164" s="4"/>
      <c r="AK164" s="4"/>
      <c r="AL164" s="4"/>
      <c r="AM164" s="4"/>
      <c r="AN164" s="4"/>
    </row>
    <row r="165" spans="1:40" x14ac:dyDescent="0.2">
      <c r="A165" s="4"/>
      <c r="S165" s="111"/>
      <c r="T165" s="4"/>
      <c r="U165" s="4"/>
      <c r="V165" s="4"/>
      <c r="W165" s="4"/>
      <c r="X165" s="4"/>
      <c r="Y165" s="4"/>
      <c r="Z165" s="4"/>
      <c r="AA165" s="4"/>
      <c r="AB165" s="4"/>
      <c r="AC165" s="4"/>
      <c r="AD165" s="4"/>
      <c r="AE165" s="4"/>
      <c r="AF165" s="4"/>
      <c r="AG165" s="4"/>
      <c r="AH165" s="4"/>
      <c r="AI165" s="4"/>
      <c r="AJ165" s="4"/>
      <c r="AK165" s="4"/>
      <c r="AL165" s="4"/>
      <c r="AM165" s="4"/>
      <c r="AN165" s="4"/>
    </row>
    <row r="166" spans="1:40" x14ac:dyDescent="0.2">
      <c r="A166" s="4"/>
      <c r="S166" s="111"/>
      <c r="T166" s="4"/>
      <c r="U166" s="4"/>
      <c r="V166" s="4"/>
      <c r="W166" s="4"/>
      <c r="X166" s="4"/>
      <c r="Y166" s="4"/>
      <c r="Z166" s="4"/>
      <c r="AA166" s="4"/>
      <c r="AB166" s="4"/>
      <c r="AC166" s="4"/>
      <c r="AD166" s="4"/>
      <c r="AE166" s="4"/>
      <c r="AF166" s="4"/>
      <c r="AG166" s="4"/>
      <c r="AH166" s="4"/>
      <c r="AI166" s="4"/>
      <c r="AJ166" s="4"/>
      <c r="AK166" s="4"/>
      <c r="AL166" s="4"/>
      <c r="AM166" s="4"/>
      <c r="AN166" s="4"/>
    </row>
    <row r="167" spans="1:40" x14ac:dyDescent="0.2">
      <c r="A167" s="4"/>
      <c r="S167" s="111"/>
      <c r="T167" s="4"/>
      <c r="U167" s="4"/>
      <c r="V167" s="4"/>
      <c r="W167" s="4"/>
      <c r="X167" s="4"/>
      <c r="Y167" s="4"/>
      <c r="Z167" s="4"/>
      <c r="AA167" s="4"/>
      <c r="AB167" s="4"/>
      <c r="AC167" s="4"/>
      <c r="AD167" s="4"/>
      <c r="AE167" s="4"/>
      <c r="AF167" s="4"/>
      <c r="AG167" s="4"/>
      <c r="AH167" s="4"/>
      <c r="AI167" s="4"/>
      <c r="AJ167" s="4"/>
      <c r="AK167" s="4"/>
      <c r="AL167" s="4"/>
      <c r="AM167" s="4"/>
      <c r="AN167" s="4"/>
    </row>
    <row r="168" spans="1:40" x14ac:dyDescent="0.2">
      <c r="A168" s="4"/>
      <c r="S168" s="111"/>
      <c r="T168" s="4"/>
      <c r="U168" s="4"/>
      <c r="V168" s="4"/>
      <c r="W168" s="4"/>
      <c r="X168" s="4"/>
      <c r="Y168" s="4"/>
      <c r="Z168" s="4"/>
      <c r="AA168" s="4"/>
      <c r="AB168" s="4"/>
      <c r="AC168" s="4"/>
      <c r="AD168" s="4"/>
      <c r="AE168" s="4"/>
      <c r="AF168" s="4"/>
      <c r="AG168" s="4"/>
      <c r="AH168" s="4"/>
      <c r="AI168" s="4"/>
      <c r="AJ168" s="4"/>
      <c r="AK168" s="4"/>
      <c r="AL168" s="4"/>
      <c r="AM168" s="4"/>
      <c r="AN168" s="4"/>
    </row>
    <row r="169" spans="1:40" x14ac:dyDescent="0.2">
      <c r="A169" s="4"/>
      <c r="S169" s="111"/>
      <c r="T169" s="4"/>
      <c r="U169" s="4"/>
      <c r="V169" s="4"/>
      <c r="W169" s="4"/>
      <c r="X169" s="4"/>
      <c r="Y169" s="4"/>
      <c r="Z169" s="4"/>
      <c r="AA169" s="4"/>
      <c r="AB169" s="4"/>
      <c r="AC169" s="4"/>
      <c r="AD169" s="4"/>
      <c r="AE169" s="4"/>
      <c r="AF169" s="4"/>
      <c r="AG169" s="4"/>
      <c r="AH169" s="4"/>
      <c r="AI169" s="4"/>
      <c r="AJ169" s="4"/>
      <c r="AK169" s="4"/>
      <c r="AL169" s="4"/>
      <c r="AM169" s="4"/>
      <c r="AN169" s="4"/>
    </row>
    <row r="170" spans="1:40" x14ac:dyDescent="0.2">
      <c r="A170" s="4"/>
      <c r="S170" s="111"/>
      <c r="T170" s="4"/>
      <c r="U170" s="4"/>
      <c r="V170" s="4"/>
      <c r="W170" s="4"/>
      <c r="X170" s="4"/>
      <c r="Y170" s="4"/>
      <c r="Z170" s="4"/>
      <c r="AA170" s="4"/>
      <c r="AB170" s="4"/>
      <c r="AC170" s="4"/>
      <c r="AD170" s="4"/>
      <c r="AE170" s="4"/>
      <c r="AF170" s="4"/>
      <c r="AG170" s="4"/>
      <c r="AH170" s="4"/>
      <c r="AI170" s="4"/>
      <c r="AJ170" s="4"/>
      <c r="AK170" s="4"/>
      <c r="AL170" s="4"/>
      <c r="AM170" s="4"/>
      <c r="AN170" s="4"/>
    </row>
    <row r="171" spans="1:40" x14ac:dyDescent="0.2">
      <c r="A171" s="4"/>
      <c r="S171" s="111"/>
      <c r="T171" s="4"/>
      <c r="U171" s="4"/>
      <c r="V171" s="4"/>
      <c r="W171" s="4"/>
      <c r="X171" s="4"/>
      <c r="Y171" s="4"/>
      <c r="Z171" s="4"/>
      <c r="AA171" s="4"/>
      <c r="AB171" s="4"/>
      <c r="AC171" s="4"/>
      <c r="AD171" s="4"/>
      <c r="AE171" s="4"/>
      <c r="AF171" s="4"/>
      <c r="AG171" s="4"/>
      <c r="AH171" s="4"/>
      <c r="AI171" s="4"/>
      <c r="AJ171" s="4"/>
      <c r="AK171" s="4"/>
      <c r="AL171" s="4"/>
      <c r="AM171" s="4"/>
      <c r="AN171" s="4"/>
    </row>
    <row r="172" spans="1:40" x14ac:dyDescent="0.2">
      <c r="A172" s="4"/>
      <c r="S172" s="111"/>
      <c r="T172" s="4"/>
      <c r="U172" s="4"/>
      <c r="V172" s="4"/>
      <c r="W172" s="4"/>
      <c r="X172" s="4"/>
      <c r="Y172" s="4"/>
      <c r="Z172" s="4"/>
      <c r="AA172" s="4"/>
      <c r="AB172" s="4"/>
      <c r="AC172" s="4"/>
      <c r="AD172" s="4"/>
      <c r="AE172" s="4"/>
      <c r="AF172" s="4"/>
      <c r="AG172" s="4"/>
      <c r="AH172" s="4"/>
      <c r="AI172" s="4"/>
      <c r="AJ172" s="4"/>
      <c r="AK172" s="4"/>
      <c r="AL172" s="4"/>
      <c r="AM172" s="4"/>
      <c r="AN172" s="4"/>
    </row>
    <row r="173" spans="1:40" x14ac:dyDescent="0.2">
      <c r="A173" s="4"/>
      <c r="S173" s="111"/>
      <c r="T173" s="4"/>
      <c r="U173" s="4"/>
      <c r="V173" s="4"/>
      <c r="W173" s="4"/>
      <c r="X173" s="4"/>
      <c r="Y173" s="4"/>
      <c r="Z173" s="4"/>
      <c r="AA173" s="4"/>
      <c r="AB173" s="4"/>
      <c r="AC173" s="4"/>
      <c r="AD173" s="4"/>
      <c r="AE173" s="4"/>
      <c r="AF173" s="4"/>
      <c r="AG173" s="4"/>
      <c r="AH173" s="4"/>
      <c r="AI173" s="4"/>
      <c r="AJ173" s="4"/>
      <c r="AK173" s="4"/>
      <c r="AL173" s="4"/>
      <c r="AM173" s="4"/>
      <c r="AN173" s="4"/>
    </row>
    <row r="174" spans="1:40" x14ac:dyDescent="0.2">
      <c r="A174" s="4"/>
      <c r="S174" s="111"/>
      <c r="T174" s="4"/>
      <c r="U174" s="4"/>
      <c r="V174" s="4"/>
      <c r="W174" s="4"/>
      <c r="X174" s="4"/>
      <c r="Y174" s="4"/>
      <c r="Z174" s="4"/>
      <c r="AA174" s="4"/>
      <c r="AB174" s="4"/>
      <c r="AC174" s="4"/>
      <c r="AD174" s="4"/>
      <c r="AE174" s="4"/>
      <c r="AF174" s="4"/>
      <c r="AG174" s="4"/>
      <c r="AH174" s="4"/>
      <c r="AI174" s="4"/>
      <c r="AJ174" s="4"/>
      <c r="AK174" s="4"/>
      <c r="AL174" s="4"/>
      <c r="AM174" s="4"/>
      <c r="AN174" s="4"/>
    </row>
    <row r="175" spans="1:40" x14ac:dyDescent="0.2">
      <c r="A175" s="4"/>
      <c r="S175" s="111"/>
      <c r="T175" s="4"/>
      <c r="U175" s="4"/>
      <c r="V175" s="4"/>
      <c r="W175" s="4"/>
      <c r="X175" s="4"/>
      <c r="Y175" s="4"/>
      <c r="Z175" s="4"/>
      <c r="AA175" s="4"/>
      <c r="AB175" s="4"/>
      <c r="AC175" s="4"/>
      <c r="AD175" s="4"/>
      <c r="AE175" s="4"/>
      <c r="AF175" s="4"/>
      <c r="AG175" s="4"/>
      <c r="AH175" s="4"/>
      <c r="AI175" s="4"/>
      <c r="AJ175" s="4"/>
      <c r="AK175" s="4"/>
      <c r="AL175" s="4"/>
      <c r="AM175" s="4"/>
      <c r="AN175" s="4"/>
    </row>
    <row r="176" spans="1:40" x14ac:dyDescent="0.2">
      <c r="A176" s="4"/>
      <c r="S176" s="111"/>
      <c r="T176" s="4"/>
      <c r="U176" s="4"/>
      <c r="V176" s="4"/>
      <c r="W176" s="4"/>
      <c r="X176" s="4"/>
      <c r="Y176" s="4"/>
      <c r="Z176" s="4"/>
      <c r="AA176" s="4"/>
      <c r="AB176" s="4"/>
      <c r="AC176" s="4"/>
      <c r="AD176" s="4"/>
      <c r="AE176" s="4"/>
      <c r="AF176" s="4"/>
      <c r="AG176" s="4"/>
      <c r="AH176" s="4"/>
      <c r="AI176" s="4"/>
      <c r="AJ176" s="4"/>
      <c r="AK176" s="4"/>
      <c r="AL176" s="4"/>
      <c r="AM176" s="4"/>
      <c r="AN176" s="4"/>
    </row>
    <row r="177" spans="1:40" x14ac:dyDescent="0.2">
      <c r="A177" s="4"/>
      <c r="S177" s="111"/>
      <c r="T177" s="4"/>
      <c r="U177" s="4"/>
      <c r="V177" s="4"/>
      <c r="W177" s="4"/>
      <c r="X177" s="4"/>
      <c r="Y177" s="4"/>
      <c r="Z177" s="4"/>
      <c r="AA177" s="4"/>
      <c r="AB177" s="4"/>
      <c r="AC177" s="4"/>
      <c r="AD177" s="4"/>
      <c r="AE177" s="4"/>
      <c r="AF177" s="4"/>
      <c r="AG177" s="4"/>
      <c r="AH177" s="4"/>
      <c r="AI177" s="4"/>
      <c r="AJ177" s="4"/>
      <c r="AK177" s="4"/>
      <c r="AL177" s="4"/>
      <c r="AM177" s="4"/>
      <c r="AN177" s="4"/>
    </row>
    <row r="178" spans="1:40" x14ac:dyDescent="0.2">
      <c r="A178" s="4"/>
      <c r="S178" s="111"/>
      <c r="T178" s="4"/>
      <c r="U178" s="4"/>
      <c r="V178" s="4"/>
      <c r="W178" s="4"/>
      <c r="X178" s="4"/>
      <c r="Y178" s="4"/>
      <c r="Z178" s="4"/>
      <c r="AA178" s="4"/>
      <c r="AB178" s="4"/>
      <c r="AC178" s="4"/>
      <c r="AD178" s="4"/>
      <c r="AE178" s="4"/>
      <c r="AF178" s="4"/>
      <c r="AG178" s="4"/>
      <c r="AH178" s="4"/>
      <c r="AI178" s="4"/>
      <c r="AJ178" s="4"/>
      <c r="AK178" s="4"/>
      <c r="AL178" s="4"/>
      <c r="AM178" s="4"/>
      <c r="AN178" s="4"/>
    </row>
    <row r="179" spans="1:40" x14ac:dyDescent="0.2">
      <c r="A179" s="4"/>
      <c r="S179" s="111"/>
      <c r="T179" s="4"/>
      <c r="U179" s="4"/>
      <c r="V179" s="4"/>
      <c r="W179" s="4"/>
      <c r="X179" s="4"/>
      <c r="Y179" s="4"/>
      <c r="Z179" s="4"/>
      <c r="AA179" s="4"/>
      <c r="AB179" s="4"/>
      <c r="AC179" s="4"/>
      <c r="AD179" s="4"/>
      <c r="AE179" s="4"/>
      <c r="AF179" s="4"/>
      <c r="AG179" s="4"/>
      <c r="AH179" s="4"/>
      <c r="AI179" s="4"/>
      <c r="AJ179" s="4"/>
      <c r="AK179" s="4"/>
      <c r="AL179" s="4"/>
      <c r="AM179" s="4"/>
      <c r="AN179" s="4"/>
    </row>
    <row r="180" spans="1:40" x14ac:dyDescent="0.2">
      <c r="A180" s="4"/>
      <c r="S180" s="111"/>
      <c r="T180" s="4"/>
      <c r="U180" s="4"/>
      <c r="V180" s="4"/>
      <c r="W180" s="4"/>
      <c r="X180" s="4"/>
      <c r="Y180" s="4"/>
      <c r="Z180" s="4"/>
      <c r="AA180" s="4"/>
      <c r="AB180" s="4"/>
      <c r="AC180" s="4"/>
      <c r="AD180" s="4"/>
      <c r="AE180" s="4"/>
      <c r="AF180" s="4"/>
      <c r="AG180" s="4"/>
      <c r="AH180" s="4"/>
      <c r="AI180" s="4"/>
      <c r="AJ180" s="4"/>
      <c r="AK180" s="4"/>
      <c r="AL180" s="4"/>
      <c r="AM180" s="4"/>
      <c r="AN180" s="4"/>
    </row>
    <row r="181" spans="1:40" x14ac:dyDescent="0.2">
      <c r="A181" s="4"/>
      <c r="S181" s="111"/>
      <c r="T181" s="4"/>
      <c r="U181" s="4"/>
      <c r="V181" s="4"/>
      <c r="W181" s="4"/>
      <c r="X181" s="4"/>
      <c r="Y181" s="4"/>
      <c r="Z181" s="4"/>
      <c r="AA181" s="4"/>
      <c r="AB181" s="4"/>
      <c r="AC181" s="4"/>
      <c r="AD181" s="4"/>
      <c r="AE181" s="4"/>
      <c r="AF181" s="4"/>
      <c r="AG181" s="4"/>
      <c r="AH181" s="4"/>
      <c r="AI181" s="4"/>
      <c r="AJ181" s="4"/>
      <c r="AK181" s="4"/>
      <c r="AL181" s="4"/>
      <c r="AM181" s="4"/>
      <c r="AN181" s="4"/>
    </row>
    <row r="182" spans="1:40" x14ac:dyDescent="0.2">
      <c r="A182" s="4"/>
      <c r="S182" s="111"/>
      <c r="T182" s="4"/>
      <c r="U182" s="4"/>
      <c r="V182" s="4"/>
      <c r="W182" s="4"/>
      <c r="X182" s="4"/>
      <c r="Y182" s="4"/>
      <c r="Z182" s="4"/>
      <c r="AA182" s="4"/>
      <c r="AB182" s="4"/>
      <c r="AC182" s="4"/>
      <c r="AD182" s="4"/>
      <c r="AE182" s="4"/>
      <c r="AF182" s="4"/>
      <c r="AG182" s="4"/>
      <c r="AH182" s="4"/>
      <c r="AI182" s="4"/>
      <c r="AJ182" s="4"/>
      <c r="AK182" s="4"/>
      <c r="AL182" s="4"/>
      <c r="AM182" s="4"/>
      <c r="AN182" s="4"/>
    </row>
    <row r="183" spans="1:40" x14ac:dyDescent="0.2">
      <c r="A183" s="4"/>
      <c r="S183" s="111"/>
      <c r="T183" s="4"/>
      <c r="U183" s="4"/>
      <c r="V183" s="4"/>
      <c r="W183" s="4"/>
      <c r="X183" s="4"/>
      <c r="Y183" s="4"/>
      <c r="Z183" s="4"/>
      <c r="AA183" s="4"/>
      <c r="AB183" s="4"/>
      <c r="AC183" s="4"/>
      <c r="AD183" s="4"/>
      <c r="AE183" s="4"/>
      <c r="AF183" s="4"/>
      <c r="AG183" s="4"/>
      <c r="AH183" s="4"/>
      <c r="AI183" s="4"/>
      <c r="AJ183" s="4"/>
      <c r="AK183" s="4"/>
      <c r="AL183" s="4"/>
      <c r="AM183" s="4"/>
      <c r="AN183" s="4"/>
    </row>
    <row r="184" spans="1:40" x14ac:dyDescent="0.2">
      <c r="A184" s="4"/>
      <c r="S184" s="111"/>
      <c r="T184" s="4"/>
      <c r="U184" s="4"/>
      <c r="V184" s="4"/>
      <c r="W184" s="4"/>
      <c r="X184" s="4"/>
      <c r="Y184" s="4"/>
      <c r="Z184" s="4"/>
      <c r="AA184" s="4"/>
      <c r="AB184" s="4"/>
      <c r="AC184" s="4"/>
      <c r="AD184" s="4"/>
      <c r="AE184" s="4"/>
      <c r="AF184" s="4"/>
      <c r="AG184" s="4"/>
      <c r="AH184" s="4"/>
      <c r="AI184" s="4"/>
      <c r="AJ184" s="4"/>
      <c r="AK184" s="4"/>
      <c r="AL184" s="4"/>
      <c r="AM184" s="4"/>
      <c r="AN184" s="4"/>
    </row>
    <row r="185" spans="1:40" x14ac:dyDescent="0.2">
      <c r="A185" s="4"/>
      <c r="S185" s="111"/>
      <c r="T185" s="4"/>
      <c r="U185" s="4"/>
      <c r="V185" s="4"/>
      <c r="W185" s="4"/>
      <c r="X185" s="4"/>
      <c r="Y185" s="4"/>
      <c r="Z185" s="4"/>
      <c r="AA185" s="4"/>
      <c r="AB185" s="4"/>
      <c r="AC185" s="4"/>
      <c r="AD185" s="4"/>
      <c r="AE185" s="4"/>
      <c r="AF185" s="4"/>
      <c r="AG185" s="4"/>
      <c r="AH185" s="4"/>
      <c r="AI185" s="4"/>
      <c r="AJ185" s="4"/>
      <c r="AK185" s="4"/>
      <c r="AL185" s="4"/>
      <c r="AM185" s="4"/>
      <c r="AN185" s="4"/>
    </row>
    <row r="186" spans="1:40" x14ac:dyDescent="0.2">
      <c r="A186" s="4"/>
      <c r="S186" s="111"/>
      <c r="T186" s="4"/>
      <c r="U186" s="4"/>
      <c r="V186" s="4"/>
      <c r="W186" s="4"/>
      <c r="X186" s="4"/>
      <c r="Y186" s="4"/>
      <c r="Z186" s="4"/>
      <c r="AA186" s="4"/>
      <c r="AB186" s="4"/>
      <c r="AC186" s="4"/>
      <c r="AD186" s="4"/>
      <c r="AE186" s="4"/>
      <c r="AF186" s="4"/>
      <c r="AG186" s="4"/>
      <c r="AH186" s="4"/>
      <c r="AI186" s="4"/>
      <c r="AJ186" s="4"/>
      <c r="AK186" s="4"/>
      <c r="AL186" s="4"/>
      <c r="AM186" s="4"/>
      <c r="AN186" s="4"/>
    </row>
    <row r="187" spans="1:40" x14ac:dyDescent="0.2">
      <c r="A187" s="4"/>
      <c r="S187" s="111"/>
      <c r="T187" s="4"/>
      <c r="U187" s="4"/>
      <c r="V187" s="4"/>
      <c r="W187" s="4"/>
      <c r="X187" s="4"/>
      <c r="Y187" s="4"/>
      <c r="Z187" s="4"/>
      <c r="AA187" s="4"/>
      <c r="AB187" s="4"/>
      <c r="AC187" s="4"/>
      <c r="AD187" s="4"/>
      <c r="AE187" s="4"/>
      <c r="AF187" s="4"/>
      <c r="AG187" s="4"/>
      <c r="AH187" s="4"/>
      <c r="AI187" s="4"/>
      <c r="AJ187" s="4"/>
      <c r="AK187" s="4"/>
      <c r="AL187" s="4"/>
      <c r="AM187" s="4"/>
      <c r="AN187" s="4"/>
    </row>
    <row r="188" spans="1:40" x14ac:dyDescent="0.2">
      <c r="A188" s="4"/>
      <c r="S188" s="111"/>
      <c r="T188" s="4"/>
      <c r="U188" s="4"/>
      <c r="V188" s="4"/>
      <c r="W188" s="4"/>
      <c r="X188" s="4"/>
      <c r="Y188" s="4"/>
      <c r="Z188" s="4"/>
      <c r="AA188" s="4"/>
      <c r="AB188" s="4"/>
      <c r="AC188" s="4"/>
      <c r="AD188" s="4"/>
      <c r="AE188" s="4"/>
      <c r="AF188" s="4"/>
      <c r="AG188" s="4"/>
      <c r="AH188" s="4"/>
      <c r="AI188" s="4"/>
      <c r="AJ188" s="4"/>
      <c r="AK188" s="4"/>
      <c r="AL188" s="4"/>
      <c r="AM188" s="4"/>
      <c r="AN188" s="4"/>
    </row>
    <row r="189" spans="1:40" x14ac:dyDescent="0.2">
      <c r="A189" s="4"/>
      <c r="S189" s="111"/>
      <c r="T189" s="4"/>
      <c r="U189" s="4"/>
      <c r="V189" s="4"/>
      <c r="W189" s="4"/>
      <c r="X189" s="4"/>
      <c r="Y189" s="4"/>
      <c r="Z189" s="4"/>
      <c r="AA189" s="4"/>
      <c r="AB189" s="4"/>
      <c r="AC189" s="4"/>
      <c r="AD189" s="4"/>
      <c r="AE189" s="4"/>
      <c r="AF189" s="4"/>
      <c r="AG189" s="4"/>
      <c r="AH189" s="4"/>
      <c r="AI189" s="4"/>
      <c r="AJ189" s="4"/>
      <c r="AK189" s="4"/>
      <c r="AL189" s="4"/>
      <c r="AM189" s="4"/>
      <c r="AN189" s="4"/>
    </row>
    <row r="190" spans="1:40" x14ac:dyDescent="0.2">
      <c r="A190" s="4"/>
      <c r="S190" s="111"/>
      <c r="T190" s="4"/>
      <c r="U190" s="4"/>
      <c r="V190" s="4"/>
      <c r="W190" s="4"/>
      <c r="X190" s="4"/>
      <c r="Y190" s="4"/>
      <c r="Z190" s="4"/>
      <c r="AA190" s="4"/>
      <c r="AB190" s="4"/>
      <c r="AC190" s="4"/>
      <c r="AD190" s="4"/>
      <c r="AE190" s="4"/>
      <c r="AF190" s="4"/>
      <c r="AG190" s="4"/>
      <c r="AH190" s="4"/>
      <c r="AI190" s="4"/>
      <c r="AJ190" s="4"/>
      <c r="AK190" s="4"/>
      <c r="AL190" s="4"/>
      <c r="AM190" s="4"/>
      <c r="AN190" s="4"/>
    </row>
    <row r="191" spans="1:40" x14ac:dyDescent="0.2">
      <c r="A191" s="4"/>
      <c r="S191" s="111"/>
      <c r="T191" s="4"/>
      <c r="U191" s="4"/>
      <c r="V191" s="4"/>
      <c r="W191" s="4"/>
      <c r="X191" s="4"/>
      <c r="Y191" s="4"/>
      <c r="Z191" s="4"/>
      <c r="AA191" s="4"/>
      <c r="AB191" s="4"/>
      <c r="AC191" s="4"/>
      <c r="AD191" s="4"/>
      <c r="AE191" s="4"/>
      <c r="AF191" s="4"/>
      <c r="AG191" s="4"/>
      <c r="AH191" s="4"/>
      <c r="AI191" s="4"/>
      <c r="AJ191" s="4"/>
      <c r="AK191" s="4"/>
      <c r="AL191" s="4"/>
      <c r="AM191" s="4"/>
      <c r="AN191" s="4"/>
    </row>
    <row r="192" spans="1:40" x14ac:dyDescent="0.2">
      <c r="A192" s="4"/>
      <c r="S192" s="111"/>
      <c r="T192" s="4"/>
      <c r="U192" s="4"/>
      <c r="V192" s="4"/>
      <c r="W192" s="4"/>
      <c r="X192" s="4"/>
      <c r="Y192" s="4"/>
      <c r="Z192" s="4"/>
      <c r="AA192" s="4"/>
      <c r="AB192" s="4"/>
      <c r="AC192" s="4"/>
      <c r="AD192" s="4"/>
      <c r="AE192" s="4"/>
      <c r="AF192" s="4"/>
      <c r="AG192" s="4"/>
      <c r="AH192" s="4"/>
      <c r="AI192" s="4"/>
      <c r="AJ192" s="4"/>
      <c r="AK192" s="4"/>
      <c r="AL192" s="4"/>
      <c r="AM192" s="4"/>
      <c r="AN192" s="4"/>
    </row>
    <row r="193" spans="1:40" x14ac:dyDescent="0.2">
      <c r="A193" s="4"/>
      <c r="S193" s="111"/>
      <c r="T193" s="4"/>
      <c r="U193" s="4"/>
      <c r="V193" s="4"/>
      <c r="W193" s="4"/>
      <c r="X193" s="4"/>
      <c r="Y193" s="4"/>
      <c r="Z193" s="4"/>
      <c r="AA193" s="4"/>
      <c r="AB193" s="4"/>
      <c r="AC193" s="4"/>
      <c r="AD193" s="4"/>
      <c r="AE193" s="4"/>
      <c r="AF193" s="4"/>
      <c r="AG193" s="4"/>
      <c r="AH193" s="4"/>
      <c r="AI193" s="4"/>
      <c r="AJ193" s="4"/>
      <c r="AK193" s="4"/>
      <c r="AL193" s="4"/>
      <c r="AM193" s="4"/>
      <c r="AN193" s="4"/>
    </row>
    <row r="194" spans="1:40" x14ac:dyDescent="0.2">
      <c r="A194" s="4"/>
      <c r="S194" s="111"/>
      <c r="T194" s="4"/>
      <c r="U194" s="4"/>
      <c r="V194" s="4"/>
      <c r="W194" s="4"/>
      <c r="X194" s="4"/>
      <c r="Y194" s="4"/>
      <c r="Z194" s="4"/>
      <c r="AA194" s="4"/>
      <c r="AB194" s="4"/>
      <c r="AC194" s="4"/>
      <c r="AD194" s="4"/>
      <c r="AE194" s="4"/>
      <c r="AF194" s="4"/>
      <c r="AG194" s="4"/>
      <c r="AH194" s="4"/>
      <c r="AI194" s="4"/>
      <c r="AJ194" s="4"/>
      <c r="AK194" s="4"/>
      <c r="AL194" s="4"/>
      <c r="AM194" s="4"/>
      <c r="AN194" s="4"/>
    </row>
    <row r="195" spans="1:40" x14ac:dyDescent="0.2">
      <c r="A195" s="4"/>
      <c r="S195" s="111"/>
      <c r="T195" s="4"/>
      <c r="U195" s="4"/>
      <c r="V195" s="4"/>
      <c r="W195" s="4"/>
      <c r="X195" s="4"/>
      <c r="Y195" s="4"/>
      <c r="Z195" s="4"/>
      <c r="AA195" s="4"/>
      <c r="AB195" s="4"/>
      <c r="AC195" s="4"/>
      <c r="AD195" s="4"/>
      <c r="AE195" s="4"/>
      <c r="AF195" s="4"/>
      <c r="AG195" s="4"/>
      <c r="AH195" s="4"/>
      <c r="AI195" s="4"/>
      <c r="AJ195" s="4"/>
      <c r="AK195" s="4"/>
      <c r="AL195" s="4"/>
      <c r="AM195" s="4"/>
      <c r="AN195" s="4"/>
    </row>
    <row r="196" spans="1:40" x14ac:dyDescent="0.2">
      <c r="A196" s="4"/>
      <c r="S196" s="111"/>
      <c r="T196" s="4"/>
      <c r="U196" s="4"/>
      <c r="V196" s="4"/>
      <c r="W196" s="4"/>
      <c r="X196" s="4"/>
      <c r="Y196" s="4"/>
      <c r="Z196" s="4"/>
      <c r="AA196" s="4"/>
      <c r="AB196" s="4"/>
      <c r="AC196" s="4"/>
      <c r="AD196" s="4"/>
      <c r="AE196" s="4"/>
      <c r="AF196" s="4"/>
      <c r="AG196" s="4"/>
      <c r="AH196" s="4"/>
      <c r="AI196" s="4"/>
      <c r="AJ196" s="4"/>
      <c r="AK196" s="4"/>
      <c r="AL196" s="4"/>
      <c r="AM196" s="4"/>
      <c r="AN196" s="4"/>
    </row>
    <row r="197" spans="1:40" x14ac:dyDescent="0.2">
      <c r="A197" s="4"/>
      <c r="S197" s="111"/>
      <c r="T197" s="4"/>
      <c r="U197" s="4"/>
      <c r="V197" s="4"/>
      <c r="W197" s="4"/>
      <c r="X197" s="4"/>
      <c r="Y197" s="4"/>
      <c r="Z197" s="4"/>
      <c r="AA197" s="4"/>
      <c r="AB197" s="4"/>
      <c r="AC197" s="4"/>
      <c r="AD197" s="4"/>
      <c r="AE197" s="4"/>
      <c r="AF197" s="4"/>
      <c r="AG197" s="4"/>
      <c r="AH197" s="4"/>
      <c r="AI197" s="4"/>
      <c r="AJ197" s="4"/>
      <c r="AK197" s="4"/>
      <c r="AL197" s="4"/>
      <c r="AM197" s="4"/>
      <c r="AN197" s="4"/>
    </row>
    <row r="198" spans="1:40" x14ac:dyDescent="0.2">
      <c r="A198" s="4"/>
      <c r="S198" s="111"/>
      <c r="T198" s="4"/>
      <c r="U198" s="4"/>
      <c r="V198" s="4"/>
      <c r="W198" s="4"/>
      <c r="X198" s="4"/>
      <c r="Y198" s="4"/>
      <c r="Z198" s="4"/>
      <c r="AA198" s="4"/>
      <c r="AB198" s="4"/>
      <c r="AC198" s="4"/>
      <c r="AD198" s="4"/>
      <c r="AE198" s="4"/>
      <c r="AF198" s="4"/>
      <c r="AG198" s="4"/>
      <c r="AH198" s="4"/>
      <c r="AI198" s="4"/>
      <c r="AJ198" s="4"/>
      <c r="AK198" s="4"/>
      <c r="AL198" s="4"/>
      <c r="AM198" s="4"/>
      <c r="AN198" s="4"/>
    </row>
    <row r="199" spans="1:40" x14ac:dyDescent="0.2">
      <c r="A199" s="4"/>
      <c r="S199" s="111"/>
      <c r="T199" s="4"/>
      <c r="U199" s="4"/>
      <c r="V199" s="4"/>
      <c r="W199" s="4"/>
      <c r="X199" s="4"/>
      <c r="Y199" s="4"/>
      <c r="Z199" s="4"/>
      <c r="AA199" s="4"/>
      <c r="AB199" s="4"/>
      <c r="AC199" s="4"/>
      <c r="AD199" s="4"/>
      <c r="AE199" s="4"/>
      <c r="AF199" s="4"/>
      <c r="AG199" s="4"/>
      <c r="AH199" s="4"/>
      <c r="AI199" s="4"/>
      <c r="AJ199" s="4"/>
      <c r="AK199" s="4"/>
      <c r="AL199" s="4"/>
      <c r="AM199" s="4"/>
      <c r="AN199" s="4"/>
    </row>
    <row r="200" spans="1:40" x14ac:dyDescent="0.2">
      <c r="A200" s="4"/>
      <c r="S200" s="111"/>
      <c r="T200" s="4"/>
      <c r="U200" s="4"/>
      <c r="V200" s="4"/>
      <c r="W200" s="4"/>
      <c r="X200" s="4"/>
      <c r="Y200" s="4"/>
      <c r="Z200" s="4"/>
      <c r="AA200" s="4"/>
      <c r="AB200" s="4"/>
      <c r="AC200" s="4"/>
      <c r="AD200" s="4"/>
      <c r="AE200" s="4"/>
      <c r="AF200" s="4"/>
      <c r="AG200" s="4"/>
      <c r="AH200" s="4"/>
      <c r="AI200" s="4"/>
      <c r="AJ200" s="4"/>
      <c r="AK200" s="4"/>
      <c r="AL200" s="4"/>
      <c r="AM200" s="4"/>
      <c r="AN200" s="4"/>
    </row>
    <row r="201" spans="1:40" x14ac:dyDescent="0.2">
      <c r="A201" s="4"/>
      <c r="S201" s="111"/>
      <c r="T201" s="4"/>
      <c r="U201" s="4"/>
      <c r="V201" s="4"/>
      <c r="W201" s="4"/>
      <c r="X201" s="4"/>
      <c r="Y201" s="4"/>
      <c r="Z201" s="4"/>
      <c r="AA201" s="4"/>
      <c r="AB201" s="4"/>
      <c r="AC201" s="4"/>
      <c r="AD201" s="4"/>
      <c r="AE201" s="4"/>
      <c r="AF201" s="4"/>
      <c r="AG201" s="4"/>
      <c r="AH201" s="4"/>
      <c r="AI201" s="4"/>
      <c r="AJ201" s="4"/>
      <c r="AK201" s="4"/>
      <c r="AL201" s="4"/>
      <c r="AM201" s="4"/>
      <c r="AN201" s="4"/>
    </row>
    <row r="202" spans="1:40" x14ac:dyDescent="0.2">
      <c r="A202" s="4"/>
      <c r="S202" s="111"/>
      <c r="T202" s="4"/>
      <c r="U202" s="4"/>
      <c r="V202" s="4"/>
      <c r="W202" s="4"/>
      <c r="X202" s="4"/>
      <c r="Y202" s="4"/>
      <c r="Z202" s="4"/>
      <c r="AA202" s="4"/>
      <c r="AB202" s="4"/>
      <c r="AC202" s="4"/>
      <c r="AD202" s="4"/>
      <c r="AE202" s="4"/>
      <c r="AF202" s="4"/>
      <c r="AG202" s="4"/>
      <c r="AH202" s="4"/>
      <c r="AI202" s="4"/>
      <c r="AJ202" s="4"/>
      <c r="AK202" s="4"/>
      <c r="AL202" s="4"/>
      <c r="AM202" s="4"/>
      <c r="AN202" s="4"/>
    </row>
    <row r="203" spans="1:40" x14ac:dyDescent="0.2">
      <c r="A203" s="4"/>
      <c r="S203" s="111"/>
      <c r="T203" s="4"/>
      <c r="U203" s="4"/>
      <c r="V203" s="4"/>
      <c r="W203" s="4"/>
      <c r="X203" s="4"/>
      <c r="Y203" s="4"/>
      <c r="Z203" s="4"/>
      <c r="AA203" s="4"/>
      <c r="AB203" s="4"/>
      <c r="AC203" s="4"/>
      <c r="AD203" s="4"/>
      <c r="AE203" s="4"/>
      <c r="AF203" s="4"/>
      <c r="AG203" s="4"/>
      <c r="AH203" s="4"/>
      <c r="AI203" s="4"/>
      <c r="AJ203" s="4"/>
      <c r="AK203" s="4"/>
      <c r="AL203" s="4"/>
      <c r="AM203" s="4"/>
      <c r="AN203" s="4"/>
    </row>
    <row r="204" spans="1:40" x14ac:dyDescent="0.2">
      <c r="A204" s="4"/>
      <c r="S204" s="111"/>
      <c r="T204" s="4"/>
      <c r="U204" s="4"/>
      <c r="V204" s="4"/>
      <c r="W204" s="4"/>
      <c r="X204" s="4"/>
      <c r="Y204" s="4"/>
      <c r="Z204" s="4"/>
      <c r="AA204" s="4"/>
      <c r="AB204" s="4"/>
      <c r="AC204" s="4"/>
      <c r="AD204" s="4"/>
      <c r="AE204" s="4"/>
      <c r="AF204" s="4"/>
      <c r="AG204" s="4"/>
      <c r="AH204" s="4"/>
      <c r="AI204" s="4"/>
      <c r="AJ204" s="4"/>
      <c r="AK204" s="4"/>
      <c r="AL204" s="4"/>
      <c r="AM204" s="4"/>
      <c r="AN204" s="4"/>
    </row>
  </sheetData>
  <sheetProtection algorithmName="SHA-512" hashValue="R6ptei3ywZfoR54wjsEMAbzbiSCi4ZPzQeq6TS6gMlihgyk8/y0B5pMJEhU4sc7Brdt3GQy3UhjPivD4uBvQhg==" saltValue="MZXR5dTIEsWwE/3pSSMVQg==" spinCount="100000" sheet="1" selectLockedCells="1"/>
  <mergeCells count="2">
    <mergeCell ref="G3:J3"/>
    <mergeCell ref="B1:O1"/>
  </mergeCells>
  <conditionalFormatting sqref="G5:J34">
    <cfRule type="expression" dxfId="176" priority="1">
      <formula>$E5=""</formula>
    </cfRule>
  </conditionalFormatting>
  <dataValidations count="2">
    <dataValidation type="list" allowBlank="1" showInputMessage="1" showErrorMessage="1" sqref="E5:E34" xr:uid="{552C2BFF-90EE-40F2-90A0-77815D73FDC7}">
      <formula1>List_WinFilm_Measure</formula1>
    </dataValidation>
    <dataValidation type="list" allowBlank="1" showInputMessage="1" showErrorMessage="1" sqref="G5:G34" xr:uid="{AB066A27-A6C5-4DA8-A1EC-350D47031E57}">
      <formula1>List_WinFilm_Direction</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1330-8F56-4B89-86F8-392EAC01700B}">
  <sheetPr>
    <tabColor theme="4"/>
  </sheetPr>
  <dimension ref="A1:AN204"/>
  <sheetViews>
    <sheetView showGridLines="0" showRowColHeaders="0" workbookViewId="0">
      <selection activeCell="D5" sqref="D5"/>
    </sheetView>
  </sheetViews>
  <sheetFormatPr defaultColWidth="9.140625" defaultRowHeight="12.75" x14ac:dyDescent="0.2"/>
  <cols>
    <col min="1" max="1" width="2.140625" customWidth="1"/>
    <col min="2" max="2" width="5.28515625" customWidth="1"/>
    <col min="3" max="3" width="8.140625" customWidth="1"/>
    <col min="4" max="4" width="17.140625" customWidth="1"/>
    <col min="5" max="6" width="29.85546875" customWidth="1"/>
    <col min="7" max="7" width="21.5703125" customWidth="1"/>
    <col min="8" max="8" width="11.5703125" customWidth="1"/>
    <col min="9" max="9" width="12.42578125" customWidth="1"/>
    <col min="10" max="10" width="9.85546875" customWidth="1"/>
    <col min="11" max="11" width="10" customWidth="1"/>
    <col min="12" max="12" width="11" customWidth="1"/>
    <col min="13" max="13" width="12" customWidth="1"/>
    <col min="14" max="14" width="11.85546875" customWidth="1"/>
    <col min="15" max="16" width="10.28515625" customWidth="1"/>
    <col min="17" max="17" width="13.42578125" customWidth="1"/>
    <col min="18" max="18" width="9.5703125" customWidth="1"/>
    <col min="19" max="19" width="25.85546875" style="110" hidden="1" customWidth="1"/>
  </cols>
  <sheetData>
    <row r="1" spans="1:40" ht="37.5" customHeight="1" x14ac:dyDescent="0.2">
      <c r="B1" s="293" t="s">
        <v>551</v>
      </c>
      <c r="C1" s="293"/>
      <c r="D1" s="293"/>
      <c r="E1" s="293"/>
      <c r="F1" s="293"/>
      <c r="G1" s="293"/>
      <c r="H1" s="293"/>
      <c r="I1" s="293"/>
      <c r="J1" s="293"/>
      <c r="K1" s="293"/>
      <c r="L1" s="293"/>
      <c r="M1" s="293"/>
      <c r="N1" s="293"/>
      <c r="O1" s="293"/>
      <c r="P1" s="149"/>
      <c r="Q1" s="149"/>
      <c r="R1" s="149"/>
    </row>
    <row r="2" spans="1:40" x14ac:dyDescent="0.2">
      <c r="L2" s="4"/>
    </row>
    <row r="3" spans="1:40" x14ac:dyDescent="0.2">
      <c r="A3" s="4"/>
      <c r="G3" s="318" t="s">
        <v>75</v>
      </c>
      <c r="H3" s="318"/>
      <c r="I3" s="318"/>
      <c r="J3" s="318"/>
      <c r="K3" s="82" t="s">
        <v>76</v>
      </c>
      <c r="L3" s="143">
        <f>SUM(Table_Controls_Input235[Estimated Incentive])</f>
        <v>0</v>
      </c>
      <c r="M3" s="152">
        <f>SUM(Table_Controls_Input235[Energy Savings (kWh)])</f>
        <v>0</v>
      </c>
      <c r="N3" s="151">
        <f>SUM(Table_Controls_Input235[Demand Reduction (kW)])</f>
        <v>0</v>
      </c>
      <c r="O3" s="143">
        <f>SUM(Table_Controls_Input235[Cost Savings])</f>
        <v>0</v>
      </c>
      <c r="P3" s="143">
        <f>SUM(Table_Controls_Input235[Gross Measure Cost])</f>
        <v>0</v>
      </c>
      <c r="Q3" s="143">
        <f>SUM(Table_Controls_Input235[Net Measure Cost])</f>
        <v>0</v>
      </c>
      <c r="R3" s="81" t="str">
        <f>IFERROR(Q3/O3,"")</f>
        <v/>
      </c>
      <c r="S3" s="111"/>
      <c r="T3" s="4"/>
      <c r="U3" s="4"/>
      <c r="V3" s="4"/>
      <c r="W3" s="4"/>
      <c r="X3" s="4"/>
      <c r="Y3" s="4"/>
      <c r="Z3" s="4"/>
      <c r="AA3" s="4"/>
      <c r="AB3" s="4"/>
      <c r="AC3" s="4"/>
      <c r="AD3" s="4"/>
      <c r="AE3" s="4"/>
      <c r="AF3" s="4"/>
      <c r="AG3" s="4"/>
      <c r="AH3" s="4"/>
      <c r="AI3" s="4"/>
      <c r="AJ3" s="4"/>
      <c r="AK3" s="4"/>
      <c r="AL3" s="4"/>
      <c r="AM3" s="4"/>
      <c r="AN3" s="4"/>
    </row>
    <row r="4" spans="1:40" ht="38.25" x14ac:dyDescent="0.2">
      <c r="A4" s="16"/>
      <c r="B4" s="62" t="s">
        <v>77</v>
      </c>
      <c r="C4" s="63" t="s">
        <v>78</v>
      </c>
      <c r="D4" s="66" t="s">
        <v>79</v>
      </c>
      <c r="E4" s="63" t="s">
        <v>552</v>
      </c>
      <c r="F4" s="64" t="s">
        <v>81</v>
      </c>
      <c r="G4" s="65" t="s">
        <v>113</v>
      </c>
      <c r="H4" s="65" t="s">
        <v>114</v>
      </c>
      <c r="I4" s="65" t="s">
        <v>86</v>
      </c>
      <c r="J4" s="65" t="s">
        <v>87</v>
      </c>
      <c r="K4" s="64" t="s">
        <v>88</v>
      </c>
      <c r="L4" s="64" t="s">
        <v>89</v>
      </c>
      <c r="M4" s="64" t="s">
        <v>90</v>
      </c>
      <c r="N4" s="64" t="s">
        <v>91</v>
      </c>
      <c r="O4" s="64" t="s">
        <v>92</v>
      </c>
      <c r="P4" s="64" t="s">
        <v>93</v>
      </c>
      <c r="Q4" s="64" t="s">
        <v>94</v>
      </c>
      <c r="R4" s="64" t="s">
        <v>95</v>
      </c>
      <c r="S4" s="112" t="s">
        <v>115</v>
      </c>
      <c r="T4" s="16"/>
      <c r="U4" s="16"/>
      <c r="V4" s="16"/>
      <c r="W4" s="16"/>
      <c r="X4" s="16"/>
      <c r="Y4" s="16"/>
      <c r="Z4" s="16"/>
      <c r="AA4" s="16"/>
      <c r="AB4" s="16"/>
      <c r="AC4" s="16"/>
      <c r="AD4" s="16"/>
      <c r="AE4" s="16"/>
      <c r="AF4" s="16"/>
      <c r="AG4" s="16"/>
      <c r="AH4" s="16"/>
      <c r="AI4" s="16"/>
      <c r="AJ4" s="16"/>
      <c r="AK4" s="16"/>
      <c r="AL4" s="16"/>
      <c r="AM4" s="16"/>
      <c r="AN4" s="16"/>
    </row>
    <row r="5" spans="1:40" x14ac:dyDescent="0.2">
      <c r="A5" s="3"/>
      <c r="B5" s="71">
        <v>1</v>
      </c>
      <c r="C5" s="69" t="str">
        <f>IFERROR(INDEX(Table_EffWindow_Savings[Measure No], MATCH(Table_Controls_Input235[[#This Row],[Measure Lookup Detail]], Table_EffWindow_Savings[Lookup Detail], 0)), "")</f>
        <v/>
      </c>
      <c r="D5" s="61"/>
      <c r="E5" s="60"/>
      <c r="F5" s="69" t="str">
        <f>IFERROR(INDEX(Table_Prescript_Meas[Units], MATCH(Table_Controls_Input235[[#This Row],[Measure Number]], Table_Prescript_Meas[Measure Number], 0)), "")</f>
        <v/>
      </c>
      <c r="G5" s="49"/>
      <c r="H5" s="153"/>
      <c r="I5" s="155"/>
      <c r="J5" s="155"/>
      <c r="K5"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5" s="72" t="str">
        <f>IFERROR(Table_Controls_Input235[[#This Row],[Number of Units (Sq.Ft.)]]*Table_Controls_Input235[[#This Row],[Per-Unit Incentive]], "")</f>
        <v/>
      </c>
      <c r="M5" s="73" t="str">
        <f>IFERROR(Table_Controls_Input235[[#This Row],[Number of Units (Sq.Ft.)]]*INDEX(Table_EffWindow_Savings[Deemed kWh Savings], MATCH(Table_Controls_Input235[[#This Row],[Measure Lookup Detail]], Table_EffWindow_Savings[Lookup Detail], 0)),"" )</f>
        <v/>
      </c>
      <c r="N5" s="79" t="str">
        <f>IFERROR(Table_Controls_Input235[[#This Row],[Number of Units (Sq.Ft.)]]*INDEX(Table_EffWindow_Savings[Deemed kW Savings], MATCH(Table_Controls_Input235[[#This Row],[Measure Lookup Detail]], Table_EffWindow_Savings[Lookup Detail], 0)),"" )</f>
        <v/>
      </c>
      <c r="O5" s="72" t="str">
        <f t="shared" ref="O5:O34" si="0">IFERROR(M5*Input_AvgkWhRate, "")</f>
        <v/>
      </c>
      <c r="P5" s="72" t="str">
        <f>IF(Table_Controls_Input235[[#This Row],[Measure Number]]="", "", Table_Controls_Input235[[#This Row],[Total Equipment Cost]]+Table_Controls_Input235[[#This Row],[Total Labor Cost]])</f>
        <v/>
      </c>
      <c r="Q5" s="72" t="str">
        <f>IFERROR(Table_Controls_Input235[[#This Row],[Gross Measure Cost]]-Table_Controls_Input235[[#This Row],[Estimated Incentive]], "")</f>
        <v/>
      </c>
      <c r="R5" s="73" t="str">
        <f t="shared" ref="R5:R34" si="1">IFERROR($Q5/$O5,"")</f>
        <v/>
      </c>
      <c r="S5" s="113" t="str">
        <f>_xlfn.CONCAT(Table_Controls_Input235[[#This Row],[Window Replacement Measure]],Table_Controls_Input235[[#This Row],[Window Direction]])</f>
        <v/>
      </c>
      <c r="T5" s="3"/>
      <c r="U5" s="3"/>
      <c r="V5" s="3"/>
      <c r="W5" s="3"/>
      <c r="X5" s="3"/>
      <c r="Y5" s="3"/>
      <c r="Z5" s="3"/>
      <c r="AA5" s="3"/>
      <c r="AB5" s="3"/>
      <c r="AC5" s="3"/>
      <c r="AD5" s="3"/>
      <c r="AE5" s="3"/>
      <c r="AF5" s="3"/>
      <c r="AG5" s="3"/>
      <c r="AH5" s="3"/>
      <c r="AI5" s="3"/>
      <c r="AJ5" s="3"/>
      <c r="AK5" s="3"/>
      <c r="AL5" s="3"/>
      <c r="AM5" s="3"/>
      <c r="AN5" s="3"/>
    </row>
    <row r="6" spans="1:40" x14ac:dyDescent="0.2">
      <c r="A6" s="3"/>
      <c r="B6" s="71">
        <v>2</v>
      </c>
      <c r="C6" s="69" t="str">
        <f>IFERROR(INDEX(Table_EffWindow_Savings[Measure No], MATCH(Table_Controls_Input235[[#This Row],[Measure Lookup Detail]], Table_EffWindow_Savings[Lookup Detail], 0)), "")</f>
        <v/>
      </c>
      <c r="D6" s="61"/>
      <c r="E6" s="60"/>
      <c r="F6" s="69" t="str">
        <f>IFERROR(INDEX(Table_Prescript_Meas[Units], MATCH(Table_Controls_Input235[[#This Row],[Measure Number]], Table_Prescript_Meas[Measure Number], 0)), "")</f>
        <v/>
      </c>
      <c r="G6" s="49"/>
      <c r="H6" s="153"/>
      <c r="I6" s="155"/>
      <c r="J6" s="155"/>
      <c r="K6"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6" s="72" t="str">
        <f>IFERROR(Table_Controls_Input235[[#This Row],[Number of Units (Sq.Ft.)]]*Table_Controls_Input235[[#This Row],[Per-Unit Incentive]], "")</f>
        <v/>
      </c>
      <c r="M6" s="73" t="str">
        <f>IFERROR(Table_Controls_Input235[[#This Row],[Number of Units (Sq.Ft.)]]*INDEX(Table_EffWindow_Savings[Deemed kWh Savings], MATCH(Table_Controls_Input235[[#This Row],[Measure Lookup Detail]], Table_EffWindow_Savings[Lookup Detail], 0)),"" )</f>
        <v/>
      </c>
      <c r="N6" s="79" t="str">
        <f>IFERROR(Table_Controls_Input235[[#This Row],[Number of Units (Sq.Ft.)]]*INDEX(Table_EffWindow_Savings[Deemed kW Savings], MATCH(Table_Controls_Input235[[#This Row],[Measure Lookup Detail]], Table_EffWindow_Savings[Lookup Detail], 0)),"" )</f>
        <v/>
      </c>
      <c r="O6" s="72" t="str">
        <f t="shared" si="0"/>
        <v/>
      </c>
      <c r="P6" s="72" t="str">
        <f>IF(Table_Controls_Input235[[#This Row],[Measure Number]]="", "", Table_Controls_Input235[[#This Row],[Total Equipment Cost]]+Table_Controls_Input235[[#This Row],[Total Labor Cost]])</f>
        <v/>
      </c>
      <c r="Q6" s="72" t="str">
        <f>IFERROR(Table_Controls_Input235[[#This Row],[Gross Measure Cost]]-Table_Controls_Input235[[#This Row],[Estimated Incentive]], "")</f>
        <v/>
      </c>
      <c r="R6" s="73" t="str">
        <f t="shared" si="1"/>
        <v/>
      </c>
      <c r="S6" s="113" t="str">
        <f>_xlfn.CONCAT(Table_Controls_Input235[[#This Row],[Window Replacement Measure]],Table_Controls_Input235[[#This Row],[Window Direction]])</f>
        <v/>
      </c>
      <c r="T6" s="3"/>
      <c r="U6" s="3"/>
      <c r="V6" s="3"/>
      <c r="W6" s="3"/>
      <c r="X6" s="3"/>
      <c r="Y6" s="3"/>
      <c r="Z6" s="3"/>
      <c r="AA6" s="3"/>
      <c r="AB6" s="3"/>
      <c r="AC6" s="3"/>
      <c r="AD6" s="3"/>
      <c r="AE6" s="3"/>
      <c r="AF6" s="3"/>
      <c r="AG6" s="3"/>
      <c r="AH6" s="3"/>
      <c r="AI6" s="3"/>
      <c r="AJ6" s="3"/>
      <c r="AK6" s="3"/>
      <c r="AL6" s="3"/>
      <c r="AM6" s="3"/>
      <c r="AN6" s="3"/>
    </row>
    <row r="7" spans="1:40" x14ac:dyDescent="0.2">
      <c r="A7" s="3"/>
      <c r="B7" s="71">
        <v>3</v>
      </c>
      <c r="C7" s="69" t="str">
        <f>IFERROR(INDEX(Table_EffWindow_Savings[Measure No], MATCH(Table_Controls_Input235[[#This Row],[Measure Lookup Detail]], Table_EffWindow_Savings[Lookup Detail], 0)), "")</f>
        <v/>
      </c>
      <c r="D7" s="61"/>
      <c r="E7" s="60"/>
      <c r="F7" s="69" t="str">
        <f>IFERROR(INDEX(Table_Prescript_Meas[Units], MATCH(Table_Controls_Input235[[#This Row],[Measure Number]], Table_Prescript_Meas[Measure Number], 0)), "")</f>
        <v/>
      </c>
      <c r="G7" s="49"/>
      <c r="H7" s="153"/>
      <c r="I7" s="155"/>
      <c r="J7" s="155"/>
      <c r="K7"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7" s="72" t="str">
        <f>IFERROR(Table_Controls_Input235[[#This Row],[Number of Units (Sq.Ft.)]]*Table_Controls_Input235[[#This Row],[Per-Unit Incentive]], "")</f>
        <v/>
      </c>
      <c r="M7" s="73" t="str">
        <f>IFERROR(Table_Controls_Input235[[#This Row],[Number of Units (Sq.Ft.)]]*INDEX(Table_EffWindow_Savings[Deemed kWh Savings], MATCH(Table_Controls_Input235[[#This Row],[Measure Lookup Detail]], Table_EffWindow_Savings[Lookup Detail], 0)),"" )</f>
        <v/>
      </c>
      <c r="N7" s="79" t="str">
        <f>IFERROR(Table_Controls_Input235[[#This Row],[Number of Units (Sq.Ft.)]]*INDEX(Table_EffWindow_Savings[Deemed kW Savings], MATCH(Table_Controls_Input235[[#This Row],[Measure Lookup Detail]], Table_EffWindow_Savings[Lookup Detail], 0)),"" )</f>
        <v/>
      </c>
      <c r="O7" s="72" t="str">
        <f t="shared" si="0"/>
        <v/>
      </c>
      <c r="P7" s="72" t="str">
        <f>IF(Table_Controls_Input235[[#This Row],[Measure Number]]="", "", Table_Controls_Input235[[#This Row],[Total Equipment Cost]]+Table_Controls_Input235[[#This Row],[Total Labor Cost]])</f>
        <v/>
      </c>
      <c r="Q7" s="72" t="str">
        <f>IFERROR(Table_Controls_Input235[[#This Row],[Gross Measure Cost]]-Table_Controls_Input235[[#This Row],[Estimated Incentive]], "")</f>
        <v/>
      </c>
      <c r="R7" s="73" t="str">
        <f t="shared" si="1"/>
        <v/>
      </c>
      <c r="S7" s="113" t="str">
        <f>_xlfn.CONCAT(Table_Controls_Input235[[#This Row],[Window Replacement Measure]],Table_Controls_Input235[[#This Row],[Window Direction]])</f>
        <v/>
      </c>
      <c r="T7" s="3"/>
      <c r="U7" s="3"/>
      <c r="V7" s="3"/>
      <c r="W7" s="3"/>
      <c r="X7" s="3"/>
      <c r="Y7" s="3"/>
      <c r="Z7" s="3"/>
      <c r="AA7" s="3"/>
      <c r="AB7" s="3"/>
      <c r="AC7" s="3"/>
      <c r="AD7" s="3"/>
      <c r="AE7" s="3"/>
      <c r="AF7" s="3"/>
      <c r="AG7" s="3"/>
      <c r="AH7" s="3"/>
      <c r="AI7" s="3"/>
      <c r="AJ7" s="3"/>
      <c r="AK7" s="3"/>
      <c r="AL7" s="3"/>
      <c r="AM7" s="3"/>
      <c r="AN7" s="3"/>
    </row>
    <row r="8" spans="1:40" x14ac:dyDescent="0.2">
      <c r="A8" s="3"/>
      <c r="B8" s="71">
        <v>4</v>
      </c>
      <c r="C8" s="69" t="str">
        <f>IFERROR(INDEX(Table_EffWindow_Savings[Measure No], MATCH(Table_Controls_Input235[[#This Row],[Measure Lookup Detail]], Table_EffWindow_Savings[Lookup Detail], 0)), "")</f>
        <v/>
      </c>
      <c r="D8" s="61"/>
      <c r="E8" s="60"/>
      <c r="F8" s="69" t="str">
        <f>IFERROR(INDEX(Table_Prescript_Meas[Units], MATCH(Table_Controls_Input235[[#This Row],[Measure Number]], Table_Prescript_Meas[Measure Number], 0)), "")</f>
        <v/>
      </c>
      <c r="G8" s="49"/>
      <c r="H8" s="153"/>
      <c r="I8" s="155"/>
      <c r="J8" s="155"/>
      <c r="K8"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8" s="72" t="str">
        <f>IFERROR(Table_Controls_Input235[[#This Row],[Number of Units (Sq.Ft.)]]*Table_Controls_Input235[[#This Row],[Per-Unit Incentive]], "")</f>
        <v/>
      </c>
      <c r="M8" s="73" t="str">
        <f>IFERROR(Table_Controls_Input235[[#This Row],[Number of Units (Sq.Ft.)]]*INDEX(Table_EffWindow_Savings[Deemed kWh Savings], MATCH(Table_Controls_Input235[[#This Row],[Measure Lookup Detail]], Table_EffWindow_Savings[Lookup Detail], 0)),"" )</f>
        <v/>
      </c>
      <c r="N8" s="79" t="str">
        <f>IFERROR(Table_Controls_Input235[[#This Row],[Number of Units (Sq.Ft.)]]*INDEX(Table_EffWindow_Savings[Deemed kW Savings], MATCH(Table_Controls_Input235[[#This Row],[Measure Lookup Detail]], Table_EffWindow_Savings[Lookup Detail], 0)),"" )</f>
        <v/>
      </c>
      <c r="O8" s="72" t="str">
        <f t="shared" si="0"/>
        <v/>
      </c>
      <c r="P8" s="72" t="str">
        <f>IF(Table_Controls_Input235[[#This Row],[Measure Number]]="", "", Table_Controls_Input235[[#This Row],[Total Equipment Cost]]+Table_Controls_Input235[[#This Row],[Total Labor Cost]])</f>
        <v/>
      </c>
      <c r="Q8" s="72" t="str">
        <f>IFERROR(Table_Controls_Input235[[#This Row],[Gross Measure Cost]]-Table_Controls_Input235[[#This Row],[Estimated Incentive]], "")</f>
        <v/>
      </c>
      <c r="R8" s="73" t="str">
        <f t="shared" si="1"/>
        <v/>
      </c>
      <c r="S8" s="113" t="str">
        <f>_xlfn.CONCAT(Table_Controls_Input235[[#This Row],[Window Replacement Measure]],Table_Controls_Input235[[#This Row],[Window Direction]])</f>
        <v/>
      </c>
      <c r="T8" s="3"/>
      <c r="U8" s="3"/>
      <c r="V8" s="3"/>
      <c r="W8" s="3"/>
      <c r="X8" s="3"/>
      <c r="Y8" s="3"/>
      <c r="Z8" s="3"/>
      <c r="AA8" s="3"/>
      <c r="AB8" s="3"/>
      <c r="AC8" s="3"/>
      <c r="AD8" s="3"/>
      <c r="AE8" s="3"/>
      <c r="AF8" s="3"/>
      <c r="AG8" s="3"/>
      <c r="AH8" s="3"/>
      <c r="AI8" s="3"/>
      <c r="AJ8" s="3"/>
      <c r="AK8" s="3"/>
      <c r="AL8" s="3"/>
      <c r="AM8" s="3"/>
      <c r="AN8" s="3"/>
    </row>
    <row r="9" spans="1:40" x14ac:dyDescent="0.2">
      <c r="A9" s="3"/>
      <c r="B9" s="71">
        <v>5</v>
      </c>
      <c r="C9" s="69" t="str">
        <f>IFERROR(INDEX(Table_EffWindow_Savings[Measure No], MATCH(Table_Controls_Input235[[#This Row],[Measure Lookup Detail]], Table_EffWindow_Savings[Lookup Detail], 0)), "")</f>
        <v/>
      </c>
      <c r="D9" s="61"/>
      <c r="E9" s="60"/>
      <c r="F9" s="69" t="str">
        <f>IFERROR(INDEX(Table_Prescript_Meas[Units], MATCH(Table_Controls_Input235[[#This Row],[Measure Number]], Table_Prescript_Meas[Measure Number], 0)), "")</f>
        <v/>
      </c>
      <c r="G9" s="49"/>
      <c r="H9" s="153"/>
      <c r="I9" s="155"/>
      <c r="J9" s="155"/>
      <c r="K9"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9" s="72" t="str">
        <f>IFERROR(Table_Controls_Input235[[#This Row],[Number of Units (Sq.Ft.)]]*Table_Controls_Input235[[#This Row],[Per-Unit Incentive]], "")</f>
        <v/>
      </c>
      <c r="M9" s="73" t="str">
        <f>IFERROR(Table_Controls_Input235[[#This Row],[Number of Units (Sq.Ft.)]]*INDEX(Table_EffWindow_Savings[Deemed kWh Savings], MATCH(Table_Controls_Input235[[#This Row],[Measure Lookup Detail]], Table_EffWindow_Savings[Lookup Detail], 0)),"" )</f>
        <v/>
      </c>
      <c r="N9" s="79" t="str">
        <f>IFERROR(Table_Controls_Input235[[#This Row],[Number of Units (Sq.Ft.)]]*INDEX(Table_EffWindow_Savings[Deemed kW Savings], MATCH(Table_Controls_Input235[[#This Row],[Measure Lookup Detail]], Table_EffWindow_Savings[Lookup Detail], 0)),"" )</f>
        <v/>
      </c>
      <c r="O9" s="72" t="str">
        <f t="shared" si="0"/>
        <v/>
      </c>
      <c r="P9" s="72" t="str">
        <f>IF(Table_Controls_Input235[[#This Row],[Measure Number]]="", "", Table_Controls_Input235[[#This Row],[Total Equipment Cost]]+Table_Controls_Input235[[#This Row],[Total Labor Cost]])</f>
        <v/>
      </c>
      <c r="Q9" s="72" t="str">
        <f>IFERROR(Table_Controls_Input235[[#This Row],[Gross Measure Cost]]-Table_Controls_Input235[[#This Row],[Estimated Incentive]], "")</f>
        <v/>
      </c>
      <c r="R9" s="73" t="str">
        <f t="shared" si="1"/>
        <v/>
      </c>
      <c r="S9" s="113" t="str">
        <f>_xlfn.CONCAT(Table_Controls_Input235[[#This Row],[Window Replacement Measure]],Table_Controls_Input235[[#This Row],[Window Direction]])</f>
        <v/>
      </c>
      <c r="T9" s="3"/>
      <c r="U9" s="3"/>
      <c r="V9" s="3"/>
      <c r="W9" s="3"/>
      <c r="X9" s="3"/>
      <c r="Y9" s="3"/>
      <c r="Z9" s="3"/>
      <c r="AA9" s="3"/>
      <c r="AB9" s="3"/>
      <c r="AC9" s="3"/>
      <c r="AD9" s="3"/>
      <c r="AE9" s="3"/>
      <c r="AF9" s="3"/>
      <c r="AG9" s="3"/>
      <c r="AH9" s="3"/>
      <c r="AI9" s="3"/>
      <c r="AJ9" s="3"/>
      <c r="AK9" s="3"/>
      <c r="AL9" s="3"/>
      <c r="AM9" s="3"/>
      <c r="AN9" s="3"/>
    </row>
    <row r="10" spans="1:40" x14ac:dyDescent="0.2">
      <c r="A10" s="3"/>
      <c r="B10" s="71">
        <v>6</v>
      </c>
      <c r="C10" s="69" t="str">
        <f>IFERROR(INDEX(Table_EffWindow_Savings[Measure No], MATCH(Table_Controls_Input235[[#This Row],[Measure Lookup Detail]], Table_EffWindow_Savings[Lookup Detail], 0)), "")</f>
        <v/>
      </c>
      <c r="D10" s="61"/>
      <c r="E10" s="60"/>
      <c r="F10" s="69" t="str">
        <f>IFERROR(INDEX(Table_Prescript_Meas[Units], MATCH(Table_Controls_Input235[[#This Row],[Measure Number]], Table_Prescript_Meas[Measure Number], 0)), "")</f>
        <v/>
      </c>
      <c r="G10" s="49"/>
      <c r="H10" s="153"/>
      <c r="I10" s="155"/>
      <c r="J10" s="155"/>
      <c r="K10"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0" s="72" t="str">
        <f>IFERROR(Table_Controls_Input235[[#This Row],[Number of Units (Sq.Ft.)]]*Table_Controls_Input235[[#This Row],[Per-Unit Incentive]], "")</f>
        <v/>
      </c>
      <c r="M10" s="73" t="str">
        <f>IFERROR(Table_Controls_Input235[[#This Row],[Number of Units (Sq.Ft.)]]*INDEX(Table_EffWindow_Savings[Deemed kWh Savings], MATCH(Table_Controls_Input235[[#This Row],[Measure Lookup Detail]], Table_EffWindow_Savings[Lookup Detail], 0)),"" )</f>
        <v/>
      </c>
      <c r="N10" s="79" t="str">
        <f>IFERROR(Table_Controls_Input235[[#This Row],[Number of Units (Sq.Ft.)]]*INDEX(Table_EffWindow_Savings[Deemed kW Savings], MATCH(Table_Controls_Input235[[#This Row],[Measure Lookup Detail]], Table_EffWindow_Savings[Lookup Detail], 0)),"" )</f>
        <v/>
      </c>
      <c r="O10" s="72" t="str">
        <f t="shared" si="0"/>
        <v/>
      </c>
      <c r="P10" s="72" t="str">
        <f>IF(Table_Controls_Input235[[#This Row],[Measure Number]]="", "", Table_Controls_Input235[[#This Row],[Total Equipment Cost]]+Table_Controls_Input235[[#This Row],[Total Labor Cost]])</f>
        <v/>
      </c>
      <c r="Q10" s="72" t="str">
        <f>IFERROR(Table_Controls_Input235[[#This Row],[Gross Measure Cost]]-Table_Controls_Input235[[#This Row],[Estimated Incentive]], "")</f>
        <v/>
      </c>
      <c r="R10" s="73" t="str">
        <f t="shared" si="1"/>
        <v/>
      </c>
      <c r="S10" s="113" t="str">
        <f>_xlfn.CONCAT(Table_Controls_Input235[[#This Row],[Window Replacement Measure]],Table_Controls_Input235[[#This Row],[Window Direction]])</f>
        <v/>
      </c>
      <c r="T10" s="3"/>
      <c r="U10" s="3"/>
      <c r="V10" s="3"/>
      <c r="W10" s="3"/>
      <c r="X10" s="3"/>
      <c r="Y10" s="3"/>
      <c r="Z10" s="3"/>
      <c r="AA10" s="3"/>
      <c r="AB10" s="3"/>
      <c r="AC10" s="3"/>
      <c r="AD10" s="3"/>
      <c r="AE10" s="3"/>
      <c r="AF10" s="3"/>
      <c r="AG10" s="3"/>
      <c r="AH10" s="3"/>
      <c r="AI10" s="3"/>
      <c r="AJ10" s="3"/>
      <c r="AK10" s="3"/>
      <c r="AL10" s="3"/>
      <c r="AM10" s="3"/>
      <c r="AN10" s="3"/>
    </row>
    <row r="11" spans="1:40" x14ac:dyDescent="0.2">
      <c r="A11" s="3"/>
      <c r="B11" s="71">
        <v>7</v>
      </c>
      <c r="C11" s="69" t="str">
        <f>IFERROR(INDEX(Table_EffWindow_Savings[Measure No], MATCH(Table_Controls_Input235[[#This Row],[Measure Lookup Detail]], Table_EffWindow_Savings[Lookup Detail], 0)), "")</f>
        <v/>
      </c>
      <c r="D11" s="61"/>
      <c r="E11" s="60"/>
      <c r="F11" s="69" t="str">
        <f>IFERROR(INDEX(Table_Prescript_Meas[Units], MATCH(Table_Controls_Input235[[#This Row],[Measure Number]], Table_Prescript_Meas[Measure Number], 0)), "")</f>
        <v/>
      </c>
      <c r="G11" s="49"/>
      <c r="H11" s="153"/>
      <c r="I11" s="155"/>
      <c r="J11" s="155"/>
      <c r="K11"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1" s="72" t="str">
        <f>IFERROR(Table_Controls_Input235[[#This Row],[Number of Units (Sq.Ft.)]]*Table_Controls_Input235[[#This Row],[Per-Unit Incentive]], "")</f>
        <v/>
      </c>
      <c r="M11" s="73" t="str">
        <f>IFERROR(Table_Controls_Input235[[#This Row],[Number of Units (Sq.Ft.)]]*INDEX(Table_EffWindow_Savings[Deemed kWh Savings], MATCH(Table_Controls_Input235[[#This Row],[Measure Lookup Detail]], Table_EffWindow_Savings[Lookup Detail], 0)),"" )</f>
        <v/>
      </c>
      <c r="N11" s="79" t="str">
        <f>IFERROR(Table_Controls_Input235[[#This Row],[Number of Units (Sq.Ft.)]]*INDEX(Table_EffWindow_Savings[Deemed kW Savings], MATCH(Table_Controls_Input235[[#This Row],[Measure Lookup Detail]], Table_EffWindow_Savings[Lookup Detail], 0)),"" )</f>
        <v/>
      </c>
      <c r="O11" s="72" t="str">
        <f t="shared" si="0"/>
        <v/>
      </c>
      <c r="P11" s="72" t="str">
        <f>IF(Table_Controls_Input235[[#This Row],[Measure Number]]="", "", Table_Controls_Input235[[#This Row],[Total Equipment Cost]]+Table_Controls_Input235[[#This Row],[Total Labor Cost]])</f>
        <v/>
      </c>
      <c r="Q11" s="72" t="str">
        <f>IFERROR(Table_Controls_Input235[[#This Row],[Gross Measure Cost]]-Table_Controls_Input235[[#This Row],[Estimated Incentive]], "")</f>
        <v/>
      </c>
      <c r="R11" s="73" t="str">
        <f t="shared" si="1"/>
        <v/>
      </c>
      <c r="S11" s="113" t="str">
        <f>_xlfn.CONCAT(Table_Controls_Input235[[#This Row],[Window Replacement Measure]],Table_Controls_Input235[[#This Row],[Window Direction]])</f>
        <v/>
      </c>
      <c r="T11" s="3"/>
      <c r="U11" s="3"/>
      <c r="V11" s="3"/>
      <c r="W11" s="3"/>
      <c r="X11" s="3"/>
      <c r="Y11" s="3"/>
      <c r="Z11" s="3"/>
      <c r="AA11" s="3"/>
      <c r="AB11" s="3"/>
      <c r="AC11" s="3"/>
      <c r="AD11" s="3"/>
      <c r="AE11" s="3"/>
      <c r="AF11" s="3"/>
      <c r="AG11" s="3"/>
      <c r="AH11" s="3"/>
      <c r="AI11" s="3"/>
      <c r="AJ11" s="3"/>
      <c r="AK11" s="3"/>
      <c r="AL11" s="3"/>
      <c r="AM11" s="3"/>
      <c r="AN11" s="3"/>
    </row>
    <row r="12" spans="1:40" ht="10.5" customHeight="1" x14ac:dyDescent="0.2">
      <c r="A12" s="3"/>
      <c r="B12" s="71">
        <v>8</v>
      </c>
      <c r="C12" s="69" t="str">
        <f>IFERROR(INDEX(Table_EffWindow_Savings[Measure No], MATCH(Table_Controls_Input235[[#This Row],[Measure Lookup Detail]], Table_EffWindow_Savings[Lookup Detail], 0)), "")</f>
        <v/>
      </c>
      <c r="D12" s="61"/>
      <c r="E12" s="60"/>
      <c r="F12" s="69" t="str">
        <f>IFERROR(INDEX(Table_Prescript_Meas[Units], MATCH(Table_Controls_Input235[[#This Row],[Measure Number]], Table_Prescript_Meas[Measure Number], 0)), "")</f>
        <v/>
      </c>
      <c r="G12" s="49"/>
      <c r="H12" s="153"/>
      <c r="I12" s="155"/>
      <c r="J12" s="155"/>
      <c r="K12"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2" s="72" t="str">
        <f>IFERROR(Table_Controls_Input235[[#This Row],[Number of Units (Sq.Ft.)]]*Table_Controls_Input235[[#This Row],[Per-Unit Incentive]], "")</f>
        <v/>
      </c>
      <c r="M12" s="73" t="str">
        <f>IFERROR(Table_Controls_Input235[[#This Row],[Number of Units (Sq.Ft.)]]*INDEX(Table_EffWindow_Savings[Deemed kWh Savings], MATCH(Table_Controls_Input235[[#This Row],[Measure Lookup Detail]], Table_EffWindow_Savings[Lookup Detail], 0)),"" )</f>
        <v/>
      </c>
      <c r="N12" s="79" t="str">
        <f>IFERROR(Table_Controls_Input235[[#This Row],[Number of Units (Sq.Ft.)]]*INDEX(Table_EffWindow_Savings[Deemed kW Savings], MATCH(Table_Controls_Input235[[#This Row],[Measure Lookup Detail]], Table_EffWindow_Savings[Lookup Detail], 0)),"" )</f>
        <v/>
      </c>
      <c r="O12" s="72" t="str">
        <f t="shared" si="0"/>
        <v/>
      </c>
      <c r="P12" s="72" t="str">
        <f>IF(Table_Controls_Input235[[#This Row],[Measure Number]]="", "", Table_Controls_Input235[[#This Row],[Total Equipment Cost]]+Table_Controls_Input235[[#This Row],[Total Labor Cost]])</f>
        <v/>
      </c>
      <c r="Q12" s="72" t="str">
        <f>IFERROR(Table_Controls_Input235[[#This Row],[Gross Measure Cost]]-Table_Controls_Input235[[#This Row],[Estimated Incentive]], "")</f>
        <v/>
      </c>
      <c r="R12" s="73" t="str">
        <f t="shared" si="1"/>
        <v/>
      </c>
      <c r="S12" s="113" t="str">
        <f>_xlfn.CONCAT(Table_Controls_Input235[[#This Row],[Window Replacement Measure]],Table_Controls_Input235[[#This Row],[Window Direction]])</f>
        <v/>
      </c>
      <c r="T12" s="3"/>
      <c r="U12" s="3"/>
      <c r="V12" s="3"/>
      <c r="W12" s="3"/>
      <c r="X12" s="3"/>
      <c r="Y12" s="3"/>
      <c r="Z12" s="3"/>
      <c r="AA12" s="3"/>
      <c r="AB12" s="3"/>
      <c r="AC12" s="3"/>
      <c r="AD12" s="3"/>
      <c r="AE12" s="3"/>
      <c r="AF12" s="3"/>
      <c r="AG12" s="3"/>
      <c r="AH12" s="3"/>
      <c r="AI12" s="3"/>
      <c r="AJ12" s="3"/>
      <c r="AK12" s="3"/>
      <c r="AL12" s="3"/>
      <c r="AM12" s="3"/>
      <c r="AN12" s="3"/>
    </row>
    <row r="13" spans="1:40" x14ac:dyDescent="0.2">
      <c r="A13" s="3"/>
      <c r="B13" s="71">
        <v>9</v>
      </c>
      <c r="C13" s="69" t="str">
        <f>IFERROR(INDEX(Table_EffWindow_Savings[Measure No], MATCH(Table_Controls_Input235[[#This Row],[Measure Lookup Detail]], Table_EffWindow_Savings[Lookup Detail], 0)), "")</f>
        <v/>
      </c>
      <c r="D13" s="61"/>
      <c r="E13" s="60"/>
      <c r="F13" s="69" t="str">
        <f>IFERROR(INDEX(Table_Prescript_Meas[Units], MATCH(Table_Controls_Input235[[#This Row],[Measure Number]], Table_Prescript_Meas[Measure Number], 0)), "")</f>
        <v/>
      </c>
      <c r="G13" s="49"/>
      <c r="H13" s="153"/>
      <c r="I13" s="155"/>
      <c r="J13" s="155"/>
      <c r="K13"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3" s="72" t="str">
        <f>IFERROR(Table_Controls_Input235[[#This Row],[Number of Units (Sq.Ft.)]]*Table_Controls_Input235[[#This Row],[Per-Unit Incentive]], "")</f>
        <v/>
      </c>
      <c r="M13" s="73" t="str">
        <f>IFERROR(Table_Controls_Input235[[#This Row],[Number of Units (Sq.Ft.)]]*INDEX(Table_EffWindow_Savings[Deemed kWh Savings], MATCH(Table_Controls_Input235[[#This Row],[Measure Lookup Detail]], Table_EffWindow_Savings[Lookup Detail], 0)),"" )</f>
        <v/>
      </c>
      <c r="N13" s="79" t="str">
        <f>IFERROR(Table_Controls_Input235[[#This Row],[Number of Units (Sq.Ft.)]]*INDEX(Table_EffWindow_Savings[Deemed kW Savings], MATCH(Table_Controls_Input235[[#This Row],[Measure Lookup Detail]], Table_EffWindow_Savings[Lookup Detail], 0)),"" )</f>
        <v/>
      </c>
      <c r="O13" s="72" t="str">
        <f t="shared" si="0"/>
        <v/>
      </c>
      <c r="P13" s="72" t="str">
        <f>IF(Table_Controls_Input235[[#This Row],[Measure Number]]="", "", Table_Controls_Input235[[#This Row],[Total Equipment Cost]]+Table_Controls_Input235[[#This Row],[Total Labor Cost]])</f>
        <v/>
      </c>
      <c r="Q13" s="72" t="str">
        <f>IFERROR(Table_Controls_Input235[[#This Row],[Gross Measure Cost]]-Table_Controls_Input235[[#This Row],[Estimated Incentive]], "")</f>
        <v/>
      </c>
      <c r="R13" s="73" t="str">
        <f t="shared" si="1"/>
        <v/>
      </c>
      <c r="S13" s="113" t="str">
        <f>_xlfn.CONCAT(Table_Controls_Input235[[#This Row],[Window Replacement Measure]],Table_Controls_Input235[[#This Row],[Window Direction]])</f>
        <v/>
      </c>
      <c r="T13" s="3"/>
      <c r="U13" s="3"/>
      <c r="V13" s="3"/>
      <c r="W13" s="3"/>
      <c r="X13" s="3"/>
      <c r="Y13" s="3"/>
      <c r="Z13" s="3"/>
      <c r="AA13" s="3"/>
      <c r="AB13" s="3"/>
      <c r="AC13" s="3"/>
      <c r="AD13" s="3"/>
      <c r="AE13" s="3"/>
      <c r="AF13" s="3"/>
      <c r="AG13" s="3"/>
      <c r="AH13" s="3"/>
      <c r="AI13" s="3"/>
      <c r="AJ13" s="3"/>
      <c r="AK13" s="3"/>
      <c r="AL13" s="3"/>
      <c r="AM13" s="3"/>
      <c r="AN13" s="3"/>
    </row>
    <row r="14" spans="1:40" x14ac:dyDescent="0.2">
      <c r="A14" s="3"/>
      <c r="B14" s="71">
        <v>10</v>
      </c>
      <c r="C14" s="69" t="str">
        <f>IFERROR(INDEX(Table_EffWindow_Savings[Measure No], MATCH(Table_Controls_Input235[[#This Row],[Measure Lookup Detail]], Table_EffWindow_Savings[Lookup Detail], 0)), "")</f>
        <v/>
      </c>
      <c r="D14" s="61"/>
      <c r="E14" s="60"/>
      <c r="F14" s="69" t="str">
        <f>IFERROR(INDEX(Table_Prescript_Meas[Units], MATCH(Table_Controls_Input235[[#This Row],[Measure Number]], Table_Prescript_Meas[Measure Number], 0)), "")</f>
        <v/>
      </c>
      <c r="G14" s="49"/>
      <c r="H14" s="153"/>
      <c r="I14" s="155"/>
      <c r="J14" s="155"/>
      <c r="K14"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4" s="72" t="str">
        <f>IFERROR(Table_Controls_Input235[[#This Row],[Number of Units (Sq.Ft.)]]*Table_Controls_Input235[[#This Row],[Per-Unit Incentive]], "")</f>
        <v/>
      </c>
      <c r="M14" s="73" t="str">
        <f>IFERROR(Table_Controls_Input235[[#This Row],[Number of Units (Sq.Ft.)]]*INDEX(Table_EffWindow_Savings[Deemed kWh Savings], MATCH(Table_Controls_Input235[[#This Row],[Measure Lookup Detail]], Table_EffWindow_Savings[Lookup Detail], 0)),"" )</f>
        <v/>
      </c>
      <c r="N14" s="79" t="str">
        <f>IFERROR(Table_Controls_Input235[[#This Row],[Number of Units (Sq.Ft.)]]*INDEX(Table_EffWindow_Savings[Deemed kW Savings], MATCH(Table_Controls_Input235[[#This Row],[Measure Lookup Detail]], Table_EffWindow_Savings[Lookup Detail], 0)),"" )</f>
        <v/>
      </c>
      <c r="O14" s="72" t="str">
        <f t="shared" si="0"/>
        <v/>
      </c>
      <c r="P14" s="72" t="str">
        <f>IF(Table_Controls_Input235[[#This Row],[Measure Number]]="", "", Table_Controls_Input235[[#This Row],[Total Equipment Cost]]+Table_Controls_Input235[[#This Row],[Total Labor Cost]])</f>
        <v/>
      </c>
      <c r="Q14" s="72" t="str">
        <f>IFERROR(Table_Controls_Input235[[#This Row],[Gross Measure Cost]]-Table_Controls_Input235[[#This Row],[Estimated Incentive]], "")</f>
        <v/>
      </c>
      <c r="R14" s="73" t="str">
        <f t="shared" si="1"/>
        <v/>
      </c>
      <c r="S14" s="113" t="str">
        <f>_xlfn.CONCAT(Table_Controls_Input235[[#This Row],[Window Replacement Measure]],Table_Controls_Input235[[#This Row],[Window Direction]])</f>
        <v/>
      </c>
      <c r="T14" s="3"/>
      <c r="U14" s="3"/>
      <c r="V14" s="3"/>
      <c r="W14" s="3"/>
      <c r="X14" s="3"/>
      <c r="Y14" s="3"/>
      <c r="Z14" s="3"/>
      <c r="AA14" s="3"/>
      <c r="AB14" s="3"/>
      <c r="AC14" s="3"/>
      <c r="AD14" s="3"/>
      <c r="AE14" s="3"/>
      <c r="AF14" s="3"/>
      <c r="AG14" s="3"/>
      <c r="AH14" s="3"/>
      <c r="AI14" s="3"/>
      <c r="AJ14" s="3"/>
      <c r="AK14" s="3"/>
      <c r="AL14" s="3"/>
      <c r="AM14" s="3"/>
      <c r="AN14" s="3"/>
    </row>
    <row r="15" spans="1:40" x14ac:dyDescent="0.2">
      <c r="A15" s="3"/>
      <c r="B15" s="71">
        <v>11</v>
      </c>
      <c r="C15" s="69" t="str">
        <f>IFERROR(INDEX(Table_EffWindow_Savings[Measure No], MATCH(Table_Controls_Input235[[#This Row],[Measure Lookup Detail]], Table_EffWindow_Savings[Lookup Detail], 0)), "")</f>
        <v/>
      </c>
      <c r="D15" s="61"/>
      <c r="E15" s="60"/>
      <c r="F15" s="69" t="str">
        <f>IFERROR(INDEX(Table_Prescript_Meas[Units], MATCH(Table_Controls_Input235[[#This Row],[Measure Number]], Table_Prescript_Meas[Measure Number], 0)), "")</f>
        <v/>
      </c>
      <c r="G15" s="49"/>
      <c r="H15" s="153"/>
      <c r="I15" s="155"/>
      <c r="J15" s="155"/>
      <c r="K15"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5" s="72" t="str">
        <f>IFERROR(Table_Controls_Input235[[#This Row],[Number of Units (Sq.Ft.)]]*Table_Controls_Input235[[#This Row],[Per-Unit Incentive]], "")</f>
        <v/>
      </c>
      <c r="M15" s="73" t="str">
        <f>IFERROR(Table_Controls_Input235[[#This Row],[Number of Units (Sq.Ft.)]]*INDEX(Table_EffWindow_Savings[Deemed kWh Savings], MATCH(Table_Controls_Input235[[#This Row],[Measure Lookup Detail]], Table_EffWindow_Savings[Lookup Detail], 0)),"" )</f>
        <v/>
      </c>
      <c r="N15" s="79" t="str">
        <f>IFERROR(Table_Controls_Input235[[#This Row],[Number of Units (Sq.Ft.)]]*INDEX(Table_EffWindow_Savings[Deemed kW Savings], MATCH(Table_Controls_Input235[[#This Row],[Measure Lookup Detail]], Table_EffWindow_Savings[Lookup Detail], 0)),"" )</f>
        <v/>
      </c>
      <c r="O15" s="72" t="str">
        <f t="shared" si="0"/>
        <v/>
      </c>
      <c r="P15" s="72" t="str">
        <f>IF(Table_Controls_Input235[[#This Row],[Measure Number]]="", "", Table_Controls_Input235[[#This Row],[Total Equipment Cost]]+Table_Controls_Input235[[#This Row],[Total Labor Cost]])</f>
        <v/>
      </c>
      <c r="Q15" s="72" t="str">
        <f>IFERROR(Table_Controls_Input235[[#This Row],[Gross Measure Cost]]-Table_Controls_Input235[[#This Row],[Estimated Incentive]], "")</f>
        <v/>
      </c>
      <c r="R15" s="73" t="str">
        <f t="shared" si="1"/>
        <v/>
      </c>
      <c r="S15" s="113" t="str">
        <f>_xlfn.CONCAT(Table_Controls_Input235[[#This Row],[Window Replacement Measure]],Table_Controls_Input235[[#This Row],[Window Direction]])</f>
        <v/>
      </c>
      <c r="T15" s="3"/>
      <c r="U15" s="3"/>
      <c r="V15" s="3"/>
      <c r="W15" s="3"/>
      <c r="X15" s="3"/>
      <c r="Y15" s="3"/>
      <c r="Z15" s="3"/>
      <c r="AA15" s="3"/>
      <c r="AB15" s="3"/>
      <c r="AC15" s="3"/>
      <c r="AD15" s="3"/>
      <c r="AE15" s="3"/>
      <c r="AF15" s="3"/>
      <c r="AG15" s="3"/>
      <c r="AH15" s="3"/>
      <c r="AI15" s="3"/>
      <c r="AJ15" s="3"/>
      <c r="AK15" s="3"/>
      <c r="AL15" s="3"/>
      <c r="AM15" s="3"/>
      <c r="AN15" s="3"/>
    </row>
    <row r="16" spans="1:40" x14ac:dyDescent="0.2">
      <c r="A16" s="3"/>
      <c r="B16" s="71">
        <v>12</v>
      </c>
      <c r="C16" s="69" t="str">
        <f>IFERROR(INDEX(Table_EffWindow_Savings[Measure No], MATCH(Table_Controls_Input235[[#This Row],[Measure Lookup Detail]], Table_EffWindow_Savings[Lookup Detail], 0)), "")</f>
        <v/>
      </c>
      <c r="D16" s="61"/>
      <c r="E16" s="60"/>
      <c r="F16" s="69" t="str">
        <f>IFERROR(INDEX(Table_Prescript_Meas[Units], MATCH(Table_Controls_Input235[[#This Row],[Measure Number]], Table_Prescript_Meas[Measure Number], 0)), "")</f>
        <v/>
      </c>
      <c r="G16" s="49"/>
      <c r="H16" s="153"/>
      <c r="I16" s="155"/>
      <c r="J16" s="155"/>
      <c r="K16"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6" s="72" t="str">
        <f>IFERROR(Table_Controls_Input235[[#This Row],[Number of Units (Sq.Ft.)]]*Table_Controls_Input235[[#This Row],[Per-Unit Incentive]], "")</f>
        <v/>
      </c>
      <c r="M16" s="73" t="str">
        <f>IFERROR(Table_Controls_Input235[[#This Row],[Number of Units (Sq.Ft.)]]*INDEX(Table_EffWindow_Savings[Deemed kWh Savings], MATCH(Table_Controls_Input235[[#This Row],[Measure Lookup Detail]], Table_EffWindow_Savings[Lookup Detail], 0)),"" )</f>
        <v/>
      </c>
      <c r="N16" s="79" t="str">
        <f>IFERROR(Table_Controls_Input235[[#This Row],[Number of Units (Sq.Ft.)]]*INDEX(Table_EffWindow_Savings[Deemed kW Savings], MATCH(Table_Controls_Input235[[#This Row],[Measure Lookup Detail]], Table_EffWindow_Savings[Lookup Detail], 0)),"" )</f>
        <v/>
      </c>
      <c r="O16" s="72" t="str">
        <f t="shared" si="0"/>
        <v/>
      </c>
      <c r="P16" s="72" t="str">
        <f>IF(Table_Controls_Input235[[#This Row],[Measure Number]]="", "", Table_Controls_Input235[[#This Row],[Total Equipment Cost]]+Table_Controls_Input235[[#This Row],[Total Labor Cost]])</f>
        <v/>
      </c>
      <c r="Q16" s="72" t="str">
        <f>IFERROR(Table_Controls_Input235[[#This Row],[Gross Measure Cost]]-Table_Controls_Input235[[#This Row],[Estimated Incentive]], "")</f>
        <v/>
      </c>
      <c r="R16" s="73" t="str">
        <f t="shared" si="1"/>
        <v/>
      </c>
      <c r="S16" s="113" t="str">
        <f>_xlfn.CONCAT(Table_Controls_Input235[[#This Row],[Window Replacement Measure]],Table_Controls_Input235[[#This Row],[Window Direction]])</f>
        <v/>
      </c>
      <c r="T16" s="3"/>
      <c r="U16" s="3"/>
      <c r="V16" s="3"/>
      <c r="W16" s="3"/>
      <c r="X16" s="3"/>
      <c r="Y16" s="3"/>
      <c r="Z16" s="3"/>
      <c r="AA16" s="3"/>
      <c r="AB16" s="3"/>
      <c r="AC16" s="3"/>
      <c r="AD16" s="3"/>
      <c r="AE16" s="3"/>
      <c r="AF16" s="3"/>
      <c r="AG16" s="3"/>
      <c r="AH16" s="3"/>
      <c r="AI16" s="3"/>
      <c r="AJ16" s="3"/>
      <c r="AK16" s="3"/>
      <c r="AL16" s="3"/>
      <c r="AM16" s="3"/>
      <c r="AN16" s="3"/>
    </row>
    <row r="17" spans="1:40" x14ac:dyDescent="0.2">
      <c r="A17" s="3"/>
      <c r="B17" s="71">
        <v>13</v>
      </c>
      <c r="C17" s="69" t="str">
        <f>IFERROR(INDEX(Table_EffWindow_Savings[Measure No], MATCH(Table_Controls_Input235[[#This Row],[Measure Lookup Detail]], Table_EffWindow_Savings[Lookup Detail], 0)), "")</f>
        <v/>
      </c>
      <c r="D17" s="61"/>
      <c r="E17" s="60"/>
      <c r="F17" s="69" t="str">
        <f>IFERROR(INDEX(Table_Prescript_Meas[Units], MATCH(Table_Controls_Input235[[#This Row],[Measure Number]], Table_Prescript_Meas[Measure Number], 0)), "")</f>
        <v/>
      </c>
      <c r="G17" s="49"/>
      <c r="H17" s="153"/>
      <c r="I17" s="155"/>
      <c r="J17" s="155"/>
      <c r="K17"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7" s="72" t="str">
        <f>IFERROR(Table_Controls_Input235[[#This Row],[Number of Units (Sq.Ft.)]]*Table_Controls_Input235[[#This Row],[Per-Unit Incentive]], "")</f>
        <v/>
      </c>
      <c r="M17" s="73" t="str">
        <f>IFERROR(Table_Controls_Input235[[#This Row],[Number of Units (Sq.Ft.)]]*INDEX(Table_EffWindow_Savings[Deemed kWh Savings], MATCH(Table_Controls_Input235[[#This Row],[Measure Lookup Detail]], Table_EffWindow_Savings[Lookup Detail], 0)),"" )</f>
        <v/>
      </c>
      <c r="N17" s="79" t="str">
        <f>IFERROR(Table_Controls_Input235[[#This Row],[Number of Units (Sq.Ft.)]]*INDEX(Table_EffWindow_Savings[Deemed kW Savings], MATCH(Table_Controls_Input235[[#This Row],[Measure Lookup Detail]], Table_EffWindow_Savings[Lookup Detail], 0)),"" )</f>
        <v/>
      </c>
      <c r="O17" s="72" t="str">
        <f t="shared" si="0"/>
        <v/>
      </c>
      <c r="P17" s="72" t="str">
        <f>IF(Table_Controls_Input235[[#This Row],[Measure Number]]="", "", Table_Controls_Input235[[#This Row],[Total Equipment Cost]]+Table_Controls_Input235[[#This Row],[Total Labor Cost]])</f>
        <v/>
      </c>
      <c r="Q17" s="72" t="str">
        <f>IFERROR(Table_Controls_Input235[[#This Row],[Gross Measure Cost]]-Table_Controls_Input235[[#This Row],[Estimated Incentive]], "")</f>
        <v/>
      </c>
      <c r="R17" s="73" t="str">
        <f t="shared" si="1"/>
        <v/>
      </c>
      <c r="S17" s="113" t="str">
        <f>_xlfn.CONCAT(Table_Controls_Input235[[#This Row],[Window Replacement Measure]],Table_Controls_Input235[[#This Row],[Window Direction]])</f>
        <v/>
      </c>
      <c r="T17" s="3"/>
      <c r="U17" s="3"/>
      <c r="V17" s="3"/>
      <c r="W17" s="3"/>
      <c r="X17" s="3"/>
      <c r="Y17" s="3"/>
      <c r="Z17" s="3"/>
      <c r="AA17" s="3"/>
      <c r="AB17" s="3"/>
      <c r="AC17" s="3"/>
      <c r="AD17" s="3"/>
      <c r="AE17" s="3"/>
      <c r="AF17" s="3"/>
      <c r="AG17" s="3"/>
      <c r="AH17" s="3"/>
      <c r="AI17" s="3"/>
      <c r="AJ17" s="3"/>
      <c r="AK17" s="3"/>
      <c r="AL17" s="3"/>
      <c r="AM17" s="3"/>
      <c r="AN17" s="3"/>
    </row>
    <row r="18" spans="1:40" x14ac:dyDescent="0.2">
      <c r="A18" s="3"/>
      <c r="B18" s="71">
        <v>14</v>
      </c>
      <c r="C18" s="69" t="str">
        <f>IFERROR(INDEX(Table_EffWindow_Savings[Measure No], MATCH(Table_Controls_Input235[[#This Row],[Measure Lookup Detail]], Table_EffWindow_Savings[Lookup Detail], 0)), "")</f>
        <v/>
      </c>
      <c r="D18" s="61"/>
      <c r="E18" s="60"/>
      <c r="F18" s="69" t="str">
        <f>IFERROR(INDEX(Table_Prescript_Meas[Units], MATCH(Table_Controls_Input235[[#This Row],[Measure Number]], Table_Prescript_Meas[Measure Number], 0)), "")</f>
        <v/>
      </c>
      <c r="G18" s="49"/>
      <c r="H18" s="153"/>
      <c r="I18" s="155"/>
      <c r="J18" s="155"/>
      <c r="K18"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8" s="72" t="str">
        <f>IFERROR(Table_Controls_Input235[[#This Row],[Number of Units (Sq.Ft.)]]*Table_Controls_Input235[[#This Row],[Per-Unit Incentive]], "")</f>
        <v/>
      </c>
      <c r="M18" s="73" t="str">
        <f>IFERROR(Table_Controls_Input235[[#This Row],[Number of Units (Sq.Ft.)]]*INDEX(Table_EffWindow_Savings[Deemed kWh Savings], MATCH(Table_Controls_Input235[[#This Row],[Measure Lookup Detail]], Table_EffWindow_Savings[Lookup Detail], 0)),"" )</f>
        <v/>
      </c>
      <c r="N18" s="79" t="str">
        <f>IFERROR(Table_Controls_Input235[[#This Row],[Number of Units (Sq.Ft.)]]*INDEX(Table_EffWindow_Savings[Deemed kW Savings], MATCH(Table_Controls_Input235[[#This Row],[Measure Lookup Detail]], Table_EffWindow_Savings[Lookup Detail], 0)),"" )</f>
        <v/>
      </c>
      <c r="O18" s="72" t="str">
        <f t="shared" si="0"/>
        <v/>
      </c>
      <c r="P18" s="72" t="str">
        <f>IF(Table_Controls_Input235[[#This Row],[Measure Number]]="", "", Table_Controls_Input235[[#This Row],[Total Equipment Cost]]+Table_Controls_Input235[[#This Row],[Total Labor Cost]])</f>
        <v/>
      </c>
      <c r="Q18" s="72" t="str">
        <f>IFERROR(Table_Controls_Input235[[#This Row],[Gross Measure Cost]]-Table_Controls_Input235[[#This Row],[Estimated Incentive]], "")</f>
        <v/>
      </c>
      <c r="R18" s="73" t="str">
        <f t="shared" si="1"/>
        <v/>
      </c>
      <c r="S18" s="113" t="str">
        <f>_xlfn.CONCAT(Table_Controls_Input235[[#This Row],[Window Replacement Measure]],Table_Controls_Input235[[#This Row],[Window Direction]])</f>
        <v/>
      </c>
      <c r="T18" s="3"/>
      <c r="U18" s="3"/>
      <c r="V18" s="3"/>
      <c r="W18" s="3"/>
      <c r="X18" s="3"/>
      <c r="Y18" s="3"/>
      <c r="Z18" s="3"/>
      <c r="AA18" s="3"/>
      <c r="AB18" s="3"/>
      <c r="AC18" s="3"/>
      <c r="AD18" s="3"/>
      <c r="AE18" s="3"/>
      <c r="AF18" s="3"/>
      <c r="AG18" s="3"/>
      <c r="AH18" s="3"/>
      <c r="AI18" s="3"/>
      <c r="AJ18" s="3"/>
      <c r="AK18" s="3"/>
      <c r="AL18" s="3"/>
      <c r="AM18" s="3"/>
      <c r="AN18" s="3"/>
    </row>
    <row r="19" spans="1:40" ht="15" customHeight="1" x14ac:dyDescent="0.2">
      <c r="A19" s="3"/>
      <c r="B19" s="71">
        <v>15</v>
      </c>
      <c r="C19" s="69" t="str">
        <f>IFERROR(INDEX(Table_EffWindow_Savings[Measure No], MATCH(Table_Controls_Input235[[#This Row],[Measure Lookup Detail]], Table_EffWindow_Savings[Lookup Detail], 0)), "")</f>
        <v/>
      </c>
      <c r="D19" s="61"/>
      <c r="E19" s="60"/>
      <c r="F19" s="69" t="str">
        <f>IFERROR(INDEX(Table_Prescript_Meas[Units], MATCH(Table_Controls_Input235[[#This Row],[Measure Number]], Table_Prescript_Meas[Measure Number], 0)), "")</f>
        <v/>
      </c>
      <c r="G19" s="49"/>
      <c r="H19" s="153"/>
      <c r="I19" s="155"/>
      <c r="J19" s="155"/>
      <c r="K19"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19" s="72" t="str">
        <f>IFERROR(Table_Controls_Input235[[#This Row],[Number of Units (Sq.Ft.)]]*Table_Controls_Input235[[#This Row],[Per-Unit Incentive]], "")</f>
        <v/>
      </c>
      <c r="M19" s="73" t="str">
        <f>IFERROR(Table_Controls_Input235[[#This Row],[Number of Units (Sq.Ft.)]]*INDEX(Table_EffWindow_Savings[Deemed kWh Savings], MATCH(Table_Controls_Input235[[#This Row],[Measure Lookup Detail]], Table_EffWindow_Savings[Lookup Detail], 0)),"" )</f>
        <v/>
      </c>
      <c r="N19" s="79" t="str">
        <f>IFERROR(Table_Controls_Input235[[#This Row],[Number of Units (Sq.Ft.)]]*INDEX(Table_EffWindow_Savings[Deemed kW Savings], MATCH(Table_Controls_Input235[[#This Row],[Measure Lookup Detail]], Table_EffWindow_Savings[Lookup Detail], 0)),"" )</f>
        <v/>
      </c>
      <c r="O19" s="72" t="str">
        <f t="shared" si="0"/>
        <v/>
      </c>
      <c r="P19" s="72" t="str">
        <f>IF(Table_Controls_Input235[[#This Row],[Measure Number]]="", "", Table_Controls_Input235[[#This Row],[Total Equipment Cost]]+Table_Controls_Input235[[#This Row],[Total Labor Cost]])</f>
        <v/>
      </c>
      <c r="Q19" s="72" t="str">
        <f>IFERROR(Table_Controls_Input235[[#This Row],[Gross Measure Cost]]-Table_Controls_Input235[[#This Row],[Estimated Incentive]], "")</f>
        <v/>
      </c>
      <c r="R19" s="73" t="str">
        <f t="shared" si="1"/>
        <v/>
      </c>
      <c r="S19" s="113" t="str">
        <f>_xlfn.CONCAT(Table_Controls_Input235[[#This Row],[Window Replacement Measure]],Table_Controls_Input235[[#This Row],[Window Direction]])</f>
        <v/>
      </c>
      <c r="T19" s="3"/>
      <c r="U19" s="3"/>
      <c r="V19" s="3"/>
      <c r="W19" s="3"/>
      <c r="X19" s="3"/>
      <c r="Y19" s="3"/>
      <c r="Z19" s="3"/>
      <c r="AA19" s="3"/>
      <c r="AB19" s="3"/>
      <c r="AC19" s="3"/>
      <c r="AD19" s="3"/>
      <c r="AE19" s="3"/>
      <c r="AF19" s="3"/>
      <c r="AG19" s="3"/>
      <c r="AH19" s="3"/>
      <c r="AI19" s="3"/>
      <c r="AJ19" s="3"/>
      <c r="AK19" s="3"/>
      <c r="AL19" s="3"/>
      <c r="AM19" s="3"/>
      <c r="AN19" s="3"/>
    </row>
    <row r="20" spans="1:40" x14ac:dyDescent="0.2">
      <c r="A20" s="3"/>
      <c r="B20" s="71">
        <v>16</v>
      </c>
      <c r="C20" s="69" t="str">
        <f>IFERROR(INDEX(Table_EffWindow_Savings[Measure No], MATCH(Table_Controls_Input235[[#This Row],[Measure Lookup Detail]], Table_EffWindow_Savings[Lookup Detail], 0)), "")</f>
        <v/>
      </c>
      <c r="D20" s="61"/>
      <c r="E20" s="60"/>
      <c r="F20" s="69" t="str">
        <f>IFERROR(INDEX(Table_Prescript_Meas[Units], MATCH(Table_Controls_Input235[[#This Row],[Measure Number]], Table_Prescript_Meas[Measure Number], 0)), "")</f>
        <v/>
      </c>
      <c r="G20" s="49"/>
      <c r="H20" s="153"/>
      <c r="I20" s="155"/>
      <c r="J20" s="155"/>
      <c r="K20"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0" s="72" t="str">
        <f>IFERROR(Table_Controls_Input235[[#This Row],[Number of Units (Sq.Ft.)]]*Table_Controls_Input235[[#This Row],[Per-Unit Incentive]], "")</f>
        <v/>
      </c>
      <c r="M20" s="73" t="str">
        <f>IFERROR(Table_Controls_Input235[[#This Row],[Number of Units (Sq.Ft.)]]*INDEX(Table_EffWindow_Savings[Deemed kWh Savings], MATCH(Table_Controls_Input235[[#This Row],[Measure Lookup Detail]], Table_EffWindow_Savings[Lookup Detail], 0)),"" )</f>
        <v/>
      </c>
      <c r="N20" s="79" t="str">
        <f>IFERROR(Table_Controls_Input235[[#This Row],[Number of Units (Sq.Ft.)]]*INDEX(Table_EffWindow_Savings[Deemed kW Savings], MATCH(Table_Controls_Input235[[#This Row],[Measure Lookup Detail]], Table_EffWindow_Savings[Lookup Detail], 0)),"" )</f>
        <v/>
      </c>
      <c r="O20" s="72" t="str">
        <f t="shared" si="0"/>
        <v/>
      </c>
      <c r="P20" s="72" t="str">
        <f>IF(Table_Controls_Input235[[#This Row],[Measure Number]]="", "", Table_Controls_Input235[[#This Row],[Total Equipment Cost]]+Table_Controls_Input235[[#This Row],[Total Labor Cost]])</f>
        <v/>
      </c>
      <c r="Q20" s="72" t="str">
        <f>IFERROR(Table_Controls_Input235[[#This Row],[Gross Measure Cost]]-Table_Controls_Input235[[#This Row],[Estimated Incentive]], "")</f>
        <v/>
      </c>
      <c r="R20" s="73" t="str">
        <f t="shared" si="1"/>
        <v/>
      </c>
      <c r="S20" s="113" t="str">
        <f>_xlfn.CONCAT(Table_Controls_Input235[[#This Row],[Window Replacement Measure]],Table_Controls_Input235[[#This Row],[Window Direction]])</f>
        <v/>
      </c>
      <c r="T20" s="3"/>
      <c r="U20" s="3"/>
      <c r="V20" s="3"/>
      <c r="W20" s="3"/>
      <c r="X20" s="3"/>
      <c r="Y20" s="3"/>
      <c r="Z20" s="3"/>
      <c r="AA20" s="3"/>
      <c r="AB20" s="3"/>
      <c r="AC20" s="3"/>
      <c r="AD20" s="3"/>
      <c r="AE20" s="3"/>
      <c r="AF20" s="3"/>
      <c r="AG20" s="3"/>
      <c r="AH20" s="3"/>
      <c r="AI20" s="3"/>
      <c r="AJ20" s="3"/>
      <c r="AK20" s="3"/>
      <c r="AL20" s="3"/>
      <c r="AM20" s="3"/>
      <c r="AN20" s="3"/>
    </row>
    <row r="21" spans="1:40" x14ac:dyDescent="0.2">
      <c r="A21" s="3"/>
      <c r="B21" s="71">
        <v>17</v>
      </c>
      <c r="C21" s="69" t="str">
        <f>IFERROR(INDEX(Table_EffWindow_Savings[Measure No], MATCH(Table_Controls_Input235[[#This Row],[Measure Lookup Detail]], Table_EffWindow_Savings[Lookup Detail], 0)), "")</f>
        <v/>
      </c>
      <c r="D21" s="61"/>
      <c r="E21" s="60"/>
      <c r="F21" s="69" t="str">
        <f>IFERROR(INDEX(Table_Prescript_Meas[Units], MATCH(Table_Controls_Input235[[#This Row],[Measure Number]], Table_Prescript_Meas[Measure Number], 0)), "")</f>
        <v/>
      </c>
      <c r="G21" s="49"/>
      <c r="H21" s="153"/>
      <c r="I21" s="155"/>
      <c r="J21" s="155"/>
      <c r="K21"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1" s="72" t="str">
        <f>IFERROR(Table_Controls_Input235[[#This Row],[Number of Units (Sq.Ft.)]]*Table_Controls_Input235[[#This Row],[Per-Unit Incentive]], "")</f>
        <v/>
      </c>
      <c r="M21" s="73" t="str">
        <f>IFERROR(Table_Controls_Input235[[#This Row],[Number of Units (Sq.Ft.)]]*INDEX(Table_EffWindow_Savings[Deemed kWh Savings], MATCH(Table_Controls_Input235[[#This Row],[Measure Lookup Detail]], Table_EffWindow_Savings[Lookup Detail], 0)),"" )</f>
        <v/>
      </c>
      <c r="N21" s="79" t="str">
        <f>IFERROR(Table_Controls_Input235[[#This Row],[Number of Units (Sq.Ft.)]]*INDEX(Table_EffWindow_Savings[Deemed kW Savings], MATCH(Table_Controls_Input235[[#This Row],[Measure Lookup Detail]], Table_EffWindow_Savings[Lookup Detail], 0)),"" )</f>
        <v/>
      </c>
      <c r="O21" s="72" t="str">
        <f t="shared" si="0"/>
        <v/>
      </c>
      <c r="P21" s="72" t="str">
        <f>IF(Table_Controls_Input235[[#This Row],[Measure Number]]="", "", Table_Controls_Input235[[#This Row],[Total Equipment Cost]]+Table_Controls_Input235[[#This Row],[Total Labor Cost]])</f>
        <v/>
      </c>
      <c r="Q21" s="72" t="str">
        <f>IFERROR(Table_Controls_Input235[[#This Row],[Gross Measure Cost]]-Table_Controls_Input235[[#This Row],[Estimated Incentive]], "")</f>
        <v/>
      </c>
      <c r="R21" s="73" t="str">
        <f t="shared" si="1"/>
        <v/>
      </c>
      <c r="S21" s="113" t="str">
        <f>_xlfn.CONCAT(Table_Controls_Input235[[#This Row],[Window Replacement Measure]],Table_Controls_Input235[[#This Row],[Window Direction]])</f>
        <v/>
      </c>
      <c r="T21" s="3"/>
      <c r="U21" s="3"/>
      <c r="V21" s="3"/>
      <c r="W21" s="3"/>
      <c r="X21" s="3"/>
      <c r="Y21" s="3"/>
      <c r="Z21" s="3"/>
      <c r="AA21" s="3"/>
      <c r="AB21" s="3"/>
      <c r="AC21" s="3"/>
      <c r="AD21" s="3"/>
      <c r="AE21" s="3"/>
      <c r="AF21" s="3"/>
      <c r="AG21" s="3"/>
      <c r="AH21" s="3"/>
      <c r="AI21" s="3"/>
      <c r="AJ21" s="3"/>
      <c r="AK21" s="3"/>
      <c r="AL21" s="3"/>
      <c r="AM21" s="3"/>
      <c r="AN21" s="3"/>
    </row>
    <row r="22" spans="1:40" x14ac:dyDescent="0.2">
      <c r="A22" s="3"/>
      <c r="B22" s="71">
        <v>18</v>
      </c>
      <c r="C22" s="69" t="str">
        <f>IFERROR(INDEX(Table_EffWindow_Savings[Measure No], MATCH(Table_Controls_Input235[[#This Row],[Measure Lookup Detail]], Table_EffWindow_Savings[Lookup Detail], 0)), "")</f>
        <v/>
      </c>
      <c r="D22" s="61"/>
      <c r="E22" s="60"/>
      <c r="F22" s="69" t="str">
        <f>IFERROR(INDEX(Table_Prescript_Meas[Units], MATCH(Table_Controls_Input235[[#This Row],[Measure Number]], Table_Prescript_Meas[Measure Number], 0)), "")</f>
        <v/>
      </c>
      <c r="G22" s="49"/>
      <c r="H22" s="153"/>
      <c r="I22" s="155"/>
      <c r="J22" s="155"/>
      <c r="K22"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2" s="72" t="str">
        <f>IFERROR(Table_Controls_Input235[[#This Row],[Number of Units (Sq.Ft.)]]*Table_Controls_Input235[[#This Row],[Per-Unit Incentive]], "")</f>
        <v/>
      </c>
      <c r="M22" s="73" t="str">
        <f>IFERROR(Table_Controls_Input235[[#This Row],[Number of Units (Sq.Ft.)]]*INDEX(Table_EffWindow_Savings[Deemed kWh Savings], MATCH(Table_Controls_Input235[[#This Row],[Measure Lookup Detail]], Table_EffWindow_Savings[Lookup Detail], 0)),"" )</f>
        <v/>
      </c>
      <c r="N22" s="79" t="str">
        <f>IFERROR(Table_Controls_Input235[[#This Row],[Number of Units (Sq.Ft.)]]*INDEX(Table_EffWindow_Savings[Deemed kW Savings], MATCH(Table_Controls_Input235[[#This Row],[Measure Lookup Detail]], Table_EffWindow_Savings[Lookup Detail], 0)),"" )</f>
        <v/>
      </c>
      <c r="O22" s="72" t="str">
        <f t="shared" si="0"/>
        <v/>
      </c>
      <c r="P22" s="72" t="str">
        <f>IF(Table_Controls_Input235[[#This Row],[Measure Number]]="", "", Table_Controls_Input235[[#This Row],[Total Equipment Cost]]+Table_Controls_Input235[[#This Row],[Total Labor Cost]])</f>
        <v/>
      </c>
      <c r="Q22" s="72" t="str">
        <f>IFERROR(Table_Controls_Input235[[#This Row],[Gross Measure Cost]]-Table_Controls_Input235[[#This Row],[Estimated Incentive]], "")</f>
        <v/>
      </c>
      <c r="R22" s="73" t="str">
        <f t="shared" si="1"/>
        <v/>
      </c>
      <c r="S22" s="113" t="str">
        <f>_xlfn.CONCAT(Table_Controls_Input235[[#This Row],[Window Replacement Measure]],Table_Controls_Input235[[#This Row],[Window Direction]])</f>
        <v/>
      </c>
      <c r="T22" s="3"/>
      <c r="U22" s="3"/>
      <c r="V22" s="3"/>
      <c r="W22" s="3"/>
      <c r="X22" s="3"/>
      <c r="Y22" s="3"/>
      <c r="Z22" s="3"/>
      <c r="AA22" s="3"/>
      <c r="AB22" s="3"/>
      <c r="AC22" s="3"/>
      <c r="AD22" s="3"/>
      <c r="AE22" s="3"/>
      <c r="AF22" s="3"/>
      <c r="AG22" s="3"/>
      <c r="AH22" s="3"/>
      <c r="AI22" s="3"/>
      <c r="AJ22" s="3"/>
      <c r="AK22" s="3"/>
      <c r="AL22" s="3"/>
      <c r="AM22" s="3"/>
      <c r="AN22" s="3"/>
    </row>
    <row r="23" spans="1:40" x14ac:dyDescent="0.2">
      <c r="A23" s="3"/>
      <c r="B23" s="71">
        <v>19</v>
      </c>
      <c r="C23" s="69" t="str">
        <f>IFERROR(INDEX(Table_EffWindow_Savings[Measure No], MATCH(Table_Controls_Input235[[#This Row],[Measure Lookup Detail]], Table_EffWindow_Savings[Lookup Detail], 0)), "")</f>
        <v/>
      </c>
      <c r="D23" s="61"/>
      <c r="E23" s="60"/>
      <c r="F23" s="69" t="str">
        <f>IFERROR(INDEX(Table_Prescript_Meas[Units], MATCH(Table_Controls_Input235[[#This Row],[Measure Number]], Table_Prescript_Meas[Measure Number], 0)), "")</f>
        <v/>
      </c>
      <c r="G23" s="49"/>
      <c r="H23" s="153"/>
      <c r="I23" s="155"/>
      <c r="J23" s="155"/>
      <c r="K23"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3" s="72" t="str">
        <f>IFERROR(Table_Controls_Input235[[#This Row],[Number of Units (Sq.Ft.)]]*Table_Controls_Input235[[#This Row],[Per-Unit Incentive]], "")</f>
        <v/>
      </c>
      <c r="M23" s="73" t="str">
        <f>IFERROR(Table_Controls_Input235[[#This Row],[Number of Units (Sq.Ft.)]]*INDEX(Table_EffWindow_Savings[Deemed kWh Savings], MATCH(Table_Controls_Input235[[#This Row],[Measure Lookup Detail]], Table_EffWindow_Savings[Lookup Detail], 0)),"" )</f>
        <v/>
      </c>
      <c r="N23" s="79" t="str">
        <f>IFERROR(Table_Controls_Input235[[#This Row],[Number of Units (Sq.Ft.)]]*INDEX(Table_EffWindow_Savings[Deemed kW Savings], MATCH(Table_Controls_Input235[[#This Row],[Measure Lookup Detail]], Table_EffWindow_Savings[Lookup Detail], 0)),"" )</f>
        <v/>
      </c>
      <c r="O23" s="72" t="str">
        <f t="shared" si="0"/>
        <v/>
      </c>
      <c r="P23" s="72" t="str">
        <f>IF(Table_Controls_Input235[[#This Row],[Measure Number]]="", "", Table_Controls_Input235[[#This Row],[Total Equipment Cost]]+Table_Controls_Input235[[#This Row],[Total Labor Cost]])</f>
        <v/>
      </c>
      <c r="Q23" s="72" t="str">
        <f>IFERROR(Table_Controls_Input235[[#This Row],[Gross Measure Cost]]-Table_Controls_Input235[[#This Row],[Estimated Incentive]], "")</f>
        <v/>
      </c>
      <c r="R23" s="73" t="str">
        <f t="shared" si="1"/>
        <v/>
      </c>
      <c r="S23" s="113" t="str">
        <f>_xlfn.CONCAT(Table_Controls_Input235[[#This Row],[Window Replacement Measure]],Table_Controls_Input235[[#This Row],[Window Direction]])</f>
        <v/>
      </c>
      <c r="T23" s="3"/>
      <c r="U23" s="3"/>
      <c r="V23" s="3"/>
      <c r="W23" s="3"/>
      <c r="X23" s="3"/>
      <c r="Y23" s="3"/>
      <c r="Z23" s="3"/>
      <c r="AA23" s="3"/>
      <c r="AB23" s="3"/>
      <c r="AC23" s="3"/>
      <c r="AD23" s="3"/>
      <c r="AE23" s="3"/>
      <c r="AF23" s="3"/>
      <c r="AG23" s="3"/>
      <c r="AH23" s="3"/>
      <c r="AI23" s="3"/>
      <c r="AJ23" s="3"/>
      <c r="AK23" s="3"/>
      <c r="AL23" s="3"/>
      <c r="AM23" s="3"/>
      <c r="AN23" s="3"/>
    </row>
    <row r="24" spans="1:40" x14ac:dyDescent="0.2">
      <c r="A24" s="3"/>
      <c r="B24" s="71">
        <v>20</v>
      </c>
      <c r="C24" s="69" t="str">
        <f>IFERROR(INDEX(Table_EffWindow_Savings[Measure No], MATCH(Table_Controls_Input235[[#This Row],[Measure Lookup Detail]], Table_EffWindow_Savings[Lookup Detail], 0)), "")</f>
        <v/>
      </c>
      <c r="D24" s="61"/>
      <c r="E24" s="60"/>
      <c r="F24" s="69" t="str">
        <f>IFERROR(INDEX(Table_Prescript_Meas[Units], MATCH(Table_Controls_Input235[[#This Row],[Measure Number]], Table_Prescript_Meas[Measure Number], 0)), "")</f>
        <v/>
      </c>
      <c r="G24" s="49"/>
      <c r="H24" s="153"/>
      <c r="I24" s="155"/>
      <c r="J24" s="155"/>
      <c r="K24"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4" s="72" t="str">
        <f>IFERROR(Table_Controls_Input235[[#This Row],[Number of Units (Sq.Ft.)]]*Table_Controls_Input235[[#This Row],[Per-Unit Incentive]], "")</f>
        <v/>
      </c>
      <c r="M24" s="73" t="str">
        <f>IFERROR(Table_Controls_Input235[[#This Row],[Number of Units (Sq.Ft.)]]*INDEX(Table_EffWindow_Savings[Deemed kWh Savings], MATCH(Table_Controls_Input235[[#This Row],[Measure Lookup Detail]], Table_EffWindow_Savings[Lookup Detail], 0)),"" )</f>
        <v/>
      </c>
      <c r="N24" s="79" t="str">
        <f>IFERROR(Table_Controls_Input235[[#This Row],[Number of Units (Sq.Ft.)]]*INDEX(Table_EffWindow_Savings[Deemed kW Savings], MATCH(Table_Controls_Input235[[#This Row],[Measure Lookup Detail]], Table_EffWindow_Savings[Lookup Detail], 0)),"" )</f>
        <v/>
      </c>
      <c r="O24" s="72" t="str">
        <f t="shared" si="0"/>
        <v/>
      </c>
      <c r="P24" s="72" t="str">
        <f>IF(Table_Controls_Input235[[#This Row],[Measure Number]]="", "", Table_Controls_Input235[[#This Row],[Total Equipment Cost]]+Table_Controls_Input235[[#This Row],[Total Labor Cost]])</f>
        <v/>
      </c>
      <c r="Q24" s="72" t="str">
        <f>IFERROR(Table_Controls_Input235[[#This Row],[Gross Measure Cost]]-Table_Controls_Input235[[#This Row],[Estimated Incentive]], "")</f>
        <v/>
      </c>
      <c r="R24" s="73" t="str">
        <f t="shared" si="1"/>
        <v/>
      </c>
      <c r="S24" s="113" t="str">
        <f>_xlfn.CONCAT(Table_Controls_Input235[[#This Row],[Window Replacement Measure]],Table_Controls_Input235[[#This Row],[Window Direction]])</f>
        <v/>
      </c>
      <c r="T24" s="3"/>
      <c r="U24" s="3"/>
      <c r="V24" s="3"/>
      <c r="W24" s="3"/>
      <c r="X24" s="3"/>
      <c r="Y24" s="3"/>
      <c r="Z24" s="3"/>
      <c r="AA24" s="3"/>
      <c r="AB24" s="3"/>
      <c r="AC24" s="3"/>
      <c r="AD24" s="3"/>
      <c r="AE24" s="3"/>
      <c r="AF24" s="3"/>
      <c r="AG24" s="3"/>
      <c r="AH24" s="3"/>
      <c r="AI24" s="3"/>
      <c r="AJ24" s="3"/>
      <c r="AK24" s="3"/>
      <c r="AL24" s="3"/>
      <c r="AM24" s="3"/>
      <c r="AN24" s="3"/>
    </row>
    <row r="25" spans="1:40" x14ac:dyDescent="0.2">
      <c r="A25" s="3"/>
      <c r="B25" s="71">
        <v>21</v>
      </c>
      <c r="C25" s="69" t="str">
        <f>IFERROR(INDEX(Table_EffWindow_Savings[Measure No], MATCH(Table_Controls_Input235[[#This Row],[Measure Lookup Detail]], Table_EffWindow_Savings[Lookup Detail], 0)), "")</f>
        <v/>
      </c>
      <c r="D25" s="61"/>
      <c r="E25" s="60"/>
      <c r="F25" s="69" t="str">
        <f>IFERROR(INDEX(Table_Prescript_Meas[Units], MATCH(Table_Controls_Input235[[#This Row],[Measure Number]], Table_Prescript_Meas[Measure Number], 0)), "")</f>
        <v/>
      </c>
      <c r="G25" s="49"/>
      <c r="H25" s="153"/>
      <c r="I25" s="155"/>
      <c r="J25" s="155"/>
      <c r="K25"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5" s="72" t="str">
        <f>IFERROR(Table_Controls_Input235[[#This Row],[Number of Units (Sq.Ft.)]]*Table_Controls_Input235[[#This Row],[Per-Unit Incentive]], "")</f>
        <v/>
      </c>
      <c r="M25" s="73" t="str">
        <f>IFERROR(Table_Controls_Input235[[#This Row],[Number of Units (Sq.Ft.)]]*INDEX(Table_EffWindow_Savings[Deemed kWh Savings], MATCH(Table_Controls_Input235[[#This Row],[Measure Lookup Detail]], Table_EffWindow_Savings[Lookup Detail], 0)),"" )</f>
        <v/>
      </c>
      <c r="N25" s="79" t="str">
        <f>IFERROR(Table_Controls_Input235[[#This Row],[Number of Units (Sq.Ft.)]]*INDEX(Table_EffWindow_Savings[Deemed kW Savings], MATCH(Table_Controls_Input235[[#This Row],[Measure Lookup Detail]], Table_EffWindow_Savings[Lookup Detail], 0)),"" )</f>
        <v/>
      </c>
      <c r="O25" s="72" t="str">
        <f t="shared" si="0"/>
        <v/>
      </c>
      <c r="P25" s="72" t="str">
        <f>IF(Table_Controls_Input235[[#This Row],[Measure Number]]="", "", Table_Controls_Input235[[#This Row],[Total Equipment Cost]]+Table_Controls_Input235[[#This Row],[Total Labor Cost]])</f>
        <v/>
      </c>
      <c r="Q25" s="72" t="str">
        <f>IFERROR(Table_Controls_Input235[[#This Row],[Gross Measure Cost]]-Table_Controls_Input235[[#This Row],[Estimated Incentive]], "")</f>
        <v/>
      </c>
      <c r="R25" s="73" t="str">
        <f t="shared" si="1"/>
        <v/>
      </c>
      <c r="S25" s="113" t="str">
        <f>_xlfn.CONCAT(Table_Controls_Input235[[#This Row],[Window Replacement Measure]],Table_Controls_Input235[[#This Row],[Window Direction]])</f>
        <v/>
      </c>
      <c r="T25" s="3"/>
      <c r="U25" s="3"/>
      <c r="V25" s="3"/>
      <c r="W25" s="3"/>
      <c r="X25" s="3"/>
      <c r="Y25" s="3"/>
      <c r="Z25" s="3"/>
      <c r="AA25" s="3"/>
      <c r="AB25" s="3"/>
      <c r="AC25" s="3"/>
      <c r="AD25" s="3"/>
      <c r="AE25" s="3"/>
      <c r="AF25" s="3"/>
      <c r="AG25" s="3"/>
      <c r="AH25" s="3"/>
      <c r="AI25" s="3"/>
      <c r="AJ25" s="3"/>
      <c r="AK25" s="3"/>
      <c r="AL25" s="3"/>
      <c r="AM25" s="3"/>
      <c r="AN25" s="3"/>
    </row>
    <row r="26" spans="1:40" x14ac:dyDescent="0.2">
      <c r="A26" s="3"/>
      <c r="B26" s="71">
        <v>22</v>
      </c>
      <c r="C26" s="69" t="str">
        <f>IFERROR(INDEX(Table_EffWindow_Savings[Measure No], MATCH(Table_Controls_Input235[[#This Row],[Measure Lookup Detail]], Table_EffWindow_Savings[Lookup Detail], 0)), "")</f>
        <v/>
      </c>
      <c r="D26" s="61"/>
      <c r="E26" s="60"/>
      <c r="F26" s="69" t="str">
        <f>IFERROR(INDEX(Table_Prescript_Meas[Units], MATCH(Table_Controls_Input235[[#This Row],[Measure Number]], Table_Prescript_Meas[Measure Number], 0)), "")</f>
        <v/>
      </c>
      <c r="G26" s="49"/>
      <c r="H26" s="153"/>
      <c r="I26" s="155"/>
      <c r="J26" s="155"/>
      <c r="K26"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6" s="72" t="str">
        <f>IFERROR(Table_Controls_Input235[[#This Row],[Number of Units (Sq.Ft.)]]*Table_Controls_Input235[[#This Row],[Per-Unit Incentive]], "")</f>
        <v/>
      </c>
      <c r="M26" s="73" t="str">
        <f>IFERROR(Table_Controls_Input235[[#This Row],[Number of Units (Sq.Ft.)]]*INDEX(Table_EffWindow_Savings[Deemed kWh Savings], MATCH(Table_Controls_Input235[[#This Row],[Measure Lookup Detail]], Table_EffWindow_Savings[Lookup Detail], 0)),"" )</f>
        <v/>
      </c>
      <c r="N26" s="79" t="str">
        <f>IFERROR(Table_Controls_Input235[[#This Row],[Number of Units (Sq.Ft.)]]*INDEX(Table_EffWindow_Savings[Deemed kW Savings], MATCH(Table_Controls_Input235[[#This Row],[Measure Lookup Detail]], Table_EffWindow_Savings[Lookup Detail], 0)),"" )</f>
        <v/>
      </c>
      <c r="O26" s="72" t="str">
        <f t="shared" si="0"/>
        <v/>
      </c>
      <c r="P26" s="72" t="str">
        <f>IF(Table_Controls_Input235[[#This Row],[Measure Number]]="", "", Table_Controls_Input235[[#This Row],[Total Equipment Cost]]+Table_Controls_Input235[[#This Row],[Total Labor Cost]])</f>
        <v/>
      </c>
      <c r="Q26" s="72" t="str">
        <f>IFERROR(Table_Controls_Input235[[#This Row],[Gross Measure Cost]]-Table_Controls_Input235[[#This Row],[Estimated Incentive]], "")</f>
        <v/>
      </c>
      <c r="R26" s="73" t="str">
        <f t="shared" si="1"/>
        <v/>
      </c>
      <c r="S26" s="113" t="str">
        <f>_xlfn.CONCAT(Table_Controls_Input235[[#This Row],[Window Replacement Measure]],Table_Controls_Input235[[#This Row],[Window Direction]])</f>
        <v/>
      </c>
      <c r="T26" s="3"/>
      <c r="U26" s="3"/>
      <c r="V26" s="3"/>
      <c r="W26" s="3"/>
      <c r="X26" s="3"/>
      <c r="Y26" s="3"/>
      <c r="Z26" s="3"/>
      <c r="AA26" s="3"/>
      <c r="AB26" s="3"/>
      <c r="AC26" s="3"/>
      <c r="AD26" s="3"/>
      <c r="AE26" s="3"/>
      <c r="AF26" s="3"/>
      <c r="AG26" s="3"/>
      <c r="AH26" s="3"/>
      <c r="AI26" s="3"/>
      <c r="AJ26" s="3"/>
      <c r="AK26" s="3"/>
      <c r="AL26" s="3"/>
      <c r="AM26" s="3"/>
      <c r="AN26" s="3"/>
    </row>
    <row r="27" spans="1:40" x14ac:dyDescent="0.2">
      <c r="A27" s="3"/>
      <c r="B27" s="71">
        <v>23</v>
      </c>
      <c r="C27" s="69" t="str">
        <f>IFERROR(INDEX(Table_EffWindow_Savings[Measure No], MATCH(Table_Controls_Input235[[#This Row],[Measure Lookup Detail]], Table_EffWindow_Savings[Lookup Detail], 0)), "")</f>
        <v/>
      </c>
      <c r="D27" s="61"/>
      <c r="E27" s="60"/>
      <c r="F27" s="69" t="str">
        <f>IFERROR(INDEX(Table_Prescript_Meas[Units], MATCH(Table_Controls_Input235[[#This Row],[Measure Number]], Table_Prescript_Meas[Measure Number], 0)), "")</f>
        <v/>
      </c>
      <c r="G27" s="49"/>
      <c r="H27" s="153"/>
      <c r="I27" s="155"/>
      <c r="J27" s="155"/>
      <c r="K27"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7" s="72" t="str">
        <f>IFERROR(Table_Controls_Input235[[#This Row],[Number of Units (Sq.Ft.)]]*Table_Controls_Input235[[#This Row],[Per-Unit Incentive]], "")</f>
        <v/>
      </c>
      <c r="M27" s="73" t="str">
        <f>IFERROR(Table_Controls_Input235[[#This Row],[Number of Units (Sq.Ft.)]]*INDEX(Table_EffWindow_Savings[Deemed kWh Savings], MATCH(Table_Controls_Input235[[#This Row],[Measure Lookup Detail]], Table_EffWindow_Savings[Lookup Detail], 0)),"" )</f>
        <v/>
      </c>
      <c r="N27" s="79" t="str">
        <f>IFERROR(Table_Controls_Input235[[#This Row],[Number of Units (Sq.Ft.)]]*INDEX(Table_EffWindow_Savings[Deemed kW Savings], MATCH(Table_Controls_Input235[[#This Row],[Measure Lookup Detail]], Table_EffWindow_Savings[Lookup Detail], 0)),"" )</f>
        <v/>
      </c>
      <c r="O27" s="72" t="str">
        <f t="shared" si="0"/>
        <v/>
      </c>
      <c r="P27" s="72" t="str">
        <f>IF(Table_Controls_Input235[[#This Row],[Measure Number]]="", "", Table_Controls_Input235[[#This Row],[Total Equipment Cost]]+Table_Controls_Input235[[#This Row],[Total Labor Cost]])</f>
        <v/>
      </c>
      <c r="Q27" s="72" t="str">
        <f>IFERROR(Table_Controls_Input235[[#This Row],[Gross Measure Cost]]-Table_Controls_Input235[[#This Row],[Estimated Incentive]], "")</f>
        <v/>
      </c>
      <c r="R27" s="73" t="str">
        <f t="shared" si="1"/>
        <v/>
      </c>
      <c r="S27" s="113" t="str">
        <f>_xlfn.CONCAT(Table_Controls_Input235[[#This Row],[Window Replacement Measure]],Table_Controls_Input235[[#This Row],[Window Direction]])</f>
        <v/>
      </c>
      <c r="T27" s="3"/>
      <c r="U27" s="3"/>
      <c r="V27" s="3"/>
      <c r="W27" s="3"/>
      <c r="X27" s="3"/>
      <c r="Y27" s="3"/>
      <c r="Z27" s="3"/>
      <c r="AA27" s="3"/>
      <c r="AB27" s="3"/>
      <c r="AC27" s="3"/>
      <c r="AD27" s="3"/>
      <c r="AE27" s="3"/>
      <c r="AF27" s="3"/>
      <c r="AG27" s="3"/>
      <c r="AH27" s="3"/>
      <c r="AI27" s="3"/>
      <c r="AJ27" s="3"/>
      <c r="AK27" s="3"/>
      <c r="AL27" s="3"/>
      <c r="AM27" s="3"/>
      <c r="AN27" s="3"/>
    </row>
    <row r="28" spans="1:40" x14ac:dyDescent="0.2">
      <c r="A28" s="3"/>
      <c r="B28" s="71">
        <v>24</v>
      </c>
      <c r="C28" s="69" t="str">
        <f>IFERROR(INDEX(Table_EffWindow_Savings[Measure No], MATCH(Table_Controls_Input235[[#This Row],[Measure Lookup Detail]], Table_EffWindow_Savings[Lookup Detail], 0)), "")</f>
        <v/>
      </c>
      <c r="D28" s="61"/>
      <c r="E28" s="60"/>
      <c r="F28" s="69" t="str">
        <f>IFERROR(INDEX(Table_Prescript_Meas[Units], MATCH(Table_Controls_Input235[[#This Row],[Measure Number]], Table_Prescript_Meas[Measure Number], 0)), "")</f>
        <v/>
      </c>
      <c r="G28" s="49"/>
      <c r="H28" s="153"/>
      <c r="I28" s="155"/>
      <c r="J28" s="155"/>
      <c r="K28"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8" s="72" t="str">
        <f>IFERROR(Table_Controls_Input235[[#This Row],[Number of Units (Sq.Ft.)]]*Table_Controls_Input235[[#This Row],[Per-Unit Incentive]], "")</f>
        <v/>
      </c>
      <c r="M28" s="73" t="str">
        <f>IFERROR(Table_Controls_Input235[[#This Row],[Number of Units (Sq.Ft.)]]*INDEX(Table_EffWindow_Savings[Deemed kWh Savings], MATCH(Table_Controls_Input235[[#This Row],[Measure Lookup Detail]], Table_EffWindow_Savings[Lookup Detail], 0)),"" )</f>
        <v/>
      </c>
      <c r="N28" s="79" t="str">
        <f>IFERROR(Table_Controls_Input235[[#This Row],[Number of Units (Sq.Ft.)]]*INDEX(Table_EffWindow_Savings[Deemed kW Savings], MATCH(Table_Controls_Input235[[#This Row],[Measure Lookup Detail]], Table_EffWindow_Savings[Lookup Detail], 0)),"" )</f>
        <v/>
      </c>
      <c r="O28" s="72" t="str">
        <f t="shared" si="0"/>
        <v/>
      </c>
      <c r="P28" s="72" t="str">
        <f>IF(Table_Controls_Input235[[#This Row],[Measure Number]]="", "", Table_Controls_Input235[[#This Row],[Total Equipment Cost]]+Table_Controls_Input235[[#This Row],[Total Labor Cost]])</f>
        <v/>
      </c>
      <c r="Q28" s="72" t="str">
        <f>IFERROR(Table_Controls_Input235[[#This Row],[Gross Measure Cost]]-Table_Controls_Input235[[#This Row],[Estimated Incentive]], "")</f>
        <v/>
      </c>
      <c r="R28" s="73" t="str">
        <f t="shared" si="1"/>
        <v/>
      </c>
      <c r="S28" s="113" t="str">
        <f>_xlfn.CONCAT(Table_Controls_Input235[[#This Row],[Window Replacement Measure]],Table_Controls_Input235[[#This Row],[Window Direction]])</f>
        <v/>
      </c>
      <c r="T28" s="3"/>
      <c r="U28" s="3"/>
      <c r="V28" s="3"/>
      <c r="W28" s="3"/>
      <c r="X28" s="3"/>
      <c r="Y28" s="3"/>
      <c r="Z28" s="3"/>
      <c r="AA28" s="3"/>
      <c r="AB28" s="3"/>
      <c r="AC28" s="3"/>
      <c r="AD28" s="3"/>
      <c r="AE28" s="3"/>
      <c r="AF28" s="3"/>
      <c r="AG28" s="3"/>
      <c r="AH28" s="3"/>
      <c r="AI28" s="3"/>
      <c r="AJ28" s="3"/>
      <c r="AK28" s="3"/>
      <c r="AL28" s="3"/>
      <c r="AM28" s="3"/>
      <c r="AN28" s="3"/>
    </row>
    <row r="29" spans="1:40" x14ac:dyDescent="0.2">
      <c r="A29" s="3"/>
      <c r="B29" s="71">
        <v>25</v>
      </c>
      <c r="C29" s="69" t="str">
        <f>IFERROR(INDEX(Table_EffWindow_Savings[Measure No], MATCH(Table_Controls_Input235[[#This Row],[Measure Lookup Detail]], Table_EffWindow_Savings[Lookup Detail], 0)), "")</f>
        <v/>
      </c>
      <c r="D29" s="61"/>
      <c r="E29" s="60"/>
      <c r="F29" s="69" t="str">
        <f>IFERROR(INDEX(Table_Prescript_Meas[Units], MATCH(Table_Controls_Input235[[#This Row],[Measure Number]], Table_Prescript_Meas[Measure Number], 0)), "")</f>
        <v/>
      </c>
      <c r="G29" s="49"/>
      <c r="H29" s="153"/>
      <c r="I29" s="155"/>
      <c r="J29" s="155"/>
      <c r="K29"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29" s="72" t="str">
        <f>IFERROR(Table_Controls_Input235[[#This Row],[Number of Units (Sq.Ft.)]]*Table_Controls_Input235[[#This Row],[Per-Unit Incentive]], "")</f>
        <v/>
      </c>
      <c r="M29" s="73" t="str">
        <f>IFERROR(Table_Controls_Input235[[#This Row],[Number of Units (Sq.Ft.)]]*INDEX(Table_EffWindow_Savings[Deemed kWh Savings], MATCH(Table_Controls_Input235[[#This Row],[Measure Lookup Detail]], Table_EffWindow_Savings[Lookup Detail], 0)),"" )</f>
        <v/>
      </c>
      <c r="N29" s="79" t="str">
        <f>IFERROR(Table_Controls_Input235[[#This Row],[Number of Units (Sq.Ft.)]]*INDEX(Table_EffWindow_Savings[Deemed kW Savings], MATCH(Table_Controls_Input235[[#This Row],[Measure Lookup Detail]], Table_EffWindow_Savings[Lookup Detail], 0)),"" )</f>
        <v/>
      </c>
      <c r="O29" s="72" t="str">
        <f t="shared" si="0"/>
        <v/>
      </c>
      <c r="P29" s="72" t="str">
        <f>IF(Table_Controls_Input235[[#This Row],[Measure Number]]="", "", Table_Controls_Input235[[#This Row],[Total Equipment Cost]]+Table_Controls_Input235[[#This Row],[Total Labor Cost]])</f>
        <v/>
      </c>
      <c r="Q29" s="72" t="str">
        <f>IFERROR(Table_Controls_Input235[[#This Row],[Gross Measure Cost]]-Table_Controls_Input235[[#This Row],[Estimated Incentive]], "")</f>
        <v/>
      </c>
      <c r="R29" s="73" t="str">
        <f t="shared" si="1"/>
        <v/>
      </c>
      <c r="S29" s="113" t="str">
        <f>_xlfn.CONCAT(Table_Controls_Input235[[#This Row],[Window Replacement Measure]],Table_Controls_Input235[[#This Row],[Window Direction]])</f>
        <v/>
      </c>
      <c r="T29" s="3"/>
      <c r="U29" s="3"/>
      <c r="V29" s="3"/>
      <c r="W29" s="3"/>
      <c r="X29" s="3"/>
      <c r="Y29" s="3"/>
      <c r="Z29" s="3"/>
      <c r="AA29" s="3"/>
      <c r="AB29" s="3"/>
      <c r="AC29" s="3"/>
      <c r="AD29" s="3"/>
      <c r="AE29" s="3"/>
      <c r="AF29" s="3"/>
      <c r="AG29" s="3"/>
      <c r="AH29" s="3"/>
      <c r="AI29" s="3"/>
      <c r="AJ29" s="3"/>
      <c r="AK29" s="3"/>
      <c r="AL29" s="3"/>
      <c r="AM29" s="3"/>
      <c r="AN29" s="3"/>
    </row>
    <row r="30" spans="1:40" x14ac:dyDescent="0.2">
      <c r="A30" s="3"/>
      <c r="B30" s="71">
        <v>26</v>
      </c>
      <c r="C30" s="69" t="str">
        <f>IFERROR(INDEX(Table_EffWindow_Savings[Measure No], MATCH(Table_Controls_Input235[[#This Row],[Measure Lookup Detail]], Table_EffWindow_Savings[Lookup Detail], 0)), "")</f>
        <v/>
      </c>
      <c r="D30" s="61"/>
      <c r="E30" s="60"/>
      <c r="F30" s="69" t="str">
        <f>IFERROR(INDEX(Table_Prescript_Meas[Units], MATCH(Table_Controls_Input235[[#This Row],[Measure Number]], Table_Prescript_Meas[Measure Number], 0)), "")</f>
        <v/>
      </c>
      <c r="G30" s="49"/>
      <c r="H30" s="153"/>
      <c r="I30" s="155"/>
      <c r="J30" s="155"/>
      <c r="K30"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0" s="72" t="str">
        <f>IFERROR(Table_Controls_Input235[[#This Row],[Number of Units (Sq.Ft.)]]*Table_Controls_Input235[[#This Row],[Per-Unit Incentive]], "")</f>
        <v/>
      </c>
      <c r="M30" s="73" t="str">
        <f>IFERROR(Table_Controls_Input235[[#This Row],[Number of Units (Sq.Ft.)]]*INDEX(Table_EffWindow_Savings[Deemed kWh Savings], MATCH(Table_Controls_Input235[[#This Row],[Measure Lookup Detail]], Table_EffWindow_Savings[Lookup Detail], 0)),"" )</f>
        <v/>
      </c>
      <c r="N30" s="79" t="str">
        <f>IFERROR(Table_Controls_Input235[[#This Row],[Number of Units (Sq.Ft.)]]*INDEX(Table_EffWindow_Savings[Deemed kW Savings], MATCH(Table_Controls_Input235[[#This Row],[Measure Lookup Detail]], Table_EffWindow_Savings[Lookup Detail], 0)),"" )</f>
        <v/>
      </c>
      <c r="O30" s="72" t="str">
        <f t="shared" si="0"/>
        <v/>
      </c>
      <c r="P30" s="72" t="str">
        <f>IF(Table_Controls_Input235[[#This Row],[Measure Number]]="", "", Table_Controls_Input235[[#This Row],[Total Equipment Cost]]+Table_Controls_Input235[[#This Row],[Total Labor Cost]])</f>
        <v/>
      </c>
      <c r="Q30" s="72" t="str">
        <f>IFERROR(Table_Controls_Input235[[#This Row],[Gross Measure Cost]]-Table_Controls_Input235[[#This Row],[Estimated Incentive]], "")</f>
        <v/>
      </c>
      <c r="R30" s="73" t="str">
        <f t="shared" si="1"/>
        <v/>
      </c>
      <c r="S30" s="113" t="str">
        <f>_xlfn.CONCAT(Table_Controls_Input235[[#This Row],[Window Replacement Measure]],Table_Controls_Input235[[#This Row],[Window Direction]])</f>
        <v/>
      </c>
      <c r="T30" s="3"/>
      <c r="U30" s="3"/>
      <c r="V30" s="3"/>
      <c r="W30" s="3"/>
      <c r="X30" s="3"/>
      <c r="Y30" s="3"/>
      <c r="Z30" s="3"/>
      <c r="AA30" s="3"/>
      <c r="AB30" s="3"/>
      <c r="AC30" s="3"/>
      <c r="AD30" s="3"/>
      <c r="AE30" s="3"/>
      <c r="AF30" s="3"/>
      <c r="AG30" s="3"/>
      <c r="AH30" s="3"/>
      <c r="AI30" s="3"/>
      <c r="AJ30" s="3"/>
      <c r="AK30" s="3"/>
      <c r="AL30" s="3"/>
      <c r="AM30" s="3"/>
      <c r="AN30" s="3"/>
    </row>
    <row r="31" spans="1:40" x14ac:dyDescent="0.2">
      <c r="A31" s="4"/>
      <c r="B31" s="71">
        <v>27</v>
      </c>
      <c r="C31" s="69" t="str">
        <f>IFERROR(INDEX(Table_EffWindow_Savings[Measure No], MATCH(Table_Controls_Input235[[#This Row],[Measure Lookup Detail]], Table_EffWindow_Savings[Lookup Detail], 0)), "")</f>
        <v/>
      </c>
      <c r="D31" s="61"/>
      <c r="E31" s="60"/>
      <c r="F31" s="69" t="str">
        <f>IFERROR(INDEX(Table_Prescript_Meas[Units], MATCH(Table_Controls_Input235[[#This Row],[Measure Number]], Table_Prescript_Meas[Measure Number], 0)), "")</f>
        <v/>
      </c>
      <c r="G31" s="49"/>
      <c r="H31" s="153"/>
      <c r="I31" s="155"/>
      <c r="J31" s="155"/>
      <c r="K31"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1" s="72" t="str">
        <f>IFERROR(Table_Controls_Input235[[#This Row],[Number of Units (Sq.Ft.)]]*Table_Controls_Input235[[#This Row],[Per-Unit Incentive]], "")</f>
        <v/>
      </c>
      <c r="M31" s="73" t="str">
        <f>IFERROR(Table_Controls_Input235[[#This Row],[Number of Units (Sq.Ft.)]]*INDEX(Table_EffWindow_Savings[Deemed kWh Savings], MATCH(Table_Controls_Input235[[#This Row],[Measure Lookup Detail]], Table_EffWindow_Savings[Lookup Detail], 0)),"" )</f>
        <v/>
      </c>
      <c r="N31" s="79" t="str">
        <f>IFERROR(Table_Controls_Input235[[#This Row],[Number of Units (Sq.Ft.)]]*INDEX(Table_EffWindow_Savings[Deemed kW Savings], MATCH(Table_Controls_Input235[[#This Row],[Measure Lookup Detail]], Table_EffWindow_Savings[Lookup Detail], 0)),"" )</f>
        <v/>
      </c>
      <c r="O31" s="72" t="str">
        <f t="shared" si="0"/>
        <v/>
      </c>
      <c r="P31" s="72" t="str">
        <f>IF(Table_Controls_Input235[[#This Row],[Measure Number]]="", "", Table_Controls_Input235[[#This Row],[Total Equipment Cost]]+Table_Controls_Input235[[#This Row],[Total Labor Cost]])</f>
        <v/>
      </c>
      <c r="Q31" s="72" t="str">
        <f>IFERROR(Table_Controls_Input235[[#This Row],[Gross Measure Cost]]-Table_Controls_Input235[[#This Row],[Estimated Incentive]], "")</f>
        <v/>
      </c>
      <c r="R31" s="73" t="str">
        <f t="shared" si="1"/>
        <v/>
      </c>
      <c r="S31" s="113" t="str">
        <f>_xlfn.CONCAT(Table_Controls_Input235[[#This Row],[Window Replacement Measure]],Table_Controls_Input235[[#This Row],[Window Direction]])</f>
        <v/>
      </c>
      <c r="T31" s="4"/>
      <c r="U31" s="4"/>
      <c r="V31" s="4"/>
      <c r="W31" s="4"/>
      <c r="X31" s="4"/>
      <c r="Y31" s="4"/>
      <c r="Z31" s="4"/>
      <c r="AA31" s="4"/>
      <c r="AB31" s="4"/>
      <c r="AC31" s="4"/>
      <c r="AD31" s="4"/>
      <c r="AE31" s="4"/>
      <c r="AF31" s="4"/>
      <c r="AG31" s="4"/>
      <c r="AH31" s="4"/>
      <c r="AI31" s="4"/>
      <c r="AJ31" s="4"/>
      <c r="AK31" s="4"/>
      <c r="AL31" s="4"/>
      <c r="AM31" s="4"/>
      <c r="AN31" s="4"/>
    </row>
    <row r="32" spans="1:40" x14ac:dyDescent="0.2">
      <c r="A32" s="4"/>
      <c r="B32" s="71">
        <v>28</v>
      </c>
      <c r="C32" s="69" t="str">
        <f>IFERROR(INDEX(Table_EffWindow_Savings[Measure No], MATCH(Table_Controls_Input235[[#This Row],[Measure Lookup Detail]], Table_EffWindow_Savings[Lookup Detail], 0)), "")</f>
        <v/>
      </c>
      <c r="D32" s="61"/>
      <c r="E32" s="60"/>
      <c r="F32" s="69" t="str">
        <f>IFERROR(INDEX(Table_Prescript_Meas[Units], MATCH(Table_Controls_Input235[[#This Row],[Measure Number]], Table_Prescript_Meas[Measure Number], 0)), "")</f>
        <v/>
      </c>
      <c r="G32" s="49"/>
      <c r="H32" s="153"/>
      <c r="I32" s="155"/>
      <c r="J32" s="155"/>
      <c r="K32"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2" s="72" t="str">
        <f>IFERROR(Table_Controls_Input235[[#This Row],[Number of Units (Sq.Ft.)]]*Table_Controls_Input235[[#This Row],[Per-Unit Incentive]], "")</f>
        <v/>
      </c>
      <c r="M32" s="73" t="str">
        <f>IFERROR(Table_Controls_Input235[[#This Row],[Number of Units (Sq.Ft.)]]*INDEX(Table_EffWindow_Savings[Deemed kWh Savings], MATCH(Table_Controls_Input235[[#This Row],[Measure Lookup Detail]], Table_EffWindow_Savings[Lookup Detail], 0)),"" )</f>
        <v/>
      </c>
      <c r="N32" s="79" t="str">
        <f>IFERROR(Table_Controls_Input235[[#This Row],[Number of Units (Sq.Ft.)]]*INDEX(Table_EffWindow_Savings[Deemed kW Savings], MATCH(Table_Controls_Input235[[#This Row],[Measure Lookup Detail]], Table_EffWindow_Savings[Lookup Detail], 0)),"" )</f>
        <v/>
      </c>
      <c r="O32" s="72" t="str">
        <f t="shared" si="0"/>
        <v/>
      </c>
      <c r="P32" s="72" t="str">
        <f>IF(Table_Controls_Input235[[#This Row],[Measure Number]]="", "", Table_Controls_Input235[[#This Row],[Total Equipment Cost]]+Table_Controls_Input235[[#This Row],[Total Labor Cost]])</f>
        <v/>
      </c>
      <c r="Q32" s="72" t="str">
        <f>IFERROR(Table_Controls_Input235[[#This Row],[Gross Measure Cost]]-Table_Controls_Input235[[#This Row],[Estimated Incentive]], "")</f>
        <v/>
      </c>
      <c r="R32" s="73" t="str">
        <f t="shared" si="1"/>
        <v/>
      </c>
      <c r="S32" s="113" t="str">
        <f>_xlfn.CONCAT(Table_Controls_Input235[[#This Row],[Window Replacement Measure]],Table_Controls_Input235[[#This Row],[Window Direction]])</f>
        <v/>
      </c>
      <c r="T32" s="4"/>
      <c r="U32" s="4"/>
      <c r="V32" s="4"/>
      <c r="W32" s="4"/>
      <c r="X32" s="4"/>
      <c r="Y32" s="4"/>
      <c r="Z32" s="4"/>
      <c r="AA32" s="4"/>
      <c r="AB32" s="4"/>
      <c r="AC32" s="4"/>
      <c r="AD32" s="4"/>
      <c r="AE32" s="4"/>
      <c r="AF32" s="4"/>
      <c r="AG32" s="4"/>
      <c r="AH32" s="4"/>
      <c r="AI32" s="4"/>
      <c r="AJ32" s="4"/>
      <c r="AK32" s="4"/>
      <c r="AL32" s="4"/>
      <c r="AM32" s="4"/>
      <c r="AN32" s="4"/>
    </row>
    <row r="33" spans="1:40" x14ac:dyDescent="0.2">
      <c r="A33" s="4"/>
      <c r="B33" s="71">
        <v>29</v>
      </c>
      <c r="C33" s="69" t="str">
        <f>IFERROR(INDEX(Table_EffWindow_Savings[Measure No], MATCH(Table_Controls_Input235[[#This Row],[Measure Lookup Detail]], Table_EffWindow_Savings[Lookup Detail], 0)), "")</f>
        <v/>
      </c>
      <c r="D33" s="61"/>
      <c r="E33" s="60"/>
      <c r="F33" s="69" t="str">
        <f>IFERROR(INDEX(Table_Prescript_Meas[Units], MATCH(Table_Controls_Input235[[#This Row],[Measure Number]], Table_Prescript_Meas[Measure Number], 0)), "")</f>
        <v/>
      </c>
      <c r="G33" s="49"/>
      <c r="H33" s="153"/>
      <c r="I33" s="155"/>
      <c r="J33" s="155"/>
      <c r="K33"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3" s="72" t="str">
        <f>IFERROR(Table_Controls_Input235[[#This Row],[Number of Units (Sq.Ft.)]]*Table_Controls_Input235[[#This Row],[Per-Unit Incentive]], "")</f>
        <v/>
      </c>
      <c r="M33" s="73" t="str">
        <f>IFERROR(Table_Controls_Input235[[#This Row],[Number of Units (Sq.Ft.)]]*INDEX(Table_EffWindow_Savings[Deemed kWh Savings], MATCH(Table_Controls_Input235[[#This Row],[Measure Lookup Detail]], Table_EffWindow_Savings[Lookup Detail], 0)),"" )</f>
        <v/>
      </c>
      <c r="N33" s="79" t="str">
        <f>IFERROR(Table_Controls_Input235[[#This Row],[Number of Units (Sq.Ft.)]]*INDEX(Table_EffWindow_Savings[Deemed kW Savings], MATCH(Table_Controls_Input235[[#This Row],[Measure Lookup Detail]], Table_EffWindow_Savings[Lookup Detail], 0)),"" )</f>
        <v/>
      </c>
      <c r="O33" s="72" t="str">
        <f t="shared" si="0"/>
        <v/>
      </c>
      <c r="P33" s="72" t="str">
        <f>IF(Table_Controls_Input235[[#This Row],[Measure Number]]="", "", Table_Controls_Input235[[#This Row],[Total Equipment Cost]]+Table_Controls_Input235[[#This Row],[Total Labor Cost]])</f>
        <v/>
      </c>
      <c r="Q33" s="72" t="str">
        <f>IFERROR(Table_Controls_Input235[[#This Row],[Gross Measure Cost]]-Table_Controls_Input235[[#This Row],[Estimated Incentive]], "")</f>
        <v/>
      </c>
      <c r="R33" s="73" t="str">
        <f t="shared" si="1"/>
        <v/>
      </c>
      <c r="S33" s="113" t="str">
        <f>_xlfn.CONCAT(Table_Controls_Input235[[#This Row],[Window Replacement Measure]],Table_Controls_Input235[[#This Row],[Window Direction]])</f>
        <v/>
      </c>
      <c r="T33" s="4"/>
      <c r="U33" s="4"/>
      <c r="V33" s="4"/>
      <c r="W33" s="4"/>
      <c r="X33" s="4"/>
      <c r="Y33" s="4"/>
      <c r="Z33" s="4"/>
      <c r="AA33" s="4"/>
      <c r="AB33" s="4"/>
      <c r="AC33" s="4"/>
      <c r="AD33" s="4"/>
      <c r="AE33" s="4"/>
      <c r="AF33" s="4"/>
      <c r="AG33" s="4"/>
      <c r="AH33" s="4"/>
      <c r="AI33" s="4"/>
      <c r="AJ33" s="4"/>
      <c r="AK33" s="4"/>
      <c r="AL33" s="4"/>
      <c r="AM33" s="4"/>
      <c r="AN33" s="4"/>
    </row>
    <row r="34" spans="1:40" x14ac:dyDescent="0.2">
      <c r="A34" s="4"/>
      <c r="B34" s="71">
        <v>30</v>
      </c>
      <c r="C34" s="69" t="str">
        <f>IFERROR(INDEX(Table_EffWindow_Savings[Measure No], MATCH(Table_Controls_Input235[[#This Row],[Measure Lookup Detail]], Table_EffWindow_Savings[Lookup Detail], 0)), "")</f>
        <v/>
      </c>
      <c r="D34" s="61"/>
      <c r="E34" s="60"/>
      <c r="F34" s="69" t="str">
        <f>IFERROR(INDEX(Table_Prescript_Meas[Units], MATCH(Table_Controls_Input235[[#This Row],[Measure Number]], Table_Prescript_Meas[Measure Number], 0)), "")</f>
        <v/>
      </c>
      <c r="G34" s="49"/>
      <c r="H34" s="153"/>
      <c r="I34" s="155"/>
      <c r="J34" s="155"/>
      <c r="K34" s="72" t="str">
        <f>IFERROR(IF(Input_ProgramType=References!$W$4, INDEX(Table_Prescript_Meas[Incentive - SC], MATCH(Table_Controls_Input235[[#This Row],[Measure Number]], Table_Prescript_Meas[Measure Number], 0)), INDEX(Table_Prescript_Meas[Incentive - LC], MATCH(Table_Controls_Input235[[#This Row],[Measure Number]], Table_Prescript_Meas[Measure Number], 0))), "")</f>
        <v/>
      </c>
      <c r="L34" s="72" t="str">
        <f>IFERROR(Table_Controls_Input235[[#This Row],[Number of Units (Sq.Ft.)]]*Table_Controls_Input235[[#This Row],[Per-Unit Incentive]], "")</f>
        <v/>
      </c>
      <c r="M34" s="73" t="str">
        <f>IFERROR(Table_Controls_Input235[[#This Row],[Number of Units (Sq.Ft.)]]*INDEX(Table_EffWindow_Savings[Deemed kWh Savings], MATCH(Table_Controls_Input235[[#This Row],[Measure Lookup Detail]], Table_EffWindow_Savings[Lookup Detail], 0)),"" )</f>
        <v/>
      </c>
      <c r="N34" s="79" t="str">
        <f>IFERROR(Table_Controls_Input235[[#This Row],[Number of Units (Sq.Ft.)]]*INDEX(Table_EffWindow_Savings[Deemed kW Savings], MATCH(Table_Controls_Input235[[#This Row],[Measure Lookup Detail]], Table_EffWindow_Savings[Lookup Detail], 0)),"" )</f>
        <v/>
      </c>
      <c r="O34" s="72" t="str">
        <f t="shared" si="0"/>
        <v/>
      </c>
      <c r="P34" s="72" t="str">
        <f>IF(Table_Controls_Input235[[#This Row],[Measure Number]]="", "", Table_Controls_Input235[[#This Row],[Total Equipment Cost]]+Table_Controls_Input235[[#This Row],[Total Labor Cost]])</f>
        <v/>
      </c>
      <c r="Q34" s="72" t="str">
        <f>IFERROR(Table_Controls_Input235[[#This Row],[Gross Measure Cost]]-Table_Controls_Input235[[#This Row],[Estimated Incentive]], "")</f>
        <v/>
      </c>
      <c r="R34" s="73" t="str">
        <f t="shared" si="1"/>
        <v/>
      </c>
      <c r="S34" s="113" t="str">
        <f>_xlfn.CONCAT(Table_Controls_Input235[[#This Row],[Window Replacement Measure]],Table_Controls_Input235[[#This Row],[Window Direction]])</f>
        <v/>
      </c>
      <c r="T34" s="4"/>
      <c r="U34" s="4"/>
      <c r="V34" s="4"/>
      <c r="W34" s="4"/>
      <c r="X34" s="4"/>
      <c r="Y34" s="4"/>
      <c r="Z34" s="4"/>
      <c r="AA34" s="4"/>
      <c r="AB34" s="4"/>
      <c r="AC34" s="4"/>
      <c r="AD34" s="4"/>
      <c r="AE34" s="4"/>
      <c r="AF34" s="4"/>
      <c r="AG34" s="4"/>
      <c r="AH34" s="4"/>
      <c r="AI34" s="4"/>
      <c r="AJ34" s="4"/>
      <c r="AK34" s="4"/>
      <c r="AL34" s="4"/>
      <c r="AM34" s="4"/>
      <c r="AN34" s="4"/>
    </row>
    <row r="35" spans="1:40" x14ac:dyDescent="0.2">
      <c r="A35" s="4"/>
      <c r="S35" s="111"/>
      <c r="T35" s="4"/>
      <c r="U35" s="4"/>
      <c r="V35" s="4"/>
      <c r="W35" s="4"/>
      <c r="X35" s="4"/>
      <c r="Y35" s="4"/>
      <c r="Z35" s="4"/>
      <c r="AA35" s="4"/>
      <c r="AB35" s="4"/>
      <c r="AC35" s="4"/>
      <c r="AD35" s="4"/>
      <c r="AE35" s="4"/>
      <c r="AF35" s="4"/>
      <c r="AG35" s="4"/>
      <c r="AH35" s="4"/>
      <c r="AI35" s="4"/>
      <c r="AJ35" s="4"/>
      <c r="AK35" s="4"/>
      <c r="AL35" s="4"/>
      <c r="AM35" s="4"/>
      <c r="AN35" s="4"/>
    </row>
    <row r="36" spans="1:40" x14ac:dyDescent="0.2">
      <c r="S36"/>
    </row>
    <row r="37" spans="1:40" x14ac:dyDescent="0.2">
      <c r="B37" t="s">
        <v>11</v>
      </c>
      <c r="S37"/>
    </row>
    <row r="38" spans="1:40" x14ac:dyDescent="0.2">
      <c r="B38" t="str">
        <f>Value_Application_Version</f>
        <v>Version 5.0</v>
      </c>
      <c r="S38"/>
    </row>
    <row r="39" spans="1:40" x14ac:dyDescent="0.2">
      <c r="S39"/>
    </row>
    <row r="40" spans="1:40" x14ac:dyDescent="0.2">
      <c r="A40" s="4"/>
      <c r="S40" s="111"/>
      <c r="T40" s="4"/>
      <c r="U40" s="4"/>
      <c r="V40" s="4"/>
      <c r="W40" s="4"/>
      <c r="X40" s="4"/>
      <c r="Y40" s="4"/>
      <c r="Z40" s="4"/>
      <c r="AA40" s="4"/>
      <c r="AB40" s="4"/>
      <c r="AC40" s="4"/>
      <c r="AD40" s="4"/>
      <c r="AE40" s="4"/>
      <c r="AF40" s="4"/>
      <c r="AG40" s="4"/>
      <c r="AH40" s="4"/>
      <c r="AI40" s="4"/>
      <c r="AJ40" s="4"/>
      <c r="AK40" s="4"/>
      <c r="AL40" s="4"/>
      <c r="AM40" s="4"/>
      <c r="AN40" s="4"/>
    </row>
    <row r="41" spans="1:40" x14ac:dyDescent="0.2">
      <c r="A41" s="4"/>
      <c r="S41" s="111"/>
      <c r="T41" s="4"/>
      <c r="U41" s="4"/>
      <c r="V41" s="4"/>
      <c r="W41" s="4"/>
      <c r="X41" s="4"/>
      <c r="Y41" s="4"/>
      <c r="Z41" s="4"/>
      <c r="AA41" s="4"/>
      <c r="AB41" s="4"/>
      <c r="AC41" s="4"/>
      <c r="AD41" s="4"/>
      <c r="AE41" s="4"/>
      <c r="AF41" s="4"/>
      <c r="AG41" s="4"/>
      <c r="AH41" s="4"/>
      <c r="AI41" s="4"/>
      <c r="AJ41" s="4"/>
      <c r="AK41" s="4"/>
      <c r="AL41" s="4"/>
      <c r="AM41" s="4"/>
      <c r="AN41" s="4"/>
    </row>
    <row r="42" spans="1:40" x14ac:dyDescent="0.2">
      <c r="A42" s="4"/>
      <c r="S42" s="111"/>
      <c r="T42" s="4"/>
      <c r="U42" s="4"/>
      <c r="V42" s="4"/>
      <c r="W42" s="4"/>
      <c r="X42" s="4"/>
      <c r="Y42" s="4"/>
      <c r="Z42" s="4"/>
      <c r="AA42" s="4"/>
      <c r="AB42" s="4"/>
      <c r="AC42" s="4"/>
      <c r="AD42" s="4"/>
      <c r="AE42" s="4"/>
      <c r="AF42" s="4"/>
      <c r="AG42" s="4"/>
      <c r="AH42" s="4"/>
      <c r="AI42" s="4"/>
      <c r="AJ42" s="4"/>
      <c r="AK42" s="4"/>
      <c r="AL42" s="4"/>
      <c r="AM42" s="4"/>
      <c r="AN42" s="4"/>
    </row>
    <row r="43" spans="1:40" x14ac:dyDescent="0.2">
      <c r="A43" s="4"/>
      <c r="S43" s="111"/>
      <c r="T43" s="4"/>
      <c r="U43" s="4"/>
      <c r="V43" s="4"/>
      <c r="W43" s="4"/>
      <c r="X43" s="4"/>
      <c r="Y43" s="4"/>
      <c r="Z43" s="4"/>
      <c r="AA43" s="4"/>
      <c r="AB43" s="4"/>
      <c r="AC43" s="4"/>
      <c r="AD43" s="4"/>
      <c r="AE43" s="4"/>
      <c r="AF43" s="4"/>
      <c r="AG43" s="4"/>
      <c r="AH43" s="4"/>
      <c r="AI43" s="4"/>
      <c r="AJ43" s="4"/>
      <c r="AK43" s="4"/>
      <c r="AL43" s="4"/>
      <c r="AM43" s="4"/>
      <c r="AN43" s="4"/>
    </row>
    <row r="44" spans="1:40" x14ac:dyDescent="0.2">
      <c r="A44" s="4"/>
      <c r="S44" s="111"/>
      <c r="T44" s="4"/>
      <c r="U44" s="4"/>
      <c r="V44" s="4"/>
      <c r="W44" s="4"/>
      <c r="X44" s="4"/>
      <c r="Y44" s="4"/>
      <c r="Z44" s="4"/>
      <c r="AA44" s="4"/>
      <c r="AB44" s="4"/>
      <c r="AC44" s="4"/>
      <c r="AD44" s="4"/>
      <c r="AE44" s="4"/>
      <c r="AF44" s="4"/>
      <c r="AG44" s="4"/>
      <c r="AH44" s="4"/>
      <c r="AI44" s="4"/>
      <c r="AJ44" s="4"/>
      <c r="AK44" s="4"/>
      <c r="AL44" s="4"/>
      <c r="AM44" s="4"/>
      <c r="AN44" s="4"/>
    </row>
    <row r="45" spans="1:40" x14ac:dyDescent="0.2">
      <c r="A45" s="4"/>
      <c r="S45" s="111"/>
      <c r="T45" s="4"/>
      <c r="U45" s="4"/>
      <c r="V45" s="4"/>
      <c r="W45" s="4"/>
      <c r="X45" s="4"/>
      <c r="Y45" s="4"/>
      <c r="Z45" s="4"/>
      <c r="AA45" s="4"/>
      <c r="AB45" s="4"/>
      <c r="AC45" s="4"/>
      <c r="AD45" s="4"/>
      <c r="AE45" s="4"/>
      <c r="AF45" s="4"/>
      <c r="AG45" s="4"/>
      <c r="AH45" s="4"/>
      <c r="AI45" s="4"/>
      <c r="AJ45" s="4"/>
      <c r="AK45" s="4"/>
      <c r="AL45" s="4"/>
      <c r="AM45" s="4"/>
      <c r="AN45" s="4"/>
    </row>
    <row r="46" spans="1:40" x14ac:dyDescent="0.2">
      <c r="A46" s="4"/>
      <c r="S46" s="111"/>
      <c r="T46" s="4"/>
      <c r="U46" s="4"/>
      <c r="V46" s="4"/>
      <c r="W46" s="4"/>
      <c r="X46" s="4"/>
      <c r="Y46" s="4"/>
      <c r="Z46" s="4"/>
      <c r="AA46" s="4"/>
      <c r="AB46" s="4"/>
      <c r="AC46" s="4"/>
      <c r="AD46" s="4"/>
      <c r="AE46" s="4"/>
      <c r="AF46" s="4"/>
      <c r="AG46" s="4"/>
      <c r="AH46" s="4"/>
      <c r="AI46" s="4"/>
      <c r="AJ46" s="4"/>
      <c r="AK46" s="4"/>
      <c r="AL46" s="4"/>
      <c r="AM46" s="4"/>
      <c r="AN46" s="4"/>
    </row>
    <row r="47" spans="1:40" x14ac:dyDescent="0.2">
      <c r="A47" s="4"/>
      <c r="S47" s="111"/>
      <c r="T47" s="4"/>
      <c r="U47" s="4"/>
      <c r="V47" s="4"/>
      <c r="W47" s="4"/>
      <c r="X47" s="4"/>
      <c r="Y47" s="4"/>
      <c r="Z47" s="4"/>
      <c r="AA47" s="4"/>
      <c r="AB47" s="4"/>
      <c r="AC47" s="4"/>
      <c r="AD47" s="4"/>
      <c r="AE47" s="4"/>
      <c r="AF47" s="4"/>
      <c r="AG47" s="4"/>
      <c r="AH47" s="4"/>
      <c r="AI47" s="4"/>
      <c r="AJ47" s="4"/>
      <c r="AK47" s="4"/>
      <c r="AL47" s="4"/>
      <c r="AM47" s="4"/>
      <c r="AN47" s="4"/>
    </row>
    <row r="48" spans="1:40" x14ac:dyDescent="0.2">
      <c r="A48" s="4"/>
      <c r="S48" s="111"/>
      <c r="T48" s="4"/>
      <c r="U48" s="4"/>
      <c r="V48" s="4"/>
      <c r="W48" s="4"/>
      <c r="X48" s="4"/>
      <c r="Y48" s="4"/>
      <c r="Z48" s="4"/>
      <c r="AA48" s="4"/>
      <c r="AB48" s="4"/>
      <c r="AC48" s="4"/>
      <c r="AD48" s="4"/>
      <c r="AE48" s="4"/>
      <c r="AF48" s="4"/>
      <c r="AG48" s="4"/>
      <c r="AH48" s="4"/>
      <c r="AI48" s="4"/>
      <c r="AJ48" s="4"/>
      <c r="AK48" s="4"/>
      <c r="AL48" s="4"/>
      <c r="AM48" s="4"/>
      <c r="AN48" s="4"/>
    </row>
    <row r="49" spans="1:40" x14ac:dyDescent="0.2">
      <c r="A49" s="4"/>
      <c r="S49" s="111"/>
      <c r="T49" s="4"/>
      <c r="U49" s="4"/>
      <c r="V49" s="4"/>
      <c r="W49" s="4"/>
      <c r="X49" s="4"/>
      <c r="Y49" s="4"/>
      <c r="Z49" s="4"/>
      <c r="AA49" s="4"/>
      <c r="AB49" s="4"/>
      <c r="AC49" s="4"/>
      <c r="AD49" s="4"/>
      <c r="AE49" s="4"/>
      <c r="AF49" s="4"/>
      <c r="AG49" s="4"/>
      <c r="AH49" s="4"/>
      <c r="AI49" s="4"/>
      <c r="AJ49" s="4"/>
      <c r="AK49" s="4"/>
      <c r="AL49" s="4"/>
      <c r="AM49" s="4"/>
      <c r="AN49" s="4"/>
    </row>
    <row r="50" spans="1:40" x14ac:dyDescent="0.2">
      <c r="A50" s="4"/>
      <c r="S50" s="111"/>
      <c r="T50" s="4"/>
      <c r="U50" s="4"/>
      <c r="V50" s="4"/>
      <c r="W50" s="4"/>
      <c r="X50" s="4"/>
      <c r="Y50" s="4"/>
      <c r="Z50" s="4"/>
      <c r="AA50" s="4"/>
      <c r="AB50" s="4"/>
      <c r="AC50" s="4"/>
      <c r="AD50" s="4"/>
      <c r="AE50" s="4"/>
      <c r="AF50" s="4"/>
      <c r="AG50" s="4"/>
      <c r="AH50" s="4"/>
      <c r="AI50" s="4"/>
      <c r="AJ50" s="4"/>
      <c r="AK50" s="4"/>
      <c r="AL50" s="4"/>
      <c r="AM50" s="4"/>
      <c r="AN50" s="4"/>
    </row>
    <row r="51" spans="1:40" x14ac:dyDescent="0.2">
      <c r="A51" s="4"/>
      <c r="S51" s="111"/>
      <c r="T51" s="4"/>
      <c r="U51" s="4"/>
      <c r="V51" s="4"/>
      <c r="W51" s="4"/>
      <c r="X51" s="4"/>
      <c r="Y51" s="4"/>
      <c r="Z51" s="4"/>
      <c r="AA51" s="4"/>
      <c r="AB51" s="4"/>
      <c r="AC51" s="4"/>
      <c r="AD51" s="4"/>
      <c r="AE51" s="4"/>
      <c r="AF51" s="4"/>
      <c r="AG51" s="4"/>
      <c r="AH51" s="4"/>
      <c r="AI51" s="4"/>
      <c r="AJ51" s="4"/>
      <c r="AK51" s="4"/>
      <c r="AL51" s="4"/>
      <c r="AM51" s="4"/>
      <c r="AN51" s="4"/>
    </row>
    <row r="52" spans="1:40" x14ac:dyDescent="0.2">
      <c r="A52" s="4"/>
      <c r="S52" s="111"/>
      <c r="T52" s="4"/>
      <c r="U52" s="4"/>
      <c r="V52" s="4"/>
      <c r="W52" s="4"/>
      <c r="X52" s="4"/>
      <c r="Y52" s="4"/>
      <c r="Z52" s="4"/>
      <c r="AA52" s="4"/>
      <c r="AB52" s="4"/>
      <c r="AC52" s="4"/>
      <c r="AD52" s="4"/>
      <c r="AE52" s="4"/>
      <c r="AF52" s="4"/>
      <c r="AG52" s="4"/>
      <c r="AH52" s="4"/>
      <c r="AI52" s="4"/>
      <c r="AJ52" s="4"/>
      <c r="AK52" s="4"/>
      <c r="AL52" s="4"/>
      <c r="AM52" s="4"/>
      <c r="AN52" s="4"/>
    </row>
    <row r="53" spans="1:40" x14ac:dyDescent="0.2">
      <c r="A53" s="4"/>
      <c r="S53" s="111"/>
      <c r="T53" s="4"/>
      <c r="U53" s="4"/>
      <c r="V53" s="4"/>
      <c r="W53" s="4"/>
      <c r="X53" s="4"/>
      <c r="Y53" s="4"/>
      <c r="Z53" s="4"/>
      <c r="AA53" s="4"/>
      <c r="AB53" s="4"/>
      <c r="AC53" s="4"/>
      <c r="AD53" s="4"/>
      <c r="AE53" s="4"/>
      <c r="AF53" s="4"/>
      <c r="AG53" s="4"/>
      <c r="AH53" s="4"/>
      <c r="AI53" s="4"/>
      <c r="AJ53" s="4"/>
      <c r="AK53" s="4"/>
      <c r="AL53" s="4"/>
      <c r="AM53" s="4"/>
      <c r="AN53" s="4"/>
    </row>
    <row r="54" spans="1:40" x14ac:dyDescent="0.2">
      <c r="A54" s="4"/>
      <c r="S54" s="111"/>
      <c r="T54" s="4"/>
      <c r="U54" s="4"/>
      <c r="V54" s="4"/>
      <c r="W54" s="4"/>
      <c r="X54" s="4"/>
      <c r="Y54" s="4"/>
      <c r="Z54" s="4"/>
      <c r="AA54" s="4"/>
      <c r="AB54" s="4"/>
      <c r="AC54" s="4"/>
      <c r="AD54" s="4"/>
      <c r="AE54" s="4"/>
      <c r="AF54" s="4"/>
      <c r="AG54" s="4"/>
      <c r="AH54" s="4"/>
      <c r="AI54" s="4"/>
      <c r="AJ54" s="4"/>
      <c r="AK54" s="4"/>
      <c r="AL54" s="4"/>
      <c r="AM54" s="4"/>
      <c r="AN54" s="4"/>
    </row>
    <row r="55" spans="1:40" x14ac:dyDescent="0.2">
      <c r="A55" s="4"/>
      <c r="S55" s="111"/>
      <c r="T55" s="4"/>
      <c r="U55" s="4"/>
      <c r="V55" s="4"/>
      <c r="W55" s="4"/>
      <c r="X55" s="4"/>
      <c r="Y55" s="4"/>
      <c r="Z55" s="4"/>
      <c r="AA55" s="4"/>
      <c r="AB55" s="4"/>
      <c r="AC55" s="4"/>
      <c r="AD55" s="4"/>
      <c r="AE55" s="4"/>
      <c r="AF55" s="4"/>
      <c r="AG55" s="4"/>
      <c r="AH55" s="4"/>
      <c r="AI55" s="4"/>
      <c r="AJ55" s="4"/>
      <c r="AK55" s="4"/>
      <c r="AL55" s="4"/>
      <c r="AM55" s="4"/>
      <c r="AN55" s="4"/>
    </row>
    <row r="56" spans="1:40" x14ac:dyDescent="0.2">
      <c r="A56" s="4"/>
      <c r="S56" s="111"/>
      <c r="T56" s="4"/>
      <c r="U56" s="4"/>
      <c r="V56" s="4"/>
      <c r="W56" s="4"/>
      <c r="X56" s="4"/>
      <c r="Y56" s="4"/>
      <c r="Z56" s="4"/>
      <c r="AA56" s="4"/>
      <c r="AB56" s="4"/>
      <c r="AC56" s="4"/>
      <c r="AD56" s="4"/>
      <c r="AE56" s="4"/>
      <c r="AF56" s="4"/>
      <c r="AG56" s="4"/>
      <c r="AH56" s="4"/>
      <c r="AI56" s="4"/>
      <c r="AJ56" s="4"/>
      <c r="AK56" s="4"/>
      <c r="AL56" s="4"/>
      <c r="AM56" s="4"/>
      <c r="AN56" s="4"/>
    </row>
    <row r="57" spans="1:40" x14ac:dyDescent="0.2">
      <c r="A57" s="4"/>
      <c r="S57" s="111"/>
      <c r="T57" s="4"/>
      <c r="U57" s="4"/>
      <c r="V57" s="4"/>
      <c r="W57" s="4"/>
      <c r="X57" s="4"/>
      <c r="Y57" s="4"/>
      <c r="Z57" s="4"/>
      <c r="AA57" s="4"/>
      <c r="AB57" s="4"/>
      <c r="AC57" s="4"/>
      <c r="AD57" s="4"/>
      <c r="AE57" s="4"/>
      <c r="AF57" s="4"/>
      <c r="AG57" s="4"/>
      <c r="AH57" s="4"/>
      <c r="AI57" s="4"/>
      <c r="AJ57" s="4"/>
      <c r="AK57" s="4"/>
      <c r="AL57" s="4"/>
      <c r="AM57" s="4"/>
      <c r="AN57" s="4"/>
    </row>
    <row r="58" spans="1:40" x14ac:dyDescent="0.2">
      <c r="A58" s="4"/>
      <c r="S58" s="111"/>
      <c r="T58" s="4"/>
      <c r="U58" s="4"/>
      <c r="V58" s="4"/>
      <c r="W58" s="4"/>
      <c r="X58" s="4"/>
      <c r="Y58" s="4"/>
      <c r="Z58" s="4"/>
      <c r="AA58" s="4"/>
      <c r="AB58" s="4"/>
      <c r="AC58" s="4"/>
      <c r="AD58" s="4"/>
      <c r="AE58" s="4"/>
      <c r="AF58" s="4"/>
      <c r="AG58" s="4"/>
      <c r="AH58" s="4"/>
      <c r="AI58" s="4"/>
      <c r="AJ58" s="4"/>
      <c r="AK58" s="4"/>
      <c r="AL58" s="4"/>
      <c r="AM58" s="4"/>
      <c r="AN58" s="4"/>
    </row>
    <row r="59" spans="1:40" x14ac:dyDescent="0.2">
      <c r="A59" s="4"/>
      <c r="S59" s="111"/>
      <c r="T59" s="4"/>
      <c r="U59" s="4"/>
      <c r="V59" s="4"/>
      <c r="W59" s="4"/>
      <c r="X59" s="4"/>
      <c r="Y59" s="4"/>
      <c r="Z59" s="4"/>
      <c r="AA59" s="4"/>
      <c r="AB59" s="4"/>
      <c r="AC59" s="4"/>
      <c r="AD59" s="4"/>
      <c r="AE59" s="4"/>
      <c r="AF59" s="4"/>
      <c r="AG59" s="4"/>
      <c r="AH59" s="4"/>
      <c r="AI59" s="4"/>
      <c r="AJ59" s="4"/>
      <c r="AK59" s="4"/>
      <c r="AL59" s="4"/>
      <c r="AM59" s="4"/>
      <c r="AN59" s="4"/>
    </row>
    <row r="60" spans="1:40" x14ac:dyDescent="0.2">
      <c r="A60" s="4"/>
      <c r="S60" s="111"/>
      <c r="T60" s="4"/>
      <c r="U60" s="4"/>
      <c r="V60" s="4"/>
      <c r="W60" s="4"/>
      <c r="X60" s="4"/>
      <c r="Y60" s="4"/>
      <c r="Z60" s="4"/>
      <c r="AA60" s="4"/>
      <c r="AB60" s="4"/>
      <c r="AC60" s="4"/>
      <c r="AD60" s="4"/>
      <c r="AE60" s="4"/>
      <c r="AF60" s="4"/>
      <c r="AG60" s="4"/>
      <c r="AH60" s="4"/>
      <c r="AI60" s="4"/>
      <c r="AJ60" s="4"/>
      <c r="AK60" s="4"/>
      <c r="AL60" s="4"/>
      <c r="AM60" s="4"/>
      <c r="AN60" s="4"/>
    </row>
    <row r="61" spans="1:40" x14ac:dyDescent="0.2">
      <c r="A61" s="4"/>
      <c r="S61" s="111"/>
      <c r="T61" s="4"/>
      <c r="U61" s="4"/>
      <c r="V61" s="4"/>
      <c r="W61" s="4"/>
      <c r="X61" s="4"/>
      <c r="Y61" s="4"/>
      <c r="Z61" s="4"/>
      <c r="AA61" s="4"/>
      <c r="AB61" s="4"/>
      <c r="AC61" s="4"/>
      <c r="AD61" s="4"/>
      <c r="AE61" s="4"/>
      <c r="AF61" s="4"/>
      <c r="AG61" s="4"/>
      <c r="AH61" s="4"/>
      <c r="AI61" s="4"/>
      <c r="AJ61" s="4"/>
      <c r="AK61" s="4"/>
      <c r="AL61" s="4"/>
      <c r="AM61" s="4"/>
      <c r="AN61" s="4"/>
    </row>
    <row r="62" spans="1:40" x14ac:dyDescent="0.2">
      <c r="A62" s="4"/>
      <c r="S62" s="111"/>
      <c r="T62" s="4"/>
      <c r="U62" s="4"/>
      <c r="V62" s="4"/>
      <c r="W62" s="4"/>
      <c r="X62" s="4"/>
      <c r="Y62" s="4"/>
      <c r="Z62" s="4"/>
      <c r="AA62" s="4"/>
      <c r="AB62" s="4"/>
      <c r="AC62" s="4"/>
      <c r="AD62" s="4"/>
      <c r="AE62" s="4"/>
      <c r="AF62" s="4"/>
      <c r="AG62" s="4"/>
      <c r="AH62" s="4"/>
      <c r="AI62" s="4"/>
      <c r="AJ62" s="4"/>
      <c r="AK62" s="4"/>
      <c r="AL62" s="4"/>
      <c r="AM62" s="4"/>
      <c r="AN62" s="4"/>
    </row>
    <row r="63" spans="1:40" x14ac:dyDescent="0.2">
      <c r="A63" s="4"/>
      <c r="S63" s="111"/>
      <c r="T63" s="4"/>
      <c r="U63" s="4"/>
      <c r="V63" s="4"/>
      <c r="W63" s="4"/>
      <c r="X63" s="4"/>
      <c r="Y63" s="4"/>
      <c r="Z63" s="4"/>
      <c r="AA63" s="4"/>
      <c r="AB63" s="4"/>
      <c r="AC63" s="4"/>
      <c r="AD63" s="4"/>
      <c r="AE63" s="4"/>
      <c r="AF63" s="4"/>
      <c r="AG63" s="4"/>
      <c r="AH63" s="4"/>
      <c r="AI63" s="4"/>
      <c r="AJ63" s="4"/>
      <c r="AK63" s="4"/>
      <c r="AL63" s="4"/>
      <c r="AM63" s="4"/>
      <c r="AN63" s="4"/>
    </row>
    <row r="64" spans="1:40" x14ac:dyDescent="0.2">
      <c r="A64" s="4"/>
      <c r="S64" s="111"/>
      <c r="T64" s="4"/>
      <c r="U64" s="4"/>
      <c r="V64" s="4"/>
      <c r="W64" s="4"/>
      <c r="X64" s="4"/>
      <c r="Y64" s="4"/>
      <c r="Z64" s="4"/>
      <c r="AA64" s="4"/>
      <c r="AB64" s="4"/>
      <c r="AC64" s="4"/>
      <c r="AD64" s="4"/>
      <c r="AE64" s="4"/>
      <c r="AF64" s="4"/>
      <c r="AG64" s="4"/>
      <c r="AH64" s="4"/>
      <c r="AI64" s="4"/>
      <c r="AJ64" s="4"/>
      <c r="AK64" s="4"/>
      <c r="AL64" s="4"/>
      <c r="AM64" s="4"/>
      <c r="AN64" s="4"/>
    </row>
    <row r="65" spans="1:40" x14ac:dyDescent="0.2">
      <c r="A65" s="4"/>
      <c r="S65" s="111"/>
      <c r="T65" s="4"/>
      <c r="U65" s="4"/>
      <c r="V65" s="4"/>
      <c r="W65" s="4"/>
      <c r="X65" s="4"/>
      <c r="Y65" s="4"/>
      <c r="Z65" s="4"/>
      <c r="AA65" s="4"/>
      <c r="AB65" s="4"/>
      <c r="AC65" s="4"/>
      <c r="AD65" s="4"/>
      <c r="AE65" s="4"/>
      <c r="AF65" s="4"/>
      <c r="AG65" s="4"/>
      <c r="AH65" s="4"/>
      <c r="AI65" s="4"/>
      <c r="AJ65" s="4"/>
      <c r="AK65" s="4"/>
      <c r="AL65" s="4"/>
      <c r="AM65" s="4"/>
      <c r="AN65" s="4"/>
    </row>
    <row r="66" spans="1:40" x14ac:dyDescent="0.2">
      <c r="A66" s="4"/>
      <c r="S66" s="111"/>
      <c r="T66" s="4"/>
      <c r="U66" s="4"/>
      <c r="V66" s="4"/>
      <c r="W66" s="4"/>
      <c r="X66" s="4"/>
      <c r="Y66" s="4"/>
      <c r="Z66" s="4"/>
      <c r="AA66" s="4"/>
      <c r="AB66" s="4"/>
      <c r="AC66" s="4"/>
      <c r="AD66" s="4"/>
      <c r="AE66" s="4"/>
      <c r="AF66" s="4"/>
      <c r="AG66" s="4"/>
      <c r="AH66" s="4"/>
      <c r="AI66" s="4"/>
      <c r="AJ66" s="4"/>
      <c r="AK66" s="4"/>
      <c r="AL66" s="4"/>
      <c r="AM66" s="4"/>
      <c r="AN66" s="4"/>
    </row>
    <row r="67" spans="1:40" x14ac:dyDescent="0.2">
      <c r="A67" s="4"/>
      <c r="S67" s="111"/>
      <c r="T67" s="4"/>
      <c r="U67" s="4"/>
      <c r="V67" s="4"/>
      <c r="W67" s="4"/>
      <c r="X67" s="4"/>
      <c r="Y67" s="4"/>
      <c r="Z67" s="4"/>
      <c r="AA67" s="4"/>
      <c r="AB67" s="4"/>
      <c r="AC67" s="4"/>
      <c r="AD67" s="4"/>
      <c r="AE67" s="4"/>
      <c r="AF67" s="4"/>
      <c r="AG67" s="4"/>
      <c r="AH67" s="4"/>
      <c r="AI67" s="4"/>
      <c r="AJ67" s="4"/>
      <c r="AK67" s="4"/>
      <c r="AL67" s="4"/>
      <c r="AM67" s="4"/>
      <c r="AN67" s="4"/>
    </row>
    <row r="68" spans="1:40" x14ac:dyDescent="0.2">
      <c r="A68" s="4"/>
      <c r="S68" s="111"/>
      <c r="T68" s="4"/>
      <c r="U68" s="4"/>
      <c r="V68" s="4"/>
      <c r="W68" s="4"/>
      <c r="X68" s="4"/>
      <c r="Y68" s="4"/>
      <c r="Z68" s="4"/>
      <c r="AA68" s="4"/>
      <c r="AB68" s="4"/>
      <c r="AC68" s="4"/>
      <c r="AD68" s="4"/>
      <c r="AE68" s="4"/>
      <c r="AF68" s="4"/>
      <c r="AG68" s="4"/>
      <c r="AH68" s="4"/>
      <c r="AI68" s="4"/>
      <c r="AJ68" s="4"/>
      <c r="AK68" s="4"/>
      <c r="AL68" s="4"/>
      <c r="AM68" s="4"/>
      <c r="AN68" s="4"/>
    </row>
    <row r="69" spans="1:40" x14ac:dyDescent="0.2">
      <c r="A69" s="4"/>
      <c r="S69" s="111"/>
      <c r="T69" s="4"/>
      <c r="U69" s="4"/>
      <c r="V69" s="4"/>
      <c r="W69" s="4"/>
      <c r="X69" s="4"/>
      <c r="Y69" s="4"/>
      <c r="Z69" s="4"/>
      <c r="AA69" s="4"/>
      <c r="AB69" s="4"/>
      <c r="AC69" s="4"/>
      <c r="AD69" s="4"/>
      <c r="AE69" s="4"/>
      <c r="AF69" s="4"/>
      <c r="AG69" s="4"/>
      <c r="AH69" s="4"/>
      <c r="AI69" s="4"/>
      <c r="AJ69" s="4"/>
      <c r="AK69" s="4"/>
      <c r="AL69" s="4"/>
      <c r="AM69" s="4"/>
      <c r="AN69" s="4"/>
    </row>
    <row r="70" spans="1:40" x14ac:dyDescent="0.2">
      <c r="A70" s="4"/>
      <c r="S70" s="111"/>
      <c r="T70" s="4"/>
      <c r="U70" s="4"/>
      <c r="V70" s="4"/>
      <c r="W70" s="4"/>
      <c r="X70" s="4"/>
      <c r="Y70" s="4"/>
      <c r="Z70" s="4"/>
      <c r="AA70" s="4"/>
      <c r="AB70" s="4"/>
      <c r="AC70" s="4"/>
      <c r="AD70" s="4"/>
      <c r="AE70" s="4"/>
      <c r="AF70" s="4"/>
      <c r="AG70" s="4"/>
      <c r="AH70" s="4"/>
      <c r="AI70" s="4"/>
      <c r="AJ70" s="4"/>
      <c r="AK70" s="4"/>
      <c r="AL70" s="4"/>
      <c r="AM70" s="4"/>
      <c r="AN70" s="4"/>
    </row>
    <row r="71" spans="1:40" x14ac:dyDescent="0.2">
      <c r="A71" s="4"/>
      <c r="S71" s="111"/>
      <c r="T71" s="4"/>
      <c r="U71" s="4"/>
      <c r="V71" s="4"/>
      <c r="W71" s="4"/>
      <c r="X71" s="4"/>
      <c r="Y71" s="4"/>
      <c r="Z71" s="4"/>
      <c r="AA71" s="4"/>
      <c r="AB71" s="4"/>
      <c r="AC71" s="4"/>
      <c r="AD71" s="4"/>
      <c r="AE71" s="4"/>
      <c r="AF71" s="4"/>
      <c r="AG71" s="4"/>
      <c r="AH71" s="4"/>
      <c r="AI71" s="4"/>
      <c r="AJ71" s="4"/>
      <c r="AK71" s="4"/>
      <c r="AL71" s="4"/>
      <c r="AM71" s="4"/>
      <c r="AN71" s="4"/>
    </row>
    <row r="72" spans="1:40" x14ac:dyDescent="0.2">
      <c r="A72" s="4"/>
      <c r="S72" s="111"/>
      <c r="T72" s="4"/>
      <c r="U72" s="4"/>
      <c r="V72" s="4"/>
      <c r="W72" s="4"/>
      <c r="X72" s="4"/>
      <c r="Y72" s="4"/>
      <c r="Z72" s="4"/>
      <c r="AA72" s="4"/>
      <c r="AB72" s="4"/>
      <c r="AC72" s="4"/>
      <c r="AD72" s="4"/>
      <c r="AE72" s="4"/>
      <c r="AF72" s="4"/>
      <c r="AG72" s="4"/>
      <c r="AH72" s="4"/>
      <c r="AI72" s="4"/>
      <c r="AJ72" s="4"/>
      <c r="AK72" s="4"/>
      <c r="AL72" s="4"/>
      <c r="AM72" s="4"/>
      <c r="AN72" s="4"/>
    </row>
    <row r="73" spans="1:40" x14ac:dyDescent="0.2">
      <c r="A73" s="4"/>
      <c r="S73" s="111"/>
      <c r="T73" s="4"/>
      <c r="U73" s="4"/>
      <c r="V73" s="4"/>
      <c r="W73" s="4"/>
      <c r="X73" s="4"/>
      <c r="Y73" s="4"/>
      <c r="Z73" s="4"/>
      <c r="AA73" s="4"/>
      <c r="AB73" s="4"/>
      <c r="AC73" s="4"/>
      <c r="AD73" s="4"/>
      <c r="AE73" s="4"/>
      <c r="AF73" s="4"/>
      <c r="AG73" s="4"/>
      <c r="AH73" s="4"/>
      <c r="AI73" s="4"/>
      <c r="AJ73" s="4"/>
      <c r="AK73" s="4"/>
      <c r="AL73" s="4"/>
      <c r="AM73" s="4"/>
      <c r="AN73" s="4"/>
    </row>
    <row r="74" spans="1:40" x14ac:dyDescent="0.2">
      <c r="A74" s="4"/>
      <c r="S74" s="111"/>
      <c r="T74" s="4"/>
      <c r="U74" s="4"/>
      <c r="V74" s="4"/>
      <c r="W74" s="4"/>
      <c r="X74" s="4"/>
      <c r="Y74" s="4"/>
      <c r="Z74" s="4"/>
      <c r="AA74" s="4"/>
      <c r="AB74" s="4"/>
      <c r="AC74" s="4"/>
      <c r="AD74" s="4"/>
      <c r="AE74" s="4"/>
      <c r="AF74" s="4"/>
      <c r="AG74" s="4"/>
      <c r="AH74" s="4"/>
      <c r="AI74" s="4"/>
      <c r="AJ74" s="4"/>
      <c r="AK74" s="4"/>
      <c r="AL74" s="4"/>
      <c r="AM74" s="4"/>
      <c r="AN74" s="4"/>
    </row>
    <row r="75" spans="1:40" x14ac:dyDescent="0.2">
      <c r="A75" s="4"/>
      <c r="S75" s="111"/>
      <c r="T75" s="4"/>
      <c r="U75" s="4"/>
      <c r="V75" s="4"/>
      <c r="W75" s="4"/>
      <c r="X75" s="4"/>
      <c r="Y75" s="4"/>
      <c r="Z75" s="4"/>
      <c r="AA75" s="4"/>
      <c r="AB75" s="4"/>
      <c r="AC75" s="4"/>
      <c r="AD75" s="4"/>
      <c r="AE75" s="4"/>
      <c r="AF75" s="4"/>
      <c r="AG75" s="4"/>
      <c r="AH75" s="4"/>
      <c r="AI75" s="4"/>
      <c r="AJ75" s="4"/>
      <c r="AK75" s="4"/>
      <c r="AL75" s="4"/>
      <c r="AM75" s="4"/>
      <c r="AN75" s="4"/>
    </row>
    <row r="76" spans="1:40" x14ac:dyDescent="0.2">
      <c r="A76" s="4"/>
      <c r="S76" s="111"/>
      <c r="T76" s="4"/>
      <c r="U76" s="4"/>
      <c r="V76" s="4"/>
      <c r="W76" s="4"/>
      <c r="X76" s="4"/>
      <c r="Y76" s="4"/>
      <c r="Z76" s="4"/>
      <c r="AA76" s="4"/>
      <c r="AB76" s="4"/>
      <c r="AC76" s="4"/>
      <c r="AD76" s="4"/>
      <c r="AE76" s="4"/>
      <c r="AF76" s="4"/>
      <c r="AG76" s="4"/>
      <c r="AH76" s="4"/>
      <c r="AI76" s="4"/>
      <c r="AJ76" s="4"/>
      <c r="AK76" s="4"/>
      <c r="AL76" s="4"/>
      <c r="AM76" s="4"/>
      <c r="AN76" s="4"/>
    </row>
    <row r="77" spans="1:40" x14ac:dyDescent="0.2">
      <c r="A77" s="4"/>
      <c r="S77" s="111"/>
      <c r="T77" s="4"/>
      <c r="U77" s="4"/>
      <c r="V77" s="4"/>
      <c r="W77" s="4"/>
      <c r="X77" s="4"/>
      <c r="Y77" s="4"/>
      <c r="Z77" s="4"/>
      <c r="AA77" s="4"/>
      <c r="AB77" s="4"/>
      <c r="AC77" s="4"/>
      <c r="AD77" s="4"/>
      <c r="AE77" s="4"/>
      <c r="AF77" s="4"/>
      <c r="AG77" s="4"/>
      <c r="AH77" s="4"/>
      <c r="AI77" s="4"/>
      <c r="AJ77" s="4"/>
      <c r="AK77" s="4"/>
      <c r="AL77" s="4"/>
      <c r="AM77" s="4"/>
      <c r="AN77" s="4"/>
    </row>
    <row r="78" spans="1:40" x14ac:dyDescent="0.2">
      <c r="A78" s="4"/>
      <c r="S78" s="111"/>
      <c r="T78" s="4"/>
      <c r="U78" s="4"/>
      <c r="V78" s="4"/>
      <c r="W78" s="4"/>
      <c r="X78" s="4"/>
      <c r="Y78" s="4"/>
      <c r="Z78" s="4"/>
      <c r="AA78" s="4"/>
      <c r="AB78" s="4"/>
      <c r="AC78" s="4"/>
      <c r="AD78" s="4"/>
      <c r="AE78" s="4"/>
      <c r="AF78" s="4"/>
      <c r="AG78" s="4"/>
      <c r="AH78" s="4"/>
      <c r="AI78" s="4"/>
      <c r="AJ78" s="4"/>
      <c r="AK78" s="4"/>
      <c r="AL78" s="4"/>
      <c r="AM78" s="4"/>
      <c r="AN78" s="4"/>
    </row>
    <row r="79" spans="1:40" x14ac:dyDescent="0.2">
      <c r="A79" s="4"/>
      <c r="S79" s="111"/>
      <c r="T79" s="4"/>
      <c r="U79" s="4"/>
      <c r="V79" s="4"/>
      <c r="W79" s="4"/>
      <c r="X79" s="4"/>
      <c r="Y79" s="4"/>
      <c r="Z79" s="4"/>
      <c r="AA79" s="4"/>
      <c r="AB79" s="4"/>
      <c r="AC79" s="4"/>
      <c r="AD79" s="4"/>
      <c r="AE79" s="4"/>
      <c r="AF79" s="4"/>
      <c r="AG79" s="4"/>
      <c r="AH79" s="4"/>
      <c r="AI79" s="4"/>
      <c r="AJ79" s="4"/>
      <c r="AK79" s="4"/>
      <c r="AL79" s="4"/>
      <c r="AM79" s="4"/>
      <c r="AN79" s="4"/>
    </row>
    <row r="80" spans="1:40" x14ac:dyDescent="0.2">
      <c r="A80" s="4"/>
      <c r="S80" s="111"/>
      <c r="T80" s="4"/>
      <c r="U80" s="4"/>
      <c r="V80" s="4"/>
      <c r="W80" s="4"/>
      <c r="X80" s="4"/>
      <c r="Y80" s="4"/>
      <c r="Z80" s="4"/>
      <c r="AA80" s="4"/>
      <c r="AB80" s="4"/>
      <c r="AC80" s="4"/>
      <c r="AD80" s="4"/>
      <c r="AE80" s="4"/>
      <c r="AF80" s="4"/>
      <c r="AG80" s="4"/>
      <c r="AH80" s="4"/>
      <c r="AI80" s="4"/>
      <c r="AJ80" s="4"/>
      <c r="AK80" s="4"/>
      <c r="AL80" s="4"/>
      <c r="AM80" s="4"/>
      <c r="AN80" s="4"/>
    </row>
    <row r="81" spans="1:40" x14ac:dyDescent="0.2">
      <c r="A81" s="4"/>
      <c r="S81" s="111"/>
      <c r="T81" s="4"/>
      <c r="U81" s="4"/>
      <c r="V81" s="4"/>
      <c r="W81" s="4"/>
      <c r="X81" s="4"/>
      <c r="Y81" s="4"/>
      <c r="Z81" s="4"/>
      <c r="AA81" s="4"/>
      <c r="AB81" s="4"/>
      <c r="AC81" s="4"/>
      <c r="AD81" s="4"/>
      <c r="AE81" s="4"/>
      <c r="AF81" s="4"/>
      <c r="AG81" s="4"/>
      <c r="AH81" s="4"/>
      <c r="AI81" s="4"/>
      <c r="AJ81" s="4"/>
      <c r="AK81" s="4"/>
      <c r="AL81" s="4"/>
      <c r="AM81" s="4"/>
      <c r="AN81" s="4"/>
    </row>
    <row r="82" spans="1:40" x14ac:dyDescent="0.2">
      <c r="A82" s="4"/>
      <c r="S82" s="111"/>
      <c r="T82" s="4"/>
      <c r="U82" s="4"/>
      <c r="V82" s="4"/>
      <c r="W82" s="4"/>
      <c r="X82" s="4"/>
      <c r="Y82" s="4"/>
      <c r="Z82" s="4"/>
      <c r="AA82" s="4"/>
      <c r="AB82" s="4"/>
      <c r="AC82" s="4"/>
      <c r="AD82" s="4"/>
      <c r="AE82" s="4"/>
      <c r="AF82" s="4"/>
      <c r="AG82" s="4"/>
      <c r="AH82" s="4"/>
      <c r="AI82" s="4"/>
      <c r="AJ82" s="4"/>
      <c r="AK82" s="4"/>
      <c r="AL82" s="4"/>
      <c r="AM82" s="4"/>
      <c r="AN82" s="4"/>
    </row>
    <row r="83" spans="1:40" x14ac:dyDescent="0.2">
      <c r="A83" s="4"/>
      <c r="S83" s="111"/>
      <c r="T83" s="4"/>
      <c r="U83" s="4"/>
      <c r="V83" s="4"/>
      <c r="W83" s="4"/>
      <c r="X83" s="4"/>
      <c r="Y83" s="4"/>
      <c r="Z83" s="4"/>
      <c r="AA83" s="4"/>
      <c r="AB83" s="4"/>
      <c r="AC83" s="4"/>
      <c r="AD83" s="4"/>
      <c r="AE83" s="4"/>
      <c r="AF83" s="4"/>
      <c r="AG83" s="4"/>
      <c r="AH83" s="4"/>
      <c r="AI83" s="4"/>
      <c r="AJ83" s="4"/>
      <c r="AK83" s="4"/>
      <c r="AL83" s="4"/>
      <c r="AM83" s="4"/>
      <c r="AN83" s="4"/>
    </row>
    <row r="84" spans="1:40" x14ac:dyDescent="0.2">
      <c r="A84" s="4"/>
      <c r="S84" s="111"/>
      <c r="T84" s="4"/>
      <c r="U84" s="4"/>
      <c r="V84" s="4"/>
      <c r="W84" s="4"/>
      <c r="X84" s="4"/>
      <c r="Y84" s="4"/>
      <c r="Z84" s="4"/>
      <c r="AA84" s="4"/>
      <c r="AB84" s="4"/>
      <c r="AC84" s="4"/>
      <c r="AD84" s="4"/>
      <c r="AE84" s="4"/>
      <c r="AF84" s="4"/>
      <c r="AG84" s="4"/>
      <c r="AH84" s="4"/>
      <c r="AI84" s="4"/>
      <c r="AJ84" s="4"/>
      <c r="AK84" s="4"/>
      <c r="AL84" s="4"/>
      <c r="AM84" s="4"/>
      <c r="AN84" s="4"/>
    </row>
    <row r="85" spans="1:40" x14ac:dyDescent="0.2">
      <c r="A85" s="4"/>
      <c r="S85" s="111"/>
      <c r="T85" s="4"/>
      <c r="U85" s="4"/>
      <c r="V85" s="4"/>
      <c r="W85" s="4"/>
      <c r="X85" s="4"/>
      <c r="Y85" s="4"/>
      <c r="Z85" s="4"/>
      <c r="AA85" s="4"/>
      <c r="AB85" s="4"/>
      <c r="AC85" s="4"/>
      <c r="AD85" s="4"/>
      <c r="AE85" s="4"/>
      <c r="AF85" s="4"/>
      <c r="AG85" s="4"/>
      <c r="AH85" s="4"/>
      <c r="AI85" s="4"/>
      <c r="AJ85" s="4"/>
      <c r="AK85" s="4"/>
      <c r="AL85" s="4"/>
      <c r="AM85" s="4"/>
      <c r="AN85" s="4"/>
    </row>
    <row r="86" spans="1:40" x14ac:dyDescent="0.2">
      <c r="A86" s="4"/>
      <c r="S86" s="111"/>
      <c r="T86" s="4"/>
      <c r="U86" s="4"/>
      <c r="V86" s="4"/>
      <c r="W86" s="4"/>
      <c r="X86" s="4"/>
      <c r="Y86" s="4"/>
      <c r="Z86" s="4"/>
      <c r="AA86" s="4"/>
      <c r="AB86" s="4"/>
      <c r="AC86" s="4"/>
      <c r="AD86" s="4"/>
      <c r="AE86" s="4"/>
      <c r="AF86" s="4"/>
      <c r="AG86" s="4"/>
      <c r="AH86" s="4"/>
      <c r="AI86" s="4"/>
      <c r="AJ86" s="4"/>
      <c r="AK86" s="4"/>
      <c r="AL86" s="4"/>
      <c r="AM86" s="4"/>
      <c r="AN86" s="4"/>
    </row>
    <row r="87" spans="1:40" x14ac:dyDescent="0.2">
      <c r="A87" s="4"/>
      <c r="S87" s="111"/>
      <c r="T87" s="4"/>
      <c r="U87" s="4"/>
      <c r="V87" s="4"/>
      <c r="W87" s="4"/>
      <c r="X87" s="4"/>
      <c r="Y87" s="4"/>
      <c r="Z87" s="4"/>
      <c r="AA87" s="4"/>
      <c r="AB87" s="4"/>
      <c r="AC87" s="4"/>
      <c r="AD87" s="4"/>
      <c r="AE87" s="4"/>
      <c r="AF87" s="4"/>
      <c r="AG87" s="4"/>
      <c r="AH87" s="4"/>
      <c r="AI87" s="4"/>
      <c r="AJ87" s="4"/>
      <c r="AK87" s="4"/>
      <c r="AL87" s="4"/>
      <c r="AM87" s="4"/>
      <c r="AN87" s="4"/>
    </row>
    <row r="88" spans="1:40" x14ac:dyDescent="0.2">
      <c r="A88" s="4"/>
      <c r="S88" s="111"/>
      <c r="T88" s="4"/>
      <c r="U88" s="4"/>
      <c r="V88" s="4"/>
      <c r="W88" s="4"/>
      <c r="X88" s="4"/>
      <c r="Y88" s="4"/>
      <c r="Z88" s="4"/>
      <c r="AA88" s="4"/>
      <c r="AB88" s="4"/>
      <c r="AC88" s="4"/>
      <c r="AD88" s="4"/>
      <c r="AE88" s="4"/>
      <c r="AF88" s="4"/>
      <c r="AG88" s="4"/>
      <c r="AH88" s="4"/>
      <c r="AI88" s="4"/>
      <c r="AJ88" s="4"/>
      <c r="AK88" s="4"/>
      <c r="AL88" s="4"/>
      <c r="AM88" s="4"/>
      <c r="AN88" s="4"/>
    </row>
    <row r="89" spans="1:40" x14ac:dyDescent="0.2">
      <c r="A89" s="4"/>
      <c r="S89" s="111"/>
      <c r="T89" s="4"/>
      <c r="U89" s="4"/>
      <c r="V89" s="4"/>
      <c r="W89" s="4"/>
      <c r="X89" s="4"/>
      <c r="Y89" s="4"/>
      <c r="Z89" s="4"/>
      <c r="AA89" s="4"/>
      <c r="AB89" s="4"/>
      <c r="AC89" s="4"/>
      <c r="AD89" s="4"/>
      <c r="AE89" s="4"/>
      <c r="AF89" s="4"/>
      <c r="AG89" s="4"/>
      <c r="AH89" s="4"/>
      <c r="AI89" s="4"/>
      <c r="AJ89" s="4"/>
      <c r="AK89" s="4"/>
      <c r="AL89" s="4"/>
      <c r="AM89" s="4"/>
      <c r="AN89" s="4"/>
    </row>
    <row r="90" spans="1:40" x14ac:dyDescent="0.2">
      <c r="A90" s="4"/>
      <c r="S90" s="111"/>
      <c r="T90" s="4"/>
      <c r="U90" s="4"/>
      <c r="V90" s="4"/>
      <c r="W90" s="4"/>
      <c r="X90" s="4"/>
      <c r="Y90" s="4"/>
      <c r="Z90" s="4"/>
      <c r="AA90" s="4"/>
      <c r="AB90" s="4"/>
      <c r="AC90" s="4"/>
      <c r="AD90" s="4"/>
      <c r="AE90" s="4"/>
      <c r="AF90" s="4"/>
      <c r="AG90" s="4"/>
      <c r="AH90" s="4"/>
      <c r="AI90" s="4"/>
      <c r="AJ90" s="4"/>
      <c r="AK90" s="4"/>
      <c r="AL90" s="4"/>
      <c r="AM90" s="4"/>
      <c r="AN90" s="4"/>
    </row>
    <row r="91" spans="1:40" x14ac:dyDescent="0.2">
      <c r="A91" s="4"/>
      <c r="S91" s="111"/>
      <c r="T91" s="4"/>
      <c r="U91" s="4"/>
      <c r="V91" s="4"/>
      <c r="W91" s="4"/>
      <c r="X91" s="4"/>
      <c r="Y91" s="4"/>
      <c r="Z91" s="4"/>
      <c r="AA91" s="4"/>
      <c r="AB91" s="4"/>
      <c r="AC91" s="4"/>
      <c r="AD91" s="4"/>
      <c r="AE91" s="4"/>
      <c r="AF91" s="4"/>
      <c r="AG91" s="4"/>
      <c r="AH91" s="4"/>
      <c r="AI91" s="4"/>
      <c r="AJ91" s="4"/>
      <c r="AK91" s="4"/>
      <c r="AL91" s="4"/>
      <c r="AM91" s="4"/>
      <c r="AN91" s="4"/>
    </row>
    <row r="92" spans="1:40" x14ac:dyDescent="0.2">
      <c r="A92" s="4"/>
      <c r="S92" s="111"/>
      <c r="T92" s="4"/>
      <c r="U92" s="4"/>
      <c r="V92" s="4"/>
      <c r="W92" s="4"/>
      <c r="X92" s="4"/>
      <c r="Y92" s="4"/>
      <c r="Z92" s="4"/>
      <c r="AA92" s="4"/>
      <c r="AB92" s="4"/>
      <c r="AC92" s="4"/>
      <c r="AD92" s="4"/>
      <c r="AE92" s="4"/>
      <c r="AF92" s="4"/>
      <c r="AG92" s="4"/>
      <c r="AH92" s="4"/>
      <c r="AI92" s="4"/>
      <c r="AJ92" s="4"/>
      <c r="AK92" s="4"/>
      <c r="AL92" s="4"/>
      <c r="AM92" s="4"/>
      <c r="AN92" s="4"/>
    </row>
    <row r="93" spans="1:40" x14ac:dyDescent="0.2">
      <c r="A93" s="4"/>
      <c r="S93" s="111"/>
      <c r="T93" s="4"/>
      <c r="U93" s="4"/>
      <c r="V93" s="4"/>
      <c r="W93" s="4"/>
      <c r="X93" s="4"/>
      <c r="Y93" s="4"/>
      <c r="Z93" s="4"/>
      <c r="AA93" s="4"/>
      <c r="AB93" s="4"/>
      <c r="AC93" s="4"/>
      <c r="AD93" s="4"/>
      <c r="AE93" s="4"/>
      <c r="AF93" s="4"/>
      <c r="AG93" s="4"/>
      <c r="AH93" s="4"/>
      <c r="AI93" s="4"/>
      <c r="AJ93" s="4"/>
      <c r="AK93" s="4"/>
      <c r="AL93" s="4"/>
      <c r="AM93" s="4"/>
      <c r="AN93" s="4"/>
    </row>
    <row r="94" spans="1:40" x14ac:dyDescent="0.2">
      <c r="A94" s="4"/>
      <c r="S94" s="111"/>
      <c r="T94" s="4"/>
      <c r="U94" s="4"/>
      <c r="V94" s="4"/>
      <c r="W94" s="4"/>
      <c r="X94" s="4"/>
      <c r="Y94" s="4"/>
      <c r="Z94" s="4"/>
      <c r="AA94" s="4"/>
      <c r="AB94" s="4"/>
      <c r="AC94" s="4"/>
      <c r="AD94" s="4"/>
      <c r="AE94" s="4"/>
      <c r="AF94" s="4"/>
      <c r="AG94" s="4"/>
      <c r="AH94" s="4"/>
      <c r="AI94" s="4"/>
      <c r="AJ94" s="4"/>
      <c r="AK94" s="4"/>
      <c r="AL94" s="4"/>
      <c r="AM94" s="4"/>
      <c r="AN94" s="4"/>
    </row>
    <row r="95" spans="1:40" x14ac:dyDescent="0.2">
      <c r="A95" s="4"/>
      <c r="S95" s="111"/>
      <c r="T95" s="4"/>
      <c r="U95" s="4"/>
      <c r="V95" s="4"/>
      <c r="W95" s="4"/>
      <c r="X95" s="4"/>
      <c r="Y95" s="4"/>
      <c r="Z95" s="4"/>
      <c r="AA95" s="4"/>
      <c r="AB95" s="4"/>
      <c r="AC95" s="4"/>
      <c r="AD95" s="4"/>
      <c r="AE95" s="4"/>
      <c r="AF95" s="4"/>
      <c r="AG95" s="4"/>
      <c r="AH95" s="4"/>
      <c r="AI95" s="4"/>
      <c r="AJ95" s="4"/>
      <c r="AK95" s="4"/>
      <c r="AL95" s="4"/>
      <c r="AM95" s="4"/>
      <c r="AN95" s="4"/>
    </row>
    <row r="96" spans="1:40" x14ac:dyDescent="0.2">
      <c r="A96" s="4"/>
      <c r="S96" s="111"/>
      <c r="T96" s="4"/>
      <c r="U96" s="4"/>
      <c r="V96" s="4"/>
      <c r="W96" s="4"/>
      <c r="X96" s="4"/>
      <c r="Y96" s="4"/>
      <c r="Z96" s="4"/>
      <c r="AA96" s="4"/>
      <c r="AB96" s="4"/>
      <c r="AC96" s="4"/>
      <c r="AD96" s="4"/>
      <c r="AE96" s="4"/>
      <c r="AF96" s="4"/>
      <c r="AG96" s="4"/>
      <c r="AH96" s="4"/>
      <c r="AI96" s="4"/>
      <c r="AJ96" s="4"/>
      <c r="AK96" s="4"/>
      <c r="AL96" s="4"/>
      <c r="AM96" s="4"/>
      <c r="AN96" s="4"/>
    </row>
    <row r="97" spans="1:40" x14ac:dyDescent="0.2">
      <c r="A97" s="4"/>
      <c r="S97" s="111"/>
      <c r="T97" s="4"/>
      <c r="U97" s="4"/>
      <c r="V97" s="4"/>
      <c r="W97" s="4"/>
      <c r="X97" s="4"/>
      <c r="Y97" s="4"/>
      <c r="Z97" s="4"/>
      <c r="AA97" s="4"/>
      <c r="AB97" s="4"/>
      <c r="AC97" s="4"/>
      <c r="AD97" s="4"/>
      <c r="AE97" s="4"/>
      <c r="AF97" s="4"/>
      <c r="AG97" s="4"/>
      <c r="AH97" s="4"/>
      <c r="AI97" s="4"/>
      <c r="AJ97" s="4"/>
      <c r="AK97" s="4"/>
      <c r="AL97" s="4"/>
      <c r="AM97" s="4"/>
      <c r="AN97" s="4"/>
    </row>
    <row r="98" spans="1:40" x14ac:dyDescent="0.2">
      <c r="A98" s="4"/>
      <c r="S98" s="111"/>
      <c r="T98" s="4"/>
      <c r="U98" s="4"/>
      <c r="V98" s="4"/>
      <c r="W98" s="4"/>
      <c r="X98" s="4"/>
      <c r="Y98" s="4"/>
      <c r="Z98" s="4"/>
      <c r="AA98" s="4"/>
      <c r="AB98" s="4"/>
      <c r="AC98" s="4"/>
      <c r="AD98" s="4"/>
      <c r="AE98" s="4"/>
      <c r="AF98" s="4"/>
      <c r="AG98" s="4"/>
      <c r="AH98" s="4"/>
      <c r="AI98" s="4"/>
      <c r="AJ98" s="4"/>
      <c r="AK98" s="4"/>
      <c r="AL98" s="4"/>
      <c r="AM98" s="4"/>
      <c r="AN98" s="4"/>
    </row>
    <row r="99" spans="1:40" x14ac:dyDescent="0.2">
      <c r="A99" s="4"/>
      <c r="S99" s="111"/>
      <c r="T99" s="4"/>
      <c r="U99" s="4"/>
      <c r="V99" s="4"/>
      <c r="W99" s="4"/>
      <c r="X99" s="4"/>
      <c r="Y99" s="4"/>
      <c r="Z99" s="4"/>
      <c r="AA99" s="4"/>
      <c r="AB99" s="4"/>
      <c r="AC99" s="4"/>
      <c r="AD99" s="4"/>
      <c r="AE99" s="4"/>
      <c r="AF99" s="4"/>
      <c r="AG99" s="4"/>
      <c r="AH99" s="4"/>
      <c r="AI99" s="4"/>
      <c r="AJ99" s="4"/>
      <c r="AK99" s="4"/>
      <c r="AL99" s="4"/>
      <c r="AM99" s="4"/>
      <c r="AN99" s="4"/>
    </row>
    <row r="100" spans="1:40" x14ac:dyDescent="0.2">
      <c r="A100" s="4"/>
      <c r="S100" s="111"/>
      <c r="T100" s="4"/>
      <c r="U100" s="4"/>
      <c r="V100" s="4"/>
      <c r="W100" s="4"/>
      <c r="X100" s="4"/>
      <c r="Y100" s="4"/>
      <c r="Z100" s="4"/>
      <c r="AA100" s="4"/>
      <c r="AB100" s="4"/>
      <c r="AC100" s="4"/>
      <c r="AD100" s="4"/>
      <c r="AE100" s="4"/>
      <c r="AF100" s="4"/>
      <c r="AG100" s="4"/>
      <c r="AH100" s="4"/>
      <c r="AI100" s="4"/>
      <c r="AJ100" s="4"/>
      <c r="AK100" s="4"/>
      <c r="AL100" s="4"/>
      <c r="AM100" s="4"/>
      <c r="AN100" s="4"/>
    </row>
    <row r="101" spans="1:40" x14ac:dyDescent="0.2">
      <c r="A101" s="4"/>
      <c r="S101" s="111"/>
      <c r="T101" s="4"/>
      <c r="U101" s="4"/>
      <c r="V101" s="4"/>
      <c r="W101" s="4"/>
      <c r="X101" s="4"/>
      <c r="Y101" s="4"/>
      <c r="Z101" s="4"/>
      <c r="AA101" s="4"/>
      <c r="AB101" s="4"/>
      <c r="AC101" s="4"/>
      <c r="AD101" s="4"/>
      <c r="AE101" s="4"/>
      <c r="AF101" s="4"/>
      <c r="AG101" s="4"/>
      <c r="AH101" s="4"/>
      <c r="AI101" s="4"/>
      <c r="AJ101" s="4"/>
      <c r="AK101" s="4"/>
      <c r="AL101" s="4"/>
      <c r="AM101" s="4"/>
      <c r="AN101" s="4"/>
    </row>
    <row r="102" spans="1:40" x14ac:dyDescent="0.2">
      <c r="A102" s="4"/>
      <c r="S102" s="111"/>
      <c r="T102" s="4"/>
      <c r="U102" s="4"/>
      <c r="V102" s="4"/>
      <c r="W102" s="4"/>
      <c r="X102" s="4"/>
      <c r="Y102" s="4"/>
      <c r="Z102" s="4"/>
      <c r="AA102" s="4"/>
      <c r="AB102" s="4"/>
      <c r="AC102" s="4"/>
      <c r="AD102" s="4"/>
      <c r="AE102" s="4"/>
      <c r="AF102" s="4"/>
      <c r="AG102" s="4"/>
      <c r="AH102" s="4"/>
      <c r="AI102" s="4"/>
      <c r="AJ102" s="4"/>
      <c r="AK102" s="4"/>
      <c r="AL102" s="4"/>
      <c r="AM102" s="4"/>
      <c r="AN102" s="4"/>
    </row>
    <row r="103" spans="1:40" x14ac:dyDescent="0.2">
      <c r="A103" s="4"/>
      <c r="S103" s="111"/>
      <c r="T103" s="4"/>
      <c r="U103" s="4"/>
      <c r="V103" s="4"/>
      <c r="W103" s="4"/>
      <c r="X103" s="4"/>
      <c r="Y103" s="4"/>
      <c r="Z103" s="4"/>
      <c r="AA103" s="4"/>
      <c r="AB103" s="4"/>
      <c r="AC103" s="4"/>
      <c r="AD103" s="4"/>
      <c r="AE103" s="4"/>
      <c r="AF103" s="4"/>
      <c r="AG103" s="4"/>
      <c r="AH103" s="4"/>
      <c r="AI103" s="4"/>
      <c r="AJ103" s="4"/>
      <c r="AK103" s="4"/>
      <c r="AL103" s="4"/>
      <c r="AM103" s="4"/>
      <c r="AN103" s="4"/>
    </row>
    <row r="104" spans="1:40" x14ac:dyDescent="0.2">
      <c r="A104" s="4"/>
      <c r="S104" s="111"/>
      <c r="T104" s="4"/>
      <c r="U104" s="4"/>
      <c r="V104" s="4"/>
      <c r="W104" s="4"/>
      <c r="X104" s="4"/>
      <c r="Y104" s="4"/>
      <c r="Z104" s="4"/>
      <c r="AA104" s="4"/>
      <c r="AB104" s="4"/>
      <c r="AC104" s="4"/>
      <c r="AD104" s="4"/>
      <c r="AE104" s="4"/>
      <c r="AF104" s="4"/>
      <c r="AG104" s="4"/>
      <c r="AH104" s="4"/>
      <c r="AI104" s="4"/>
      <c r="AJ104" s="4"/>
      <c r="AK104" s="4"/>
      <c r="AL104" s="4"/>
      <c r="AM104" s="4"/>
      <c r="AN104" s="4"/>
    </row>
    <row r="105" spans="1:40" x14ac:dyDescent="0.2">
      <c r="A105" s="4"/>
      <c r="S105" s="111"/>
      <c r="T105" s="4"/>
      <c r="U105" s="4"/>
      <c r="V105" s="4"/>
      <c r="W105" s="4"/>
      <c r="X105" s="4"/>
      <c r="Y105" s="4"/>
      <c r="Z105" s="4"/>
      <c r="AA105" s="4"/>
      <c r="AB105" s="4"/>
      <c r="AC105" s="4"/>
      <c r="AD105" s="4"/>
      <c r="AE105" s="4"/>
      <c r="AF105" s="4"/>
      <c r="AG105" s="4"/>
      <c r="AH105" s="4"/>
      <c r="AI105" s="4"/>
      <c r="AJ105" s="4"/>
      <c r="AK105" s="4"/>
      <c r="AL105" s="4"/>
      <c r="AM105" s="4"/>
      <c r="AN105" s="4"/>
    </row>
    <row r="106" spans="1:40" x14ac:dyDescent="0.2">
      <c r="A106" s="4"/>
      <c r="S106" s="111"/>
      <c r="T106" s="4"/>
      <c r="U106" s="4"/>
      <c r="V106" s="4"/>
      <c r="W106" s="4"/>
      <c r="X106" s="4"/>
      <c r="Y106" s="4"/>
      <c r="Z106" s="4"/>
      <c r="AA106" s="4"/>
      <c r="AB106" s="4"/>
      <c r="AC106" s="4"/>
      <c r="AD106" s="4"/>
      <c r="AE106" s="4"/>
      <c r="AF106" s="4"/>
      <c r="AG106" s="4"/>
      <c r="AH106" s="4"/>
      <c r="AI106" s="4"/>
      <c r="AJ106" s="4"/>
      <c r="AK106" s="4"/>
      <c r="AL106" s="4"/>
      <c r="AM106" s="4"/>
      <c r="AN106" s="4"/>
    </row>
    <row r="107" spans="1:40" x14ac:dyDescent="0.2">
      <c r="A107" s="4"/>
      <c r="S107" s="111"/>
      <c r="T107" s="4"/>
      <c r="U107" s="4"/>
      <c r="V107" s="4"/>
      <c r="W107" s="4"/>
      <c r="X107" s="4"/>
      <c r="Y107" s="4"/>
      <c r="Z107" s="4"/>
      <c r="AA107" s="4"/>
      <c r="AB107" s="4"/>
      <c r="AC107" s="4"/>
      <c r="AD107" s="4"/>
      <c r="AE107" s="4"/>
      <c r="AF107" s="4"/>
      <c r="AG107" s="4"/>
      <c r="AH107" s="4"/>
      <c r="AI107" s="4"/>
      <c r="AJ107" s="4"/>
      <c r="AK107" s="4"/>
      <c r="AL107" s="4"/>
      <c r="AM107" s="4"/>
      <c r="AN107" s="4"/>
    </row>
    <row r="108" spans="1:40" x14ac:dyDescent="0.2">
      <c r="A108" s="4"/>
      <c r="S108" s="111"/>
      <c r="T108" s="4"/>
      <c r="U108" s="4"/>
      <c r="V108" s="4"/>
      <c r="W108" s="4"/>
      <c r="X108" s="4"/>
      <c r="Y108" s="4"/>
      <c r="Z108" s="4"/>
      <c r="AA108" s="4"/>
      <c r="AB108" s="4"/>
      <c r="AC108" s="4"/>
      <c r="AD108" s="4"/>
      <c r="AE108" s="4"/>
      <c r="AF108" s="4"/>
      <c r="AG108" s="4"/>
      <c r="AH108" s="4"/>
      <c r="AI108" s="4"/>
      <c r="AJ108" s="4"/>
      <c r="AK108" s="4"/>
      <c r="AL108" s="4"/>
      <c r="AM108" s="4"/>
      <c r="AN108" s="4"/>
    </row>
    <row r="109" spans="1:40" x14ac:dyDescent="0.2">
      <c r="A109" s="4"/>
      <c r="S109" s="111"/>
      <c r="T109" s="4"/>
      <c r="U109" s="4"/>
      <c r="V109" s="4"/>
      <c r="W109" s="4"/>
      <c r="X109" s="4"/>
      <c r="Y109" s="4"/>
      <c r="Z109" s="4"/>
      <c r="AA109" s="4"/>
      <c r="AB109" s="4"/>
      <c r="AC109" s="4"/>
      <c r="AD109" s="4"/>
      <c r="AE109" s="4"/>
      <c r="AF109" s="4"/>
      <c r="AG109" s="4"/>
      <c r="AH109" s="4"/>
      <c r="AI109" s="4"/>
      <c r="AJ109" s="4"/>
      <c r="AK109" s="4"/>
      <c r="AL109" s="4"/>
      <c r="AM109" s="4"/>
      <c r="AN109" s="4"/>
    </row>
    <row r="110" spans="1:40" x14ac:dyDescent="0.2">
      <c r="A110" s="4"/>
      <c r="S110" s="111"/>
      <c r="T110" s="4"/>
      <c r="U110" s="4"/>
      <c r="V110" s="4"/>
      <c r="W110" s="4"/>
      <c r="X110" s="4"/>
      <c r="Y110" s="4"/>
      <c r="Z110" s="4"/>
      <c r="AA110" s="4"/>
      <c r="AB110" s="4"/>
      <c r="AC110" s="4"/>
      <c r="AD110" s="4"/>
      <c r="AE110" s="4"/>
      <c r="AF110" s="4"/>
      <c r="AG110" s="4"/>
      <c r="AH110" s="4"/>
      <c r="AI110" s="4"/>
      <c r="AJ110" s="4"/>
      <c r="AK110" s="4"/>
      <c r="AL110" s="4"/>
      <c r="AM110" s="4"/>
      <c r="AN110" s="4"/>
    </row>
    <row r="111" spans="1:40" x14ac:dyDescent="0.2">
      <c r="A111" s="4"/>
      <c r="S111" s="111"/>
      <c r="T111" s="4"/>
      <c r="U111" s="4"/>
      <c r="V111" s="4"/>
      <c r="W111" s="4"/>
      <c r="X111" s="4"/>
      <c r="Y111" s="4"/>
      <c r="Z111" s="4"/>
      <c r="AA111" s="4"/>
      <c r="AB111" s="4"/>
      <c r="AC111" s="4"/>
      <c r="AD111" s="4"/>
      <c r="AE111" s="4"/>
      <c r="AF111" s="4"/>
      <c r="AG111" s="4"/>
      <c r="AH111" s="4"/>
      <c r="AI111" s="4"/>
      <c r="AJ111" s="4"/>
      <c r="AK111" s="4"/>
      <c r="AL111" s="4"/>
      <c r="AM111" s="4"/>
      <c r="AN111" s="4"/>
    </row>
    <row r="112" spans="1:40" x14ac:dyDescent="0.2">
      <c r="A112" s="4"/>
      <c r="S112" s="111"/>
      <c r="T112" s="4"/>
      <c r="U112" s="4"/>
      <c r="V112" s="4"/>
      <c r="W112" s="4"/>
      <c r="X112" s="4"/>
      <c r="Y112" s="4"/>
      <c r="Z112" s="4"/>
      <c r="AA112" s="4"/>
      <c r="AB112" s="4"/>
      <c r="AC112" s="4"/>
      <c r="AD112" s="4"/>
      <c r="AE112" s="4"/>
      <c r="AF112" s="4"/>
      <c r="AG112" s="4"/>
      <c r="AH112" s="4"/>
      <c r="AI112" s="4"/>
      <c r="AJ112" s="4"/>
      <c r="AK112" s="4"/>
      <c r="AL112" s="4"/>
      <c r="AM112" s="4"/>
      <c r="AN112" s="4"/>
    </row>
    <row r="113" spans="1:40" x14ac:dyDescent="0.2">
      <c r="A113" s="4"/>
      <c r="S113" s="111"/>
      <c r="T113" s="4"/>
      <c r="U113" s="4"/>
      <c r="V113" s="4"/>
      <c r="W113" s="4"/>
      <c r="X113" s="4"/>
      <c r="Y113" s="4"/>
      <c r="Z113" s="4"/>
      <c r="AA113" s="4"/>
      <c r="AB113" s="4"/>
      <c r="AC113" s="4"/>
      <c r="AD113" s="4"/>
      <c r="AE113" s="4"/>
      <c r="AF113" s="4"/>
      <c r="AG113" s="4"/>
      <c r="AH113" s="4"/>
      <c r="AI113" s="4"/>
      <c r="AJ113" s="4"/>
      <c r="AK113" s="4"/>
      <c r="AL113" s="4"/>
      <c r="AM113" s="4"/>
      <c r="AN113" s="4"/>
    </row>
    <row r="114" spans="1:40" x14ac:dyDescent="0.2">
      <c r="A114" s="4"/>
      <c r="S114" s="111"/>
      <c r="T114" s="4"/>
      <c r="U114" s="4"/>
      <c r="V114" s="4"/>
      <c r="W114" s="4"/>
      <c r="X114" s="4"/>
      <c r="Y114" s="4"/>
      <c r="Z114" s="4"/>
      <c r="AA114" s="4"/>
      <c r="AB114" s="4"/>
      <c r="AC114" s="4"/>
      <c r="AD114" s="4"/>
      <c r="AE114" s="4"/>
      <c r="AF114" s="4"/>
      <c r="AG114" s="4"/>
      <c r="AH114" s="4"/>
      <c r="AI114" s="4"/>
      <c r="AJ114" s="4"/>
      <c r="AK114" s="4"/>
      <c r="AL114" s="4"/>
      <c r="AM114" s="4"/>
      <c r="AN114" s="4"/>
    </row>
    <row r="115" spans="1:40" x14ac:dyDescent="0.2">
      <c r="A115" s="4"/>
      <c r="S115" s="111"/>
      <c r="T115" s="4"/>
      <c r="U115" s="4"/>
      <c r="V115" s="4"/>
      <c r="W115" s="4"/>
      <c r="X115" s="4"/>
      <c r="Y115" s="4"/>
      <c r="Z115" s="4"/>
      <c r="AA115" s="4"/>
      <c r="AB115" s="4"/>
      <c r="AC115" s="4"/>
      <c r="AD115" s="4"/>
      <c r="AE115" s="4"/>
      <c r="AF115" s="4"/>
      <c r="AG115" s="4"/>
      <c r="AH115" s="4"/>
      <c r="AI115" s="4"/>
      <c r="AJ115" s="4"/>
      <c r="AK115" s="4"/>
      <c r="AL115" s="4"/>
      <c r="AM115" s="4"/>
      <c r="AN115" s="4"/>
    </row>
    <row r="116" spans="1:40" x14ac:dyDescent="0.2">
      <c r="A116" s="4"/>
      <c r="S116" s="111"/>
      <c r="T116" s="4"/>
      <c r="U116" s="4"/>
      <c r="V116" s="4"/>
      <c r="W116" s="4"/>
      <c r="X116" s="4"/>
      <c r="Y116" s="4"/>
      <c r="Z116" s="4"/>
      <c r="AA116" s="4"/>
      <c r="AB116" s="4"/>
      <c r="AC116" s="4"/>
      <c r="AD116" s="4"/>
      <c r="AE116" s="4"/>
      <c r="AF116" s="4"/>
      <c r="AG116" s="4"/>
      <c r="AH116" s="4"/>
      <c r="AI116" s="4"/>
      <c r="AJ116" s="4"/>
      <c r="AK116" s="4"/>
      <c r="AL116" s="4"/>
      <c r="AM116" s="4"/>
      <c r="AN116" s="4"/>
    </row>
    <row r="117" spans="1:40" x14ac:dyDescent="0.2">
      <c r="A117" s="4"/>
      <c r="S117" s="111"/>
      <c r="T117" s="4"/>
      <c r="U117" s="4"/>
      <c r="V117" s="4"/>
      <c r="W117" s="4"/>
      <c r="X117" s="4"/>
      <c r="Y117" s="4"/>
      <c r="Z117" s="4"/>
      <c r="AA117" s="4"/>
      <c r="AB117" s="4"/>
      <c r="AC117" s="4"/>
      <c r="AD117" s="4"/>
      <c r="AE117" s="4"/>
      <c r="AF117" s="4"/>
      <c r="AG117" s="4"/>
      <c r="AH117" s="4"/>
      <c r="AI117" s="4"/>
      <c r="AJ117" s="4"/>
      <c r="AK117" s="4"/>
      <c r="AL117" s="4"/>
      <c r="AM117" s="4"/>
      <c r="AN117" s="4"/>
    </row>
    <row r="118" spans="1:40" x14ac:dyDescent="0.2">
      <c r="A118" s="4"/>
      <c r="S118" s="111"/>
      <c r="T118" s="4"/>
      <c r="U118" s="4"/>
      <c r="V118" s="4"/>
      <c r="W118" s="4"/>
      <c r="X118" s="4"/>
      <c r="Y118" s="4"/>
      <c r="Z118" s="4"/>
      <c r="AA118" s="4"/>
      <c r="AB118" s="4"/>
      <c r="AC118" s="4"/>
      <c r="AD118" s="4"/>
      <c r="AE118" s="4"/>
      <c r="AF118" s="4"/>
      <c r="AG118" s="4"/>
      <c r="AH118" s="4"/>
      <c r="AI118" s="4"/>
      <c r="AJ118" s="4"/>
      <c r="AK118" s="4"/>
      <c r="AL118" s="4"/>
      <c r="AM118" s="4"/>
      <c r="AN118" s="4"/>
    </row>
    <row r="119" spans="1:40" x14ac:dyDescent="0.2">
      <c r="A119" s="4"/>
      <c r="S119" s="111"/>
      <c r="T119" s="4"/>
      <c r="U119" s="4"/>
      <c r="V119" s="4"/>
      <c r="W119" s="4"/>
      <c r="X119" s="4"/>
      <c r="Y119" s="4"/>
      <c r="Z119" s="4"/>
      <c r="AA119" s="4"/>
      <c r="AB119" s="4"/>
      <c r="AC119" s="4"/>
      <c r="AD119" s="4"/>
      <c r="AE119" s="4"/>
      <c r="AF119" s="4"/>
      <c r="AG119" s="4"/>
      <c r="AH119" s="4"/>
      <c r="AI119" s="4"/>
      <c r="AJ119" s="4"/>
      <c r="AK119" s="4"/>
      <c r="AL119" s="4"/>
      <c r="AM119" s="4"/>
      <c r="AN119" s="4"/>
    </row>
    <row r="120" spans="1:40" x14ac:dyDescent="0.2">
      <c r="A120" s="4"/>
      <c r="S120" s="111"/>
      <c r="T120" s="4"/>
      <c r="U120" s="4"/>
      <c r="V120" s="4"/>
      <c r="W120" s="4"/>
      <c r="X120" s="4"/>
      <c r="Y120" s="4"/>
      <c r="Z120" s="4"/>
      <c r="AA120" s="4"/>
      <c r="AB120" s="4"/>
      <c r="AC120" s="4"/>
      <c r="AD120" s="4"/>
      <c r="AE120" s="4"/>
      <c r="AF120" s="4"/>
      <c r="AG120" s="4"/>
      <c r="AH120" s="4"/>
      <c r="AI120" s="4"/>
      <c r="AJ120" s="4"/>
      <c r="AK120" s="4"/>
      <c r="AL120" s="4"/>
      <c r="AM120" s="4"/>
      <c r="AN120" s="4"/>
    </row>
    <row r="121" spans="1:40" x14ac:dyDescent="0.2">
      <c r="A121" s="4"/>
      <c r="S121" s="111"/>
      <c r="T121" s="4"/>
      <c r="U121" s="4"/>
      <c r="V121" s="4"/>
      <c r="W121" s="4"/>
      <c r="X121" s="4"/>
      <c r="Y121" s="4"/>
      <c r="Z121" s="4"/>
      <c r="AA121" s="4"/>
      <c r="AB121" s="4"/>
      <c r="AC121" s="4"/>
      <c r="AD121" s="4"/>
      <c r="AE121" s="4"/>
      <c r="AF121" s="4"/>
      <c r="AG121" s="4"/>
      <c r="AH121" s="4"/>
      <c r="AI121" s="4"/>
      <c r="AJ121" s="4"/>
      <c r="AK121" s="4"/>
      <c r="AL121" s="4"/>
      <c r="AM121" s="4"/>
      <c r="AN121" s="4"/>
    </row>
    <row r="122" spans="1:40" x14ac:dyDescent="0.2">
      <c r="A122" s="4"/>
      <c r="S122" s="111"/>
      <c r="T122" s="4"/>
      <c r="U122" s="4"/>
      <c r="V122" s="4"/>
      <c r="W122" s="4"/>
      <c r="X122" s="4"/>
      <c r="Y122" s="4"/>
      <c r="Z122" s="4"/>
      <c r="AA122" s="4"/>
      <c r="AB122" s="4"/>
      <c r="AC122" s="4"/>
      <c r="AD122" s="4"/>
      <c r="AE122" s="4"/>
      <c r="AF122" s="4"/>
      <c r="AG122" s="4"/>
      <c r="AH122" s="4"/>
      <c r="AI122" s="4"/>
      <c r="AJ122" s="4"/>
      <c r="AK122" s="4"/>
      <c r="AL122" s="4"/>
      <c r="AM122" s="4"/>
      <c r="AN122" s="4"/>
    </row>
    <row r="123" spans="1:40" x14ac:dyDescent="0.2">
      <c r="A123" s="4"/>
      <c r="S123" s="111"/>
      <c r="T123" s="4"/>
      <c r="U123" s="4"/>
      <c r="V123" s="4"/>
      <c r="W123" s="4"/>
      <c r="X123" s="4"/>
      <c r="Y123" s="4"/>
      <c r="Z123" s="4"/>
      <c r="AA123" s="4"/>
      <c r="AB123" s="4"/>
      <c r="AC123" s="4"/>
      <c r="AD123" s="4"/>
      <c r="AE123" s="4"/>
      <c r="AF123" s="4"/>
      <c r="AG123" s="4"/>
      <c r="AH123" s="4"/>
      <c r="AI123" s="4"/>
      <c r="AJ123" s="4"/>
      <c r="AK123" s="4"/>
      <c r="AL123" s="4"/>
      <c r="AM123" s="4"/>
      <c r="AN123" s="4"/>
    </row>
    <row r="124" spans="1:40" x14ac:dyDescent="0.2">
      <c r="A124" s="4"/>
      <c r="S124" s="111"/>
      <c r="T124" s="4"/>
      <c r="U124" s="4"/>
      <c r="V124" s="4"/>
      <c r="W124" s="4"/>
      <c r="X124" s="4"/>
      <c r="Y124" s="4"/>
      <c r="Z124" s="4"/>
      <c r="AA124" s="4"/>
      <c r="AB124" s="4"/>
      <c r="AC124" s="4"/>
      <c r="AD124" s="4"/>
      <c r="AE124" s="4"/>
      <c r="AF124" s="4"/>
      <c r="AG124" s="4"/>
      <c r="AH124" s="4"/>
      <c r="AI124" s="4"/>
      <c r="AJ124" s="4"/>
      <c r="AK124" s="4"/>
      <c r="AL124" s="4"/>
      <c r="AM124" s="4"/>
      <c r="AN124" s="4"/>
    </row>
    <row r="125" spans="1:40" x14ac:dyDescent="0.2">
      <c r="A125" s="4"/>
      <c r="S125" s="111"/>
      <c r="T125" s="4"/>
      <c r="U125" s="4"/>
      <c r="V125" s="4"/>
      <c r="W125" s="4"/>
      <c r="X125" s="4"/>
      <c r="Y125" s="4"/>
      <c r="Z125" s="4"/>
      <c r="AA125" s="4"/>
      <c r="AB125" s="4"/>
      <c r="AC125" s="4"/>
      <c r="AD125" s="4"/>
      <c r="AE125" s="4"/>
      <c r="AF125" s="4"/>
      <c r="AG125" s="4"/>
      <c r="AH125" s="4"/>
      <c r="AI125" s="4"/>
      <c r="AJ125" s="4"/>
      <c r="AK125" s="4"/>
      <c r="AL125" s="4"/>
      <c r="AM125" s="4"/>
      <c r="AN125" s="4"/>
    </row>
    <row r="126" spans="1:40" x14ac:dyDescent="0.2">
      <c r="A126" s="4"/>
      <c r="S126" s="111"/>
      <c r="T126" s="4"/>
      <c r="U126" s="4"/>
      <c r="V126" s="4"/>
      <c r="W126" s="4"/>
      <c r="X126" s="4"/>
      <c r="Y126" s="4"/>
      <c r="Z126" s="4"/>
      <c r="AA126" s="4"/>
      <c r="AB126" s="4"/>
      <c r="AC126" s="4"/>
      <c r="AD126" s="4"/>
      <c r="AE126" s="4"/>
      <c r="AF126" s="4"/>
      <c r="AG126" s="4"/>
      <c r="AH126" s="4"/>
      <c r="AI126" s="4"/>
      <c r="AJ126" s="4"/>
      <c r="AK126" s="4"/>
      <c r="AL126" s="4"/>
      <c r="AM126" s="4"/>
      <c r="AN126" s="4"/>
    </row>
    <row r="127" spans="1:40" x14ac:dyDescent="0.2">
      <c r="A127" s="4"/>
      <c r="S127" s="111"/>
      <c r="T127" s="4"/>
      <c r="U127" s="4"/>
      <c r="V127" s="4"/>
      <c r="W127" s="4"/>
      <c r="X127" s="4"/>
      <c r="Y127" s="4"/>
      <c r="Z127" s="4"/>
      <c r="AA127" s="4"/>
      <c r="AB127" s="4"/>
      <c r="AC127" s="4"/>
      <c r="AD127" s="4"/>
      <c r="AE127" s="4"/>
      <c r="AF127" s="4"/>
      <c r="AG127" s="4"/>
      <c r="AH127" s="4"/>
      <c r="AI127" s="4"/>
      <c r="AJ127" s="4"/>
      <c r="AK127" s="4"/>
      <c r="AL127" s="4"/>
      <c r="AM127" s="4"/>
      <c r="AN127" s="4"/>
    </row>
    <row r="128" spans="1:40" x14ac:dyDescent="0.2">
      <c r="A128" s="4"/>
      <c r="S128" s="111"/>
      <c r="T128" s="4"/>
      <c r="U128" s="4"/>
      <c r="V128" s="4"/>
      <c r="W128" s="4"/>
      <c r="X128" s="4"/>
      <c r="Y128" s="4"/>
      <c r="Z128" s="4"/>
      <c r="AA128" s="4"/>
      <c r="AB128" s="4"/>
      <c r="AC128" s="4"/>
      <c r="AD128" s="4"/>
      <c r="AE128" s="4"/>
      <c r="AF128" s="4"/>
      <c r="AG128" s="4"/>
      <c r="AH128" s="4"/>
      <c r="AI128" s="4"/>
      <c r="AJ128" s="4"/>
      <c r="AK128" s="4"/>
      <c r="AL128" s="4"/>
      <c r="AM128" s="4"/>
      <c r="AN128" s="4"/>
    </row>
    <row r="129" spans="1:40" x14ac:dyDescent="0.2">
      <c r="A129" s="4"/>
      <c r="S129" s="111"/>
      <c r="T129" s="4"/>
      <c r="U129" s="4"/>
      <c r="V129" s="4"/>
      <c r="W129" s="4"/>
      <c r="X129" s="4"/>
      <c r="Y129" s="4"/>
      <c r="Z129" s="4"/>
      <c r="AA129" s="4"/>
      <c r="AB129" s="4"/>
      <c r="AC129" s="4"/>
      <c r="AD129" s="4"/>
      <c r="AE129" s="4"/>
      <c r="AF129" s="4"/>
      <c r="AG129" s="4"/>
      <c r="AH129" s="4"/>
      <c r="AI129" s="4"/>
      <c r="AJ129" s="4"/>
      <c r="AK129" s="4"/>
      <c r="AL129" s="4"/>
      <c r="AM129" s="4"/>
      <c r="AN129" s="4"/>
    </row>
    <row r="130" spans="1:40" x14ac:dyDescent="0.2">
      <c r="A130" s="4"/>
      <c r="S130" s="111"/>
      <c r="T130" s="4"/>
      <c r="U130" s="4"/>
      <c r="V130" s="4"/>
      <c r="W130" s="4"/>
      <c r="X130" s="4"/>
      <c r="Y130" s="4"/>
      <c r="Z130" s="4"/>
      <c r="AA130" s="4"/>
      <c r="AB130" s="4"/>
      <c r="AC130" s="4"/>
      <c r="AD130" s="4"/>
      <c r="AE130" s="4"/>
      <c r="AF130" s="4"/>
      <c r="AG130" s="4"/>
      <c r="AH130" s="4"/>
      <c r="AI130" s="4"/>
      <c r="AJ130" s="4"/>
      <c r="AK130" s="4"/>
      <c r="AL130" s="4"/>
      <c r="AM130" s="4"/>
      <c r="AN130" s="4"/>
    </row>
    <row r="131" spans="1:40" x14ac:dyDescent="0.2">
      <c r="A131" s="4"/>
      <c r="S131" s="111"/>
      <c r="T131" s="4"/>
      <c r="U131" s="4"/>
      <c r="V131" s="4"/>
      <c r="W131" s="4"/>
      <c r="X131" s="4"/>
      <c r="Y131" s="4"/>
      <c r="Z131" s="4"/>
      <c r="AA131" s="4"/>
      <c r="AB131" s="4"/>
      <c r="AC131" s="4"/>
      <c r="AD131" s="4"/>
      <c r="AE131" s="4"/>
      <c r="AF131" s="4"/>
      <c r="AG131" s="4"/>
      <c r="AH131" s="4"/>
      <c r="AI131" s="4"/>
      <c r="AJ131" s="4"/>
      <c r="AK131" s="4"/>
      <c r="AL131" s="4"/>
      <c r="AM131" s="4"/>
      <c r="AN131" s="4"/>
    </row>
    <row r="132" spans="1:40" x14ac:dyDescent="0.2">
      <c r="A132" s="4"/>
      <c r="S132" s="111"/>
      <c r="T132" s="4"/>
      <c r="U132" s="4"/>
      <c r="V132" s="4"/>
      <c r="W132" s="4"/>
      <c r="X132" s="4"/>
      <c r="Y132" s="4"/>
      <c r="Z132" s="4"/>
      <c r="AA132" s="4"/>
      <c r="AB132" s="4"/>
      <c r="AC132" s="4"/>
      <c r="AD132" s="4"/>
      <c r="AE132" s="4"/>
      <c r="AF132" s="4"/>
      <c r="AG132" s="4"/>
      <c r="AH132" s="4"/>
      <c r="AI132" s="4"/>
      <c r="AJ132" s="4"/>
      <c r="AK132" s="4"/>
      <c r="AL132" s="4"/>
      <c r="AM132" s="4"/>
      <c r="AN132" s="4"/>
    </row>
    <row r="133" spans="1:40" x14ac:dyDescent="0.2">
      <c r="A133" s="4"/>
      <c r="S133" s="111"/>
      <c r="T133" s="4"/>
      <c r="U133" s="4"/>
      <c r="V133" s="4"/>
      <c r="W133" s="4"/>
      <c r="X133" s="4"/>
      <c r="Y133" s="4"/>
      <c r="Z133" s="4"/>
      <c r="AA133" s="4"/>
      <c r="AB133" s="4"/>
      <c r="AC133" s="4"/>
      <c r="AD133" s="4"/>
      <c r="AE133" s="4"/>
      <c r="AF133" s="4"/>
      <c r="AG133" s="4"/>
      <c r="AH133" s="4"/>
      <c r="AI133" s="4"/>
      <c r="AJ133" s="4"/>
      <c r="AK133" s="4"/>
      <c r="AL133" s="4"/>
      <c r="AM133" s="4"/>
      <c r="AN133" s="4"/>
    </row>
    <row r="134" spans="1:40" x14ac:dyDescent="0.2">
      <c r="A134" s="4"/>
      <c r="S134" s="111"/>
      <c r="T134" s="4"/>
      <c r="U134" s="4"/>
      <c r="V134" s="4"/>
      <c r="W134" s="4"/>
      <c r="X134" s="4"/>
      <c r="Y134" s="4"/>
      <c r="Z134" s="4"/>
      <c r="AA134" s="4"/>
      <c r="AB134" s="4"/>
      <c r="AC134" s="4"/>
      <c r="AD134" s="4"/>
      <c r="AE134" s="4"/>
      <c r="AF134" s="4"/>
      <c r="AG134" s="4"/>
      <c r="AH134" s="4"/>
      <c r="AI134" s="4"/>
      <c r="AJ134" s="4"/>
      <c r="AK134" s="4"/>
      <c r="AL134" s="4"/>
      <c r="AM134" s="4"/>
      <c r="AN134" s="4"/>
    </row>
    <row r="135" spans="1:40" x14ac:dyDescent="0.2">
      <c r="A135" s="4"/>
      <c r="S135" s="111"/>
      <c r="T135" s="4"/>
      <c r="U135" s="4"/>
      <c r="V135" s="4"/>
      <c r="W135" s="4"/>
      <c r="X135" s="4"/>
      <c r="Y135" s="4"/>
      <c r="Z135" s="4"/>
      <c r="AA135" s="4"/>
      <c r="AB135" s="4"/>
      <c r="AC135" s="4"/>
      <c r="AD135" s="4"/>
      <c r="AE135" s="4"/>
      <c r="AF135" s="4"/>
      <c r="AG135" s="4"/>
      <c r="AH135" s="4"/>
      <c r="AI135" s="4"/>
      <c r="AJ135" s="4"/>
      <c r="AK135" s="4"/>
      <c r="AL135" s="4"/>
      <c r="AM135" s="4"/>
      <c r="AN135" s="4"/>
    </row>
    <row r="136" spans="1:40" x14ac:dyDescent="0.2">
      <c r="A136" s="4"/>
      <c r="S136" s="111"/>
      <c r="T136" s="4"/>
      <c r="U136" s="4"/>
      <c r="V136" s="4"/>
      <c r="W136" s="4"/>
      <c r="X136" s="4"/>
      <c r="Y136" s="4"/>
      <c r="Z136" s="4"/>
      <c r="AA136" s="4"/>
      <c r="AB136" s="4"/>
      <c r="AC136" s="4"/>
      <c r="AD136" s="4"/>
      <c r="AE136" s="4"/>
      <c r="AF136" s="4"/>
      <c r="AG136" s="4"/>
      <c r="AH136" s="4"/>
      <c r="AI136" s="4"/>
      <c r="AJ136" s="4"/>
      <c r="AK136" s="4"/>
      <c r="AL136" s="4"/>
      <c r="AM136" s="4"/>
      <c r="AN136" s="4"/>
    </row>
    <row r="137" spans="1:40" x14ac:dyDescent="0.2">
      <c r="A137" s="4"/>
      <c r="S137" s="111"/>
      <c r="T137" s="4"/>
      <c r="U137" s="4"/>
      <c r="V137" s="4"/>
      <c r="W137" s="4"/>
      <c r="X137" s="4"/>
      <c r="Y137" s="4"/>
      <c r="Z137" s="4"/>
      <c r="AA137" s="4"/>
      <c r="AB137" s="4"/>
      <c r="AC137" s="4"/>
      <c r="AD137" s="4"/>
      <c r="AE137" s="4"/>
      <c r="AF137" s="4"/>
      <c r="AG137" s="4"/>
      <c r="AH137" s="4"/>
      <c r="AI137" s="4"/>
      <c r="AJ137" s="4"/>
      <c r="AK137" s="4"/>
      <c r="AL137" s="4"/>
      <c r="AM137" s="4"/>
      <c r="AN137" s="4"/>
    </row>
    <row r="138" spans="1:40" x14ac:dyDescent="0.2">
      <c r="A138" s="4"/>
      <c r="S138" s="111"/>
      <c r="T138" s="4"/>
      <c r="U138" s="4"/>
      <c r="V138" s="4"/>
      <c r="W138" s="4"/>
      <c r="X138" s="4"/>
      <c r="Y138" s="4"/>
      <c r="Z138" s="4"/>
      <c r="AA138" s="4"/>
      <c r="AB138" s="4"/>
      <c r="AC138" s="4"/>
      <c r="AD138" s="4"/>
      <c r="AE138" s="4"/>
      <c r="AF138" s="4"/>
      <c r="AG138" s="4"/>
      <c r="AH138" s="4"/>
      <c r="AI138" s="4"/>
      <c r="AJ138" s="4"/>
      <c r="AK138" s="4"/>
      <c r="AL138" s="4"/>
      <c r="AM138" s="4"/>
      <c r="AN138" s="4"/>
    </row>
    <row r="139" spans="1:40" x14ac:dyDescent="0.2">
      <c r="A139" s="4"/>
      <c r="S139" s="111"/>
      <c r="T139" s="4"/>
      <c r="U139" s="4"/>
      <c r="V139" s="4"/>
      <c r="W139" s="4"/>
      <c r="X139" s="4"/>
      <c r="Y139" s="4"/>
      <c r="Z139" s="4"/>
      <c r="AA139" s="4"/>
      <c r="AB139" s="4"/>
      <c r="AC139" s="4"/>
      <c r="AD139" s="4"/>
      <c r="AE139" s="4"/>
      <c r="AF139" s="4"/>
      <c r="AG139" s="4"/>
      <c r="AH139" s="4"/>
      <c r="AI139" s="4"/>
      <c r="AJ139" s="4"/>
      <c r="AK139" s="4"/>
      <c r="AL139" s="4"/>
      <c r="AM139" s="4"/>
      <c r="AN139" s="4"/>
    </row>
    <row r="140" spans="1:40" x14ac:dyDescent="0.2">
      <c r="A140" s="4"/>
      <c r="S140" s="111"/>
      <c r="T140" s="4"/>
      <c r="U140" s="4"/>
      <c r="V140" s="4"/>
      <c r="W140" s="4"/>
      <c r="X140" s="4"/>
      <c r="Y140" s="4"/>
      <c r="Z140" s="4"/>
      <c r="AA140" s="4"/>
      <c r="AB140" s="4"/>
      <c r="AC140" s="4"/>
      <c r="AD140" s="4"/>
      <c r="AE140" s="4"/>
      <c r="AF140" s="4"/>
      <c r="AG140" s="4"/>
      <c r="AH140" s="4"/>
      <c r="AI140" s="4"/>
      <c r="AJ140" s="4"/>
      <c r="AK140" s="4"/>
      <c r="AL140" s="4"/>
      <c r="AM140" s="4"/>
      <c r="AN140" s="4"/>
    </row>
    <row r="141" spans="1:40" x14ac:dyDescent="0.2">
      <c r="A141" s="4"/>
      <c r="S141" s="111"/>
      <c r="T141" s="4"/>
      <c r="U141" s="4"/>
      <c r="V141" s="4"/>
      <c r="W141" s="4"/>
      <c r="X141" s="4"/>
      <c r="Y141" s="4"/>
      <c r="Z141" s="4"/>
      <c r="AA141" s="4"/>
      <c r="AB141" s="4"/>
      <c r="AC141" s="4"/>
      <c r="AD141" s="4"/>
      <c r="AE141" s="4"/>
      <c r="AF141" s="4"/>
      <c r="AG141" s="4"/>
      <c r="AH141" s="4"/>
      <c r="AI141" s="4"/>
      <c r="AJ141" s="4"/>
      <c r="AK141" s="4"/>
      <c r="AL141" s="4"/>
      <c r="AM141" s="4"/>
      <c r="AN141" s="4"/>
    </row>
    <row r="142" spans="1:40" x14ac:dyDescent="0.2">
      <c r="A142" s="4"/>
      <c r="S142" s="111"/>
      <c r="T142" s="4"/>
      <c r="U142" s="4"/>
      <c r="V142" s="4"/>
      <c r="W142" s="4"/>
      <c r="X142" s="4"/>
      <c r="Y142" s="4"/>
      <c r="Z142" s="4"/>
      <c r="AA142" s="4"/>
      <c r="AB142" s="4"/>
      <c r="AC142" s="4"/>
      <c r="AD142" s="4"/>
      <c r="AE142" s="4"/>
      <c r="AF142" s="4"/>
      <c r="AG142" s="4"/>
      <c r="AH142" s="4"/>
      <c r="AI142" s="4"/>
      <c r="AJ142" s="4"/>
      <c r="AK142" s="4"/>
      <c r="AL142" s="4"/>
      <c r="AM142" s="4"/>
      <c r="AN142" s="4"/>
    </row>
    <row r="143" spans="1:40" x14ac:dyDescent="0.2">
      <c r="A143" s="4"/>
      <c r="S143" s="111"/>
      <c r="T143" s="4"/>
      <c r="U143" s="4"/>
      <c r="V143" s="4"/>
      <c r="W143" s="4"/>
      <c r="X143" s="4"/>
      <c r="Y143" s="4"/>
      <c r="Z143" s="4"/>
      <c r="AA143" s="4"/>
      <c r="AB143" s="4"/>
      <c r="AC143" s="4"/>
      <c r="AD143" s="4"/>
      <c r="AE143" s="4"/>
      <c r="AF143" s="4"/>
      <c r="AG143" s="4"/>
      <c r="AH143" s="4"/>
      <c r="AI143" s="4"/>
      <c r="AJ143" s="4"/>
      <c r="AK143" s="4"/>
      <c r="AL143" s="4"/>
      <c r="AM143" s="4"/>
      <c r="AN143" s="4"/>
    </row>
    <row r="144" spans="1:40" x14ac:dyDescent="0.2">
      <c r="A144" s="4"/>
      <c r="S144" s="111"/>
      <c r="T144" s="4"/>
      <c r="U144" s="4"/>
      <c r="V144" s="4"/>
      <c r="W144" s="4"/>
      <c r="X144" s="4"/>
      <c r="Y144" s="4"/>
      <c r="Z144" s="4"/>
      <c r="AA144" s="4"/>
      <c r="AB144" s="4"/>
      <c r="AC144" s="4"/>
      <c r="AD144" s="4"/>
      <c r="AE144" s="4"/>
      <c r="AF144" s="4"/>
      <c r="AG144" s="4"/>
      <c r="AH144" s="4"/>
      <c r="AI144" s="4"/>
      <c r="AJ144" s="4"/>
      <c r="AK144" s="4"/>
      <c r="AL144" s="4"/>
      <c r="AM144" s="4"/>
      <c r="AN144" s="4"/>
    </row>
    <row r="145" spans="1:40" x14ac:dyDescent="0.2">
      <c r="A145" s="4"/>
      <c r="S145" s="111"/>
      <c r="T145" s="4"/>
      <c r="U145" s="4"/>
      <c r="V145" s="4"/>
      <c r="W145" s="4"/>
      <c r="X145" s="4"/>
      <c r="Y145" s="4"/>
      <c r="Z145" s="4"/>
      <c r="AA145" s="4"/>
      <c r="AB145" s="4"/>
      <c r="AC145" s="4"/>
      <c r="AD145" s="4"/>
      <c r="AE145" s="4"/>
      <c r="AF145" s="4"/>
      <c r="AG145" s="4"/>
      <c r="AH145" s="4"/>
      <c r="AI145" s="4"/>
      <c r="AJ145" s="4"/>
      <c r="AK145" s="4"/>
      <c r="AL145" s="4"/>
      <c r="AM145" s="4"/>
      <c r="AN145" s="4"/>
    </row>
    <row r="146" spans="1:40" x14ac:dyDescent="0.2">
      <c r="A146" s="4"/>
      <c r="S146" s="111"/>
      <c r="T146" s="4"/>
      <c r="U146" s="4"/>
      <c r="V146" s="4"/>
      <c r="W146" s="4"/>
      <c r="X146" s="4"/>
      <c r="Y146" s="4"/>
      <c r="Z146" s="4"/>
      <c r="AA146" s="4"/>
      <c r="AB146" s="4"/>
      <c r="AC146" s="4"/>
      <c r="AD146" s="4"/>
      <c r="AE146" s="4"/>
      <c r="AF146" s="4"/>
      <c r="AG146" s="4"/>
      <c r="AH146" s="4"/>
      <c r="AI146" s="4"/>
      <c r="AJ146" s="4"/>
      <c r="AK146" s="4"/>
      <c r="AL146" s="4"/>
      <c r="AM146" s="4"/>
      <c r="AN146" s="4"/>
    </row>
    <row r="147" spans="1:40" x14ac:dyDescent="0.2">
      <c r="A147" s="4"/>
      <c r="S147" s="111"/>
      <c r="T147" s="4"/>
      <c r="U147" s="4"/>
      <c r="V147" s="4"/>
      <c r="W147" s="4"/>
      <c r="X147" s="4"/>
      <c r="Y147" s="4"/>
      <c r="Z147" s="4"/>
      <c r="AA147" s="4"/>
      <c r="AB147" s="4"/>
      <c r="AC147" s="4"/>
      <c r="AD147" s="4"/>
      <c r="AE147" s="4"/>
      <c r="AF147" s="4"/>
      <c r="AG147" s="4"/>
      <c r="AH147" s="4"/>
      <c r="AI147" s="4"/>
      <c r="AJ147" s="4"/>
      <c r="AK147" s="4"/>
      <c r="AL147" s="4"/>
      <c r="AM147" s="4"/>
      <c r="AN147" s="4"/>
    </row>
    <row r="148" spans="1:40" x14ac:dyDescent="0.2">
      <c r="A148" s="4"/>
      <c r="S148" s="111"/>
      <c r="T148" s="4"/>
      <c r="U148" s="4"/>
      <c r="V148" s="4"/>
      <c r="W148" s="4"/>
      <c r="X148" s="4"/>
      <c r="Y148" s="4"/>
      <c r="Z148" s="4"/>
      <c r="AA148" s="4"/>
      <c r="AB148" s="4"/>
      <c r="AC148" s="4"/>
      <c r="AD148" s="4"/>
      <c r="AE148" s="4"/>
      <c r="AF148" s="4"/>
      <c r="AG148" s="4"/>
      <c r="AH148" s="4"/>
      <c r="AI148" s="4"/>
      <c r="AJ148" s="4"/>
      <c r="AK148" s="4"/>
      <c r="AL148" s="4"/>
      <c r="AM148" s="4"/>
      <c r="AN148" s="4"/>
    </row>
    <row r="149" spans="1:40" x14ac:dyDescent="0.2">
      <c r="A149" s="4"/>
      <c r="S149" s="111"/>
      <c r="T149" s="4"/>
      <c r="U149" s="4"/>
      <c r="V149" s="4"/>
      <c r="W149" s="4"/>
      <c r="X149" s="4"/>
      <c r="Y149" s="4"/>
      <c r="Z149" s="4"/>
      <c r="AA149" s="4"/>
      <c r="AB149" s="4"/>
      <c r="AC149" s="4"/>
      <c r="AD149" s="4"/>
      <c r="AE149" s="4"/>
      <c r="AF149" s="4"/>
      <c r="AG149" s="4"/>
      <c r="AH149" s="4"/>
      <c r="AI149" s="4"/>
      <c r="AJ149" s="4"/>
      <c r="AK149" s="4"/>
      <c r="AL149" s="4"/>
      <c r="AM149" s="4"/>
      <c r="AN149" s="4"/>
    </row>
    <row r="150" spans="1:40" x14ac:dyDescent="0.2">
      <c r="A150" s="4"/>
      <c r="S150" s="111"/>
      <c r="T150" s="4"/>
      <c r="U150" s="4"/>
      <c r="V150" s="4"/>
      <c r="W150" s="4"/>
      <c r="X150" s="4"/>
      <c r="Y150" s="4"/>
      <c r="Z150" s="4"/>
      <c r="AA150" s="4"/>
      <c r="AB150" s="4"/>
      <c r="AC150" s="4"/>
      <c r="AD150" s="4"/>
      <c r="AE150" s="4"/>
      <c r="AF150" s="4"/>
      <c r="AG150" s="4"/>
      <c r="AH150" s="4"/>
      <c r="AI150" s="4"/>
      <c r="AJ150" s="4"/>
      <c r="AK150" s="4"/>
      <c r="AL150" s="4"/>
      <c r="AM150" s="4"/>
      <c r="AN150" s="4"/>
    </row>
    <row r="151" spans="1:40" x14ac:dyDescent="0.2">
      <c r="A151" s="4"/>
      <c r="S151" s="111"/>
      <c r="T151" s="4"/>
      <c r="U151" s="4"/>
      <c r="V151" s="4"/>
      <c r="W151" s="4"/>
      <c r="X151" s="4"/>
      <c r="Y151" s="4"/>
      <c r="Z151" s="4"/>
      <c r="AA151" s="4"/>
      <c r="AB151" s="4"/>
      <c r="AC151" s="4"/>
      <c r="AD151" s="4"/>
      <c r="AE151" s="4"/>
      <c r="AF151" s="4"/>
      <c r="AG151" s="4"/>
      <c r="AH151" s="4"/>
      <c r="AI151" s="4"/>
      <c r="AJ151" s="4"/>
      <c r="AK151" s="4"/>
      <c r="AL151" s="4"/>
      <c r="AM151" s="4"/>
      <c r="AN151" s="4"/>
    </row>
    <row r="152" spans="1:40" x14ac:dyDescent="0.2">
      <c r="A152" s="4"/>
      <c r="S152" s="111"/>
      <c r="T152" s="4"/>
      <c r="U152" s="4"/>
      <c r="V152" s="4"/>
      <c r="W152" s="4"/>
      <c r="X152" s="4"/>
      <c r="Y152" s="4"/>
      <c r="Z152" s="4"/>
      <c r="AA152" s="4"/>
      <c r="AB152" s="4"/>
      <c r="AC152" s="4"/>
      <c r="AD152" s="4"/>
      <c r="AE152" s="4"/>
      <c r="AF152" s="4"/>
      <c r="AG152" s="4"/>
      <c r="AH152" s="4"/>
      <c r="AI152" s="4"/>
      <c r="AJ152" s="4"/>
      <c r="AK152" s="4"/>
      <c r="AL152" s="4"/>
      <c r="AM152" s="4"/>
      <c r="AN152" s="4"/>
    </row>
    <row r="153" spans="1:40" x14ac:dyDescent="0.2">
      <c r="A153" s="4"/>
      <c r="S153" s="111"/>
      <c r="T153" s="4"/>
      <c r="U153" s="4"/>
      <c r="V153" s="4"/>
      <c r="W153" s="4"/>
      <c r="X153" s="4"/>
      <c r="Y153" s="4"/>
      <c r="Z153" s="4"/>
      <c r="AA153" s="4"/>
      <c r="AB153" s="4"/>
      <c r="AC153" s="4"/>
      <c r="AD153" s="4"/>
      <c r="AE153" s="4"/>
      <c r="AF153" s="4"/>
      <c r="AG153" s="4"/>
      <c r="AH153" s="4"/>
      <c r="AI153" s="4"/>
      <c r="AJ153" s="4"/>
      <c r="AK153" s="4"/>
      <c r="AL153" s="4"/>
      <c r="AM153" s="4"/>
      <c r="AN153" s="4"/>
    </row>
    <row r="154" spans="1:40" x14ac:dyDescent="0.2">
      <c r="A154" s="4"/>
      <c r="S154" s="111"/>
      <c r="T154" s="4"/>
      <c r="U154" s="4"/>
      <c r="V154" s="4"/>
      <c r="W154" s="4"/>
      <c r="X154" s="4"/>
      <c r="Y154" s="4"/>
      <c r="Z154" s="4"/>
      <c r="AA154" s="4"/>
      <c r="AB154" s="4"/>
      <c r="AC154" s="4"/>
      <c r="AD154" s="4"/>
      <c r="AE154" s="4"/>
      <c r="AF154" s="4"/>
      <c r="AG154" s="4"/>
      <c r="AH154" s="4"/>
      <c r="AI154" s="4"/>
      <c r="AJ154" s="4"/>
      <c r="AK154" s="4"/>
      <c r="AL154" s="4"/>
      <c r="AM154" s="4"/>
      <c r="AN154" s="4"/>
    </row>
    <row r="155" spans="1:40" x14ac:dyDescent="0.2">
      <c r="A155" s="4"/>
      <c r="S155" s="111"/>
      <c r="T155" s="4"/>
      <c r="U155" s="4"/>
      <c r="V155" s="4"/>
      <c r="W155" s="4"/>
      <c r="X155" s="4"/>
      <c r="Y155" s="4"/>
      <c r="Z155" s="4"/>
      <c r="AA155" s="4"/>
      <c r="AB155" s="4"/>
      <c r="AC155" s="4"/>
      <c r="AD155" s="4"/>
      <c r="AE155" s="4"/>
      <c r="AF155" s="4"/>
      <c r="AG155" s="4"/>
      <c r="AH155" s="4"/>
      <c r="AI155" s="4"/>
      <c r="AJ155" s="4"/>
      <c r="AK155" s="4"/>
      <c r="AL155" s="4"/>
      <c r="AM155" s="4"/>
      <c r="AN155" s="4"/>
    </row>
    <row r="156" spans="1:40" x14ac:dyDescent="0.2">
      <c r="A156" s="4"/>
      <c r="S156" s="111"/>
      <c r="T156" s="4"/>
      <c r="U156" s="4"/>
      <c r="V156" s="4"/>
      <c r="W156" s="4"/>
      <c r="X156" s="4"/>
      <c r="Y156" s="4"/>
      <c r="Z156" s="4"/>
      <c r="AA156" s="4"/>
      <c r="AB156" s="4"/>
      <c r="AC156" s="4"/>
      <c r="AD156" s="4"/>
      <c r="AE156" s="4"/>
      <c r="AF156" s="4"/>
      <c r="AG156" s="4"/>
      <c r="AH156" s="4"/>
      <c r="AI156" s="4"/>
      <c r="AJ156" s="4"/>
      <c r="AK156" s="4"/>
      <c r="AL156" s="4"/>
      <c r="AM156" s="4"/>
      <c r="AN156" s="4"/>
    </row>
    <row r="157" spans="1:40" x14ac:dyDescent="0.2">
      <c r="A157" s="4"/>
      <c r="S157" s="111"/>
      <c r="T157" s="4"/>
      <c r="U157" s="4"/>
      <c r="V157" s="4"/>
      <c r="W157" s="4"/>
      <c r="X157" s="4"/>
      <c r="Y157" s="4"/>
      <c r="Z157" s="4"/>
      <c r="AA157" s="4"/>
      <c r="AB157" s="4"/>
      <c r="AC157" s="4"/>
      <c r="AD157" s="4"/>
      <c r="AE157" s="4"/>
      <c r="AF157" s="4"/>
      <c r="AG157" s="4"/>
      <c r="AH157" s="4"/>
      <c r="AI157" s="4"/>
      <c r="AJ157" s="4"/>
      <c r="AK157" s="4"/>
      <c r="AL157" s="4"/>
      <c r="AM157" s="4"/>
      <c r="AN157" s="4"/>
    </row>
    <row r="158" spans="1:40" x14ac:dyDescent="0.2">
      <c r="A158" s="4"/>
      <c r="S158" s="111"/>
      <c r="T158" s="4"/>
      <c r="U158" s="4"/>
      <c r="V158" s="4"/>
      <c r="W158" s="4"/>
      <c r="X158" s="4"/>
      <c r="Y158" s="4"/>
      <c r="Z158" s="4"/>
      <c r="AA158" s="4"/>
      <c r="AB158" s="4"/>
      <c r="AC158" s="4"/>
      <c r="AD158" s="4"/>
      <c r="AE158" s="4"/>
      <c r="AF158" s="4"/>
      <c r="AG158" s="4"/>
      <c r="AH158" s="4"/>
      <c r="AI158" s="4"/>
      <c r="AJ158" s="4"/>
      <c r="AK158" s="4"/>
      <c r="AL158" s="4"/>
      <c r="AM158" s="4"/>
      <c r="AN158" s="4"/>
    </row>
    <row r="159" spans="1:40" x14ac:dyDescent="0.2">
      <c r="A159" s="4"/>
      <c r="S159" s="111"/>
      <c r="T159" s="4"/>
      <c r="U159" s="4"/>
      <c r="V159" s="4"/>
      <c r="W159" s="4"/>
      <c r="X159" s="4"/>
      <c r="Y159" s="4"/>
      <c r="Z159" s="4"/>
      <c r="AA159" s="4"/>
      <c r="AB159" s="4"/>
      <c r="AC159" s="4"/>
      <c r="AD159" s="4"/>
      <c r="AE159" s="4"/>
      <c r="AF159" s="4"/>
      <c r="AG159" s="4"/>
      <c r="AH159" s="4"/>
      <c r="AI159" s="4"/>
      <c r="AJ159" s="4"/>
      <c r="AK159" s="4"/>
      <c r="AL159" s="4"/>
      <c r="AM159" s="4"/>
      <c r="AN159" s="4"/>
    </row>
    <row r="160" spans="1:40" x14ac:dyDescent="0.2">
      <c r="A160" s="4"/>
      <c r="S160" s="111"/>
      <c r="T160" s="4"/>
      <c r="U160" s="4"/>
      <c r="V160" s="4"/>
      <c r="W160" s="4"/>
      <c r="X160" s="4"/>
      <c r="Y160" s="4"/>
      <c r="Z160" s="4"/>
      <c r="AA160" s="4"/>
      <c r="AB160" s="4"/>
      <c r="AC160" s="4"/>
      <c r="AD160" s="4"/>
      <c r="AE160" s="4"/>
      <c r="AF160" s="4"/>
      <c r="AG160" s="4"/>
      <c r="AH160" s="4"/>
      <c r="AI160" s="4"/>
      <c r="AJ160" s="4"/>
      <c r="AK160" s="4"/>
      <c r="AL160" s="4"/>
      <c r="AM160" s="4"/>
      <c r="AN160" s="4"/>
    </row>
    <row r="161" spans="1:40" x14ac:dyDescent="0.2">
      <c r="A161" s="4"/>
      <c r="S161" s="111"/>
      <c r="T161" s="4"/>
      <c r="U161" s="4"/>
      <c r="V161" s="4"/>
      <c r="W161" s="4"/>
      <c r="X161" s="4"/>
      <c r="Y161" s="4"/>
      <c r="Z161" s="4"/>
      <c r="AA161" s="4"/>
      <c r="AB161" s="4"/>
      <c r="AC161" s="4"/>
      <c r="AD161" s="4"/>
      <c r="AE161" s="4"/>
      <c r="AF161" s="4"/>
      <c r="AG161" s="4"/>
      <c r="AH161" s="4"/>
      <c r="AI161" s="4"/>
      <c r="AJ161" s="4"/>
      <c r="AK161" s="4"/>
      <c r="AL161" s="4"/>
      <c r="AM161" s="4"/>
      <c r="AN161" s="4"/>
    </row>
    <row r="162" spans="1:40" x14ac:dyDescent="0.2">
      <c r="A162" s="4"/>
      <c r="S162" s="111"/>
      <c r="T162" s="4"/>
      <c r="U162" s="4"/>
      <c r="V162" s="4"/>
      <c r="W162" s="4"/>
      <c r="X162" s="4"/>
      <c r="Y162" s="4"/>
      <c r="Z162" s="4"/>
      <c r="AA162" s="4"/>
      <c r="AB162" s="4"/>
      <c r="AC162" s="4"/>
      <c r="AD162" s="4"/>
      <c r="AE162" s="4"/>
      <c r="AF162" s="4"/>
      <c r="AG162" s="4"/>
      <c r="AH162" s="4"/>
      <c r="AI162" s="4"/>
      <c r="AJ162" s="4"/>
      <c r="AK162" s="4"/>
      <c r="AL162" s="4"/>
      <c r="AM162" s="4"/>
      <c r="AN162" s="4"/>
    </row>
    <row r="163" spans="1:40" x14ac:dyDescent="0.2">
      <c r="A163" s="4"/>
      <c r="S163" s="111"/>
      <c r="T163" s="4"/>
      <c r="U163" s="4"/>
      <c r="V163" s="4"/>
      <c r="W163" s="4"/>
      <c r="X163" s="4"/>
      <c r="Y163" s="4"/>
      <c r="Z163" s="4"/>
      <c r="AA163" s="4"/>
      <c r="AB163" s="4"/>
      <c r="AC163" s="4"/>
      <c r="AD163" s="4"/>
      <c r="AE163" s="4"/>
      <c r="AF163" s="4"/>
      <c r="AG163" s="4"/>
      <c r="AH163" s="4"/>
      <c r="AI163" s="4"/>
      <c r="AJ163" s="4"/>
      <c r="AK163" s="4"/>
      <c r="AL163" s="4"/>
      <c r="AM163" s="4"/>
      <c r="AN163" s="4"/>
    </row>
    <row r="164" spans="1:40" x14ac:dyDescent="0.2">
      <c r="A164" s="4"/>
      <c r="S164" s="111"/>
      <c r="T164" s="4"/>
      <c r="U164" s="4"/>
      <c r="V164" s="4"/>
      <c r="W164" s="4"/>
      <c r="X164" s="4"/>
      <c r="Y164" s="4"/>
      <c r="Z164" s="4"/>
      <c r="AA164" s="4"/>
      <c r="AB164" s="4"/>
      <c r="AC164" s="4"/>
      <c r="AD164" s="4"/>
      <c r="AE164" s="4"/>
      <c r="AF164" s="4"/>
      <c r="AG164" s="4"/>
      <c r="AH164" s="4"/>
      <c r="AI164" s="4"/>
      <c r="AJ164" s="4"/>
      <c r="AK164" s="4"/>
      <c r="AL164" s="4"/>
      <c r="AM164" s="4"/>
      <c r="AN164" s="4"/>
    </row>
    <row r="165" spans="1:40" x14ac:dyDescent="0.2">
      <c r="A165" s="4"/>
      <c r="S165" s="111"/>
      <c r="T165" s="4"/>
      <c r="U165" s="4"/>
      <c r="V165" s="4"/>
      <c r="W165" s="4"/>
      <c r="X165" s="4"/>
      <c r="Y165" s="4"/>
      <c r="Z165" s="4"/>
      <c r="AA165" s="4"/>
      <c r="AB165" s="4"/>
      <c r="AC165" s="4"/>
      <c r="AD165" s="4"/>
      <c r="AE165" s="4"/>
      <c r="AF165" s="4"/>
      <c r="AG165" s="4"/>
      <c r="AH165" s="4"/>
      <c r="AI165" s="4"/>
      <c r="AJ165" s="4"/>
      <c r="AK165" s="4"/>
      <c r="AL165" s="4"/>
      <c r="AM165" s="4"/>
      <c r="AN165" s="4"/>
    </row>
    <row r="166" spans="1:40" x14ac:dyDescent="0.2">
      <c r="A166" s="4"/>
      <c r="S166" s="111"/>
      <c r="T166" s="4"/>
      <c r="U166" s="4"/>
      <c r="V166" s="4"/>
      <c r="W166" s="4"/>
      <c r="X166" s="4"/>
      <c r="Y166" s="4"/>
      <c r="Z166" s="4"/>
      <c r="AA166" s="4"/>
      <c r="AB166" s="4"/>
      <c r="AC166" s="4"/>
      <c r="AD166" s="4"/>
      <c r="AE166" s="4"/>
      <c r="AF166" s="4"/>
      <c r="AG166" s="4"/>
      <c r="AH166" s="4"/>
      <c r="AI166" s="4"/>
      <c r="AJ166" s="4"/>
      <c r="AK166" s="4"/>
      <c r="AL166" s="4"/>
      <c r="AM166" s="4"/>
      <c r="AN166" s="4"/>
    </row>
    <row r="167" spans="1:40" x14ac:dyDescent="0.2">
      <c r="A167" s="4"/>
      <c r="S167" s="111"/>
      <c r="T167" s="4"/>
      <c r="U167" s="4"/>
      <c r="V167" s="4"/>
      <c r="W167" s="4"/>
      <c r="X167" s="4"/>
      <c r="Y167" s="4"/>
      <c r="Z167" s="4"/>
      <c r="AA167" s="4"/>
      <c r="AB167" s="4"/>
      <c r="AC167" s="4"/>
      <c r="AD167" s="4"/>
      <c r="AE167" s="4"/>
      <c r="AF167" s="4"/>
      <c r="AG167" s="4"/>
      <c r="AH167" s="4"/>
      <c r="AI167" s="4"/>
      <c r="AJ167" s="4"/>
      <c r="AK167" s="4"/>
      <c r="AL167" s="4"/>
      <c r="AM167" s="4"/>
      <c r="AN167" s="4"/>
    </row>
    <row r="168" spans="1:40" x14ac:dyDescent="0.2">
      <c r="A168" s="4"/>
      <c r="S168" s="111"/>
      <c r="T168" s="4"/>
      <c r="U168" s="4"/>
      <c r="V168" s="4"/>
      <c r="W168" s="4"/>
      <c r="X168" s="4"/>
      <c r="Y168" s="4"/>
      <c r="Z168" s="4"/>
      <c r="AA168" s="4"/>
      <c r="AB168" s="4"/>
      <c r="AC168" s="4"/>
      <c r="AD168" s="4"/>
      <c r="AE168" s="4"/>
      <c r="AF168" s="4"/>
      <c r="AG168" s="4"/>
      <c r="AH168" s="4"/>
      <c r="AI168" s="4"/>
      <c r="AJ168" s="4"/>
      <c r="AK168" s="4"/>
      <c r="AL168" s="4"/>
      <c r="AM168" s="4"/>
      <c r="AN168" s="4"/>
    </row>
    <row r="169" spans="1:40" x14ac:dyDescent="0.2">
      <c r="A169" s="4"/>
      <c r="S169" s="111"/>
      <c r="T169" s="4"/>
      <c r="U169" s="4"/>
      <c r="V169" s="4"/>
      <c r="W169" s="4"/>
      <c r="X169" s="4"/>
      <c r="Y169" s="4"/>
      <c r="Z169" s="4"/>
      <c r="AA169" s="4"/>
      <c r="AB169" s="4"/>
      <c r="AC169" s="4"/>
      <c r="AD169" s="4"/>
      <c r="AE169" s="4"/>
      <c r="AF169" s="4"/>
      <c r="AG169" s="4"/>
      <c r="AH169" s="4"/>
      <c r="AI169" s="4"/>
      <c r="AJ169" s="4"/>
      <c r="AK169" s="4"/>
      <c r="AL169" s="4"/>
      <c r="AM169" s="4"/>
      <c r="AN169" s="4"/>
    </row>
    <row r="170" spans="1:40" x14ac:dyDescent="0.2">
      <c r="A170" s="4"/>
      <c r="S170" s="111"/>
      <c r="T170" s="4"/>
      <c r="U170" s="4"/>
      <c r="V170" s="4"/>
      <c r="W170" s="4"/>
      <c r="X170" s="4"/>
      <c r="Y170" s="4"/>
      <c r="Z170" s="4"/>
      <c r="AA170" s="4"/>
      <c r="AB170" s="4"/>
      <c r="AC170" s="4"/>
      <c r="AD170" s="4"/>
      <c r="AE170" s="4"/>
      <c r="AF170" s="4"/>
      <c r="AG170" s="4"/>
      <c r="AH170" s="4"/>
      <c r="AI170" s="4"/>
      <c r="AJ170" s="4"/>
      <c r="AK170" s="4"/>
      <c r="AL170" s="4"/>
      <c r="AM170" s="4"/>
      <c r="AN170" s="4"/>
    </row>
    <row r="171" spans="1:40" x14ac:dyDescent="0.2">
      <c r="A171" s="4"/>
      <c r="S171" s="111"/>
      <c r="T171" s="4"/>
      <c r="U171" s="4"/>
      <c r="V171" s="4"/>
      <c r="W171" s="4"/>
      <c r="X171" s="4"/>
      <c r="Y171" s="4"/>
      <c r="Z171" s="4"/>
      <c r="AA171" s="4"/>
      <c r="AB171" s="4"/>
      <c r="AC171" s="4"/>
      <c r="AD171" s="4"/>
      <c r="AE171" s="4"/>
      <c r="AF171" s="4"/>
      <c r="AG171" s="4"/>
      <c r="AH171" s="4"/>
      <c r="AI171" s="4"/>
      <c r="AJ171" s="4"/>
      <c r="AK171" s="4"/>
      <c r="AL171" s="4"/>
      <c r="AM171" s="4"/>
      <c r="AN171" s="4"/>
    </row>
    <row r="172" spans="1:40" x14ac:dyDescent="0.2">
      <c r="A172" s="4"/>
      <c r="S172" s="111"/>
      <c r="T172" s="4"/>
      <c r="U172" s="4"/>
      <c r="V172" s="4"/>
      <c r="W172" s="4"/>
      <c r="X172" s="4"/>
      <c r="Y172" s="4"/>
      <c r="Z172" s="4"/>
      <c r="AA172" s="4"/>
      <c r="AB172" s="4"/>
      <c r="AC172" s="4"/>
      <c r="AD172" s="4"/>
      <c r="AE172" s="4"/>
      <c r="AF172" s="4"/>
      <c r="AG172" s="4"/>
      <c r="AH172" s="4"/>
      <c r="AI172" s="4"/>
      <c r="AJ172" s="4"/>
      <c r="AK172" s="4"/>
      <c r="AL172" s="4"/>
      <c r="AM172" s="4"/>
      <c r="AN172" s="4"/>
    </row>
    <row r="173" spans="1:40" x14ac:dyDescent="0.2">
      <c r="A173" s="4"/>
      <c r="S173" s="111"/>
      <c r="T173" s="4"/>
      <c r="U173" s="4"/>
      <c r="V173" s="4"/>
      <c r="W173" s="4"/>
      <c r="X173" s="4"/>
      <c r="Y173" s="4"/>
      <c r="Z173" s="4"/>
      <c r="AA173" s="4"/>
      <c r="AB173" s="4"/>
      <c r="AC173" s="4"/>
      <c r="AD173" s="4"/>
      <c r="AE173" s="4"/>
      <c r="AF173" s="4"/>
      <c r="AG173" s="4"/>
      <c r="AH173" s="4"/>
      <c r="AI173" s="4"/>
      <c r="AJ173" s="4"/>
      <c r="AK173" s="4"/>
      <c r="AL173" s="4"/>
      <c r="AM173" s="4"/>
      <c r="AN173" s="4"/>
    </row>
    <row r="174" spans="1:40" x14ac:dyDescent="0.2">
      <c r="A174" s="4"/>
      <c r="S174" s="111"/>
      <c r="T174" s="4"/>
      <c r="U174" s="4"/>
      <c r="V174" s="4"/>
      <c r="W174" s="4"/>
      <c r="X174" s="4"/>
      <c r="Y174" s="4"/>
      <c r="Z174" s="4"/>
      <c r="AA174" s="4"/>
      <c r="AB174" s="4"/>
      <c r="AC174" s="4"/>
      <c r="AD174" s="4"/>
      <c r="AE174" s="4"/>
      <c r="AF174" s="4"/>
      <c r="AG174" s="4"/>
      <c r="AH174" s="4"/>
      <c r="AI174" s="4"/>
      <c r="AJ174" s="4"/>
      <c r="AK174" s="4"/>
      <c r="AL174" s="4"/>
      <c r="AM174" s="4"/>
      <c r="AN174" s="4"/>
    </row>
    <row r="175" spans="1:40" x14ac:dyDescent="0.2">
      <c r="A175" s="4"/>
      <c r="S175" s="111"/>
      <c r="T175" s="4"/>
      <c r="U175" s="4"/>
      <c r="V175" s="4"/>
      <c r="W175" s="4"/>
      <c r="X175" s="4"/>
      <c r="Y175" s="4"/>
      <c r="Z175" s="4"/>
      <c r="AA175" s="4"/>
      <c r="AB175" s="4"/>
      <c r="AC175" s="4"/>
      <c r="AD175" s="4"/>
      <c r="AE175" s="4"/>
      <c r="AF175" s="4"/>
      <c r="AG175" s="4"/>
      <c r="AH175" s="4"/>
      <c r="AI175" s="4"/>
      <c r="AJ175" s="4"/>
      <c r="AK175" s="4"/>
      <c r="AL175" s="4"/>
      <c r="AM175" s="4"/>
      <c r="AN175" s="4"/>
    </row>
    <row r="176" spans="1:40" x14ac:dyDescent="0.2">
      <c r="A176" s="4"/>
      <c r="S176" s="111"/>
      <c r="T176" s="4"/>
      <c r="U176" s="4"/>
      <c r="V176" s="4"/>
      <c r="W176" s="4"/>
      <c r="X176" s="4"/>
      <c r="Y176" s="4"/>
      <c r="Z176" s="4"/>
      <c r="AA176" s="4"/>
      <c r="AB176" s="4"/>
      <c r="AC176" s="4"/>
      <c r="AD176" s="4"/>
      <c r="AE176" s="4"/>
      <c r="AF176" s="4"/>
      <c r="AG176" s="4"/>
      <c r="AH176" s="4"/>
      <c r="AI176" s="4"/>
      <c r="AJ176" s="4"/>
      <c r="AK176" s="4"/>
      <c r="AL176" s="4"/>
      <c r="AM176" s="4"/>
      <c r="AN176" s="4"/>
    </row>
    <row r="177" spans="1:40" x14ac:dyDescent="0.2">
      <c r="A177" s="4"/>
      <c r="S177" s="111"/>
      <c r="T177" s="4"/>
      <c r="U177" s="4"/>
      <c r="V177" s="4"/>
      <c r="W177" s="4"/>
      <c r="X177" s="4"/>
      <c r="Y177" s="4"/>
      <c r="Z177" s="4"/>
      <c r="AA177" s="4"/>
      <c r="AB177" s="4"/>
      <c r="AC177" s="4"/>
      <c r="AD177" s="4"/>
      <c r="AE177" s="4"/>
      <c r="AF177" s="4"/>
      <c r="AG177" s="4"/>
      <c r="AH177" s="4"/>
      <c r="AI177" s="4"/>
      <c r="AJ177" s="4"/>
      <c r="AK177" s="4"/>
      <c r="AL177" s="4"/>
      <c r="AM177" s="4"/>
      <c r="AN177" s="4"/>
    </row>
    <row r="178" spans="1:40" x14ac:dyDescent="0.2">
      <c r="A178" s="4"/>
      <c r="S178" s="111"/>
      <c r="T178" s="4"/>
      <c r="U178" s="4"/>
      <c r="V178" s="4"/>
      <c r="W178" s="4"/>
      <c r="X178" s="4"/>
      <c r="Y178" s="4"/>
      <c r="Z178" s="4"/>
      <c r="AA178" s="4"/>
      <c r="AB178" s="4"/>
      <c r="AC178" s="4"/>
      <c r="AD178" s="4"/>
      <c r="AE178" s="4"/>
      <c r="AF178" s="4"/>
      <c r="AG178" s="4"/>
      <c r="AH178" s="4"/>
      <c r="AI178" s="4"/>
      <c r="AJ178" s="4"/>
      <c r="AK178" s="4"/>
      <c r="AL178" s="4"/>
      <c r="AM178" s="4"/>
      <c r="AN178" s="4"/>
    </row>
    <row r="179" spans="1:40" x14ac:dyDescent="0.2">
      <c r="A179" s="4"/>
      <c r="S179" s="111"/>
      <c r="T179" s="4"/>
      <c r="U179" s="4"/>
      <c r="V179" s="4"/>
      <c r="W179" s="4"/>
      <c r="X179" s="4"/>
      <c r="Y179" s="4"/>
      <c r="Z179" s="4"/>
      <c r="AA179" s="4"/>
      <c r="AB179" s="4"/>
      <c r="AC179" s="4"/>
      <c r="AD179" s="4"/>
      <c r="AE179" s="4"/>
      <c r="AF179" s="4"/>
      <c r="AG179" s="4"/>
      <c r="AH179" s="4"/>
      <c r="AI179" s="4"/>
      <c r="AJ179" s="4"/>
      <c r="AK179" s="4"/>
      <c r="AL179" s="4"/>
      <c r="AM179" s="4"/>
      <c r="AN179" s="4"/>
    </row>
    <row r="180" spans="1:40" x14ac:dyDescent="0.2">
      <c r="A180" s="4"/>
      <c r="S180" s="111"/>
      <c r="T180" s="4"/>
      <c r="U180" s="4"/>
      <c r="V180" s="4"/>
      <c r="W180" s="4"/>
      <c r="X180" s="4"/>
      <c r="Y180" s="4"/>
      <c r="Z180" s="4"/>
      <c r="AA180" s="4"/>
      <c r="AB180" s="4"/>
      <c r="AC180" s="4"/>
      <c r="AD180" s="4"/>
      <c r="AE180" s="4"/>
      <c r="AF180" s="4"/>
      <c r="AG180" s="4"/>
      <c r="AH180" s="4"/>
      <c r="AI180" s="4"/>
      <c r="AJ180" s="4"/>
      <c r="AK180" s="4"/>
      <c r="AL180" s="4"/>
      <c r="AM180" s="4"/>
      <c r="AN180" s="4"/>
    </row>
    <row r="181" spans="1:40" x14ac:dyDescent="0.2">
      <c r="A181" s="4"/>
      <c r="S181" s="111"/>
      <c r="T181" s="4"/>
      <c r="U181" s="4"/>
      <c r="V181" s="4"/>
      <c r="W181" s="4"/>
      <c r="X181" s="4"/>
      <c r="Y181" s="4"/>
      <c r="Z181" s="4"/>
      <c r="AA181" s="4"/>
      <c r="AB181" s="4"/>
      <c r="AC181" s="4"/>
      <c r="AD181" s="4"/>
      <c r="AE181" s="4"/>
      <c r="AF181" s="4"/>
      <c r="AG181" s="4"/>
      <c r="AH181" s="4"/>
      <c r="AI181" s="4"/>
      <c r="AJ181" s="4"/>
      <c r="AK181" s="4"/>
      <c r="AL181" s="4"/>
      <c r="AM181" s="4"/>
      <c r="AN181" s="4"/>
    </row>
    <row r="182" spans="1:40" x14ac:dyDescent="0.2">
      <c r="A182" s="4"/>
      <c r="S182" s="111"/>
      <c r="T182" s="4"/>
      <c r="U182" s="4"/>
      <c r="V182" s="4"/>
      <c r="W182" s="4"/>
      <c r="X182" s="4"/>
      <c r="Y182" s="4"/>
      <c r="Z182" s="4"/>
      <c r="AA182" s="4"/>
      <c r="AB182" s="4"/>
      <c r="AC182" s="4"/>
      <c r="AD182" s="4"/>
      <c r="AE182" s="4"/>
      <c r="AF182" s="4"/>
      <c r="AG182" s="4"/>
      <c r="AH182" s="4"/>
      <c r="AI182" s="4"/>
      <c r="AJ182" s="4"/>
      <c r="AK182" s="4"/>
      <c r="AL182" s="4"/>
      <c r="AM182" s="4"/>
      <c r="AN182" s="4"/>
    </row>
    <row r="183" spans="1:40" x14ac:dyDescent="0.2">
      <c r="A183" s="4"/>
      <c r="S183" s="111"/>
      <c r="T183" s="4"/>
      <c r="U183" s="4"/>
      <c r="V183" s="4"/>
      <c r="W183" s="4"/>
      <c r="X183" s="4"/>
      <c r="Y183" s="4"/>
      <c r="Z183" s="4"/>
      <c r="AA183" s="4"/>
      <c r="AB183" s="4"/>
      <c r="AC183" s="4"/>
      <c r="AD183" s="4"/>
      <c r="AE183" s="4"/>
      <c r="AF183" s="4"/>
      <c r="AG183" s="4"/>
      <c r="AH183" s="4"/>
      <c r="AI183" s="4"/>
      <c r="AJ183" s="4"/>
      <c r="AK183" s="4"/>
      <c r="AL183" s="4"/>
      <c r="AM183" s="4"/>
      <c r="AN183" s="4"/>
    </row>
    <row r="184" spans="1:40" x14ac:dyDescent="0.2">
      <c r="A184" s="4"/>
      <c r="S184" s="111"/>
      <c r="T184" s="4"/>
      <c r="U184" s="4"/>
      <c r="V184" s="4"/>
      <c r="W184" s="4"/>
      <c r="X184" s="4"/>
      <c r="Y184" s="4"/>
      <c r="Z184" s="4"/>
      <c r="AA184" s="4"/>
      <c r="AB184" s="4"/>
      <c r="AC184" s="4"/>
      <c r="AD184" s="4"/>
      <c r="AE184" s="4"/>
      <c r="AF184" s="4"/>
      <c r="AG184" s="4"/>
      <c r="AH184" s="4"/>
      <c r="AI184" s="4"/>
      <c r="AJ184" s="4"/>
      <c r="AK184" s="4"/>
      <c r="AL184" s="4"/>
      <c r="AM184" s="4"/>
      <c r="AN184" s="4"/>
    </row>
    <row r="185" spans="1:40" x14ac:dyDescent="0.2">
      <c r="A185" s="4"/>
      <c r="S185" s="111"/>
      <c r="T185" s="4"/>
      <c r="U185" s="4"/>
      <c r="V185" s="4"/>
      <c r="W185" s="4"/>
      <c r="X185" s="4"/>
      <c r="Y185" s="4"/>
      <c r="Z185" s="4"/>
      <c r="AA185" s="4"/>
      <c r="AB185" s="4"/>
      <c r="AC185" s="4"/>
      <c r="AD185" s="4"/>
      <c r="AE185" s="4"/>
      <c r="AF185" s="4"/>
      <c r="AG185" s="4"/>
      <c r="AH185" s="4"/>
      <c r="AI185" s="4"/>
      <c r="AJ185" s="4"/>
      <c r="AK185" s="4"/>
      <c r="AL185" s="4"/>
      <c r="AM185" s="4"/>
      <c r="AN185" s="4"/>
    </row>
    <row r="186" spans="1:40" x14ac:dyDescent="0.2">
      <c r="A186" s="4"/>
      <c r="S186" s="111"/>
      <c r="T186" s="4"/>
      <c r="U186" s="4"/>
      <c r="V186" s="4"/>
      <c r="W186" s="4"/>
      <c r="X186" s="4"/>
      <c r="Y186" s="4"/>
      <c r="Z186" s="4"/>
      <c r="AA186" s="4"/>
      <c r="AB186" s="4"/>
      <c r="AC186" s="4"/>
      <c r="AD186" s="4"/>
      <c r="AE186" s="4"/>
      <c r="AF186" s="4"/>
      <c r="AG186" s="4"/>
      <c r="AH186" s="4"/>
      <c r="AI186" s="4"/>
      <c r="AJ186" s="4"/>
      <c r="AK186" s="4"/>
      <c r="AL186" s="4"/>
      <c r="AM186" s="4"/>
      <c r="AN186" s="4"/>
    </row>
    <row r="187" spans="1:40" x14ac:dyDescent="0.2">
      <c r="A187" s="4"/>
      <c r="S187" s="111"/>
      <c r="T187" s="4"/>
      <c r="U187" s="4"/>
      <c r="V187" s="4"/>
      <c r="W187" s="4"/>
      <c r="X187" s="4"/>
      <c r="Y187" s="4"/>
      <c r="Z187" s="4"/>
      <c r="AA187" s="4"/>
      <c r="AB187" s="4"/>
      <c r="AC187" s="4"/>
      <c r="AD187" s="4"/>
      <c r="AE187" s="4"/>
      <c r="AF187" s="4"/>
      <c r="AG187" s="4"/>
      <c r="AH187" s="4"/>
      <c r="AI187" s="4"/>
      <c r="AJ187" s="4"/>
      <c r="AK187" s="4"/>
      <c r="AL187" s="4"/>
      <c r="AM187" s="4"/>
      <c r="AN187" s="4"/>
    </row>
    <row r="188" spans="1:40" x14ac:dyDescent="0.2">
      <c r="A188" s="4"/>
      <c r="S188" s="111"/>
      <c r="T188" s="4"/>
      <c r="U188" s="4"/>
      <c r="V188" s="4"/>
      <c r="W188" s="4"/>
      <c r="X188" s="4"/>
      <c r="Y188" s="4"/>
      <c r="Z188" s="4"/>
      <c r="AA188" s="4"/>
      <c r="AB188" s="4"/>
      <c r="AC188" s="4"/>
      <c r="AD188" s="4"/>
      <c r="AE188" s="4"/>
      <c r="AF188" s="4"/>
      <c r="AG188" s="4"/>
      <c r="AH188" s="4"/>
      <c r="AI188" s="4"/>
      <c r="AJ188" s="4"/>
      <c r="AK188" s="4"/>
      <c r="AL188" s="4"/>
      <c r="AM188" s="4"/>
      <c r="AN188" s="4"/>
    </row>
    <row r="189" spans="1:40" x14ac:dyDescent="0.2">
      <c r="A189" s="4"/>
      <c r="S189" s="111"/>
      <c r="T189" s="4"/>
      <c r="U189" s="4"/>
      <c r="V189" s="4"/>
      <c r="W189" s="4"/>
      <c r="X189" s="4"/>
      <c r="Y189" s="4"/>
      <c r="Z189" s="4"/>
      <c r="AA189" s="4"/>
      <c r="AB189" s="4"/>
      <c r="AC189" s="4"/>
      <c r="AD189" s="4"/>
      <c r="AE189" s="4"/>
      <c r="AF189" s="4"/>
      <c r="AG189" s="4"/>
      <c r="AH189" s="4"/>
      <c r="AI189" s="4"/>
      <c r="AJ189" s="4"/>
      <c r="AK189" s="4"/>
      <c r="AL189" s="4"/>
      <c r="AM189" s="4"/>
      <c r="AN189" s="4"/>
    </row>
    <row r="190" spans="1:40" x14ac:dyDescent="0.2">
      <c r="A190" s="4"/>
      <c r="S190" s="111"/>
      <c r="T190" s="4"/>
      <c r="U190" s="4"/>
      <c r="V190" s="4"/>
      <c r="W190" s="4"/>
      <c r="X190" s="4"/>
      <c r="Y190" s="4"/>
      <c r="Z190" s="4"/>
      <c r="AA190" s="4"/>
      <c r="AB190" s="4"/>
      <c r="AC190" s="4"/>
      <c r="AD190" s="4"/>
      <c r="AE190" s="4"/>
      <c r="AF190" s="4"/>
      <c r="AG190" s="4"/>
      <c r="AH190" s="4"/>
      <c r="AI190" s="4"/>
      <c r="AJ190" s="4"/>
      <c r="AK190" s="4"/>
      <c r="AL190" s="4"/>
      <c r="AM190" s="4"/>
      <c r="AN190" s="4"/>
    </row>
    <row r="191" spans="1:40" x14ac:dyDescent="0.2">
      <c r="A191" s="4"/>
      <c r="S191" s="111"/>
      <c r="T191" s="4"/>
      <c r="U191" s="4"/>
      <c r="V191" s="4"/>
      <c r="W191" s="4"/>
      <c r="X191" s="4"/>
      <c r="Y191" s="4"/>
      <c r="Z191" s="4"/>
      <c r="AA191" s="4"/>
      <c r="AB191" s="4"/>
      <c r="AC191" s="4"/>
      <c r="AD191" s="4"/>
      <c r="AE191" s="4"/>
      <c r="AF191" s="4"/>
      <c r="AG191" s="4"/>
      <c r="AH191" s="4"/>
      <c r="AI191" s="4"/>
      <c r="AJ191" s="4"/>
      <c r="AK191" s="4"/>
      <c r="AL191" s="4"/>
      <c r="AM191" s="4"/>
      <c r="AN191" s="4"/>
    </row>
    <row r="192" spans="1:40" x14ac:dyDescent="0.2">
      <c r="A192" s="4"/>
      <c r="S192" s="111"/>
      <c r="T192" s="4"/>
      <c r="U192" s="4"/>
      <c r="V192" s="4"/>
      <c r="W192" s="4"/>
      <c r="X192" s="4"/>
      <c r="Y192" s="4"/>
      <c r="Z192" s="4"/>
      <c r="AA192" s="4"/>
      <c r="AB192" s="4"/>
      <c r="AC192" s="4"/>
      <c r="AD192" s="4"/>
      <c r="AE192" s="4"/>
      <c r="AF192" s="4"/>
      <c r="AG192" s="4"/>
      <c r="AH192" s="4"/>
      <c r="AI192" s="4"/>
      <c r="AJ192" s="4"/>
      <c r="AK192" s="4"/>
      <c r="AL192" s="4"/>
      <c r="AM192" s="4"/>
      <c r="AN192" s="4"/>
    </row>
    <row r="193" spans="1:40" x14ac:dyDescent="0.2">
      <c r="A193" s="4"/>
      <c r="S193" s="111"/>
      <c r="T193" s="4"/>
      <c r="U193" s="4"/>
      <c r="V193" s="4"/>
      <c r="W193" s="4"/>
      <c r="X193" s="4"/>
      <c r="Y193" s="4"/>
      <c r="Z193" s="4"/>
      <c r="AA193" s="4"/>
      <c r="AB193" s="4"/>
      <c r="AC193" s="4"/>
      <c r="AD193" s="4"/>
      <c r="AE193" s="4"/>
      <c r="AF193" s="4"/>
      <c r="AG193" s="4"/>
      <c r="AH193" s="4"/>
      <c r="AI193" s="4"/>
      <c r="AJ193" s="4"/>
      <c r="AK193" s="4"/>
      <c r="AL193" s="4"/>
      <c r="AM193" s="4"/>
      <c r="AN193" s="4"/>
    </row>
    <row r="194" spans="1:40" x14ac:dyDescent="0.2">
      <c r="A194" s="4"/>
      <c r="S194" s="111"/>
      <c r="T194" s="4"/>
      <c r="U194" s="4"/>
      <c r="V194" s="4"/>
      <c r="W194" s="4"/>
      <c r="X194" s="4"/>
      <c r="Y194" s="4"/>
      <c r="Z194" s="4"/>
      <c r="AA194" s="4"/>
      <c r="AB194" s="4"/>
      <c r="AC194" s="4"/>
      <c r="AD194" s="4"/>
      <c r="AE194" s="4"/>
      <c r="AF194" s="4"/>
      <c r="AG194" s="4"/>
      <c r="AH194" s="4"/>
      <c r="AI194" s="4"/>
      <c r="AJ194" s="4"/>
      <c r="AK194" s="4"/>
      <c r="AL194" s="4"/>
      <c r="AM194" s="4"/>
      <c r="AN194" s="4"/>
    </row>
    <row r="195" spans="1:40" x14ac:dyDescent="0.2">
      <c r="A195" s="4"/>
      <c r="S195" s="111"/>
      <c r="T195" s="4"/>
      <c r="U195" s="4"/>
      <c r="V195" s="4"/>
      <c r="W195" s="4"/>
      <c r="X195" s="4"/>
      <c r="Y195" s="4"/>
      <c r="Z195" s="4"/>
      <c r="AA195" s="4"/>
      <c r="AB195" s="4"/>
      <c r="AC195" s="4"/>
      <c r="AD195" s="4"/>
      <c r="AE195" s="4"/>
      <c r="AF195" s="4"/>
      <c r="AG195" s="4"/>
      <c r="AH195" s="4"/>
      <c r="AI195" s="4"/>
      <c r="AJ195" s="4"/>
      <c r="AK195" s="4"/>
      <c r="AL195" s="4"/>
      <c r="AM195" s="4"/>
      <c r="AN195" s="4"/>
    </row>
    <row r="196" spans="1:40" x14ac:dyDescent="0.2">
      <c r="A196" s="4"/>
      <c r="S196" s="111"/>
      <c r="T196" s="4"/>
      <c r="U196" s="4"/>
      <c r="V196" s="4"/>
      <c r="W196" s="4"/>
      <c r="X196" s="4"/>
      <c r="Y196" s="4"/>
      <c r="Z196" s="4"/>
      <c r="AA196" s="4"/>
      <c r="AB196" s="4"/>
      <c r="AC196" s="4"/>
      <c r="AD196" s="4"/>
      <c r="AE196" s="4"/>
      <c r="AF196" s="4"/>
      <c r="AG196" s="4"/>
      <c r="AH196" s="4"/>
      <c r="AI196" s="4"/>
      <c r="AJ196" s="4"/>
      <c r="AK196" s="4"/>
      <c r="AL196" s="4"/>
      <c r="AM196" s="4"/>
      <c r="AN196" s="4"/>
    </row>
    <row r="197" spans="1:40" x14ac:dyDescent="0.2">
      <c r="A197" s="4"/>
      <c r="S197" s="111"/>
      <c r="T197" s="4"/>
      <c r="U197" s="4"/>
      <c r="V197" s="4"/>
      <c r="W197" s="4"/>
      <c r="X197" s="4"/>
      <c r="Y197" s="4"/>
      <c r="Z197" s="4"/>
      <c r="AA197" s="4"/>
      <c r="AB197" s="4"/>
      <c r="AC197" s="4"/>
      <c r="AD197" s="4"/>
      <c r="AE197" s="4"/>
      <c r="AF197" s="4"/>
      <c r="AG197" s="4"/>
      <c r="AH197" s="4"/>
      <c r="AI197" s="4"/>
      <c r="AJ197" s="4"/>
      <c r="AK197" s="4"/>
      <c r="AL197" s="4"/>
      <c r="AM197" s="4"/>
      <c r="AN197" s="4"/>
    </row>
    <row r="198" spans="1:40" x14ac:dyDescent="0.2">
      <c r="A198" s="4"/>
      <c r="S198" s="111"/>
      <c r="T198" s="4"/>
      <c r="U198" s="4"/>
      <c r="V198" s="4"/>
      <c r="W198" s="4"/>
      <c r="X198" s="4"/>
      <c r="Y198" s="4"/>
      <c r="Z198" s="4"/>
      <c r="AA198" s="4"/>
      <c r="AB198" s="4"/>
      <c r="AC198" s="4"/>
      <c r="AD198" s="4"/>
      <c r="AE198" s="4"/>
      <c r="AF198" s="4"/>
      <c r="AG198" s="4"/>
      <c r="AH198" s="4"/>
      <c r="AI198" s="4"/>
      <c r="AJ198" s="4"/>
      <c r="AK198" s="4"/>
      <c r="AL198" s="4"/>
      <c r="AM198" s="4"/>
      <c r="AN198" s="4"/>
    </row>
    <row r="199" spans="1:40" x14ac:dyDescent="0.2">
      <c r="A199" s="4"/>
      <c r="S199" s="111"/>
      <c r="T199" s="4"/>
      <c r="U199" s="4"/>
      <c r="V199" s="4"/>
      <c r="W199" s="4"/>
      <c r="X199" s="4"/>
      <c r="Y199" s="4"/>
      <c r="Z199" s="4"/>
      <c r="AA199" s="4"/>
      <c r="AB199" s="4"/>
      <c r="AC199" s="4"/>
      <c r="AD199" s="4"/>
      <c r="AE199" s="4"/>
      <c r="AF199" s="4"/>
      <c r="AG199" s="4"/>
      <c r="AH199" s="4"/>
      <c r="AI199" s="4"/>
      <c r="AJ199" s="4"/>
      <c r="AK199" s="4"/>
      <c r="AL199" s="4"/>
      <c r="AM199" s="4"/>
      <c r="AN199" s="4"/>
    </row>
    <row r="200" spans="1:40" x14ac:dyDescent="0.2">
      <c r="A200" s="4"/>
      <c r="S200" s="111"/>
      <c r="T200" s="4"/>
      <c r="U200" s="4"/>
      <c r="V200" s="4"/>
      <c r="W200" s="4"/>
      <c r="X200" s="4"/>
      <c r="Y200" s="4"/>
      <c r="Z200" s="4"/>
      <c r="AA200" s="4"/>
      <c r="AB200" s="4"/>
      <c r="AC200" s="4"/>
      <c r="AD200" s="4"/>
      <c r="AE200" s="4"/>
      <c r="AF200" s="4"/>
      <c r="AG200" s="4"/>
      <c r="AH200" s="4"/>
      <c r="AI200" s="4"/>
      <c r="AJ200" s="4"/>
      <c r="AK200" s="4"/>
      <c r="AL200" s="4"/>
      <c r="AM200" s="4"/>
      <c r="AN200" s="4"/>
    </row>
    <row r="201" spans="1:40" x14ac:dyDescent="0.2">
      <c r="A201" s="4"/>
      <c r="S201" s="111"/>
      <c r="T201" s="4"/>
      <c r="U201" s="4"/>
      <c r="V201" s="4"/>
      <c r="W201" s="4"/>
      <c r="X201" s="4"/>
      <c r="Y201" s="4"/>
      <c r="Z201" s="4"/>
      <c r="AA201" s="4"/>
      <c r="AB201" s="4"/>
      <c r="AC201" s="4"/>
      <c r="AD201" s="4"/>
      <c r="AE201" s="4"/>
      <c r="AF201" s="4"/>
      <c r="AG201" s="4"/>
      <c r="AH201" s="4"/>
      <c r="AI201" s="4"/>
      <c r="AJ201" s="4"/>
      <c r="AK201" s="4"/>
      <c r="AL201" s="4"/>
      <c r="AM201" s="4"/>
      <c r="AN201" s="4"/>
    </row>
    <row r="202" spans="1:40" x14ac:dyDescent="0.2">
      <c r="A202" s="4"/>
      <c r="S202" s="111"/>
      <c r="T202" s="4"/>
      <c r="U202" s="4"/>
      <c r="V202" s="4"/>
      <c r="W202" s="4"/>
      <c r="X202" s="4"/>
      <c r="Y202" s="4"/>
      <c r="Z202" s="4"/>
      <c r="AA202" s="4"/>
      <c r="AB202" s="4"/>
      <c r="AC202" s="4"/>
      <c r="AD202" s="4"/>
      <c r="AE202" s="4"/>
      <c r="AF202" s="4"/>
      <c r="AG202" s="4"/>
      <c r="AH202" s="4"/>
      <c r="AI202" s="4"/>
      <c r="AJ202" s="4"/>
      <c r="AK202" s="4"/>
      <c r="AL202" s="4"/>
      <c r="AM202" s="4"/>
      <c r="AN202" s="4"/>
    </row>
    <row r="203" spans="1:40" x14ac:dyDescent="0.2">
      <c r="A203" s="4"/>
      <c r="S203" s="111"/>
      <c r="T203" s="4"/>
      <c r="U203" s="4"/>
      <c r="V203" s="4"/>
      <c r="W203" s="4"/>
      <c r="X203" s="4"/>
      <c r="Y203" s="4"/>
      <c r="Z203" s="4"/>
      <c r="AA203" s="4"/>
      <c r="AB203" s="4"/>
      <c r="AC203" s="4"/>
      <c r="AD203" s="4"/>
      <c r="AE203" s="4"/>
      <c r="AF203" s="4"/>
      <c r="AG203" s="4"/>
      <c r="AH203" s="4"/>
      <c r="AI203" s="4"/>
      <c r="AJ203" s="4"/>
      <c r="AK203" s="4"/>
      <c r="AL203" s="4"/>
      <c r="AM203" s="4"/>
      <c r="AN203" s="4"/>
    </row>
    <row r="204" spans="1:40" x14ac:dyDescent="0.2">
      <c r="A204" s="4"/>
      <c r="S204" s="111"/>
      <c r="T204" s="4"/>
      <c r="U204" s="4"/>
      <c r="V204" s="4"/>
      <c r="W204" s="4"/>
      <c r="X204" s="4"/>
      <c r="Y204" s="4"/>
      <c r="Z204" s="4"/>
      <c r="AA204" s="4"/>
      <c r="AB204" s="4"/>
      <c r="AC204" s="4"/>
      <c r="AD204" s="4"/>
      <c r="AE204" s="4"/>
      <c r="AF204" s="4"/>
      <c r="AG204" s="4"/>
      <c r="AH204" s="4"/>
      <c r="AI204" s="4"/>
      <c r="AJ204" s="4"/>
      <c r="AK204" s="4"/>
      <c r="AL204" s="4"/>
      <c r="AM204" s="4"/>
      <c r="AN204" s="4"/>
    </row>
  </sheetData>
  <sheetProtection algorithmName="SHA-512" hashValue="Oh/06MmXX6dSFRmdvGc0dKmzFwfpp3Qy6xjdBSnn81cuN4YAErqVC3WK74iGIU3W3ugHmrqu0PR1aBBpjOeBLA==" saltValue="uUmc4DkIEoTkPR5KvC4q7g==" spinCount="100000" sheet="1" selectLockedCells="1"/>
  <mergeCells count="2">
    <mergeCell ref="B1:O1"/>
    <mergeCell ref="G3:J3"/>
  </mergeCells>
  <conditionalFormatting sqref="G5:J34">
    <cfRule type="expression" dxfId="153" priority="1">
      <formula>$E5=""</formula>
    </cfRule>
  </conditionalFormatting>
  <dataValidations count="2">
    <dataValidation type="list" allowBlank="1" showInputMessage="1" showErrorMessage="1" sqref="G6:G34 G5" xr:uid="{8F523584-AFBA-4584-B422-4C8A10CA7942}">
      <formula1>List_EffWindow_Direction</formula1>
    </dataValidation>
    <dataValidation type="list" allowBlank="1" showInputMessage="1" showErrorMessage="1" sqref="E5:E34" xr:uid="{690A4897-E60B-44A3-95D0-DB9C586E4DCB}">
      <formula1>List_EffWindow_Measure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CB4-A43F-4ED1-977B-2A8AD658E279}">
  <sheetPr>
    <tabColor theme="4"/>
  </sheetPr>
  <dimension ref="A1:AM204"/>
  <sheetViews>
    <sheetView showGridLines="0" showRowColHeaders="0" workbookViewId="0">
      <selection activeCell="D5" sqref="D5"/>
    </sheetView>
  </sheetViews>
  <sheetFormatPr defaultColWidth="9.140625" defaultRowHeight="12.75" customHeight="1" x14ac:dyDescent="0.2"/>
  <cols>
    <col min="1" max="1" width="2.140625" customWidth="1"/>
    <col min="2" max="2" width="5.28515625" customWidth="1"/>
    <col min="3" max="3" width="8.140625" customWidth="1"/>
    <col min="4" max="4" width="17.42578125" customWidth="1"/>
    <col min="5" max="6" width="29.85546875" customWidth="1"/>
    <col min="7" max="7" width="11.5703125" customWidth="1"/>
    <col min="8" max="8" width="12.42578125" customWidth="1"/>
    <col min="9" max="9" width="9.85546875" customWidth="1"/>
    <col min="10" max="10" width="10" customWidth="1"/>
    <col min="11" max="11" width="11" customWidth="1"/>
    <col min="12" max="12" width="12" customWidth="1"/>
    <col min="13" max="13" width="11.85546875" customWidth="1"/>
    <col min="14" max="15" width="10.28515625" customWidth="1"/>
    <col min="16" max="16" width="13.42578125" customWidth="1"/>
    <col min="17" max="17" width="9.5703125" customWidth="1"/>
  </cols>
  <sheetData>
    <row r="1" spans="1:39" ht="37.5" customHeight="1" x14ac:dyDescent="0.2">
      <c r="B1" s="293" t="s">
        <v>125</v>
      </c>
      <c r="C1" s="293"/>
      <c r="D1" s="293"/>
      <c r="E1" s="293"/>
      <c r="F1" s="293"/>
      <c r="G1" s="293"/>
      <c r="H1" s="293"/>
      <c r="I1" s="293"/>
      <c r="J1" s="293"/>
      <c r="K1" s="293"/>
      <c r="L1" s="293"/>
      <c r="M1" s="293"/>
      <c r="N1" s="293"/>
      <c r="O1" s="149"/>
      <c r="P1" s="149"/>
      <c r="Q1" s="149"/>
    </row>
    <row r="2" spans="1:39" x14ac:dyDescent="0.2">
      <c r="K2" s="4"/>
    </row>
    <row r="3" spans="1:39" x14ac:dyDescent="0.2">
      <c r="A3" s="4"/>
      <c r="G3" s="319" t="s">
        <v>75</v>
      </c>
      <c r="H3" s="320"/>
      <c r="I3" s="321"/>
      <c r="J3" s="82" t="s">
        <v>76</v>
      </c>
      <c r="K3" s="143">
        <f>SUM(Table_Controls_Input22[Estimated Incentive])</f>
        <v>0</v>
      </c>
      <c r="L3" s="81">
        <f>SUM(Table_Controls_Input22[Energy Savings (kWh)])</f>
        <v>0</v>
      </c>
      <c r="M3" s="80">
        <f>SUM(Table_Controls_Input22[Demand Reduction (kW)])</f>
        <v>0</v>
      </c>
      <c r="N3" s="144">
        <f>SUM(Table_Controls_Input22[Cost Savings])</f>
        <v>0</v>
      </c>
      <c r="O3" s="144">
        <f>SUM(Table_Controls_Input22[Gross Measure Cost])</f>
        <v>0</v>
      </c>
      <c r="P3" s="144">
        <f>SUM(Table_Controls_Input22[Net Measure Cost])</f>
        <v>0</v>
      </c>
      <c r="Q3" s="81" t="str">
        <f>IFERROR(P3/N3,"")</f>
        <v/>
      </c>
      <c r="R3" s="4"/>
      <c r="S3" s="4"/>
      <c r="T3" s="4"/>
      <c r="U3" s="4"/>
      <c r="V3" s="4"/>
      <c r="W3" s="4"/>
      <c r="X3" s="4"/>
      <c r="Y3" s="4"/>
      <c r="Z3" s="4"/>
      <c r="AA3" s="4"/>
      <c r="AB3" s="4"/>
      <c r="AC3" s="4"/>
      <c r="AD3" s="4"/>
      <c r="AE3" s="4"/>
      <c r="AF3" s="4"/>
      <c r="AG3" s="4"/>
      <c r="AH3" s="4"/>
      <c r="AI3" s="4"/>
      <c r="AJ3" s="4"/>
      <c r="AK3" s="4"/>
      <c r="AL3" s="4"/>
      <c r="AM3" s="4"/>
    </row>
    <row r="4" spans="1:39" ht="38.25" x14ac:dyDescent="0.2">
      <c r="A4" s="16"/>
      <c r="B4" s="62" t="s">
        <v>77</v>
      </c>
      <c r="C4" s="63" t="s">
        <v>78</v>
      </c>
      <c r="D4" s="66" t="s">
        <v>79</v>
      </c>
      <c r="E4" s="63" t="s">
        <v>126</v>
      </c>
      <c r="F4" s="64" t="s">
        <v>81</v>
      </c>
      <c r="G4" s="65" t="s">
        <v>82</v>
      </c>
      <c r="H4" s="65" t="s">
        <v>86</v>
      </c>
      <c r="I4" s="65" t="s">
        <v>87</v>
      </c>
      <c r="J4" s="64" t="s">
        <v>88</v>
      </c>
      <c r="K4" s="64" t="s">
        <v>89</v>
      </c>
      <c r="L4" s="64" t="s">
        <v>90</v>
      </c>
      <c r="M4" s="64" t="s">
        <v>91</v>
      </c>
      <c r="N4" s="64" t="s">
        <v>92</v>
      </c>
      <c r="O4" s="64" t="s">
        <v>93</v>
      </c>
      <c r="P4" s="64" t="s">
        <v>94</v>
      </c>
      <c r="Q4" s="64" t="s">
        <v>95</v>
      </c>
      <c r="R4" s="16"/>
      <c r="S4" s="16"/>
      <c r="T4" s="16"/>
      <c r="U4" s="16"/>
      <c r="V4" s="16"/>
      <c r="W4" s="16"/>
      <c r="X4" s="16"/>
      <c r="Y4" s="16"/>
      <c r="Z4" s="16"/>
      <c r="AA4" s="16"/>
      <c r="AB4" s="16"/>
      <c r="AC4" s="16"/>
      <c r="AD4" s="16"/>
      <c r="AE4" s="16"/>
      <c r="AF4" s="16"/>
      <c r="AG4" s="16"/>
      <c r="AH4" s="16"/>
      <c r="AI4" s="16"/>
      <c r="AJ4" s="16"/>
      <c r="AK4" s="16"/>
      <c r="AL4" s="16"/>
      <c r="AM4" s="16"/>
    </row>
    <row r="5" spans="1:39" x14ac:dyDescent="0.2">
      <c r="A5" s="3"/>
      <c r="B5" s="71">
        <v>1</v>
      </c>
      <c r="C5" s="69" t="str">
        <f>IFERROR(INDEX(Table_Prescript_Meas[Measure Number], MATCH(E5, Table_Prescript_Meas[Measure Description], 0)), "")</f>
        <v/>
      </c>
      <c r="D5" s="61"/>
      <c r="E5" s="60"/>
      <c r="F5" s="69" t="str">
        <f>IFERROR(INDEX(Table_Prescript_Meas[Units], MATCH(Table_Controls_Input22[[#This Row],[Measure Number]], Table_Prescript_Meas[Measure Number], 0)), "")</f>
        <v/>
      </c>
      <c r="G5" s="272"/>
      <c r="H5" s="155"/>
      <c r="I5" s="155"/>
      <c r="J5"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5" s="72" t="str">
        <f>IFERROR(Table_Controls_Input22[[#This Row],[Number of Units]]*Table_Controls_Input22[[#This Row],[Per-Unit Incentive]], "")</f>
        <v/>
      </c>
      <c r="L5" s="73" t="str">
        <f>IFERROR(Table_Controls_Input22[[#This Row],[Number of Units]]*INDEX(Table_Prescript_Meas[Deemed kWh Savings], MATCH(Table_Controls_Input22[[#This Row],[Measure Number]], Table_Prescript_Meas[Measure Number], 0)),"" )</f>
        <v/>
      </c>
      <c r="M5" s="79" t="str">
        <f>IFERROR(Table_Controls_Input22[[#This Row],[Number of Units]]*INDEX(Table_Prescript_Meas[Deemed kW Savings], MATCH(Table_Controls_Input22[[#This Row],[Measure Number]], Table_Prescript_Meas[Measure Number], 0)),"" )</f>
        <v/>
      </c>
      <c r="N5" s="72" t="str">
        <f t="shared" ref="N5" si="0">IFERROR(L5*Input_AvgkWhRate, "")</f>
        <v/>
      </c>
      <c r="O5" s="72" t="str">
        <f>IF(Table_Controls_Input22[[#This Row],[Measure Number]]="", "", Table_Controls_Input22[[#This Row],[Total Equipment Cost]]+Table_Controls_Input22[[#This Row],[Total Labor Cost]])</f>
        <v/>
      </c>
      <c r="P5" s="72" t="str">
        <f>IFERROR(Table_Controls_Input22[[#This Row],[Gross Measure Cost]]-Table_Controls_Input22[[#This Row],[Estimated Incentive]], "")</f>
        <v/>
      </c>
      <c r="Q5" s="73" t="str">
        <f t="shared" ref="Q5:Q34" si="1">IFERROR($P5/$N5,"")</f>
        <v/>
      </c>
      <c r="R5" s="3"/>
      <c r="S5" s="3"/>
      <c r="T5" s="3"/>
      <c r="U5" s="3"/>
      <c r="V5" s="3"/>
      <c r="W5" s="3"/>
      <c r="X5" s="3"/>
      <c r="Y5" s="3"/>
      <c r="Z5" s="3"/>
      <c r="AA5" s="3"/>
      <c r="AB5" s="3"/>
      <c r="AC5" s="3"/>
      <c r="AD5" s="3"/>
      <c r="AE5" s="3"/>
      <c r="AF5" s="3"/>
      <c r="AG5" s="3"/>
      <c r="AH5" s="3"/>
      <c r="AI5" s="3"/>
      <c r="AJ5" s="3"/>
      <c r="AK5" s="3"/>
      <c r="AL5" s="3"/>
      <c r="AM5" s="3"/>
    </row>
    <row r="6" spans="1:39" x14ac:dyDescent="0.2">
      <c r="A6" s="3"/>
      <c r="B6" s="71">
        <v>2</v>
      </c>
      <c r="C6" s="69" t="str">
        <f>IFERROR(INDEX(Table_Prescript_Meas[Measure Number], MATCH(E6, Table_Prescript_Meas[Measure Description], 0)), "")</f>
        <v/>
      </c>
      <c r="D6" s="61"/>
      <c r="E6" s="60"/>
      <c r="F6" s="69" t="str">
        <f>IFERROR(INDEX(Table_Prescript_Meas[Units], MATCH(Table_Controls_Input22[[#This Row],[Measure Number]], Table_Prescript_Meas[Measure Number], 0)), "")</f>
        <v/>
      </c>
      <c r="G6" s="272"/>
      <c r="H6" s="155"/>
      <c r="I6" s="155"/>
      <c r="J6"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6" s="72" t="str">
        <f>IFERROR(Table_Controls_Input22[[#This Row],[Number of Units]]*Table_Controls_Input22[[#This Row],[Per-Unit Incentive]], "")</f>
        <v/>
      </c>
      <c r="L6" s="73" t="str">
        <f>IFERROR(Table_Controls_Input22[[#This Row],[Number of Units]]*INDEX(Table_Prescript_Meas[Deemed kWh Savings], MATCH(Table_Controls_Input22[[#This Row],[Measure Number]], Table_Prescript_Meas[Measure Number], 0)),"" )</f>
        <v/>
      </c>
      <c r="M6" s="79" t="str">
        <f>IFERROR(Table_Controls_Input22[[#This Row],[Number of Units]]*INDEX(Table_Prescript_Meas[Deemed kW Savings], MATCH(Table_Controls_Input22[[#This Row],[Measure Number]], Table_Prescript_Meas[Measure Number], 0)),"" )</f>
        <v/>
      </c>
      <c r="N6" s="72" t="str">
        <f t="shared" ref="N6:N34" si="2">IFERROR(L6*Input_AvgkWhRate, "")</f>
        <v/>
      </c>
      <c r="O6" s="72" t="str">
        <f>IF(Table_Controls_Input22[[#This Row],[Measure Number]]="", "", Table_Controls_Input22[[#This Row],[Total Equipment Cost]]+Table_Controls_Input22[[#This Row],[Total Labor Cost]])</f>
        <v/>
      </c>
      <c r="P6" s="72" t="str">
        <f>IFERROR(Table_Controls_Input22[[#This Row],[Gross Measure Cost]]-Table_Controls_Input22[[#This Row],[Estimated Incentive]], "")</f>
        <v/>
      </c>
      <c r="Q6" s="73" t="str">
        <f t="shared" si="1"/>
        <v/>
      </c>
      <c r="R6" s="3"/>
      <c r="S6" s="3"/>
      <c r="T6" s="3"/>
      <c r="U6" s="3"/>
      <c r="V6" s="3"/>
      <c r="W6" s="3"/>
      <c r="X6" s="3"/>
      <c r="Y6" s="3"/>
      <c r="Z6" s="3"/>
      <c r="AA6" s="3"/>
      <c r="AB6" s="3"/>
      <c r="AC6" s="3"/>
      <c r="AD6" s="3"/>
      <c r="AE6" s="3"/>
      <c r="AF6" s="3"/>
      <c r="AG6" s="3"/>
      <c r="AH6" s="3"/>
      <c r="AI6" s="3"/>
      <c r="AJ6" s="3"/>
      <c r="AK6" s="3"/>
      <c r="AL6" s="3"/>
      <c r="AM6" s="3"/>
    </row>
    <row r="7" spans="1:39" x14ac:dyDescent="0.2">
      <c r="A7" s="3"/>
      <c r="B7" s="71">
        <v>3</v>
      </c>
      <c r="C7" s="69" t="str">
        <f>IFERROR(INDEX(Table_Prescript_Meas[Measure Number], MATCH(E7, Table_Prescript_Meas[Measure Description], 0)), "")</f>
        <v/>
      </c>
      <c r="D7" s="61"/>
      <c r="E7" s="60"/>
      <c r="F7" s="69" t="str">
        <f>IFERROR(INDEX(Table_Prescript_Meas[Units], MATCH(Table_Controls_Input22[[#This Row],[Measure Number]], Table_Prescript_Meas[Measure Number], 0)), "")</f>
        <v/>
      </c>
      <c r="G7" s="272"/>
      <c r="H7" s="155"/>
      <c r="I7" s="155"/>
      <c r="J7"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7" s="72" t="str">
        <f>IFERROR(Table_Controls_Input22[[#This Row],[Number of Units]]*Table_Controls_Input22[[#This Row],[Per-Unit Incentive]], "")</f>
        <v/>
      </c>
      <c r="L7" s="73" t="str">
        <f>IFERROR(Table_Controls_Input22[[#This Row],[Number of Units]]*INDEX(Table_Prescript_Meas[Deemed kWh Savings], MATCH(Table_Controls_Input22[[#This Row],[Measure Number]], Table_Prescript_Meas[Measure Number], 0)),"" )</f>
        <v/>
      </c>
      <c r="M7" s="79" t="str">
        <f>IFERROR(Table_Controls_Input22[[#This Row],[Number of Units]]*INDEX(Table_Prescript_Meas[Deemed kW Savings], MATCH(Table_Controls_Input22[[#This Row],[Measure Number]], Table_Prescript_Meas[Measure Number], 0)),"" )</f>
        <v/>
      </c>
      <c r="N7" s="72" t="str">
        <f t="shared" si="2"/>
        <v/>
      </c>
      <c r="O7" s="72" t="str">
        <f>IF(Table_Controls_Input22[[#This Row],[Measure Number]]="", "", Table_Controls_Input22[[#This Row],[Total Equipment Cost]]+Table_Controls_Input22[[#This Row],[Total Labor Cost]])</f>
        <v/>
      </c>
      <c r="P7" s="72" t="str">
        <f>IFERROR(Table_Controls_Input22[[#This Row],[Gross Measure Cost]]-Table_Controls_Input22[[#This Row],[Estimated Incentive]], "")</f>
        <v/>
      </c>
      <c r="Q7" s="73" t="str">
        <f t="shared" si="1"/>
        <v/>
      </c>
      <c r="R7" s="3"/>
      <c r="S7" s="3"/>
      <c r="T7" s="3"/>
      <c r="U7" s="3"/>
      <c r="V7" s="3"/>
      <c r="W7" s="3"/>
      <c r="X7" s="3"/>
      <c r="Y7" s="3"/>
      <c r="Z7" s="3"/>
      <c r="AA7" s="3"/>
      <c r="AB7" s="3"/>
      <c r="AC7" s="3"/>
      <c r="AD7" s="3"/>
      <c r="AE7" s="3"/>
      <c r="AF7" s="3"/>
      <c r="AG7" s="3"/>
      <c r="AH7" s="3"/>
      <c r="AI7" s="3"/>
      <c r="AJ7" s="3"/>
      <c r="AK7" s="3"/>
      <c r="AL7" s="3"/>
      <c r="AM7" s="3"/>
    </row>
    <row r="8" spans="1:39" x14ac:dyDescent="0.2">
      <c r="A8" s="3"/>
      <c r="B8" s="71">
        <v>4</v>
      </c>
      <c r="C8" s="69" t="str">
        <f>IFERROR(INDEX(Table_Prescript_Meas[Measure Number], MATCH(E8, Table_Prescript_Meas[Measure Description], 0)), "")</f>
        <v/>
      </c>
      <c r="D8" s="61"/>
      <c r="E8" s="60"/>
      <c r="F8" s="69" t="str">
        <f>IFERROR(INDEX(Table_Prescript_Meas[Units], MATCH(Table_Controls_Input22[[#This Row],[Measure Number]], Table_Prescript_Meas[Measure Number], 0)), "")</f>
        <v/>
      </c>
      <c r="G8" s="272"/>
      <c r="H8" s="155"/>
      <c r="I8" s="155"/>
      <c r="J8"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8" s="72" t="str">
        <f>IFERROR(Table_Controls_Input22[[#This Row],[Number of Units]]*Table_Controls_Input22[[#This Row],[Per-Unit Incentive]], "")</f>
        <v/>
      </c>
      <c r="L8" s="73" t="str">
        <f>IFERROR(Table_Controls_Input22[[#This Row],[Number of Units]]*INDEX(Table_Prescript_Meas[Deemed kWh Savings], MATCH(Table_Controls_Input22[[#This Row],[Measure Number]], Table_Prescript_Meas[Measure Number], 0)),"" )</f>
        <v/>
      </c>
      <c r="M8" s="79" t="str">
        <f>IFERROR(Table_Controls_Input22[[#This Row],[Number of Units]]*INDEX(Table_Prescript_Meas[Deemed kW Savings], MATCH(Table_Controls_Input22[[#This Row],[Measure Number]], Table_Prescript_Meas[Measure Number], 0)),"" )</f>
        <v/>
      </c>
      <c r="N8" s="72" t="str">
        <f t="shared" si="2"/>
        <v/>
      </c>
      <c r="O8" s="72" t="str">
        <f>IF(Table_Controls_Input22[[#This Row],[Measure Number]]="", "", Table_Controls_Input22[[#This Row],[Total Equipment Cost]]+Table_Controls_Input22[[#This Row],[Total Labor Cost]])</f>
        <v/>
      </c>
      <c r="P8" s="72" t="str">
        <f>IFERROR(Table_Controls_Input22[[#This Row],[Gross Measure Cost]]-Table_Controls_Input22[[#This Row],[Estimated Incentive]], "")</f>
        <v/>
      </c>
      <c r="Q8" s="73" t="str">
        <f t="shared" si="1"/>
        <v/>
      </c>
      <c r="R8" s="3"/>
      <c r="S8" s="3"/>
      <c r="T8" s="3"/>
      <c r="U8" s="3"/>
      <c r="V8" s="3"/>
      <c r="W8" s="3"/>
      <c r="X8" s="3"/>
      <c r="Y8" s="3"/>
      <c r="Z8" s="3"/>
      <c r="AA8" s="3"/>
      <c r="AB8" s="3"/>
      <c r="AC8" s="3"/>
      <c r="AD8" s="3"/>
      <c r="AE8" s="3"/>
      <c r="AF8" s="3"/>
      <c r="AG8" s="3"/>
      <c r="AH8" s="3"/>
      <c r="AI8" s="3"/>
      <c r="AJ8" s="3"/>
      <c r="AK8" s="3"/>
      <c r="AL8" s="3"/>
      <c r="AM8" s="3"/>
    </row>
    <row r="9" spans="1:39" x14ac:dyDescent="0.2">
      <c r="A9" s="3"/>
      <c r="B9" s="71">
        <v>5</v>
      </c>
      <c r="C9" s="69" t="str">
        <f>IFERROR(INDEX(Table_Prescript_Meas[Measure Number], MATCH(E9, Table_Prescript_Meas[Measure Description], 0)), "")</f>
        <v/>
      </c>
      <c r="D9" s="61"/>
      <c r="E9" s="60"/>
      <c r="F9" s="69" t="str">
        <f>IFERROR(INDEX(Table_Prescript_Meas[Units], MATCH(Table_Controls_Input22[[#This Row],[Measure Number]], Table_Prescript_Meas[Measure Number], 0)), "")</f>
        <v/>
      </c>
      <c r="G9" s="272"/>
      <c r="H9" s="155"/>
      <c r="I9" s="155"/>
      <c r="J9"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9" s="72" t="str">
        <f>IFERROR(Table_Controls_Input22[[#This Row],[Number of Units]]*Table_Controls_Input22[[#This Row],[Per-Unit Incentive]], "")</f>
        <v/>
      </c>
      <c r="L9" s="73" t="str">
        <f>IFERROR(Table_Controls_Input22[[#This Row],[Number of Units]]*INDEX(Table_Prescript_Meas[Deemed kWh Savings], MATCH(Table_Controls_Input22[[#This Row],[Measure Number]], Table_Prescript_Meas[Measure Number], 0)),"" )</f>
        <v/>
      </c>
      <c r="M9" s="79" t="str">
        <f>IFERROR(Table_Controls_Input22[[#This Row],[Number of Units]]*INDEX(Table_Prescript_Meas[Deemed kW Savings], MATCH(Table_Controls_Input22[[#This Row],[Measure Number]], Table_Prescript_Meas[Measure Number], 0)),"" )</f>
        <v/>
      </c>
      <c r="N9" s="72" t="str">
        <f t="shared" si="2"/>
        <v/>
      </c>
      <c r="O9" s="72" t="str">
        <f>IF(Table_Controls_Input22[[#This Row],[Measure Number]]="", "", Table_Controls_Input22[[#This Row],[Total Equipment Cost]]+Table_Controls_Input22[[#This Row],[Total Labor Cost]])</f>
        <v/>
      </c>
      <c r="P9" s="72" t="str">
        <f>IFERROR(Table_Controls_Input22[[#This Row],[Gross Measure Cost]]-Table_Controls_Input22[[#This Row],[Estimated Incentive]], "")</f>
        <v/>
      </c>
      <c r="Q9" s="73" t="str">
        <f t="shared" si="1"/>
        <v/>
      </c>
      <c r="R9" s="3"/>
      <c r="S9" s="3"/>
      <c r="T9" s="3"/>
      <c r="U9" s="3"/>
      <c r="V9" s="3"/>
      <c r="W9" s="3"/>
      <c r="X9" s="3"/>
      <c r="Y9" s="3"/>
      <c r="Z9" s="3"/>
      <c r="AA9" s="3"/>
      <c r="AB9" s="3"/>
      <c r="AC9" s="3"/>
      <c r="AD9" s="3"/>
      <c r="AE9" s="3"/>
      <c r="AF9" s="3"/>
      <c r="AG9" s="3"/>
      <c r="AH9" s="3"/>
      <c r="AI9" s="3"/>
      <c r="AJ9" s="3"/>
      <c r="AK9" s="3"/>
      <c r="AL9" s="3"/>
      <c r="AM9" s="3"/>
    </row>
    <row r="10" spans="1:39" x14ac:dyDescent="0.2">
      <c r="A10" s="3"/>
      <c r="B10" s="71">
        <v>6</v>
      </c>
      <c r="C10" s="69" t="str">
        <f>IFERROR(INDEX(Table_Prescript_Meas[Measure Number], MATCH(E10, Table_Prescript_Meas[Measure Description], 0)), "")</f>
        <v/>
      </c>
      <c r="D10" s="61"/>
      <c r="E10" s="60"/>
      <c r="F10" s="69" t="str">
        <f>IFERROR(INDEX(Table_Prescript_Meas[Units], MATCH(Table_Controls_Input22[[#This Row],[Measure Number]], Table_Prescript_Meas[Measure Number], 0)), "")</f>
        <v/>
      </c>
      <c r="G10" s="272"/>
      <c r="H10" s="155"/>
      <c r="I10" s="155"/>
      <c r="J10"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0" s="72" t="str">
        <f>IFERROR(Table_Controls_Input22[[#This Row],[Number of Units]]*Table_Controls_Input22[[#This Row],[Per-Unit Incentive]], "")</f>
        <v/>
      </c>
      <c r="L10" s="73" t="str">
        <f>IFERROR(Table_Controls_Input22[[#This Row],[Number of Units]]*INDEX(Table_Prescript_Meas[Deemed kWh Savings], MATCH(Table_Controls_Input22[[#This Row],[Measure Number]], Table_Prescript_Meas[Measure Number], 0)),"" )</f>
        <v/>
      </c>
      <c r="M10" s="79" t="str">
        <f>IFERROR(Table_Controls_Input22[[#This Row],[Number of Units]]*INDEX(Table_Prescript_Meas[Deemed kW Savings], MATCH(Table_Controls_Input22[[#This Row],[Measure Number]], Table_Prescript_Meas[Measure Number], 0)),"" )</f>
        <v/>
      </c>
      <c r="N10" s="72" t="str">
        <f t="shared" si="2"/>
        <v/>
      </c>
      <c r="O10" s="72" t="str">
        <f>IF(Table_Controls_Input22[[#This Row],[Measure Number]]="", "", Table_Controls_Input22[[#This Row],[Total Equipment Cost]]+Table_Controls_Input22[[#This Row],[Total Labor Cost]])</f>
        <v/>
      </c>
      <c r="P10" s="72" t="str">
        <f>IFERROR(Table_Controls_Input22[[#This Row],[Gross Measure Cost]]-Table_Controls_Input22[[#This Row],[Estimated Incentive]], "")</f>
        <v/>
      </c>
      <c r="Q10" s="73" t="str">
        <f t="shared" si="1"/>
        <v/>
      </c>
      <c r="R10" s="3"/>
      <c r="S10" s="3"/>
      <c r="T10" s="3"/>
      <c r="U10" s="3"/>
      <c r="V10" s="3"/>
      <c r="W10" s="3"/>
      <c r="X10" s="3"/>
      <c r="Y10" s="3"/>
      <c r="Z10" s="3"/>
      <c r="AA10" s="3"/>
      <c r="AB10" s="3"/>
      <c r="AC10" s="3"/>
      <c r="AD10" s="3"/>
      <c r="AE10" s="3"/>
      <c r="AF10" s="3"/>
      <c r="AG10" s="3"/>
      <c r="AH10" s="3"/>
      <c r="AI10" s="3"/>
      <c r="AJ10" s="3"/>
      <c r="AK10" s="3"/>
      <c r="AL10" s="3"/>
      <c r="AM10" s="3"/>
    </row>
    <row r="11" spans="1:39" x14ac:dyDescent="0.2">
      <c r="A11" s="3"/>
      <c r="B11" s="71">
        <v>7</v>
      </c>
      <c r="C11" s="69" t="str">
        <f>IFERROR(INDEX(Table_Prescript_Meas[Measure Number], MATCH(E11, Table_Prescript_Meas[Measure Description], 0)), "")</f>
        <v/>
      </c>
      <c r="D11" s="61"/>
      <c r="E11" s="60"/>
      <c r="F11" s="69" t="str">
        <f>IFERROR(INDEX(Table_Prescript_Meas[Units], MATCH(Table_Controls_Input22[[#This Row],[Measure Number]], Table_Prescript_Meas[Measure Number], 0)), "")</f>
        <v/>
      </c>
      <c r="G11" s="272"/>
      <c r="H11" s="155"/>
      <c r="I11" s="155"/>
      <c r="J11"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1" s="72" t="str">
        <f>IFERROR(Table_Controls_Input22[[#This Row],[Number of Units]]*Table_Controls_Input22[[#This Row],[Per-Unit Incentive]], "")</f>
        <v/>
      </c>
      <c r="L11" s="73" t="str">
        <f>IFERROR(Table_Controls_Input22[[#This Row],[Number of Units]]*INDEX(Table_Prescript_Meas[Deemed kWh Savings], MATCH(Table_Controls_Input22[[#This Row],[Measure Number]], Table_Prescript_Meas[Measure Number], 0)),"" )</f>
        <v/>
      </c>
      <c r="M11" s="79" t="str">
        <f>IFERROR(Table_Controls_Input22[[#This Row],[Number of Units]]*INDEX(Table_Prescript_Meas[Deemed kW Savings], MATCH(Table_Controls_Input22[[#This Row],[Measure Number]], Table_Prescript_Meas[Measure Number], 0)),"" )</f>
        <v/>
      </c>
      <c r="N11" s="72" t="str">
        <f t="shared" si="2"/>
        <v/>
      </c>
      <c r="O11" s="72" t="str">
        <f>IF(Table_Controls_Input22[[#This Row],[Measure Number]]="", "", Table_Controls_Input22[[#This Row],[Total Equipment Cost]]+Table_Controls_Input22[[#This Row],[Total Labor Cost]])</f>
        <v/>
      </c>
      <c r="P11" s="72" t="str">
        <f>IFERROR(Table_Controls_Input22[[#This Row],[Gross Measure Cost]]-Table_Controls_Input22[[#This Row],[Estimated Incentive]], "")</f>
        <v/>
      </c>
      <c r="Q11" s="73" t="str">
        <f t="shared" si="1"/>
        <v/>
      </c>
      <c r="R11" s="3"/>
      <c r="S11" s="3"/>
      <c r="T11" s="3"/>
      <c r="U11" s="3"/>
      <c r="V11" s="3"/>
      <c r="W11" s="3"/>
      <c r="X11" s="3"/>
      <c r="Y11" s="3"/>
      <c r="Z11" s="3"/>
      <c r="AA11" s="3"/>
      <c r="AB11" s="3"/>
      <c r="AC11" s="3"/>
      <c r="AD11" s="3"/>
      <c r="AE11" s="3"/>
      <c r="AF11" s="3"/>
      <c r="AG11" s="3"/>
      <c r="AH11" s="3"/>
      <c r="AI11" s="3"/>
      <c r="AJ11" s="3"/>
      <c r="AK11" s="3"/>
      <c r="AL11" s="3"/>
      <c r="AM11" s="3"/>
    </row>
    <row r="12" spans="1:39" x14ac:dyDescent="0.2">
      <c r="A12" s="3"/>
      <c r="B12" s="71">
        <v>8</v>
      </c>
      <c r="C12" s="69" t="str">
        <f>IFERROR(INDEX(Table_Prescript_Meas[Measure Number], MATCH(E12, Table_Prescript_Meas[Measure Description], 0)), "")</f>
        <v/>
      </c>
      <c r="D12" s="61"/>
      <c r="E12" s="60"/>
      <c r="F12" s="69" t="str">
        <f>IFERROR(INDEX(Table_Prescript_Meas[Units], MATCH(Table_Controls_Input22[[#This Row],[Measure Number]], Table_Prescript_Meas[Measure Number], 0)), "")</f>
        <v/>
      </c>
      <c r="G12" s="272"/>
      <c r="H12" s="155"/>
      <c r="I12" s="155"/>
      <c r="J12"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2" s="72" t="str">
        <f>IFERROR(Table_Controls_Input22[[#This Row],[Number of Units]]*Table_Controls_Input22[[#This Row],[Per-Unit Incentive]], "")</f>
        <v/>
      </c>
      <c r="L12" s="73" t="str">
        <f>IFERROR(Table_Controls_Input22[[#This Row],[Number of Units]]*INDEX(Table_Prescript_Meas[Deemed kWh Savings], MATCH(Table_Controls_Input22[[#This Row],[Measure Number]], Table_Prescript_Meas[Measure Number], 0)),"" )</f>
        <v/>
      </c>
      <c r="M12" s="79" t="str">
        <f>IFERROR(Table_Controls_Input22[[#This Row],[Number of Units]]*INDEX(Table_Prescript_Meas[Deemed kW Savings], MATCH(Table_Controls_Input22[[#This Row],[Measure Number]], Table_Prescript_Meas[Measure Number], 0)),"" )</f>
        <v/>
      </c>
      <c r="N12" s="72" t="str">
        <f t="shared" si="2"/>
        <v/>
      </c>
      <c r="O12" s="72" t="str">
        <f>IF(Table_Controls_Input22[[#This Row],[Measure Number]]="", "", Table_Controls_Input22[[#This Row],[Total Equipment Cost]]+Table_Controls_Input22[[#This Row],[Total Labor Cost]])</f>
        <v/>
      </c>
      <c r="P12" s="72" t="str">
        <f>IFERROR(Table_Controls_Input22[[#This Row],[Gross Measure Cost]]-Table_Controls_Input22[[#This Row],[Estimated Incentive]], "")</f>
        <v/>
      </c>
      <c r="Q12" s="73" t="str">
        <f t="shared" si="1"/>
        <v/>
      </c>
      <c r="R12" s="3"/>
      <c r="S12" s="3"/>
      <c r="T12" s="3"/>
      <c r="U12" s="3"/>
      <c r="V12" s="3"/>
      <c r="W12" s="3"/>
      <c r="X12" s="3"/>
      <c r="Y12" s="3"/>
      <c r="Z12" s="3"/>
      <c r="AA12" s="3"/>
      <c r="AB12" s="3"/>
      <c r="AC12" s="3"/>
      <c r="AD12" s="3"/>
      <c r="AE12" s="3"/>
      <c r="AF12" s="3"/>
      <c r="AG12" s="3"/>
      <c r="AH12" s="3"/>
      <c r="AI12" s="3"/>
      <c r="AJ12" s="3"/>
      <c r="AK12" s="3"/>
      <c r="AL12" s="3"/>
      <c r="AM12" s="3"/>
    </row>
    <row r="13" spans="1:39" x14ac:dyDescent="0.2">
      <c r="A13" s="3"/>
      <c r="B13" s="71">
        <v>9</v>
      </c>
      <c r="C13" s="69" t="str">
        <f>IFERROR(INDEX(Table_Prescript_Meas[Measure Number], MATCH(E13, Table_Prescript_Meas[Measure Description], 0)), "")</f>
        <v/>
      </c>
      <c r="D13" s="61"/>
      <c r="E13" s="60"/>
      <c r="F13" s="69" t="str">
        <f>IFERROR(INDEX(Table_Prescript_Meas[Units], MATCH(Table_Controls_Input22[[#This Row],[Measure Number]], Table_Prescript_Meas[Measure Number], 0)), "")</f>
        <v/>
      </c>
      <c r="G13" s="272"/>
      <c r="H13" s="155"/>
      <c r="I13" s="155"/>
      <c r="J13"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3" s="72" t="str">
        <f>IFERROR(Table_Controls_Input22[[#This Row],[Number of Units]]*Table_Controls_Input22[[#This Row],[Per-Unit Incentive]], "")</f>
        <v/>
      </c>
      <c r="L13" s="73" t="str">
        <f>IFERROR(Table_Controls_Input22[[#This Row],[Number of Units]]*INDEX(Table_Prescript_Meas[Deemed kWh Savings], MATCH(Table_Controls_Input22[[#This Row],[Measure Number]], Table_Prescript_Meas[Measure Number], 0)),"" )</f>
        <v/>
      </c>
      <c r="M13" s="79" t="str">
        <f>IFERROR(Table_Controls_Input22[[#This Row],[Number of Units]]*INDEX(Table_Prescript_Meas[Deemed kW Savings], MATCH(Table_Controls_Input22[[#This Row],[Measure Number]], Table_Prescript_Meas[Measure Number], 0)),"" )</f>
        <v/>
      </c>
      <c r="N13" s="72" t="str">
        <f t="shared" si="2"/>
        <v/>
      </c>
      <c r="O13" s="72" t="str">
        <f>IF(Table_Controls_Input22[[#This Row],[Measure Number]]="", "", Table_Controls_Input22[[#This Row],[Total Equipment Cost]]+Table_Controls_Input22[[#This Row],[Total Labor Cost]])</f>
        <v/>
      </c>
      <c r="P13" s="72" t="str">
        <f>IFERROR(Table_Controls_Input22[[#This Row],[Gross Measure Cost]]-Table_Controls_Input22[[#This Row],[Estimated Incentive]], "")</f>
        <v/>
      </c>
      <c r="Q13" s="73" t="str">
        <f t="shared" si="1"/>
        <v/>
      </c>
      <c r="R13" s="3"/>
      <c r="S13" s="3"/>
      <c r="T13" s="3"/>
      <c r="U13" s="3"/>
      <c r="V13" s="3"/>
      <c r="W13" s="3"/>
      <c r="X13" s="3"/>
      <c r="Y13" s="3"/>
      <c r="Z13" s="3"/>
      <c r="AA13" s="3"/>
      <c r="AB13" s="3"/>
      <c r="AC13" s="3"/>
      <c r="AD13" s="3"/>
      <c r="AE13" s="3"/>
      <c r="AF13" s="3"/>
      <c r="AG13" s="3"/>
      <c r="AH13" s="3"/>
      <c r="AI13" s="3"/>
      <c r="AJ13" s="3"/>
      <c r="AK13" s="3"/>
      <c r="AL13" s="3"/>
      <c r="AM13" s="3"/>
    </row>
    <row r="14" spans="1:39" x14ac:dyDescent="0.2">
      <c r="A14" s="3"/>
      <c r="B14" s="71">
        <v>10</v>
      </c>
      <c r="C14" s="69" t="str">
        <f>IFERROR(INDEX(Table_Prescript_Meas[Measure Number], MATCH(E14, Table_Prescript_Meas[Measure Description], 0)), "")</f>
        <v/>
      </c>
      <c r="D14" s="61"/>
      <c r="E14" s="60"/>
      <c r="F14" s="69" t="str">
        <f>IFERROR(INDEX(Table_Prescript_Meas[Units], MATCH(Table_Controls_Input22[[#This Row],[Measure Number]], Table_Prescript_Meas[Measure Number], 0)), "")</f>
        <v/>
      </c>
      <c r="G14" s="272"/>
      <c r="H14" s="155"/>
      <c r="I14" s="155"/>
      <c r="J14"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4" s="72" t="str">
        <f>IFERROR(Table_Controls_Input22[[#This Row],[Number of Units]]*Table_Controls_Input22[[#This Row],[Per-Unit Incentive]], "")</f>
        <v/>
      </c>
      <c r="L14" s="73" t="str">
        <f>IFERROR(Table_Controls_Input22[[#This Row],[Number of Units]]*INDEX(Table_Prescript_Meas[Deemed kWh Savings], MATCH(Table_Controls_Input22[[#This Row],[Measure Number]], Table_Prescript_Meas[Measure Number], 0)),"" )</f>
        <v/>
      </c>
      <c r="M14" s="79" t="str">
        <f>IFERROR(Table_Controls_Input22[[#This Row],[Number of Units]]*INDEX(Table_Prescript_Meas[Deemed kW Savings], MATCH(Table_Controls_Input22[[#This Row],[Measure Number]], Table_Prescript_Meas[Measure Number], 0)),"" )</f>
        <v/>
      </c>
      <c r="N14" s="72" t="str">
        <f t="shared" si="2"/>
        <v/>
      </c>
      <c r="O14" s="72" t="str">
        <f>IF(Table_Controls_Input22[[#This Row],[Measure Number]]="", "", Table_Controls_Input22[[#This Row],[Total Equipment Cost]]+Table_Controls_Input22[[#This Row],[Total Labor Cost]])</f>
        <v/>
      </c>
      <c r="P14" s="72" t="str">
        <f>IFERROR(Table_Controls_Input22[[#This Row],[Gross Measure Cost]]-Table_Controls_Input22[[#This Row],[Estimated Incentive]], "")</f>
        <v/>
      </c>
      <c r="Q14" s="73" t="str">
        <f t="shared" si="1"/>
        <v/>
      </c>
      <c r="R14" s="3"/>
      <c r="S14" s="3"/>
      <c r="T14" s="3"/>
      <c r="U14" s="3"/>
      <c r="V14" s="3"/>
      <c r="W14" s="3"/>
      <c r="X14" s="3"/>
      <c r="Y14" s="3"/>
      <c r="Z14" s="3"/>
      <c r="AA14" s="3"/>
      <c r="AB14" s="3"/>
      <c r="AC14" s="3"/>
      <c r="AD14" s="3"/>
      <c r="AE14" s="3"/>
      <c r="AF14" s="3"/>
      <c r="AG14" s="3"/>
      <c r="AH14" s="3"/>
      <c r="AI14" s="3"/>
      <c r="AJ14" s="3"/>
      <c r="AK14" s="3"/>
      <c r="AL14" s="3"/>
      <c r="AM14" s="3"/>
    </row>
    <row r="15" spans="1:39" x14ac:dyDescent="0.2">
      <c r="A15" s="3"/>
      <c r="B15" s="71">
        <v>11</v>
      </c>
      <c r="C15" s="69" t="str">
        <f>IFERROR(INDEX(Table_Prescript_Meas[Measure Number], MATCH(E15, Table_Prescript_Meas[Measure Description], 0)), "")</f>
        <v/>
      </c>
      <c r="D15" s="61"/>
      <c r="E15" s="60"/>
      <c r="F15" s="69" t="str">
        <f>IFERROR(INDEX(Table_Prescript_Meas[Units], MATCH(Table_Controls_Input22[[#This Row],[Measure Number]], Table_Prescript_Meas[Measure Number], 0)), "")</f>
        <v/>
      </c>
      <c r="G15" s="272"/>
      <c r="H15" s="155"/>
      <c r="I15" s="155"/>
      <c r="J15"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5" s="72" t="str">
        <f>IFERROR(Table_Controls_Input22[[#This Row],[Number of Units]]*Table_Controls_Input22[[#This Row],[Per-Unit Incentive]], "")</f>
        <v/>
      </c>
      <c r="L15" s="73" t="str">
        <f>IFERROR(Table_Controls_Input22[[#This Row],[Number of Units]]*INDEX(Table_Prescript_Meas[Deemed kWh Savings], MATCH(Table_Controls_Input22[[#This Row],[Measure Number]], Table_Prescript_Meas[Measure Number], 0)),"" )</f>
        <v/>
      </c>
      <c r="M15" s="79" t="str">
        <f>IFERROR(Table_Controls_Input22[[#This Row],[Number of Units]]*INDEX(Table_Prescript_Meas[Deemed kW Savings], MATCH(Table_Controls_Input22[[#This Row],[Measure Number]], Table_Prescript_Meas[Measure Number], 0)),"" )</f>
        <v/>
      </c>
      <c r="N15" s="72" t="str">
        <f t="shared" si="2"/>
        <v/>
      </c>
      <c r="O15" s="72" t="str">
        <f>IF(Table_Controls_Input22[[#This Row],[Measure Number]]="", "", Table_Controls_Input22[[#This Row],[Total Equipment Cost]]+Table_Controls_Input22[[#This Row],[Total Labor Cost]])</f>
        <v/>
      </c>
      <c r="P15" s="72" t="str">
        <f>IFERROR(Table_Controls_Input22[[#This Row],[Gross Measure Cost]]-Table_Controls_Input22[[#This Row],[Estimated Incentive]], "")</f>
        <v/>
      </c>
      <c r="Q15" s="73" t="str">
        <f t="shared" si="1"/>
        <v/>
      </c>
      <c r="R15" s="3"/>
      <c r="S15" s="3"/>
      <c r="T15" s="3"/>
      <c r="U15" s="3"/>
      <c r="V15" s="3"/>
      <c r="W15" s="3"/>
      <c r="X15" s="3"/>
      <c r="Y15" s="3"/>
      <c r="Z15" s="3"/>
      <c r="AA15" s="3"/>
      <c r="AB15" s="3"/>
      <c r="AC15" s="3"/>
      <c r="AD15" s="3"/>
      <c r="AE15" s="3"/>
      <c r="AF15" s="3"/>
      <c r="AG15" s="3"/>
      <c r="AH15" s="3"/>
      <c r="AI15" s="3"/>
      <c r="AJ15" s="3"/>
      <c r="AK15" s="3"/>
      <c r="AL15" s="3"/>
      <c r="AM15" s="3"/>
    </row>
    <row r="16" spans="1:39" x14ac:dyDescent="0.2">
      <c r="A16" s="3"/>
      <c r="B16" s="71">
        <v>12</v>
      </c>
      <c r="C16" s="69" t="str">
        <f>IFERROR(INDEX(Table_Prescript_Meas[Measure Number], MATCH(E16, Table_Prescript_Meas[Measure Description], 0)), "")</f>
        <v/>
      </c>
      <c r="D16" s="61"/>
      <c r="E16" s="60"/>
      <c r="F16" s="69" t="str">
        <f>IFERROR(INDEX(Table_Prescript_Meas[Units], MATCH(Table_Controls_Input22[[#This Row],[Measure Number]], Table_Prescript_Meas[Measure Number], 0)), "")</f>
        <v/>
      </c>
      <c r="G16" s="272"/>
      <c r="H16" s="155"/>
      <c r="I16" s="155"/>
      <c r="J16"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6" s="72" t="str">
        <f>IFERROR(Table_Controls_Input22[[#This Row],[Number of Units]]*Table_Controls_Input22[[#This Row],[Per-Unit Incentive]], "")</f>
        <v/>
      </c>
      <c r="L16" s="73" t="str">
        <f>IFERROR(Table_Controls_Input22[[#This Row],[Number of Units]]*INDEX(Table_Prescript_Meas[Deemed kWh Savings], MATCH(Table_Controls_Input22[[#This Row],[Measure Number]], Table_Prescript_Meas[Measure Number], 0)),"" )</f>
        <v/>
      </c>
      <c r="M16" s="79" t="str">
        <f>IFERROR(Table_Controls_Input22[[#This Row],[Number of Units]]*INDEX(Table_Prescript_Meas[Deemed kW Savings], MATCH(Table_Controls_Input22[[#This Row],[Measure Number]], Table_Prescript_Meas[Measure Number], 0)),"" )</f>
        <v/>
      </c>
      <c r="N16" s="72" t="str">
        <f t="shared" si="2"/>
        <v/>
      </c>
      <c r="O16" s="72" t="str">
        <f>IF(Table_Controls_Input22[[#This Row],[Measure Number]]="", "", Table_Controls_Input22[[#This Row],[Total Equipment Cost]]+Table_Controls_Input22[[#This Row],[Total Labor Cost]])</f>
        <v/>
      </c>
      <c r="P16" s="72" t="str">
        <f>IFERROR(Table_Controls_Input22[[#This Row],[Gross Measure Cost]]-Table_Controls_Input22[[#This Row],[Estimated Incentive]], "")</f>
        <v/>
      </c>
      <c r="Q16" s="73" t="str">
        <f t="shared" si="1"/>
        <v/>
      </c>
      <c r="R16" s="3"/>
      <c r="S16" s="3"/>
      <c r="T16" s="3"/>
      <c r="U16" s="3"/>
      <c r="V16" s="3"/>
      <c r="W16" s="3"/>
      <c r="X16" s="3"/>
      <c r="Y16" s="3"/>
      <c r="Z16" s="3"/>
      <c r="AA16" s="3"/>
      <c r="AB16" s="3"/>
      <c r="AC16" s="3"/>
      <c r="AD16" s="3"/>
      <c r="AE16" s="3"/>
      <c r="AF16" s="3"/>
      <c r="AG16" s="3"/>
      <c r="AH16" s="3"/>
      <c r="AI16" s="3"/>
      <c r="AJ16" s="3"/>
      <c r="AK16" s="3"/>
      <c r="AL16" s="3"/>
      <c r="AM16" s="3"/>
    </row>
    <row r="17" spans="1:39" x14ac:dyDescent="0.2">
      <c r="A17" s="3"/>
      <c r="B17" s="71">
        <v>13</v>
      </c>
      <c r="C17" s="69" t="str">
        <f>IFERROR(INDEX(Table_Prescript_Meas[Measure Number], MATCH(E17, Table_Prescript_Meas[Measure Description], 0)), "")</f>
        <v/>
      </c>
      <c r="D17" s="61"/>
      <c r="E17" s="60"/>
      <c r="F17" s="69" t="str">
        <f>IFERROR(INDEX(Table_Prescript_Meas[Units], MATCH(Table_Controls_Input22[[#This Row],[Measure Number]], Table_Prescript_Meas[Measure Number], 0)), "")</f>
        <v/>
      </c>
      <c r="G17" s="272"/>
      <c r="H17" s="155"/>
      <c r="I17" s="155"/>
      <c r="J17"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7" s="72" t="str">
        <f>IFERROR(Table_Controls_Input22[[#This Row],[Number of Units]]*Table_Controls_Input22[[#This Row],[Per-Unit Incentive]], "")</f>
        <v/>
      </c>
      <c r="L17" s="73" t="str">
        <f>IFERROR(Table_Controls_Input22[[#This Row],[Number of Units]]*INDEX(Table_Prescript_Meas[Deemed kWh Savings], MATCH(Table_Controls_Input22[[#This Row],[Measure Number]], Table_Prescript_Meas[Measure Number], 0)),"" )</f>
        <v/>
      </c>
      <c r="M17" s="79" t="str">
        <f>IFERROR(Table_Controls_Input22[[#This Row],[Number of Units]]*INDEX(Table_Prescript_Meas[Deemed kW Savings], MATCH(Table_Controls_Input22[[#This Row],[Measure Number]], Table_Prescript_Meas[Measure Number], 0)),"" )</f>
        <v/>
      </c>
      <c r="N17" s="72" t="str">
        <f t="shared" si="2"/>
        <v/>
      </c>
      <c r="O17" s="72" t="str">
        <f>IF(Table_Controls_Input22[[#This Row],[Measure Number]]="", "", Table_Controls_Input22[[#This Row],[Total Equipment Cost]]+Table_Controls_Input22[[#This Row],[Total Labor Cost]])</f>
        <v/>
      </c>
      <c r="P17" s="72" t="str">
        <f>IFERROR(Table_Controls_Input22[[#This Row],[Gross Measure Cost]]-Table_Controls_Input22[[#This Row],[Estimated Incentive]], "")</f>
        <v/>
      </c>
      <c r="Q17" s="73" t="str">
        <f t="shared" si="1"/>
        <v/>
      </c>
      <c r="R17" s="3"/>
      <c r="S17" s="3"/>
      <c r="T17" s="3"/>
      <c r="U17" s="3"/>
      <c r="V17" s="3"/>
      <c r="W17" s="3"/>
      <c r="X17" s="3"/>
      <c r="Y17" s="3"/>
      <c r="Z17" s="3"/>
      <c r="AA17" s="3"/>
      <c r="AB17" s="3"/>
      <c r="AC17" s="3"/>
      <c r="AD17" s="3"/>
      <c r="AE17" s="3"/>
      <c r="AF17" s="3"/>
      <c r="AG17" s="3"/>
      <c r="AH17" s="3"/>
      <c r="AI17" s="3"/>
      <c r="AJ17" s="3"/>
      <c r="AK17" s="3"/>
      <c r="AL17" s="3"/>
      <c r="AM17" s="3"/>
    </row>
    <row r="18" spans="1:39" x14ac:dyDescent="0.2">
      <c r="A18" s="3"/>
      <c r="B18" s="71">
        <v>14</v>
      </c>
      <c r="C18" s="69" t="str">
        <f>IFERROR(INDEX(Table_Prescript_Meas[Measure Number], MATCH(E18, Table_Prescript_Meas[Measure Description], 0)), "")</f>
        <v/>
      </c>
      <c r="D18" s="61"/>
      <c r="E18" s="60"/>
      <c r="F18" s="69" t="str">
        <f>IFERROR(INDEX(Table_Prescript_Meas[Units], MATCH(Table_Controls_Input22[[#This Row],[Measure Number]], Table_Prescript_Meas[Measure Number], 0)), "")</f>
        <v/>
      </c>
      <c r="G18" s="272"/>
      <c r="H18" s="155"/>
      <c r="I18" s="155"/>
      <c r="J18"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8" s="72" t="str">
        <f>IFERROR(Table_Controls_Input22[[#This Row],[Number of Units]]*Table_Controls_Input22[[#This Row],[Per-Unit Incentive]], "")</f>
        <v/>
      </c>
      <c r="L18" s="73" t="str">
        <f>IFERROR(Table_Controls_Input22[[#This Row],[Number of Units]]*INDEX(Table_Prescript_Meas[Deemed kWh Savings], MATCH(Table_Controls_Input22[[#This Row],[Measure Number]], Table_Prescript_Meas[Measure Number], 0)),"" )</f>
        <v/>
      </c>
      <c r="M18" s="79" t="str">
        <f>IFERROR(Table_Controls_Input22[[#This Row],[Number of Units]]*INDEX(Table_Prescript_Meas[Deemed kW Savings], MATCH(Table_Controls_Input22[[#This Row],[Measure Number]], Table_Prescript_Meas[Measure Number], 0)),"" )</f>
        <v/>
      </c>
      <c r="N18" s="72" t="str">
        <f t="shared" si="2"/>
        <v/>
      </c>
      <c r="O18" s="72" t="str">
        <f>IF(Table_Controls_Input22[[#This Row],[Measure Number]]="", "", Table_Controls_Input22[[#This Row],[Total Equipment Cost]]+Table_Controls_Input22[[#This Row],[Total Labor Cost]])</f>
        <v/>
      </c>
      <c r="P18" s="72" t="str">
        <f>IFERROR(Table_Controls_Input22[[#This Row],[Gross Measure Cost]]-Table_Controls_Input22[[#This Row],[Estimated Incentive]], "")</f>
        <v/>
      </c>
      <c r="Q18" s="73" t="str">
        <f t="shared" si="1"/>
        <v/>
      </c>
      <c r="R18" s="3"/>
      <c r="S18" s="3"/>
      <c r="T18" s="3"/>
      <c r="U18" s="3"/>
      <c r="V18" s="3"/>
      <c r="W18" s="3"/>
      <c r="X18" s="3"/>
      <c r="Y18" s="3"/>
      <c r="Z18" s="3"/>
      <c r="AA18" s="3"/>
      <c r="AB18" s="3"/>
      <c r="AC18" s="3"/>
      <c r="AD18" s="3"/>
      <c r="AE18" s="3"/>
      <c r="AF18" s="3"/>
      <c r="AG18" s="3"/>
      <c r="AH18" s="3"/>
      <c r="AI18" s="3"/>
      <c r="AJ18" s="3"/>
      <c r="AK18" s="3"/>
      <c r="AL18" s="3"/>
      <c r="AM18" s="3"/>
    </row>
    <row r="19" spans="1:39" x14ac:dyDescent="0.2">
      <c r="A19" s="3"/>
      <c r="B19" s="71">
        <v>15</v>
      </c>
      <c r="C19" s="69" t="str">
        <f>IFERROR(INDEX(Table_Prescript_Meas[Measure Number], MATCH(E19, Table_Prescript_Meas[Measure Description], 0)), "")</f>
        <v/>
      </c>
      <c r="D19" s="61"/>
      <c r="E19" s="60"/>
      <c r="F19" s="69" t="str">
        <f>IFERROR(INDEX(Table_Prescript_Meas[Units], MATCH(Table_Controls_Input22[[#This Row],[Measure Number]], Table_Prescript_Meas[Measure Number], 0)), "")</f>
        <v/>
      </c>
      <c r="G19" s="272"/>
      <c r="H19" s="155"/>
      <c r="I19" s="155"/>
      <c r="J19"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19" s="72" t="str">
        <f>IFERROR(Table_Controls_Input22[[#This Row],[Number of Units]]*Table_Controls_Input22[[#This Row],[Per-Unit Incentive]], "")</f>
        <v/>
      </c>
      <c r="L19" s="73" t="str">
        <f>IFERROR(Table_Controls_Input22[[#This Row],[Number of Units]]*INDEX(Table_Prescript_Meas[Deemed kWh Savings], MATCH(Table_Controls_Input22[[#This Row],[Measure Number]], Table_Prescript_Meas[Measure Number], 0)),"" )</f>
        <v/>
      </c>
      <c r="M19" s="79" t="str">
        <f>IFERROR(Table_Controls_Input22[[#This Row],[Number of Units]]*INDEX(Table_Prescript_Meas[Deemed kW Savings], MATCH(Table_Controls_Input22[[#This Row],[Measure Number]], Table_Prescript_Meas[Measure Number], 0)),"" )</f>
        <v/>
      </c>
      <c r="N19" s="72" t="str">
        <f t="shared" si="2"/>
        <v/>
      </c>
      <c r="O19" s="72" t="str">
        <f>IF(Table_Controls_Input22[[#This Row],[Measure Number]]="", "", Table_Controls_Input22[[#This Row],[Total Equipment Cost]]+Table_Controls_Input22[[#This Row],[Total Labor Cost]])</f>
        <v/>
      </c>
      <c r="P19" s="72" t="str">
        <f>IFERROR(Table_Controls_Input22[[#This Row],[Gross Measure Cost]]-Table_Controls_Input22[[#This Row],[Estimated Incentive]], "")</f>
        <v/>
      </c>
      <c r="Q19" s="73" t="str">
        <f t="shared" si="1"/>
        <v/>
      </c>
      <c r="R19" s="3"/>
      <c r="S19" s="3"/>
      <c r="T19" s="3"/>
      <c r="U19" s="3"/>
      <c r="V19" s="3"/>
      <c r="W19" s="3"/>
      <c r="X19" s="3"/>
      <c r="Y19" s="3"/>
      <c r="Z19" s="3"/>
      <c r="AA19" s="3"/>
      <c r="AB19" s="3"/>
      <c r="AC19" s="3"/>
      <c r="AD19" s="3"/>
      <c r="AE19" s="3"/>
      <c r="AF19" s="3"/>
      <c r="AG19" s="3"/>
      <c r="AH19" s="3"/>
      <c r="AI19" s="3"/>
      <c r="AJ19" s="3"/>
      <c r="AK19" s="3"/>
      <c r="AL19" s="3"/>
      <c r="AM19" s="3"/>
    </row>
    <row r="20" spans="1:39" x14ac:dyDescent="0.2">
      <c r="A20" s="3"/>
      <c r="B20" s="71">
        <v>16</v>
      </c>
      <c r="C20" s="69" t="str">
        <f>IFERROR(INDEX(Table_Prescript_Meas[Measure Number], MATCH(E20, Table_Prescript_Meas[Measure Description], 0)), "")</f>
        <v/>
      </c>
      <c r="D20" s="61"/>
      <c r="E20" s="60"/>
      <c r="F20" s="69" t="str">
        <f>IFERROR(INDEX(Table_Prescript_Meas[Units], MATCH(Table_Controls_Input22[[#This Row],[Measure Number]], Table_Prescript_Meas[Measure Number], 0)), "")</f>
        <v/>
      </c>
      <c r="G20" s="272"/>
      <c r="H20" s="155"/>
      <c r="I20" s="155"/>
      <c r="J20"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0" s="72" t="str">
        <f>IFERROR(Table_Controls_Input22[[#This Row],[Number of Units]]*Table_Controls_Input22[[#This Row],[Per-Unit Incentive]], "")</f>
        <v/>
      </c>
      <c r="L20" s="73" t="str">
        <f>IFERROR(Table_Controls_Input22[[#This Row],[Number of Units]]*INDEX(Table_Prescript_Meas[Deemed kWh Savings], MATCH(Table_Controls_Input22[[#This Row],[Measure Number]], Table_Prescript_Meas[Measure Number], 0)),"" )</f>
        <v/>
      </c>
      <c r="M20" s="79" t="str">
        <f>IFERROR(Table_Controls_Input22[[#This Row],[Number of Units]]*INDEX(Table_Prescript_Meas[Deemed kW Savings], MATCH(Table_Controls_Input22[[#This Row],[Measure Number]], Table_Prescript_Meas[Measure Number], 0)),"" )</f>
        <v/>
      </c>
      <c r="N20" s="72" t="str">
        <f t="shared" si="2"/>
        <v/>
      </c>
      <c r="O20" s="72" t="str">
        <f>IF(Table_Controls_Input22[[#This Row],[Measure Number]]="", "", Table_Controls_Input22[[#This Row],[Total Equipment Cost]]+Table_Controls_Input22[[#This Row],[Total Labor Cost]])</f>
        <v/>
      </c>
      <c r="P20" s="72" t="str">
        <f>IFERROR(Table_Controls_Input22[[#This Row],[Gross Measure Cost]]-Table_Controls_Input22[[#This Row],[Estimated Incentive]], "")</f>
        <v/>
      </c>
      <c r="Q20" s="73" t="str">
        <f t="shared" si="1"/>
        <v/>
      </c>
      <c r="R20" s="3"/>
      <c r="S20" s="3"/>
      <c r="T20" s="3"/>
      <c r="U20" s="3"/>
      <c r="V20" s="3"/>
      <c r="W20" s="3"/>
      <c r="X20" s="3"/>
      <c r="Y20" s="3"/>
      <c r="Z20" s="3"/>
      <c r="AA20" s="3"/>
      <c r="AB20" s="3"/>
      <c r="AC20" s="3"/>
      <c r="AD20" s="3"/>
      <c r="AE20" s="3"/>
      <c r="AF20" s="3"/>
      <c r="AG20" s="3"/>
      <c r="AH20" s="3"/>
      <c r="AI20" s="3"/>
      <c r="AJ20" s="3"/>
      <c r="AK20" s="3"/>
      <c r="AL20" s="3"/>
      <c r="AM20" s="3"/>
    </row>
    <row r="21" spans="1:39" x14ac:dyDescent="0.2">
      <c r="A21" s="3"/>
      <c r="B21" s="71">
        <v>17</v>
      </c>
      <c r="C21" s="69" t="str">
        <f>IFERROR(INDEX(Table_Prescript_Meas[Measure Number], MATCH(E21, Table_Prescript_Meas[Measure Description], 0)), "")</f>
        <v/>
      </c>
      <c r="D21" s="61"/>
      <c r="E21" s="60"/>
      <c r="F21" s="69" t="str">
        <f>IFERROR(INDEX(Table_Prescript_Meas[Units], MATCH(Table_Controls_Input22[[#This Row],[Measure Number]], Table_Prescript_Meas[Measure Number], 0)), "")</f>
        <v/>
      </c>
      <c r="G21" s="272"/>
      <c r="H21" s="155"/>
      <c r="I21" s="155"/>
      <c r="J21"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1" s="72" t="str">
        <f>IFERROR(Table_Controls_Input22[[#This Row],[Number of Units]]*Table_Controls_Input22[[#This Row],[Per-Unit Incentive]], "")</f>
        <v/>
      </c>
      <c r="L21" s="73" t="str">
        <f>IFERROR(Table_Controls_Input22[[#This Row],[Number of Units]]*INDEX(Table_Prescript_Meas[Deemed kWh Savings], MATCH(Table_Controls_Input22[[#This Row],[Measure Number]], Table_Prescript_Meas[Measure Number], 0)),"" )</f>
        <v/>
      </c>
      <c r="M21" s="79" t="str">
        <f>IFERROR(Table_Controls_Input22[[#This Row],[Number of Units]]*INDEX(Table_Prescript_Meas[Deemed kW Savings], MATCH(Table_Controls_Input22[[#This Row],[Measure Number]], Table_Prescript_Meas[Measure Number], 0)),"" )</f>
        <v/>
      </c>
      <c r="N21" s="72" t="str">
        <f t="shared" si="2"/>
        <v/>
      </c>
      <c r="O21" s="72" t="str">
        <f>IF(Table_Controls_Input22[[#This Row],[Measure Number]]="", "", Table_Controls_Input22[[#This Row],[Total Equipment Cost]]+Table_Controls_Input22[[#This Row],[Total Labor Cost]])</f>
        <v/>
      </c>
      <c r="P21" s="72" t="str">
        <f>IFERROR(Table_Controls_Input22[[#This Row],[Gross Measure Cost]]-Table_Controls_Input22[[#This Row],[Estimated Incentive]], "")</f>
        <v/>
      </c>
      <c r="Q21" s="73" t="str">
        <f t="shared" si="1"/>
        <v/>
      </c>
      <c r="R21" s="3"/>
      <c r="S21" s="3"/>
      <c r="T21" s="3"/>
      <c r="U21" s="3"/>
      <c r="V21" s="3"/>
      <c r="W21" s="3"/>
      <c r="X21" s="3"/>
      <c r="Y21" s="3"/>
      <c r="Z21" s="3"/>
      <c r="AA21" s="3"/>
      <c r="AB21" s="3"/>
      <c r="AC21" s="3"/>
      <c r="AD21" s="3"/>
      <c r="AE21" s="3"/>
      <c r="AF21" s="3"/>
      <c r="AG21" s="3"/>
      <c r="AH21" s="3"/>
      <c r="AI21" s="3"/>
      <c r="AJ21" s="3"/>
      <c r="AK21" s="3"/>
      <c r="AL21" s="3"/>
      <c r="AM21" s="3"/>
    </row>
    <row r="22" spans="1:39" x14ac:dyDescent="0.2">
      <c r="A22" s="3"/>
      <c r="B22" s="71">
        <v>18</v>
      </c>
      <c r="C22" s="69" t="str">
        <f>IFERROR(INDEX(Table_Prescript_Meas[Measure Number], MATCH(E22, Table_Prescript_Meas[Measure Description], 0)), "")</f>
        <v/>
      </c>
      <c r="D22" s="61"/>
      <c r="E22" s="60"/>
      <c r="F22" s="69" t="str">
        <f>IFERROR(INDEX(Table_Prescript_Meas[Units], MATCH(Table_Controls_Input22[[#This Row],[Measure Number]], Table_Prescript_Meas[Measure Number], 0)), "")</f>
        <v/>
      </c>
      <c r="G22" s="272"/>
      <c r="H22" s="155"/>
      <c r="I22" s="155"/>
      <c r="J22"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2" s="72" t="str">
        <f>IFERROR(Table_Controls_Input22[[#This Row],[Number of Units]]*Table_Controls_Input22[[#This Row],[Per-Unit Incentive]], "")</f>
        <v/>
      </c>
      <c r="L22" s="73" t="str">
        <f>IFERROR(Table_Controls_Input22[[#This Row],[Number of Units]]*INDEX(Table_Prescript_Meas[Deemed kWh Savings], MATCH(Table_Controls_Input22[[#This Row],[Measure Number]], Table_Prescript_Meas[Measure Number], 0)),"" )</f>
        <v/>
      </c>
      <c r="M22" s="79" t="str">
        <f>IFERROR(Table_Controls_Input22[[#This Row],[Number of Units]]*INDEX(Table_Prescript_Meas[Deemed kW Savings], MATCH(Table_Controls_Input22[[#This Row],[Measure Number]], Table_Prescript_Meas[Measure Number], 0)),"" )</f>
        <v/>
      </c>
      <c r="N22" s="72" t="str">
        <f t="shared" si="2"/>
        <v/>
      </c>
      <c r="O22" s="72" t="str">
        <f>IF(Table_Controls_Input22[[#This Row],[Measure Number]]="", "", Table_Controls_Input22[[#This Row],[Total Equipment Cost]]+Table_Controls_Input22[[#This Row],[Total Labor Cost]])</f>
        <v/>
      </c>
      <c r="P22" s="72" t="str">
        <f>IFERROR(Table_Controls_Input22[[#This Row],[Gross Measure Cost]]-Table_Controls_Input22[[#This Row],[Estimated Incentive]], "")</f>
        <v/>
      </c>
      <c r="Q22" s="73" t="str">
        <f t="shared" si="1"/>
        <v/>
      </c>
      <c r="R22" s="3"/>
      <c r="S22" s="3"/>
      <c r="T22" s="3"/>
      <c r="U22" s="3"/>
      <c r="V22" s="3"/>
      <c r="W22" s="3"/>
      <c r="X22" s="3"/>
      <c r="Y22" s="3"/>
      <c r="Z22" s="3"/>
      <c r="AA22" s="3"/>
      <c r="AB22" s="3"/>
      <c r="AC22" s="3"/>
      <c r="AD22" s="3"/>
      <c r="AE22" s="3"/>
      <c r="AF22" s="3"/>
      <c r="AG22" s="3"/>
      <c r="AH22" s="3"/>
      <c r="AI22" s="3"/>
      <c r="AJ22" s="3"/>
      <c r="AK22" s="3"/>
      <c r="AL22" s="3"/>
      <c r="AM22" s="3"/>
    </row>
    <row r="23" spans="1:39" x14ac:dyDescent="0.2">
      <c r="A23" s="3"/>
      <c r="B23" s="71">
        <v>19</v>
      </c>
      <c r="C23" s="69" t="str">
        <f>IFERROR(INDEX(Table_Prescript_Meas[Measure Number], MATCH(E23, Table_Prescript_Meas[Measure Description], 0)), "")</f>
        <v/>
      </c>
      <c r="D23" s="61"/>
      <c r="E23" s="60"/>
      <c r="F23" s="69" t="str">
        <f>IFERROR(INDEX(Table_Prescript_Meas[Units], MATCH(Table_Controls_Input22[[#This Row],[Measure Number]], Table_Prescript_Meas[Measure Number], 0)), "")</f>
        <v/>
      </c>
      <c r="G23" s="272"/>
      <c r="H23" s="155"/>
      <c r="I23" s="155"/>
      <c r="J23"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3" s="72" t="str">
        <f>IFERROR(Table_Controls_Input22[[#This Row],[Number of Units]]*Table_Controls_Input22[[#This Row],[Per-Unit Incentive]], "")</f>
        <v/>
      </c>
      <c r="L23" s="73" t="str">
        <f>IFERROR(Table_Controls_Input22[[#This Row],[Number of Units]]*INDEX(Table_Prescript_Meas[Deemed kWh Savings], MATCH(Table_Controls_Input22[[#This Row],[Measure Number]], Table_Prescript_Meas[Measure Number], 0)),"" )</f>
        <v/>
      </c>
      <c r="M23" s="79" t="str">
        <f>IFERROR(Table_Controls_Input22[[#This Row],[Number of Units]]*INDEX(Table_Prescript_Meas[Deemed kW Savings], MATCH(Table_Controls_Input22[[#This Row],[Measure Number]], Table_Prescript_Meas[Measure Number], 0)),"" )</f>
        <v/>
      </c>
      <c r="N23" s="72" t="str">
        <f t="shared" si="2"/>
        <v/>
      </c>
      <c r="O23" s="72" t="str">
        <f>IF(Table_Controls_Input22[[#This Row],[Measure Number]]="", "", Table_Controls_Input22[[#This Row],[Total Equipment Cost]]+Table_Controls_Input22[[#This Row],[Total Labor Cost]])</f>
        <v/>
      </c>
      <c r="P23" s="72" t="str">
        <f>IFERROR(Table_Controls_Input22[[#This Row],[Gross Measure Cost]]-Table_Controls_Input22[[#This Row],[Estimated Incentive]], "")</f>
        <v/>
      </c>
      <c r="Q23" s="73" t="str">
        <f t="shared" si="1"/>
        <v/>
      </c>
      <c r="R23" s="3"/>
      <c r="S23" s="3"/>
      <c r="T23" s="3"/>
      <c r="U23" s="3"/>
      <c r="V23" s="3"/>
      <c r="W23" s="3"/>
      <c r="X23" s="3"/>
      <c r="Y23" s="3"/>
      <c r="Z23" s="3"/>
      <c r="AA23" s="3"/>
      <c r="AB23" s="3"/>
      <c r="AC23" s="3"/>
      <c r="AD23" s="3"/>
      <c r="AE23" s="3"/>
      <c r="AF23" s="3"/>
      <c r="AG23" s="3"/>
      <c r="AH23" s="3"/>
      <c r="AI23" s="3"/>
      <c r="AJ23" s="3"/>
      <c r="AK23" s="3"/>
      <c r="AL23" s="3"/>
      <c r="AM23" s="3"/>
    </row>
    <row r="24" spans="1:39" x14ac:dyDescent="0.2">
      <c r="A24" s="3"/>
      <c r="B24" s="71">
        <v>20</v>
      </c>
      <c r="C24" s="69" t="str">
        <f>IFERROR(INDEX(Table_Prescript_Meas[Measure Number], MATCH(E24, Table_Prescript_Meas[Measure Description], 0)), "")</f>
        <v/>
      </c>
      <c r="D24" s="61"/>
      <c r="E24" s="60"/>
      <c r="F24" s="69" t="str">
        <f>IFERROR(INDEX(Table_Prescript_Meas[Units], MATCH(Table_Controls_Input22[[#This Row],[Measure Number]], Table_Prescript_Meas[Measure Number], 0)), "")</f>
        <v/>
      </c>
      <c r="G24" s="272"/>
      <c r="H24" s="155"/>
      <c r="I24" s="155"/>
      <c r="J24"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4" s="72" t="str">
        <f>IFERROR(Table_Controls_Input22[[#This Row],[Number of Units]]*Table_Controls_Input22[[#This Row],[Per-Unit Incentive]], "")</f>
        <v/>
      </c>
      <c r="L24" s="73" t="str">
        <f>IFERROR(Table_Controls_Input22[[#This Row],[Number of Units]]*INDEX(Table_Prescript_Meas[Deemed kWh Savings], MATCH(Table_Controls_Input22[[#This Row],[Measure Number]], Table_Prescript_Meas[Measure Number], 0)),"" )</f>
        <v/>
      </c>
      <c r="M24" s="79" t="str">
        <f>IFERROR(Table_Controls_Input22[[#This Row],[Number of Units]]*INDEX(Table_Prescript_Meas[Deemed kW Savings], MATCH(Table_Controls_Input22[[#This Row],[Measure Number]], Table_Prescript_Meas[Measure Number], 0)),"" )</f>
        <v/>
      </c>
      <c r="N24" s="72" t="str">
        <f t="shared" si="2"/>
        <v/>
      </c>
      <c r="O24" s="72" t="str">
        <f>IF(Table_Controls_Input22[[#This Row],[Measure Number]]="", "", Table_Controls_Input22[[#This Row],[Total Equipment Cost]]+Table_Controls_Input22[[#This Row],[Total Labor Cost]])</f>
        <v/>
      </c>
      <c r="P24" s="72" t="str">
        <f>IFERROR(Table_Controls_Input22[[#This Row],[Gross Measure Cost]]-Table_Controls_Input22[[#This Row],[Estimated Incentive]], "")</f>
        <v/>
      </c>
      <c r="Q24" s="73" t="str">
        <f t="shared" si="1"/>
        <v/>
      </c>
      <c r="R24" s="3"/>
      <c r="S24" s="3"/>
      <c r="T24" s="3"/>
      <c r="U24" s="3"/>
      <c r="V24" s="3"/>
      <c r="W24" s="3"/>
      <c r="X24" s="3"/>
      <c r="Y24" s="3"/>
      <c r="Z24" s="3"/>
      <c r="AA24" s="3"/>
      <c r="AB24" s="3"/>
      <c r="AC24" s="3"/>
      <c r="AD24" s="3"/>
      <c r="AE24" s="3"/>
      <c r="AF24" s="3"/>
      <c r="AG24" s="3"/>
      <c r="AH24" s="3"/>
      <c r="AI24" s="3"/>
      <c r="AJ24" s="3"/>
      <c r="AK24" s="3"/>
      <c r="AL24" s="3"/>
      <c r="AM24" s="3"/>
    </row>
    <row r="25" spans="1:39" x14ac:dyDescent="0.2">
      <c r="A25" s="3"/>
      <c r="B25" s="71">
        <v>21</v>
      </c>
      <c r="C25" s="69" t="str">
        <f>IFERROR(INDEX(Table_Prescript_Meas[Measure Number], MATCH(E25, Table_Prescript_Meas[Measure Description], 0)), "")</f>
        <v/>
      </c>
      <c r="D25" s="61"/>
      <c r="E25" s="60"/>
      <c r="F25" s="69" t="str">
        <f>IFERROR(INDEX(Table_Prescript_Meas[Units], MATCH(Table_Controls_Input22[[#This Row],[Measure Number]], Table_Prescript_Meas[Measure Number], 0)), "")</f>
        <v/>
      </c>
      <c r="G25" s="272"/>
      <c r="H25" s="155"/>
      <c r="I25" s="155"/>
      <c r="J25"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5" s="72" t="str">
        <f>IFERROR(Table_Controls_Input22[[#This Row],[Number of Units]]*Table_Controls_Input22[[#This Row],[Per-Unit Incentive]], "")</f>
        <v/>
      </c>
      <c r="L25" s="73" t="str">
        <f>IFERROR(Table_Controls_Input22[[#This Row],[Number of Units]]*INDEX(Table_Prescript_Meas[Deemed kWh Savings], MATCH(Table_Controls_Input22[[#This Row],[Measure Number]], Table_Prescript_Meas[Measure Number], 0)),"" )</f>
        <v/>
      </c>
      <c r="M25" s="79" t="str">
        <f>IFERROR(Table_Controls_Input22[[#This Row],[Number of Units]]*INDEX(Table_Prescript_Meas[Deemed kW Savings], MATCH(Table_Controls_Input22[[#This Row],[Measure Number]], Table_Prescript_Meas[Measure Number], 0)),"" )</f>
        <v/>
      </c>
      <c r="N25" s="72" t="str">
        <f t="shared" si="2"/>
        <v/>
      </c>
      <c r="O25" s="72" t="str">
        <f>IF(Table_Controls_Input22[[#This Row],[Measure Number]]="", "", Table_Controls_Input22[[#This Row],[Total Equipment Cost]]+Table_Controls_Input22[[#This Row],[Total Labor Cost]])</f>
        <v/>
      </c>
      <c r="P25" s="72" t="str">
        <f>IFERROR(Table_Controls_Input22[[#This Row],[Gross Measure Cost]]-Table_Controls_Input22[[#This Row],[Estimated Incentive]], "")</f>
        <v/>
      </c>
      <c r="Q25" s="73" t="str">
        <f t="shared" si="1"/>
        <v/>
      </c>
      <c r="R25" s="3"/>
      <c r="S25" s="3"/>
      <c r="T25" s="3"/>
      <c r="U25" s="3"/>
      <c r="V25" s="3"/>
      <c r="W25" s="3"/>
      <c r="X25" s="3"/>
      <c r="Y25" s="3"/>
      <c r="Z25" s="3"/>
      <c r="AA25" s="3"/>
      <c r="AB25" s="3"/>
      <c r="AC25" s="3"/>
      <c r="AD25" s="3"/>
      <c r="AE25" s="3"/>
      <c r="AF25" s="3"/>
      <c r="AG25" s="3"/>
      <c r="AH25" s="3"/>
      <c r="AI25" s="3"/>
      <c r="AJ25" s="3"/>
      <c r="AK25" s="3"/>
      <c r="AL25" s="3"/>
      <c r="AM25" s="3"/>
    </row>
    <row r="26" spans="1:39" x14ac:dyDescent="0.2">
      <c r="A26" s="3"/>
      <c r="B26" s="71">
        <v>22</v>
      </c>
      <c r="C26" s="69" t="str">
        <f>IFERROR(INDEX(Table_Prescript_Meas[Measure Number], MATCH(E26, Table_Prescript_Meas[Measure Description], 0)), "")</f>
        <v/>
      </c>
      <c r="D26" s="61"/>
      <c r="E26" s="60"/>
      <c r="F26" s="69" t="str">
        <f>IFERROR(INDEX(Table_Prescript_Meas[Units], MATCH(Table_Controls_Input22[[#This Row],[Measure Number]], Table_Prescript_Meas[Measure Number], 0)), "")</f>
        <v/>
      </c>
      <c r="G26" s="272"/>
      <c r="H26" s="155"/>
      <c r="I26" s="155"/>
      <c r="J26"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6" s="72" t="str">
        <f>IFERROR(Table_Controls_Input22[[#This Row],[Number of Units]]*Table_Controls_Input22[[#This Row],[Per-Unit Incentive]], "")</f>
        <v/>
      </c>
      <c r="L26" s="73" t="str">
        <f>IFERROR(Table_Controls_Input22[[#This Row],[Number of Units]]*INDEX(Table_Prescript_Meas[Deemed kWh Savings], MATCH(Table_Controls_Input22[[#This Row],[Measure Number]], Table_Prescript_Meas[Measure Number], 0)),"" )</f>
        <v/>
      </c>
      <c r="M26" s="79" t="str">
        <f>IFERROR(Table_Controls_Input22[[#This Row],[Number of Units]]*INDEX(Table_Prescript_Meas[Deemed kW Savings], MATCH(Table_Controls_Input22[[#This Row],[Measure Number]], Table_Prescript_Meas[Measure Number], 0)),"" )</f>
        <v/>
      </c>
      <c r="N26" s="72" t="str">
        <f t="shared" si="2"/>
        <v/>
      </c>
      <c r="O26" s="72" t="str">
        <f>IF(Table_Controls_Input22[[#This Row],[Measure Number]]="", "", Table_Controls_Input22[[#This Row],[Total Equipment Cost]]+Table_Controls_Input22[[#This Row],[Total Labor Cost]])</f>
        <v/>
      </c>
      <c r="P26" s="72" t="str">
        <f>IFERROR(Table_Controls_Input22[[#This Row],[Gross Measure Cost]]-Table_Controls_Input22[[#This Row],[Estimated Incentive]], "")</f>
        <v/>
      </c>
      <c r="Q26" s="73" t="str">
        <f t="shared" si="1"/>
        <v/>
      </c>
      <c r="R26" s="3"/>
      <c r="S26" s="3"/>
      <c r="T26" s="3"/>
      <c r="U26" s="3"/>
      <c r="V26" s="3"/>
      <c r="W26" s="3"/>
      <c r="X26" s="3"/>
      <c r="Y26" s="3"/>
      <c r="Z26" s="3"/>
      <c r="AA26" s="3"/>
      <c r="AB26" s="3"/>
      <c r="AC26" s="3"/>
      <c r="AD26" s="3"/>
      <c r="AE26" s="3"/>
      <c r="AF26" s="3"/>
      <c r="AG26" s="3"/>
      <c r="AH26" s="3"/>
      <c r="AI26" s="3"/>
      <c r="AJ26" s="3"/>
      <c r="AK26" s="3"/>
      <c r="AL26" s="3"/>
      <c r="AM26" s="3"/>
    </row>
    <row r="27" spans="1:39" x14ac:dyDescent="0.2">
      <c r="A27" s="3"/>
      <c r="B27" s="71">
        <v>23</v>
      </c>
      <c r="C27" s="69" t="str">
        <f>IFERROR(INDEX(Table_Prescript_Meas[Measure Number], MATCH(E27, Table_Prescript_Meas[Measure Description], 0)), "")</f>
        <v/>
      </c>
      <c r="D27" s="61"/>
      <c r="E27" s="60"/>
      <c r="F27" s="69" t="str">
        <f>IFERROR(INDEX(Table_Prescript_Meas[Units], MATCH(Table_Controls_Input22[[#This Row],[Measure Number]], Table_Prescript_Meas[Measure Number], 0)), "")</f>
        <v/>
      </c>
      <c r="G27" s="272"/>
      <c r="H27" s="155"/>
      <c r="I27" s="155"/>
      <c r="J27"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7" s="72" t="str">
        <f>IFERROR(Table_Controls_Input22[[#This Row],[Number of Units]]*Table_Controls_Input22[[#This Row],[Per-Unit Incentive]], "")</f>
        <v/>
      </c>
      <c r="L27" s="73" t="str">
        <f>IFERROR(Table_Controls_Input22[[#This Row],[Number of Units]]*INDEX(Table_Prescript_Meas[Deemed kWh Savings], MATCH(Table_Controls_Input22[[#This Row],[Measure Number]], Table_Prescript_Meas[Measure Number], 0)),"" )</f>
        <v/>
      </c>
      <c r="M27" s="79" t="str">
        <f>IFERROR(Table_Controls_Input22[[#This Row],[Number of Units]]*INDEX(Table_Prescript_Meas[Deemed kW Savings], MATCH(Table_Controls_Input22[[#This Row],[Measure Number]], Table_Prescript_Meas[Measure Number], 0)),"" )</f>
        <v/>
      </c>
      <c r="N27" s="72" t="str">
        <f t="shared" si="2"/>
        <v/>
      </c>
      <c r="O27" s="72" t="str">
        <f>IF(Table_Controls_Input22[[#This Row],[Measure Number]]="", "", Table_Controls_Input22[[#This Row],[Total Equipment Cost]]+Table_Controls_Input22[[#This Row],[Total Labor Cost]])</f>
        <v/>
      </c>
      <c r="P27" s="72" t="str">
        <f>IFERROR(Table_Controls_Input22[[#This Row],[Gross Measure Cost]]-Table_Controls_Input22[[#This Row],[Estimated Incentive]], "")</f>
        <v/>
      </c>
      <c r="Q27" s="73" t="str">
        <f t="shared" si="1"/>
        <v/>
      </c>
      <c r="R27" s="3"/>
      <c r="S27" s="3"/>
      <c r="T27" s="3"/>
      <c r="U27" s="3"/>
      <c r="V27" s="3"/>
      <c r="W27" s="3"/>
      <c r="X27" s="3"/>
      <c r="Y27" s="3"/>
      <c r="Z27" s="3"/>
      <c r="AA27" s="3"/>
      <c r="AB27" s="3"/>
      <c r="AC27" s="3"/>
      <c r="AD27" s="3"/>
      <c r="AE27" s="3"/>
      <c r="AF27" s="3"/>
      <c r="AG27" s="3"/>
      <c r="AH27" s="3"/>
      <c r="AI27" s="3"/>
      <c r="AJ27" s="3"/>
      <c r="AK27" s="3"/>
      <c r="AL27" s="3"/>
      <c r="AM27" s="3"/>
    </row>
    <row r="28" spans="1:39" x14ac:dyDescent="0.2">
      <c r="A28" s="3"/>
      <c r="B28" s="71">
        <v>24</v>
      </c>
      <c r="C28" s="69" t="str">
        <f>IFERROR(INDEX(Table_Prescript_Meas[Measure Number], MATCH(E28, Table_Prescript_Meas[Measure Description], 0)), "")</f>
        <v/>
      </c>
      <c r="D28" s="61"/>
      <c r="E28" s="60"/>
      <c r="F28" s="69" t="str">
        <f>IFERROR(INDEX(Table_Prescript_Meas[Units], MATCH(Table_Controls_Input22[[#This Row],[Measure Number]], Table_Prescript_Meas[Measure Number], 0)), "")</f>
        <v/>
      </c>
      <c r="G28" s="272"/>
      <c r="H28" s="155"/>
      <c r="I28" s="155"/>
      <c r="J28"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8" s="72" t="str">
        <f>IFERROR(Table_Controls_Input22[[#This Row],[Number of Units]]*Table_Controls_Input22[[#This Row],[Per-Unit Incentive]], "")</f>
        <v/>
      </c>
      <c r="L28" s="73" t="str">
        <f>IFERROR(Table_Controls_Input22[[#This Row],[Number of Units]]*INDEX(Table_Prescript_Meas[Deemed kWh Savings], MATCH(Table_Controls_Input22[[#This Row],[Measure Number]], Table_Prescript_Meas[Measure Number], 0)),"" )</f>
        <v/>
      </c>
      <c r="M28" s="79" t="str">
        <f>IFERROR(Table_Controls_Input22[[#This Row],[Number of Units]]*INDEX(Table_Prescript_Meas[Deemed kW Savings], MATCH(Table_Controls_Input22[[#This Row],[Measure Number]], Table_Prescript_Meas[Measure Number], 0)),"" )</f>
        <v/>
      </c>
      <c r="N28" s="72" t="str">
        <f t="shared" si="2"/>
        <v/>
      </c>
      <c r="O28" s="72" t="str">
        <f>IF(Table_Controls_Input22[[#This Row],[Measure Number]]="", "", Table_Controls_Input22[[#This Row],[Total Equipment Cost]]+Table_Controls_Input22[[#This Row],[Total Labor Cost]])</f>
        <v/>
      </c>
      <c r="P28" s="72" t="str">
        <f>IFERROR(Table_Controls_Input22[[#This Row],[Gross Measure Cost]]-Table_Controls_Input22[[#This Row],[Estimated Incentive]], "")</f>
        <v/>
      </c>
      <c r="Q28" s="73" t="str">
        <f t="shared" si="1"/>
        <v/>
      </c>
      <c r="R28" s="3"/>
      <c r="S28" s="3"/>
      <c r="T28" s="3"/>
      <c r="U28" s="3"/>
      <c r="V28" s="3"/>
      <c r="W28" s="3"/>
      <c r="X28" s="3"/>
      <c r="Y28" s="3"/>
      <c r="Z28" s="3"/>
      <c r="AA28" s="3"/>
      <c r="AB28" s="3"/>
      <c r="AC28" s="3"/>
      <c r="AD28" s="3"/>
      <c r="AE28" s="3"/>
      <c r="AF28" s="3"/>
      <c r="AG28" s="3"/>
      <c r="AH28" s="3"/>
      <c r="AI28" s="3"/>
      <c r="AJ28" s="3"/>
      <c r="AK28" s="3"/>
      <c r="AL28" s="3"/>
      <c r="AM28" s="3"/>
    </row>
    <row r="29" spans="1:39" x14ac:dyDescent="0.2">
      <c r="A29" s="3"/>
      <c r="B29" s="71">
        <v>25</v>
      </c>
      <c r="C29" s="69" t="str">
        <f>IFERROR(INDEX(Table_Prescript_Meas[Measure Number], MATCH(E29, Table_Prescript_Meas[Measure Description], 0)), "")</f>
        <v/>
      </c>
      <c r="D29" s="61"/>
      <c r="E29" s="60"/>
      <c r="F29" s="69" t="str">
        <f>IFERROR(INDEX(Table_Prescript_Meas[Units], MATCH(Table_Controls_Input22[[#This Row],[Measure Number]], Table_Prescript_Meas[Measure Number], 0)), "")</f>
        <v/>
      </c>
      <c r="G29" s="272"/>
      <c r="H29" s="155"/>
      <c r="I29" s="155"/>
      <c r="J29"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29" s="72" t="str">
        <f>IFERROR(Table_Controls_Input22[[#This Row],[Number of Units]]*Table_Controls_Input22[[#This Row],[Per-Unit Incentive]], "")</f>
        <v/>
      </c>
      <c r="L29" s="73" t="str">
        <f>IFERROR(Table_Controls_Input22[[#This Row],[Number of Units]]*INDEX(Table_Prescript_Meas[Deemed kWh Savings], MATCH(Table_Controls_Input22[[#This Row],[Measure Number]], Table_Prescript_Meas[Measure Number], 0)),"" )</f>
        <v/>
      </c>
      <c r="M29" s="79" t="str">
        <f>IFERROR(Table_Controls_Input22[[#This Row],[Number of Units]]*INDEX(Table_Prescript_Meas[Deemed kW Savings], MATCH(Table_Controls_Input22[[#This Row],[Measure Number]], Table_Prescript_Meas[Measure Number], 0)),"" )</f>
        <v/>
      </c>
      <c r="N29" s="72" t="str">
        <f t="shared" si="2"/>
        <v/>
      </c>
      <c r="O29" s="72" t="str">
        <f>IF(Table_Controls_Input22[[#This Row],[Measure Number]]="", "", Table_Controls_Input22[[#This Row],[Total Equipment Cost]]+Table_Controls_Input22[[#This Row],[Total Labor Cost]])</f>
        <v/>
      </c>
      <c r="P29" s="72" t="str">
        <f>IFERROR(Table_Controls_Input22[[#This Row],[Gross Measure Cost]]-Table_Controls_Input22[[#This Row],[Estimated Incentive]], "")</f>
        <v/>
      </c>
      <c r="Q29" s="73" t="str">
        <f t="shared" si="1"/>
        <v/>
      </c>
      <c r="R29" s="3"/>
      <c r="S29" s="3"/>
      <c r="T29" s="3"/>
      <c r="U29" s="3"/>
      <c r="V29" s="3"/>
      <c r="W29" s="3"/>
      <c r="X29" s="3"/>
      <c r="Y29" s="3"/>
      <c r="Z29" s="3"/>
      <c r="AA29" s="3"/>
      <c r="AB29" s="3"/>
      <c r="AC29" s="3"/>
      <c r="AD29" s="3"/>
      <c r="AE29" s="3"/>
      <c r="AF29" s="3"/>
      <c r="AG29" s="3"/>
      <c r="AH29" s="3"/>
      <c r="AI29" s="3"/>
      <c r="AJ29" s="3"/>
      <c r="AK29" s="3"/>
      <c r="AL29" s="3"/>
      <c r="AM29" s="3"/>
    </row>
    <row r="30" spans="1:39" x14ac:dyDescent="0.2">
      <c r="A30" s="3"/>
      <c r="B30" s="71">
        <v>26</v>
      </c>
      <c r="C30" s="69" t="str">
        <f>IFERROR(INDEX(Table_Prescript_Meas[Measure Number], MATCH(E30, Table_Prescript_Meas[Measure Description], 0)), "")</f>
        <v/>
      </c>
      <c r="D30" s="61"/>
      <c r="E30" s="60"/>
      <c r="F30" s="69" t="str">
        <f>IFERROR(INDEX(Table_Prescript_Meas[Units], MATCH(Table_Controls_Input22[[#This Row],[Measure Number]], Table_Prescript_Meas[Measure Number], 0)), "")</f>
        <v/>
      </c>
      <c r="G30" s="272"/>
      <c r="H30" s="155"/>
      <c r="I30" s="155"/>
      <c r="J30"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0" s="72" t="str">
        <f>IFERROR(Table_Controls_Input22[[#This Row],[Number of Units]]*Table_Controls_Input22[[#This Row],[Per-Unit Incentive]], "")</f>
        <v/>
      </c>
      <c r="L30" s="73" t="str">
        <f>IFERROR(Table_Controls_Input22[[#This Row],[Number of Units]]*INDEX(Table_Prescript_Meas[Deemed kWh Savings], MATCH(Table_Controls_Input22[[#This Row],[Measure Number]], Table_Prescript_Meas[Measure Number], 0)),"" )</f>
        <v/>
      </c>
      <c r="M30" s="79" t="str">
        <f>IFERROR(Table_Controls_Input22[[#This Row],[Number of Units]]*INDEX(Table_Prescript_Meas[Deemed kW Savings], MATCH(Table_Controls_Input22[[#This Row],[Measure Number]], Table_Prescript_Meas[Measure Number], 0)),"" )</f>
        <v/>
      </c>
      <c r="N30" s="72" t="str">
        <f t="shared" si="2"/>
        <v/>
      </c>
      <c r="O30" s="72" t="str">
        <f>IF(Table_Controls_Input22[[#This Row],[Measure Number]]="", "", Table_Controls_Input22[[#This Row],[Total Equipment Cost]]+Table_Controls_Input22[[#This Row],[Total Labor Cost]])</f>
        <v/>
      </c>
      <c r="P30" s="72" t="str">
        <f>IFERROR(Table_Controls_Input22[[#This Row],[Gross Measure Cost]]-Table_Controls_Input22[[#This Row],[Estimated Incentive]], "")</f>
        <v/>
      </c>
      <c r="Q30" s="73" t="str">
        <f t="shared" si="1"/>
        <v/>
      </c>
      <c r="R30" s="3"/>
      <c r="S30" s="3"/>
      <c r="T30" s="3"/>
      <c r="U30" s="3"/>
      <c r="V30" s="3"/>
      <c r="W30" s="3"/>
      <c r="X30" s="3"/>
      <c r="Y30" s="3"/>
      <c r="Z30" s="3"/>
      <c r="AA30" s="3"/>
      <c r="AB30" s="3"/>
      <c r="AC30" s="3"/>
      <c r="AD30" s="3"/>
      <c r="AE30" s="3"/>
      <c r="AF30" s="3"/>
      <c r="AG30" s="3"/>
      <c r="AH30" s="3"/>
      <c r="AI30" s="3"/>
      <c r="AJ30" s="3"/>
      <c r="AK30" s="3"/>
      <c r="AL30" s="3"/>
      <c r="AM30" s="3"/>
    </row>
    <row r="31" spans="1:39" x14ac:dyDescent="0.2">
      <c r="A31" s="4"/>
      <c r="B31" s="71">
        <v>27</v>
      </c>
      <c r="C31" s="69" t="str">
        <f>IFERROR(INDEX(Table_Prescript_Meas[Measure Number], MATCH(E31, Table_Prescript_Meas[Measure Description], 0)), "")</f>
        <v/>
      </c>
      <c r="D31" s="61"/>
      <c r="E31" s="60"/>
      <c r="F31" s="69" t="str">
        <f>IFERROR(INDEX(Table_Prescript_Meas[Units], MATCH(Table_Controls_Input22[[#This Row],[Measure Number]], Table_Prescript_Meas[Measure Number], 0)), "")</f>
        <v/>
      </c>
      <c r="G31" s="272"/>
      <c r="H31" s="155"/>
      <c r="I31" s="155"/>
      <c r="J31"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1" s="72" t="str">
        <f>IFERROR(Table_Controls_Input22[[#This Row],[Number of Units]]*Table_Controls_Input22[[#This Row],[Per-Unit Incentive]], "")</f>
        <v/>
      </c>
      <c r="L31" s="73" t="str">
        <f>IFERROR(Table_Controls_Input22[[#This Row],[Number of Units]]*INDEX(Table_Prescript_Meas[Deemed kWh Savings], MATCH(Table_Controls_Input22[[#This Row],[Measure Number]], Table_Prescript_Meas[Measure Number], 0)),"" )</f>
        <v/>
      </c>
      <c r="M31" s="79" t="str">
        <f>IFERROR(Table_Controls_Input22[[#This Row],[Number of Units]]*INDEX(Table_Prescript_Meas[Deemed kW Savings], MATCH(Table_Controls_Input22[[#This Row],[Measure Number]], Table_Prescript_Meas[Measure Number], 0)),"" )</f>
        <v/>
      </c>
      <c r="N31" s="72" t="str">
        <f t="shared" si="2"/>
        <v/>
      </c>
      <c r="O31" s="72" t="str">
        <f>IF(Table_Controls_Input22[[#This Row],[Measure Number]]="", "", Table_Controls_Input22[[#This Row],[Total Equipment Cost]]+Table_Controls_Input22[[#This Row],[Total Labor Cost]])</f>
        <v/>
      </c>
      <c r="P31" s="72" t="str">
        <f>IFERROR(Table_Controls_Input22[[#This Row],[Gross Measure Cost]]-Table_Controls_Input22[[#This Row],[Estimated Incentive]], "")</f>
        <v/>
      </c>
      <c r="Q31" s="73" t="str">
        <f t="shared" si="1"/>
        <v/>
      </c>
      <c r="R31" s="4"/>
      <c r="S31" s="4"/>
      <c r="T31" s="4"/>
      <c r="U31" s="4"/>
      <c r="V31" s="4"/>
      <c r="W31" s="4"/>
      <c r="X31" s="4"/>
      <c r="Y31" s="4"/>
      <c r="Z31" s="4"/>
      <c r="AA31" s="4"/>
      <c r="AB31" s="4"/>
      <c r="AC31" s="4"/>
      <c r="AD31" s="4"/>
      <c r="AE31" s="4"/>
      <c r="AF31" s="4"/>
      <c r="AG31" s="4"/>
      <c r="AH31" s="4"/>
      <c r="AI31" s="4"/>
      <c r="AJ31" s="4"/>
      <c r="AK31" s="4"/>
      <c r="AL31" s="4"/>
      <c r="AM31" s="4"/>
    </row>
    <row r="32" spans="1:39" x14ac:dyDescent="0.2">
      <c r="A32" s="4"/>
      <c r="B32" s="71">
        <v>28</v>
      </c>
      <c r="C32" s="69" t="str">
        <f>IFERROR(INDEX(Table_Prescript_Meas[Measure Number], MATCH(E32, Table_Prescript_Meas[Measure Description], 0)), "")</f>
        <v/>
      </c>
      <c r="D32" s="61"/>
      <c r="E32" s="60"/>
      <c r="F32" s="69" t="str">
        <f>IFERROR(INDEX(Table_Prescript_Meas[Units], MATCH(Table_Controls_Input22[[#This Row],[Measure Number]], Table_Prescript_Meas[Measure Number], 0)), "")</f>
        <v/>
      </c>
      <c r="G32" s="272"/>
      <c r="H32" s="155"/>
      <c r="I32" s="155"/>
      <c r="J32"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2" s="72" t="str">
        <f>IFERROR(Table_Controls_Input22[[#This Row],[Number of Units]]*Table_Controls_Input22[[#This Row],[Per-Unit Incentive]], "")</f>
        <v/>
      </c>
      <c r="L32" s="73" t="str">
        <f>IFERROR(Table_Controls_Input22[[#This Row],[Number of Units]]*INDEX(Table_Prescript_Meas[Deemed kWh Savings], MATCH(Table_Controls_Input22[[#This Row],[Measure Number]], Table_Prescript_Meas[Measure Number], 0)),"" )</f>
        <v/>
      </c>
      <c r="M32" s="79" t="str">
        <f>IFERROR(Table_Controls_Input22[[#This Row],[Number of Units]]*INDEX(Table_Prescript_Meas[Deemed kW Savings], MATCH(Table_Controls_Input22[[#This Row],[Measure Number]], Table_Prescript_Meas[Measure Number], 0)),"" )</f>
        <v/>
      </c>
      <c r="N32" s="72" t="str">
        <f t="shared" si="2"/>
        <v/>
      </c>
      <c r="O32" s="72" t="str">
        <f>IF(Table_Controls_Input22[[#This Row],[Measure Number]]="", "", Table_Controls_Input22[[#This Row],[Total Equipment Cost]]+Table_Controls_Input22[[#This Row],[Total Labor Cost]])</f>
        <v/>
      </c>
      <c r="P32" s="72" t="str">
        <f>IFERROR(Table_Controls_Input22[[#This Row],[Gross Measure Cost]]-Table_Controls_Input22[[#This Row],[Estimated Incentive]], "")</f>
        <v/>
      </c>
      <c r="Q32" s="73" t="str">
        <f t="shared" si="1"/>
        <v/>
      </c>
      <c r="R32" s="4"/>
      <c r="S32" s="4"/>
      <c r="T32" s="4"/>
      <c r="U32" s="4"/>
      <c r="V32" s="4"/>
      <c r="W32" s="4"/>
      <c r="X32" s="4"/>
      <c r="Y32" s="4"/>
      <c r="Z32" s="4"/>
      <c r="AA32" s="4"/>
      <c r="AB32" s="4"/>
      <c r="AC32" s="4"/>
      <c r="AD32" s="4"/>
      <c r="AE32" s="4"/>
      <c r="AF32" s="4"/>
      <c r="AG32" s="4"/>
      <c r="AH32" s="4"/>
      <c r="AI32" s="4"/>
      <c r="AJ32" s="4"/>
      <c r="AK32" s="4"/>
      <c r="AL32" s="4"/>
      <c r="AM32" s="4"/>
    </row>
    <row r="33" spans="1:39" x14ac:dyDescent="0.2">
      <c r="A33" s="4"/>
      <c r="B33" s="71">
        <v>29</v>
      </c>
      <c r="C33" s="69" t="str">
        <f>IFERROR(INDEX(Table_Prescript_Meas[Measure Number], MATCH(E33, Table_Prescript_Meas[Measure Description], 0)), "")</f>
        <v/>
      </c>
      <c r="D33" s="61"/>
      <c r="E33" s="60"/>
      <c r="F33" s="69" t="str">
        <f>IFERROR(INDEX(Table_Prescript_Meas[Units], MATCH(Table_Controls_Input22[[#This Row],[Measure Number]], Table_Prescript_Meas[Measure Number], 0)), "")</f>
        <v/>
      </c>
      <c r="G33" s="272"/>
      <c r="H33" s="155"/>
      <c r="I33" s="155"/>
      <c r="J33"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3" s="72" t="str">
        <f>IFERROR(Table_Controls_Input22[[#This Row],[Number of Units]]*Table_Controls_Input22[[#This Row],[Per-Unit Incentive]], "")</f>
        <v/>
      </c>
      <c r="L33" s="73" t="str">
        <f>IFERROR(Table_Controls_Input22[[#This Row],[Number of Units]]*INDEX(Table_Prescript_Meas[Deemed kWh Savings], MATCH(Table_Controls_Input22[[#This Row],[Measure Number]], Table_Prescript_Meas[Measure Number], 0)),"" )</f>
        <v/>
      </c>
      <c r="M33" s="79" t="str">
        <f>IFERROR(Table_Controls_Input22[[#This Row],[Number of Units]]*INDEX(Table_Prescript_Meas[Deemed kW Savings], MATCH(Table_Controls_Input22[[#This Row],[Measure Number]], Table_Prescript_Meas[Measure Number], 0)),"" )</f>
        <v/>
      </c>
      <c r="N33" s="72" t="str">
        <f t="shared" si="2"/>
        <v/>
      </c>
      <c r="O33" s="72" t="str">
        <f>IF(Table_Controls_Input22[[#This Row],[Measure Number]]="", "", Table_Controls_Input22[[#This Row],[Total Equipment Cost]]+Table_Controls_Input22[[#This Row],[Total Labor Cost]])</f>
        <v/>
      </c>
      <c r="P33" s="72" t="str">
        <f>IFERROR(Table_Controls_Input22[[#This Row],[Gross Measure Cost]]-Table_Controls_Input22[[#This Row],[Estimated Incentive]], "")</f>
        <v/>
      </c>
      <c r="Q33" s="73" t="str">
        <f t="shared" si="1"/>
        <v/>
      </c>
      <c r="R33" s="4"/>
      <c r="S33" s="4"/>
      <c r="T33" s="4"/>
      <c r="U33" s="4"/>
      <c r="V33" s="4"/>
      <c r="W33" s="4"/>
      <c r="X33" s="4"/>
      <c r="Y33" s="4"/>
      <c r="Z33" s="4"/>
      <c r="AA33" s="4"/>
      <c r="AB33" s="4"/>
      <c r="AC33" s="4"/>
      <c r="AD33" s="4"/>
      <c r="AE33" s="4"/>
      <c r="AF33" s="4"/>
      <c r="AG33" s="4"/>
      <c r="AH33" s="4"/>
      <c r="AI33" s="4"/>
      <c r="AJ33" s="4"/>
      <c r="AK33" s="4"/>
      <c r="AL33" s="4"/>
      <c r="AM33" s="4"/>
    </row>
    <row r="34" spans="1:39" x14ac:dyDescent="0.2">
      <c r="A34" s="4"/>
      <c r="B34" s="71">
        <v>30</v>
      </c>
      <c r="C34" s="69" t="str">
        <f>IFERROR(INDEX(Table_Prescript_Meas[Measure Number], MATCH(E34, Table_Prescript_Meas[Measure Description], 0)), "")</f>
        <v/>
      </c>
      <c r="D34" s="61"/>
      <c r="E34" s="60"/>
      <c r="F34" s="69" t="str">
        <f>IFERROR(INDEX(Table_Prescript_Meas[Units], MATCH(Table_Controls_Input22[[#This Row],[Measure Number]], Table_Prescript_Meas[Measure Number], 0)), "")</f>
        <v/>
      </c>
      <c r="G34" s="272"/>
      <c r="H34" s="155"/>
      <c r="I34" s="155"/>
      <c r="J34" s="72" t="str">
        <f>IFERROR(IF(Input_ProgramType=References!$W$4, INDEX(Table_Prescript_Meas[Incentive - SC], MATCH(Table_Controls_Input22[[#This Row],[Measure Number]], Table_Prescript_Meas[Measure Number], 0)), INDEX(Table_Prescript_Meas[Incentive - LC], MATCH(Table_Controls_Input22[[#This Row],[Measure Number]], Table_Prescript_Meas[Measure Number], 0))), "")</f>
        <v/>
      </c>
      <c r="K34" s="72" t="str">
        <f>IFERROR(Table_Controls_Input22[[#This Row],[Number of Units]]*Table_Controls_Input22[[#This Row],[Per-Unit Incentive]], "")</f>
        <v/>
      </c>
      <c r="L34" s="73" t="str">
        <f>IFERROR(Table_Controls_Input22[[#This Row],[Number of Units]]*INDEX(Table_Prescript_Meas[Deemed kWh Savings], MATCH(Table_Controls_Input22[[#This Row],[Measure Number]], Table_Prescript_Meas[Measure Number], 0)),"" )</f>
        <v/>
      </c>
      <c r="M34" s="79" t="str">
        <f>IFERROR(Table_Controls_Input22[[#This Row],[Number of Units]]*INDEX(Table_Prescript_Meas[Deemed kW Savings], MATCH(Table_Controls_Input22[[#This Row],[Measure Number]], Table_Prescript_Meas[Measure Number], 0)),"" )</f>
        <v/>
      </c>
      <c r="N34" s="72" t="str">
        <f t="shared" si="2"/>
        <v/>
      </c>
      <c r="O34" s="72" t="str">
        <f>IF(Table_Controls_Input22[[#This Row],[Measure Number]]="", "", Table_Controls_Input22[[#This Row],[Total Equipment Cost]]+Table_Controls_Input22[[#This Row],[Total Labor Cost]])</f>
        <v/>
      </c>
      <c r="P34" s="72" t="str">
        <f>IFERROR(Table_Controls_Input22[[#This Row],[Gross Measure Cost]]-Table_Controls_Input22[[#This Row],[Estimated Incentive]], "")</f>
        <v/>
      </c>
      <c r="Q34" s="73" t="str">
        <f t="shared" si="1"/>
        <v/>
      </c>
      <c r="R34" s="4"/>
      <c r="S34" s="4"/>
      <c r="T34" s="4"/>
      <c r="U34" s="4"/>
      <c r="V34" s="4"/>
      <c r="W34" s="4"/>
      <c r="X34" s="4"/>
      <c r="Y34" s="4"/>
      <c r="Z34" s="4"/>
      <c r="AA34" s="4"/>
      <c r="AB34" s="4"/>
      <c r="AC34" s="4"/>
      <c r="AD34" s="4"/>
      <c r="AE34" s="4"/>
      <c r="AF34" s="4"/>
      <c r="AG34" s="4"/>
      <c r="AH34" s="4"/>
      <c r="AI34" s="4"/>
      <c r="AJ34" s="4"/>
      <c r="AK34" s="4"/>
      <c r="AL34" s="4"/>
      <c r="AM34" s="4"/>
    </row>
    <row r="35" spans="1:39" x14ac:dyDescent="0.2">
      <c r="A35" s="4"/>
      <c r="R35" s="4"/>
      <c r="S35" s="4"/>
      <c r="T35" s="4"/>
      <c r="U35" s="4"/>
      <c r="V35" s="4"/>
      <c r="W35" s="4"/>
      <c r="X35" s="4"/>
      <c r="Y35" s="4"/>
      <c r="Z35" s="4"/>
      <c r="AA35" s="4"/>
      <c r="AB35" s="4"/>
      <c r="AC35" s="4"/>
      <c r="AD35" s="4"/>
      <c r="AE35" s="4"/>
      <c r="AF35" s="4"/>
      <c r="AG35" s="4"/>
      <c r="AH35" s="4"/>
      <c r="AI35" s="4"/>
      <c r="AJ35" s="4"/>
      <c r="AK35" s="4"/>
      <c r="AL35" s="4"/>
      <c r="AM35" s="4"/>
    </row>
    <row r="36" spans="1:39" x14ac:dyDescent="0.2"/>
    <row r="37" spans="1:39" x14ac:dyDescent="0.2">
      <c r="B37" t="s">
        <v>11</v>
      </c>
    </row>
    <row r="38" spans="1:39" x14ac:dyDescent="0.2">
      <c r="B38" t="str">
        <f>Value_Application_Version</f>
        <v>Version 5.0</v>
      </c>
    </row>
    <row r="39" spans="1:39" x14ac:dyDescent="0.2"/>
    <row r="40" spans="1:39" x14ac:dyDescent="0.2">
      <c r="A40" s="4"/>
      <c r="R40" s="4"/>
      <c r="S40" s="4"/>
      <c r="T40" s="4"/>
      <c r="U40" s="4"/>
      <c r="V40" s="4"/>
      <c r="W40" s="4"/>
      <c r="X40" s="4"/>
      <c r="Y40" s="4"/>
      <c r="Z40" s="4"/>
      <c r="AA40" s="4"/>
      <c r="AB40" s="4"/>
      <c r="AC40" s="4"/>
      <c r="AD40" s="4"/>
      <c r="AE40" s="4"/>
      <c r="AF40" s="4"/>
      <c r="AG40" s="4"/>
      <c r="AH40" s="4"/>
      <c r="AI40" s="4"/>
      <c r="AJ40" s="4"/>
      <c r="AK40" s="4"/>
      <c r="AL40" s="4"/>
      <c r="AM40" s="4"/>
    </row>
    <row r="41" spans="1:39" x14ac:dyDescent="0.2">
      <c r="A41" s="4"/>
      <c r="R41" s="4"/>
      <c r="S41" s="4"/>
      <c r="T41" s="4"/>
      <c r="U41" s="4"/>
      <c r="V41" s="4"/>
      <c r="W41" s="4"/>
      <c r="X41" s="4"/>
      <c r="Y41" s="4"/>
      <c r="Z41" s="4"/>
      <c r="AA41" s="4"/>
      <c r="AB41" s="4"/>
      <c r="AC41" s="4"/>
      <c r="AD41" s="4"/>
      <c r="AE41" s="4"/>
      <c r="AF41" s="4"/>
      <c r="AG41" s="4"/>
      <c r="AH41" s="4"/>
      <c r="AI41" s="4"/>
      <c r="AJ41" s="4"/>
      <c r="AK41" s="4"/>
      <c r="AL41" s="4"/>
      <c r="AM41" s="4"/>
    </row>
    <row r="42" spans="1:39" x14ac:dyDescent="0.2">
      <c r="A42" s="4"/>
      <c r="R42" s="4"/>
      <c r="S42" s="4"/>
      <c r="T42" s="4"/>
      <c r="U42" s="4"/>
      <c r="V42" s="4"/>
      <c r="W42" s="4"/>
      <c r="X42" s="4"/>
      <c r="Y42" s="4"/>
      <c r="Z42" s="4"/>
      <c r="AA42" s="4"/>
      <c r="AB42" s="4"/>
      <c r="AC42" s="4"/>
      <c r="AD42" s="4"/>
      <c r="AE42" s="4"/>
      <c r="AF42" s="4"/>
      <c r="AG42" s="4"/>
      <c r="AH42" s="4"/>
      <c r="AI42" s="4"/>
      <c r="AJ42" s="4"/>
      <c r="AK42" s="4"/>
      <c r="AL42" s="4"/>
      <c r="AM42" s="4"/>
    </row>
    <row r="43" spans="1:39" x14ac:dyDescent="0.2">
      <c r="A43" s="4"/>
      <c r="R43" s="4"/>
      <c r="S43" s="4"/>
      <c r="T43" s="4"/>
      <c r="U43" s="4"/>
      <c r="V43" s="4"/>
      <c r="W43" s="4"/>
      <c r="X43" s="4"/>
      <c r="Y43" s="4"/>
      <c r="Z43" s="4"/>
      <c r="AA43" s="4"/>
      <c r="AB43" s="4"/>
      <c r="AC43" s="4"/>
      <c r="AD43" s="4"/>
      <c r="AE43" s="4"/>
      <c r="AF43" s="4"/>
      <c r="AG43" s="4"/>
      <c r="AH43" s="4"/>
      <c r="AI43" s="4"/>
      <c r="AJ43" s="4"/>
      <c r="AK43" s="4"/>
      <c r="AL43" s="4"/>
      <c r="AM43" s="4"/>
    </row>
    <row r="44" spans="1:39" x14ac:dyDescent="0.2">
      <c r="A44" s="4"/>
      <c r="R44" s="4"/>
      <c r="S44" s="4"/>
      <c r="T44" s="4"/>
      <c r="U44" s="4"/>
      <c r="V44" s="4"/>
      <c r="W44" s="4"/>
      <c r="X44" s="4"/>
      <c r="Y44" s="4"/>
      <c r="Z44" s="4"/>
      <c r="AA44" s="4"/>
      <c r="AB44" s="4"/>
      <c r="AC44" s="4"/>
      <c r="AD44" s="4"/>
      <c r="AE44" s="4"/>
      <c r="AF44" s="4"/>
      <c r="AG44" s="4"/>
      <c r="AH44" s="4"/>
      <c r="AI44" s="4"/>
      <c r="AJ44" s="4"/>
      <c r="AK44" s="4"/>
      <c r="AL44" s="4"/>
      <c r="AM44" s="4"/>
    </row>
    <row r="45" spans="1:39" x14ac:dyDescent="0.2">
      <c r="A45" s="4"/>
      <c r="R45" s="4"/>
      <c r="S45" s="4"/>
      <c r="T45" s="4"/>
      <c r="U45" s="4"/>
      <c r="V45" s="4"/>
      <c r="W45" s="4"/>
      <c r="X45" s="4"/>
      <c r="Y45" s="4"/>
      <c r="Z45" s="4"/>
      <c r="AA45" s="4"/>
      <c r="AB45" s="4"/>
      <c r="AC45" s="4"/>
      <c r="AD45" s="4"/>
      <c r="AE45" s="4"/>
      <c r="AF45" s="4"/>
      <c r="AG45" s="4"/>
      <c r="AH45" s="4"/>
      <c r="AI45" s="4"/>
      <c r="AJ45" s="4"/>
      <c r="AK45" s="4"/>
      <c r="AL45" s="4"/>
      <c r="AM45" s="4"/>
    </row>
    <row r="46" spans="1:39" x14ac:dyDescent="0.2">
      <c r="A46" s="4"/>
      <c r="R46" s="4"/>
      <c r="S46" s="4"/>
      <c r="T46" s="4"/>
      <c r="U46" s="4"/>
      <c r="V46" s="4"/>
      <c r="W46" s="4"/>
      <c r="X46" s="4"/>
      <c r="Y46" s="4"/>
      <c r="Z46" s="4"/>
      <c r="AA46" s="4"/>
      <c r="AB46" s="4"/>
      <c r="AC46" s="4"/>
      <c r="AD46" s="4"/>
      <c r="AE46" s="4"/>
      <c r="AF46" s="4"/>
      <c r="AG46" s="4"/>
      <c r="AH46" s="4"/>
      <c r="AI46" s="4"/>
      <c r="AJ46" s="4"/>
      <c r="AK46" s="4"/>
      <c r="AL46" s="4"/>
      <c r="AM46" s="4"/>
    </row>
    <row r="47" spans="1:39" x14ac:dyDescent="0.2">
      <c r="A47" s="4"/>
      <c r="R47" s="4"/>
      <c r="S47" s="4"/>
      <c r="T47" s="4"/>
      <c r="U47" s="4"/>
      <c r="V47" s="4"/>
      <c r="W47" s="4"/>
      <c r="X47" s="4"/>
      <c r="Y47" s="4"/>
      <c r="Z47" s="4"/>
      <c r="AA47" s="4"/>
      <c r="AB47" s="4"/>
      <c r="AC47" s="4"/>
      <c r="AD47" s="4"/>
      <c r="AE47" s="4"/>
      <c r="AF47" s="4"/>
      <c r="AG47" s="4"/>
      <c r="AH47" s="4"/>
      <c r="AI47" s="4"/>
      <c r="AJ47" s="4"/>
      <c r="AK47" s="4"/>
      <c r="AL47" s="4"/>
      <c r="AM47" s="4"/>
    </row>
    <row r="48" spans="1:39" x14ac:dyDescent="0.2">
      <c r="A48" s="4"/>
      <c r="R48" s="4"/>
      <c r="S48" s="4"/>
      <c r="T48" s="4"/>
      <c r="U48" s="4"/>
      <c r="V48" s="4"/>
      <c r="W48" s="4"/>
      <c r="X48" s="4"/>
      <c r="Y48" s="4"/>
      <c r="Z48" s="4"/>
      <c r="AA48" s="4"/>
      <c r="AB48" s="4"/>
      <c r="AC48" s="4"/>
      <c r="AD48" s="4"/>
      <c r="AE48" s="4"/>
      <c r="AF48" s="4"/>
      <c r="AG48" s="4"/>
      <c r="AH48" s="4"/>
      <c r="AI48" s="4"/>
      <c r="AJ48" s="4"/>
      <c r="AK48" s="4"/>
      <c r="AL48" s="4"/>
      <c r="AM48" s="4"/>
    </row>
    <row r="49" spans="1:39" x14ac:dyDescent="0.2">
      <c r="A49" s="4"/>
      <c r="R49" s="4"/>
      <c r="S49" s="4"/>
      <c r="T49" s="4"/>
      <c r="U49" s="4"/>
      <c r="V49" s="4"/>
      <c r="W49" s="4"/>
      <c r="X49" s="4"/>
      <c r="Y49" s="4"/>
      <c r="Z49" s="4"/>
      <c r="AA49" s="4"/>
      <c r="AB49" s="4"/>
      <c r="AC49" s="4"/>
      <c r="AD49" s="4"/>
      <c r="AE49" s="4"/>
      <c r="AF49" s="4"/>
      <c r="AG49" s="4"/>
      <c r="AH49" s="4"/>
      <c r="AI49" s="4"/>
      <c r="AJ49" s="4"/>
      <c r="AK49" s="4"/>
      <c r="AL49" s="4"/>
      <c r="AM49" s="4"/>
    </row>
    <row r="50" spans="1:39" x14ac:dyDescent="0.2">
      <c r="A50" s="4"/>
      <c r="R50" s="4"/>
      <c r="S50" s="4"/>
      <c r="T50" s="4"/>
      <c r="U50" s="4"/>
      <c r="V50" s="4"/>
      <c r="W50" s="4"/>
      <c r="X50" s="4"/>
      <c r="Y50" s="4"/>
      <c r="Z50" s="4"/>
      <c r="AA50" s="4"/>
      <c r="AB50" s="4"/>
      <c r="AC50" s="4"/>
      <c r="AD50" s="4"/>
      <c r="AE50" s="4"/>
      <c r="AF50" s="4"/>
      <c r="AG50" s="4"/>
      <c r="AH50" s="4"/>
      <c r="AI50" s="4"/>
      <c r="AJ50" s="4"/>
      <c r="AK50" s="4"/>
      <c r="AL50" s="4"/>
      <c r="AM50" s="4"/>
    </row>
    <row r="51" spans="1:39" x14ac:dyDescent="0.2">
      <c r="A51" s="4"/>
      <c r="R51" s="4"/>
      <c r="S51" s="4"/>
      <c r="T51" s="4"/>
      <c r="U51" s="4"/>
      <c r="V51" s="4"/>
      <c r="W51" s="4"/>
      <c r="X51" s="4"/>
      <c r="Y51" s="4"/>
      <c r="Z51" s="4"/>
      <c r="AA51" s="4"/>
      <c r="AB51" s="4"/>
      <c r="AC51" s="4"/>
      <c r="AD51" s="4"/>
      <c r="AE51" s="4"/>
      <c r="AF51" s="4"/>
      <c r="AG51" s="4"/>
      <c r="AH51" s="4"/>
      <c r="AI51" s="4"/>
      <c r="AJ51" s="4"/>
      <c r="AK51" s="4"/>
      <c r="AL51" s="4"/>
      <c r="AM51" s="4"/>
    </row>
    <row r="52" spans="1:39" x14ac:dyDescent="0.2">
      <c r="A52" s="4"/>
      <c r="R52" s="4"/>
      <c r="S52" s="4"/>
      <c r="T52" s="4"/>
      <c r="U52" s="4"/>
      <c r="V52" s="4"/>
      <c r="W52" s="4"/>
      <c r="X52" s="4"/>
      <c r="Y52" s="4"/>
      <c r="Z52" s="4"/>
      <c r="AA52" s="4"/>
      <c r="AB52" s="4"/>
      <c r="AC52" s="4"/>
      <c r="AD52" s="4"/>
      <c r="AE52" s="4"/>
      <c r="AF52" s="4"/>
      <c r="AG52" s="4"/>
      <c r="AH52" s="4"/>
      <c r="AI52" s="4"/>
      <c r="AJ52" s="4"/>
      <c r="AK52" s="4"/>
      <c r="AL52" s="4"/>
      <c r="AM52" s="4"/>
    </row>
    <row r="53" spans="1:39" x14ac:dyDescent="0.2">
      <c r="A53" s="4"/>
      <c r="R53" s="4"/>
      <c r="S53" s="4"/>
      <c r="T53" s="4"/>
      <c r="U53" s="4"/>
      <c r="V53" s="4"/>
      <c r="W53" s="4"/>
      <c r="X53" s="4"/>
      <c r="Y53" s="4"/>
      <c r="Z53" s="4"/>
      <c r="AA53" s="4"/>
      <c r="AB53" s="4"/>
      <c r="AC53" s="4"/>
      <c r="AD53" s="4"/>
      <c r="AE53" s="4"/>
      <c r="AF53" s="4"/>
      <c r="AG53" s="4"/>
      <c r="AH53" s="4"/>
      <c r="AI53" s="4"/>
      <c r="AJ53" s="4"/>
      <c r="AK53" s="4"/>
      <c r="AL53" s="4"/>
      <c r="AM53" s="4"/>
    </row>
    <row r="54" spans="1:39" x14ac:dyDescent="0.2">
      <c r="A54" s="4"/>
      <c r="R54" s="4"/>
      <c r="S54" s="4"/>
      <c r="T54" s="4"/>
      <c r="U54" s="4"/>
      <c r="V54" s="4"/>
      <c r="W54" s="4"/>
      <c r="X54" s="4"/>
      <c r="Y54" s="4"/>
      <c r="Z54" s="4"/>
      <c r="AA54" s="4"/>
      <c r="AB54" s="4"/>
      <c r="AC54" s="4"/>
      <c r="AD54" s="4"/>
      <c r="AE54" s="4"/>
      <c r="AF54" s="4"/>
      <c r="AG54" s="4"/>
      <c r="AH54" s="4"/>
      <c r="AI54" s="4"/>
      <c r="AJ54" s="4"/>
      <c r="AK54" s="4"/>
      <c r="AL54" s="4"/>
      <c r="AM54" s="4"/>
    </row>
    <row r="55" spans="1:39" x14ac:dyDescent="0.2">
      <c r="A55" s="4"/>
      <c r="R55" s="4"/>
      <c r="S55" s="4"/>
      <c r="T55" s="4"/>
      <c r="U55" s="4"/>
      <c r="V55" s="4"/>
      <c r="W55" s="4"/>
      <c r="X55" s="4"/>
      <c r="Y55" s="4"/>
      <c r="Z55" s="4"/>
      <c r="AA55" s="4"/>
      <c r="AB55" s="4"/>
      <c r="AC55" s="4"/>
      <c r="AD55" s="4"/>
      <c r="AE55" s="4"/>
      <c r="AF55" s="4"/>
      <c r="AG55" s="4"/>
      <c r="AH55" s="4"/>
      <c r="AI55" s="4"/>
      <c r="AJ55" s="4"/>
      <c r="AK55" s="4"/>
      <c r="AL55" s="4"/>
      <c r="AM55" s="4"/>
    </row>
    <row r="56" spans="1:39" x14ac:dyDescent="0.2">
      <c r="A56" s="4"/>
      <c r="R56" s="4"/>
      <c r="S56" s="4"/>
      <c r="T56" s="4"/>
      <c r="U56" s="4"/>
      <c r="V56" s="4"/>
      <c r="W56" s="4"/>
      <c r="X56" s="4"/>
      <c r="Y56" s="4"/>
      <c r="Z56" s="4"/>
      <c r="AA56" s="4"/>
      <c r="AB56" s="4"/>
      <c r="AC56" s="4"/>
      <c r="AD56" s="4"/>
      <c r="AE56" s="4"/>
      <c r="AF56" s="4"/>
      <c r="AG56" s="4"/>
      <c r="AH56" s="4"/>
      <c r="AI56" s="4"/>
      <c r="AJ56" s="4"/>
      <c r="AK56" s="4"/>
      <c r="AL56" s="4"/>
      <c r="AM56" s="4"/>
    </row>
    <row r="57" spans="1:39" x14ac:dyDescent="0.2">
      <c r="A57" s="4"/>
      <c r="R57" s="4"/>
      <c r="S57" s="4"/>
      <c r="T57" s="4"/>
      <c r="U57" s="4"/>
      <c r="V57" s="4"/>
      <c r="W57" s="4"/>
      <c r="X57" s="4"/>
      <c r="Y57" s="4"/>
      <c r="Z57" s="4"/>
      <c r="AA57" s="4"/>
      <c r="AB57" s="4"/>
      <c r="AC57" s="4"/>
      <c r="AD57" s="4"/>
      <c r="AE57" s="4"/>
      <c r="AF57" s="4"/>
      <c r="AG57" s="4"/>
      <c r="AH57" s="4"/>
      <c r="AI57" s="4"/>
      <c r="AJ57" s="4"/>
      <c r="AK57" s="4"/>
      <c r="AL57" s="4"/>
      <c r="AM57" s="4"/>
    </row>
    <row r="58" spans="1:39" x14ac:dyDescent="0.2">
      <c r="A58" s="4"/>
      <c r="R58" s="4"/>
      <c r="S58" s="4"/>
      <c r="T58" s="4"/>
      <c r="U58" s="4"/>
      <c r="V58" s="4"/>
      <c r="W58" s="4"/>
      <c r="X58" s="4"/>
      <c r="Y58" s="4"/>
      <c r="Z58" s="4"/>
      <c r="AA58" s="4"/>
      <c r="AB58" s="4"/>
      <c r="AC58" s="4"/>
      <c r="AD58" s="4"/>
      <c r="AE58" s="4"/>
      <c r="AF58" s="4"/>
      <c r="AG58" s="4"/>
      <c r="AH58" s="4"/>
      <c r="AI58" s="4"/>
      <c r="AJ58" s="4"/>
      <c r="AK58" s="4"/>
      <c r="AL58" s="4"/>
      <c r="AM58" s="4"/>
    </row>
    <row r="59" spans="1:39" x14ac:dyDescent="0.2">
      <c r="A59" s="4"/>
      <c r="R59" s="4"/>
      <c r="S59" s="4"/>
      <c r="T59" s="4"/>
      <c r="U59" s="4"/>
      <c r="V59" s="4"/>
      <c r="W59" s="4"/>
      <c r="X59" s="4"/>
      <c r="Y59" s="4"/>
      <c r="Z59" s="4"/>
      <c r="AA59" s="4"/>
      <c r="AB59" s="4"/>
      <c r="AC59" s="4"/>
      <c r="AD59" s="4"/>
      <c r="AE59" s="4"/>
      <c r="AF59" s="4"/>
      <c r="AG59" s="4"/>
      <c r="AH59" s="4"/>
      <c r="AI59" s="4"/>
      <c r="AJ59" s="4"/>
      <c r="AK59" s="4"/>
      <c r="AL59" s="4"/>
      <c r="AM59" s="4"/>
    </row>
    <row r="60" spans="1:39" x14ac:dyDescent="0.2">
      <c r="A60" s="4"/>
      <c r="R60" s="4"/>
      <c r="S60" s="4"/>
      <c r="T60" s="4"/>
      <c r="U60" s="4"/>
      <c r="V60" s="4"/>
      <c r="W60" s="4"/>
      <c r="X60" s="4"/>
      <c r="Y60" s="4"/>
      <c r="Z60" s="4"/>
      <c r="AA60" s="4"/>
      <c r="AB60" s="4"/>
      <c r="AC60" s="4"/>
      <c r="AD60" s="4"/>
      <c r="AE60" s="4"/>
      <c r="AF60" s="4"/>
      <c r="AG60" s="4"/>
      <c r="AH60" s="4"/>
      <c r="AI60" s="4"/>
      <c r="AJ60" s="4"/>
      <c r="AK60" s="4"/>
      <c r="AL60" s="4"/>
      <c r="AM60" s="4"/>
    </row>
    <row r="61" spans="1:39" x14ac:dyDescent="0.2">
      <c r="A61" s="4"/>
      <c r="R61" s="4"/>
      <c r="S61" s="4"/>
      <c r="T61" s="4"/>
      <c r="U61" s="4"/>
      <c r="V61" s="4"/>
      <c r="W61" s="4"/>
      <c r="X61" s="4"/>
      <c r="Y61" s="4"/>
      <c r="Z61" s="4"/>
      <c r="AA61" s="4"/>
      <c r="AB61" s="4"/>
      <c r="AC61" s="4"/>
      <c r="AD61" s="4"/>
      <c r="AE61" s="4"/>
      <c r="AF61" s="4"/>
      <c r="AG61" s="4"/>
      <c r="AH61" s="4"/>
      <c r="AI61" s="4"/>
      <c r="AJ61" s="4"/>
      <c r="AK61" s="4"/>
      <c r="AL61" s="4"/>
      <c r="AM61" s="4"/>
    </row>
    <row r="62" spans="1:39" x14ac:dyDescent="0.2">
      <c r="A62" s="4"/>
      <c r="R62" s="4"/>
      <c r="S62" s="4"/>
      <c r="T62" s="4"/>
      <c r="U62" s="4"/>
      <c r="V62" s="4"/>
      <c r="W62" s="4"/>
      <c r="X62" s="4"/>
      <c r="Y62" s="4"/>
      <c r="Z62" s="4"/>
      <c r="AA62" s="4"/>
      <c r="AB62" s="4"/>
      <c r="AC62" s="4"/>
      <c r="AD62" s="4"/>
      <c r="AE62" s="4"/>
      <c r="AF62" s="4"/>
      <c r="AG62" s="4"/>
      <c r="AH62" s="4"/>
      <c r="AI62" s="4"/>
      <c r="AJ62" s="4"/>
      <c r="AK62" s="4"/>
      <c r="AL62" s="4"/>
      <c r="AM62" s="4"/>
    </row>
    <row r="63" spans="1:39" x14ac:dyDescent="0.2">
      <c r="A63" s="4"/>
      <c r="R63" s="4"/>
      <c r="S63" s="4"/>
      <c r="T63" s="4"/>
      <c r="U63" s="4"/>
      <c r="V63" s="4"/>
      <c r="W63" s="4"/>
      <c r="X63" s="4"/>
      <c r="Y63" s="4"/>
      <c r="Z63" s="4"/>
      <c r="AA63" s="4"/>
      <c r="AB63" s="4"/>
      <c r="AC63" s="4"/>
      <c r="AD63" s="4"/>
      <c r="AE63" s="4"/>
      <c r="AF63" s="4"/>
      <c r="AG63" s="4"/>
      <c r="AH63" s="4"/>
      <c r="AI63" s="4"/>
      <c r="AJ63" s="4"/>
      <c r="AK63" s="4"/>
      <c r="AL63" s="4"/>
      <c r="AM63" s="4"/>
    </row>
    <row r="64" spans="1:39" x14ac:dyDescent="0.2">
      <c r="A64" s="4"/>
      <c r="R64" s="4"/>
      <c r="S64" s="4"/>
      <c r="T64" s="4"/>
      <c r="U64" s="4"/>
      <c r="V64" s="4"/>
      <c r="W64" s="4"/>
      <c r="X64" s="4"/>
      <c r="Y64" s="4"/>
      <c r="Z64" s="4"/>
      <c r="AA64" s="4"/>
      <c r="AB64" s="4"/>
      <c r="AC64" s="4"/>
      <c r="AD64" s="4"/>
      <c r="AE64" s="4"/>
      <c r="AF64" s="4"/>
      <c r="AG64" s="4"/>
      <c r="AH64" s="4"/>
      <c r="AI64" s="4"/>
      <c r="AJ64" s="4"/>
      <c r="AK64" s="4"/>
      <c r="AL64" s="4"/>
      <c r="AM64" s="4"/>
    </row>
    <row r="65" spans="1:39" x14ac:dyDescent="0.2">
      <c r="A65" s="4"/>
      <c r="R65" s="4"/>
      <c r="S65" s="4"/>
      <c r="T65" s="4"/>
      <c r="U65" s="4"/>
      <c r="V65" s="4"/>
      <c r="W65" s="4"/>
      <c r="X65" s="4"/>
      <c r="Y65" s="4"/>
      <c r="Z65" s="4"/>
      <c r="AA65" s="4"/>
      <c r="AB65" s="4"/>
      <c r="AC65" s="4"/>
      <c r="AD65" s="4"/>
      <c r="AE65" s="4"/>
      <c r="AF65" s="4"/>
      <c r="AG65" s="4"/>
      <c r="AH65" s="4"/>
      <c r="AI65" s="4"/>
      <c r="AJ65" s="4"/>
      <c r="AK65" s="4"/>
      <c r="AL65" s="4"/>
      <c r="AM65" s="4"/>
    </row>
    <row r="66" spans="1:39" x14ac:dyDescent="0.2">
      <c r="A66" s="4"/>
      <c r="R66" s="4"/>
      <c r="S66" s="4"/>
      <c r="T66" s="4"/>
      <c r="U66" s="4"/>
      <c r="V66" s="4"/>
      <c r="W66" s="4"/>
      <c r="X66" s="4"/>
      <c r="Y66" s="4"/>
      <c r="Z66" s="4"/>
      <c r="AA66" s="4"/>
      <c r="AB66" s="4"/>
      <c r="AC66" s="4"/>
      <c r="AD66" s="4"/>
      <c r="AE66" s="4"/>
      <c r="AF66" s="4"/>
      <c r="AG66" s="4"/>
      <c r="AH66" s="4"/>
      <c r="AI66" s="4"/>
      <c r="AJ66" s="4"/>
      <c r="AK66" s="4"/>
      <c r="AL66" s="4"/>
      <c r="AM66" s="4"/>
    </row>
    <row r="67" spans="1:39" x14ac:dyDescent="0.2">
      <c r="A67" s="4"/>
      <c r="R67" s="4"/>
      <c r="S67" s="4"/>
      <c r="T67" s="4"/>
      <c r="U67" s="4"/>
      <c r="V67" s="4"/>
      <c r="W67" s="4"/>
      <c r="X67" s="4"/>
      <c r="Y67" s="4"/>
      <c r="Z67" s="4"/>
      <c r="AA67" s="4"/>
      <c r="AB67" s="4"/>
      <c r="AC67" s="4"/>
      <c r="AD67" s="4"/>
      <c r="AE67" s="4"/>
      <c r="AF67" s="4"/>
      <c r="AG67" s="4"/>
      <c r="AH67" s="4"/>
      <c r="AI67" s="4"/>
      <c r="AJ67" s="4"/>
      <c r="AK67" s="4"/>
      <c r="AL67" s="4"/>
      <c r="AM67" s="4"/>
    </row>
    <row r="68" spans="1:39" x14ac:dyDescent="0.2">
      <c r="A68" s="4"/>
      <c r="R68" s="4"/>
      <c r="S68" s="4"/>
      <c r="T68" s="4"/>
      <c r="U68" s="4"/>
      <c r="V68" s="4"/>
      <c r="W68" s="4"/>
      <c r="X68" s="4"/>
      <c r="Y68" s="4"/>
      <c r="Z68" s="4"/>
      <c r="AA68" s="4"/>
      <c r="AB68" s="4"/>
      <c r="AC68" s="4"/>
      <c r="AD68" s="4"/>
      <c r="AE68" s="4"/>
      <c r="AF68" s="4"/>
      <c r="AG68" s="4"/>
      <c r="AH68" s="4"/>
      <c r="AI68" s="4"/>
      <c r="AJ68" s="4"/>
      <c r="AK68" s="4"/>
      <c r="AL68" s="4"/>
      <c r="AM68" s="4"/>
    </row>
    <row r="69" spans="1:39" x14ac:dyDescent="0.2">
      <c r="A69" s="4"/>
      <c r="R69" s="4"/>
      <c r="S69" s="4"/>
      <c r="T69" s="4"/>
      <c r="U69" s="4"/>
      <c r="V69" s="4"/>
      <c r="W69" s="4"/>
      <c r="X69" s="4"/>
      <c r="Y69" s="4"/>
      <c r="Z69" s="4"/>
      <c r="AA69" s="4"/>
      <c r="AB69" s="4"/>
      <c r="AC69" s="4"/>
      <c r="AD69" s="4"/>
      <c r="AE69" s="4"/>
      <c r="AF69" s="4"/>
      <c r="AG69" s="4"/>
      <c r="AH69" s="4"/>
      <c r="AI69" s="4"/>
      <c r="AJ69" s="4"/>
      <c r="AK69" s="4"/>
      <c r="AL69" s="4"/>
      <c r="AM69" s="4"/>
    </row>
    <row r="70" spans="1:39" x14ac:dyDescent="0.2">
      <c r="A70" s="4"/>
      <c r="R70" s="4"/>
      <c r="S70" s="4"/>
      <c r="T70" s="4"/>
      <c r="U70" s="4"/>
      <c r="V70" s="4"/>
      <c r="W70" s="4"/>
      <c r="X70" s="4"/>
      <c r="Y70" s="4"/>
      <c r="Z70" s="4"/>
      <c r="AA70" s="4"/>
      <c r="AB70" s="4"/>
      <c r="AC70" s="4"/>
      <c r="AD70" s="4"/>
      <c r="AE70" s="4"/>
      <c r="AF70" s="4"/>
      <c r="AG70" s="4"/>
      <c r="AH70" s="4"/>
      <c r="AI70" s="4"/>
      <c r="AJ70" s="4"/>
      <c r="AK70" s="4"/>
      <c r="AL70" s="4"/>
      <c r="AM70" s="4"/>
    </row>
    <row r="71" spans="1:39" x14ac:dyDescent="0.2">
      <c r="A71" s="4"/>
      <c r="R71" s="4"/>
      <c r="S71" s="4"/>
      <c r="T71" s="4"/>
      <c r="U71" s="4"/>
      <c r="V71" s="4"/>
      <c r="W71" s="4"/>
      <c r="X71" s="4"/>
      <c r="Y71" s="4"/>
      <c r="Z71" s="4"/>
      <c r="AA71" s="4"/>
      <c r="AB71" s="4"/>
      <c r="AC71" s="4"/>
      <c r="AD71" s="4"/>
      <c r="AE71" s="4"/>
      <c r="AF71" s="4"/>
      <c r="AG71" s="4"/>
      <c r="AH71" s="4"/>
      <c r="AI71" s="4"/>
      <c r="AJ71" s="4"/>
      <c r="AK71" s="4"/>
      <c r="AL71" s="4"/>
      <c r="AM71" s="4"/>
    </row>
    <row r="72" spans="1:39" x14ac:dyDescent="0.2">
      <c r="A72" s="4"/>
      <c r="R72" s="4"/>
      <c r="S72" s="4"/>
      <c r="T72" s="4"/>
      <c r="U72" s="4"/>
      <c r="V72" s="4"/>
      <c r="W72" s="4"/>
      <c r="X72" s="4"/>
      <c r="Y72" s="4"/>
      <c r="Z72" s="4"/>
      <c r="AA72" s="4"/>
      <c r="AB72" s="4"/>
      <c r="AC72" s="4"/>
      <c r="AD72" s="4"/>
      <c r="AE72" s="4"/>
      <c r="AF72" s="4"/>
      <c r="AG72" s="4"/>
      <c r="AH72" s="4"/>
      <c r="AI72" s="4"/>
      <c r="AJ72" s="4"/>
      <c r="AK72" s="4"/>
      <c r="AL72" s="4"/>
      <c r="AM72" s="4"/>
    </row>
    <row r="73" spans="1:39" x14ac:dyDescent="0.2">
      <c r="A73" s="4"/>
      <c r="R73" s="4"/>
      <c r="S73" s="4"/>
      <c r="T73" s="4"/>
      <c r="U73" s="4"/>
      <c r="V73" s="4"/>
      <c r="W73" s="4"/>
      <c r="X73" s="4"/>
      <c r="Y73" s="4"/>
      <c r="Z73" s="4"/>
      <c r="AA73" s="4"/>
      <c r="AB73" s="4"/>
      <c r="AC73" s="4"/>
      <c r="AD73" s="4"/>
      <c r="AE73" s="4"/>
      <c r="AF73" s="4"/>
      <c r="AG73" s="4"/>
      <c r="AH73" s="4"/>
      <c r="AI73" s="4"/>
      <c r="AJ73" s="4"/>
      <c r="AK73" s="4"/>
      <c r="AL73" s="4"/>
      <c r="AM73" s="4"/>
    </row>
    <row r="74" spans="1:39" x14ac:dyDescent="0.2">
      <c r="A74" s="4"/>
      <c r="R74" s="4"/>
      <c r="S74" s="4"/>
      <c r="T74" s="4"/>
      <c r="U74" s="4"/>
      <c r="V74" s="4"/>
      <c r="W74" s="4"/>
      <c r="X74" s="4"/>
      <c r="Y74" s="4"/>
      <c r="Z74" s="4"/>
      <c r="AA74" s="4"/>
      <c r="AB74" s="4"/>
      <c r="AC74" s="4"/>
      <c r="AD74" s="4"/>
      <c r="AE74" s="4"/>
      <c r="AF74" s="4"/>
      <c r="AG74" s="4"/>
      <c r="AH74" s="4"/>
      <c r="AI74" s="4"/>
      <c r="AJ74" s="4"/>
      <c r="AK74" s="4"/>
      <c r="AL74" s="4"/>
      <c r="AM74" s="4"/>
    </row>
    <row r="75" spans="1:39" x14ac:dyDescent="0.2">
      <c r="A75" s="4"/>
      <c r="R75" s="4"/>
      <c r="S75" s="4"/>
      <c r="T75" s="4"/>
      <c r="U75" s="4"/>
      <c r="V75" s="4"/>
      <c r="W75" s="4"/>
      <c r="X75" s="4"/>
      <c r="Y75" s="4"/>
      <c r="Z75" s="4"/>
      <c r="AA75" s="4"/>
      <c r="AB75" s="4"/>
      <c r="AC75" s="4"/>
      <c r="AD75" s="4"/>
      <c r="AE75" s="4"/>
      <c r="AF75" s="4"/>
      <c r="AG75" s="4"/>
      <c r="AH75" s="4"/>
      <c r="AI75" s="4"/>
      <c r="AJ75" s="4"/>
      <c r="AK75" s="4"/>
      <c r="AL75" s="4"/>
      <c r="AM75" s="4"/>
    </row>
    <row r="76" spans="1:39" x14ac:dyDescent="0.2">
      <c r="A76" s="4"/>
      <c r="R76" s="4"/>
      <c r="S76" s="4"/>
      <c r="T76" s="4"/>
      <c r="U76" s="4"/>
      <c r="V76" s="4"/>
      <c r="W76" s="4"/>
      <c r="X76" s="4"/>
      <c r="Y76" s="4"/>
      <c r="Z76" s="4"/>
      <c r="AA76" s="4"/>
      <c r="AB76" s="4"/>
      <c r="AC76" s="4"/>
      <c r="AD76" s="4"/>
      <c r="AE76" s="4"/>
      <c r="AF76" s="4"/>
      <c r="AG76" s="4"/>
      <c r="AH76" s="4"/>
      <c r="AI76" s="4"/>
      <c r="AJ76" s="4"/>
      <c r="AK76" s="4"/>
      <c r="AL76" s="4"/>
      <c r="AM76" s="4"/>
    </row>
    <row r="77" spans="1:39" x14ac:dyDescent="0.2">
      <c r="A77" s="4"/>
      <c r="R77" s="4"/>
      <c r="S77" s="4"/>
      <c r="T77" s="4"/>
      <c r="U77" s="4"/>
      <c r="V77" s="4"/>
      <c r="W77" s="4"/>
      <c r="X77" s="4"/>
      <c r="Y77" s="4"/>
      <c r="Z77" s="4"/>
      <c r="AA77" s="4"/>
      <c r="AB77" s="4"/>
      <c r="AC77" s="4"/>
      <c r="AD77" s="4"/>
      <c r="AE77" s="4"/>
      <c r="AF77" s="4"/>
      <c r="AG77" s="4"/>
      <c r="AH77" s="4"/>
      <c r="AI77" s="4"/>
      <c r="AJ77" s="4"/>
      <c r="AK77" s="4"/>
      <c r="AL77" s="4"/>
      <c r="AM77" s="4"/>
    </row>
    <row r="78" spans="1:39" x14ac:dyDescent="0.2">
      <c r="A78" s="4"/>
      <c r="R78" s="4"/>
      <c r="S78" s="4"/>
      <c r="T78" s="4"/>
      <c r="U78" s="4"/>
      <c r="V78" s="4"/>
      <c r="W78" s="4"/>
      <c r="X78" s="4"/>
      <c r="Y78" s="4"/>
      <c r="Z78" s="4"/>
      <c r="AA78" s="4"/>
      <c r="AB78" s="4"/>
      <c r="AC78" s="4"/>
      <c r="AD78" s="4"/>
      <c r="AE78" s="4"/>
      <c r="AF78" s="4"/>
      <c r="AG78" s="4"/>
      <c r="AH78" s="4"/>
      <c r="AI78" s="4"/>
      <c r="AJ78" s="4"/>
      <c r="AK78" s="4"/>
      <c r="AL78" s="4"/>
      <c r="AM78" s="4"/>
    </row>
    <row r="79" spans="1:39" x14ac:dyDescent="0.2">
      <c r="A79" s="4"/>
      <c r="R79" s="4"/>
      <c r="S79" s="4"/>
      <c r="T79" s="4"/>
      <c r="U79" s="4"/>
      <c r="V79" s="4"/>
      <c r="W79" s="4"/>
      <c r="X79" s="4"/>
      <c r="Y79" s="4"/>
      <c r="Z79" s="4"/>
      <c r="AA79" s="4"/>
      <c r="AB79" s="4"/>
      <c r="AC79" s="4"/>
      <c r="AD79" s="4"/>
      <c r="AE79" s="4"/>
      <c r="AF79" s="4"/>
      <c r="AG79" s="4"/>
      <c r="AH79" s="4"/>
      <c r="AI79" s="4"/>
      <c r="AJ79" s="4"/>
      <c r="AK79" s="4"/>
      <c r="AL79" s="4"/>
      <c r="AM79" s="4"/>
    </row>
    <row r="80" spans="1:39" x14ac:dyDescent="0.2">
      <c r="A80" s="4"/>
      <c r="R80" s="4"/>
      <c r="S80" s="4"/>
      <c r="T80" s="4"/>
      <c r="U80" s="4"/>
      <c r="V80" s="4"/>
      <c r="W80" s="4"/>
      <c r="X80" s="4"/>
      <c r="Y80" s="4"/>
      <c r="Z80" s="4"/>
      <c r="AA80" s="4"/>
      <c r="AB80" s="4"/>
      <c r="AC80" s="4"/>
      <c r="AD80" s="4"/>
      <c r="AE80" s="4"/>
      <c r="AF80" s="4"/>
      <c r="AG80" s="4"/>
      <c r="AH80" s="4"/>
      <c r="AI80" s="4"/>
      <c r="AJ80" s="4"/>
      <c r="AK80" s="4"/>
      <c r="AL80" s="4"/>
      <c r="AM80" s="4"/>
    </row>
    <row r="81" spans="1:39" x14ac:dyDescent="0.2">
      <c r="A81" s="4"/>
      <c r="R81" s="4"/>
      <c r="S81" s="4"/>
      <c r="T81" s="4"/>
      <c r="U81" s="4"/>
      <c r="V81" s="4"/>
      <c r="W81" s="4"/>
      <c r="X81" s="4"/>
      <c r="Y81" s="4"/>
      <c r="Z81" s="4"/>
      <c r="AA81" s="4"/>
      <c r="AB81" s="4"/>
      <c r="AC81" s="4"/>
      <c r="AD81" s="4"/>
      <c r="AE81" s="4"/>
      <c r="AF81" s="4"/>
      <c r="AG81" s="4"/>
      <c r="AH81" s="4"/>
      <c r="AI81" s="4"/>
      <c r="AJ81" s="4"/>
      <c r="AK81" s="4"/>
      <c r="AL81" s="4"/>
      <c r="AM81" s="4"/>
    </row>
    <row r="82" spans="1:39" x14ac:dyDescent="0.2">
      <c r="A82" s="4"/>
      <c r="R82" s="4"/>
      <c r="S82" s="4"/>
      <c r="T82" s="4"/>
      <c r="U82" s="4"/>
      <c r="V82" s="4"/>
      <c r="W82" s="4"/>
      <c r="X82" s="4"/>
      <c r="Y82" s="4"/>
      <c r="Z82" s="4"/>
      <c r="AA82" s="4"/>
      <c r="AB82" s="4"/>
      <c r="AC82" s="4"/>
      <c r="AD82" s="4"/>
      <c r="AE82" s="4"/>
      <c r="AF82" s="4"/>
      <c r="AG82" s="4"/>
      <c r="AH82" s="4"/>
      <c r="AI82" s="4"/>
      <c r="AJ82" s="4"/>
      <c r="AK82" s="4"/>
      <c r="AL82" s="4"/>
      <c r="AM82" s="4"/>
    </row>
    <row r="83" spans="1:39" x14ac:dyDescent="0.2">
      <c r="A83" s="4"/>
      <c r="R83" s="4"/>
      <c r="S83" s="4"/>
      <c r="T83" s="4"/>
      <c r="U83" s="4"/>
      <c r="V83" s="4"/>
      <c r="W83" s="4"/>
      <c r="X83" s="4"/>
      <c r="Y83" s="4"/>
      <c r="Z83" s="4"/>
      <c r="AA83" s="4"/>
      <c r="AB83" s="4"/>
      <c r="AC83" s="4"/>
      <c r="AD83" s="4"/>
      <c r="AE83" s="4"/>
      <c r="AF83" s="4"/>
      <c r="AG83" s="4"/>
      <c r="AH83" s="4"/>
      <c r="AI83" s="4"/>
      <c r="AJ83" s="4"/>
      <c r="AK83" s="4"/>
      <c r="AL83" s="4"/>
      <c r="AM83" s="4"/>
    </row>
    <row r="84" spans="1:39" x14ac:dyDescent="0.2">
      <c r="A84" s="4"/>
      <c r="R84" s="4"/>
      <c r="S84" s="4"/>
      <c r="T84" s="4"/>
      <c r="U84" s="4"/>
      <c r="V84" s="4"/>
      <c r="W84" s="4"/>
      <c r="X84" s="4"/>
      <c r="Y84" s="4"/>
      <c r="Z84" s="4"/>
      <c r="AA84" s="4"/>
      <c r="AB84" s="4"/>
      <c r="AC84" s="4"/>
      <c r="AD84" s="4"/>
      <c r="AE84" s="4"/>
      <c r="AF84" s="4"/>
      <c r="AG84" s="4"/>
      <c r="AH84" s="4"/>
      <c r="AI84" s="4"/>
      <c r="AJ84" s="4"/>
      <c r="AK84" s="4"/>
      <c r="AL84" s="4"/>
      <c r="AM84" s="4"/>
    </row>
    <row r="85" spans="1:39" x14ac:dyDescent="0.2">
      <c r="A85" s="4"/>
      <c r="R85" s="4"/>
      <c r="S85" s="4"/>
      <c r="T85" s="4"/>
      <c r="U85" s="4"/>
      <c r="V85" s="4"/>
      <c r="W85" s="4"/>
      <c r="X85" s="4"/>
      <c r="Y85" s="4"/>
      <c r="Z85" s="4"/>
      <c r="AA85" s="4"/>
      <c r="AB85" s="4"/>
      <c r="AC85" s="4"/>
      <c r="AD85" s="4"/>
      <c r="AE85" s="4"/>
      <c r="AF85" s="4"/>
      <c r="AG85" s="4"/>
      <c r="AH85" s="4"/>
      <c r="AI85" s="4"/>
      <c r="AJ85" s="4"/>
      <c r="AK85" s="4"/>
      <c r="AL85" s="4"/>
      <c r="AM85" s="4"/>
    </row>
    <row r="86" spans="1:39" x14ac:dyDescent="0.2">
      <c r="A86" s="4"/>
      <c r="R86" s="4"/>
      <c r="S86" s="4"/>
      <c r="T86" s="4"/>
      <c r="U86" s="4"/>
      <c r="V86" s="4"/>
      <c r="W86" s="4"/>
      <c r="X86" s="4"/>
      <c r="Y86" s="4"/>
      <c r="Z86" s="4"/>
      <c r="AA86" s="4"/>
      <c r="AB86" s="4"/>
      <c r="AC86" s="4"/>
      <c r="AD86" s="4"/>
      <c r="AE86" s="4"/>
      <c r="AF86" s="4"/>
      <c r="AG86" s="4"/>
      <c r="AH86" s="4"/>
      <c r="AI86" s="4"/>
      <c r="AJ86" s="4"/>
      <c r="AK86" s="4"/>
      <c r="AL86" s="4"/>
      <c r="AM86" s="4"/>
    </row>
    <row r="87" spans="1:39" x14ac:dyDescent="0.2">
      <c r="A87" s="4"/>
      <c r="R87" s="4"/>
      <c r="S87" s="4"/>
      <c r="T87" s="4"/>
      <c r="U87" s="4"/>
      <c r="V87" s="4"/>
      <c r="W87" s="4"/>
      <c r="X87" s="4"/>
      <c r="Y87" s="4"/>
      <c r="Z87" s="4"/>
      <c r="AA87" s="4"/>
      <c r="AB87" s="4"/>
      <c r="AC87" s="4"/>
      <c r="AD87" s="4"/>
      <c r="AE87" s="4"/>
      <c r="AF87" s="4"/>
      <c r="AG87" s="4"/>
      <c r="AH87" s="4"/>
      <c r="AI87" s="4"/>
      <c r="AJ87" s="4"/>
      <c r="AK87" s="4"/>
      <c r="AL87" s="4"/>
      <c r="AM87" s="4"/>
    </row>
    <row r="88" spans="1:39" x14ac:dyDescent="0.2">
      <c r="A88" s="4"/>
      <c r="R88" s="4"/>
      <c r="S88" s="4"/>
      <c r="T88" s="4"/>
      <c r="U88" s="4"/>
      <c r="V88" s="4"/>
      <c r="W88" s="4"/>
      <c r="X88" s="4"/>
      <c r="Y88" s="4"/>
      <c r="Z88" s="4"/>
      <c r="AA88" s="4"/>
      <c r="AB88" s="4"/>
      <c r="AC88" s="4"/>
      <c r="AD88" s="4"/>
      <c r="AE88" s="4"/>
      <c r="AF88" s="4"/>
      <c r="AG88" s="4"/>
      <c r="AH88" s="4"/>
      <c r="AI88" s="4"/>
      <c r="AJ88" s="4"/>
      <c r="AK88" s="4"/>
      <c r="AL88" s="4"/>
      <c r="AM88" s="4"/>
    </row>
    <row r="89" spans="1:39" x14ac:dyDescent="0.2">
      <c r="A89" s="4"/>
      <c r="R89" s="4"/>
      <c r="S89" s="4"/>
      <c r="T89" s="4"/>
      <c r="U89" s="4"/>
      <c r="V89" s="4"/>
      <c r="W89" s="4"/>
      <c r="X89" s="4"/>
      <c r="Y89" s="4"/>
      <c r="Z89" s="4"/>
      <c r="AA89" s="4"/>
      <c r="AB89" s="4"/>
      <c r="AC89" s="4"/>
      <c r="AD89" s="4"/>
      <c r="AE89" s="4"/>
      <c r="AF89" s="4"/>
      <c r="AG89" s="4"/>
      <c r="AH89" s="4"/>
      <c r="AI89" s="4"/>
      <c r="AJ89" s="4"/>
      <c r="AK89" s="4"/>
      <c r="AL89" s="4"/>
      <c r="AM89" s="4"/>
    </row>
    <row r="90" spans="1:39" x14ac:dyDescent="0.2">
      <c r="A90" s="4"/>
      <c r="R90" s="4"/>
      <c r="S90" s="4"/>
      <c r="T90" s="4"/>
      <c r="U90" s="4"/>
      <c r="V90" s="4"/>
      <c r="W90" s="4"/>
      <c r="X90" s="4"/>
      <c r="Y90" s="4"/>
      <c r="Z90" s="4"/>
      <c r="AA90" s="4"/>
      <c r="AB90" s="4"/>
      <c r="AC90" s="4"/>
      <c r="AD90" s="4"/>
      <c r="AE90" s="4"/>
      <c r="AF90" s="4"/>
      <c r="AG90" s="4"/>
      <c r="AH90" s="4"/>
      <c r="AI90" s="4"/>
      <c r="AJ90" s="4"/>
      <c r="AK90" s="4"/>
      <c r="AL90" s="4"/>
      <c r="AM90" s="4"/>
    </row>
    <row r="91" spans="1:39" x14ac:dyDescent="0.2">
      <c r="A91" s="4"/>
      <c r="R91" s="4"/>
      <c r="S91" s="4"/>
      <c r="T91" s="4"/>
      <c r="U91" s="4"/>
      <c r="V91" s="4"/>
      <c r="W91" s="4"/>
      <c r="X91" s="4"/>
      <c r="Y91" s="4"/>
      <c r="Z91" s="4"/>
      <c r="AA91" s="4"/>
      <c r="AB91" s="4"/>
      <c r="AC91" s="4"/>
      <c r="AD91" s="4"/>
      <c r="AE91" s="4"/>
      <c r="AF91" s="4"/>
      <c r="AG91" s="4"/>
      <c r="AH91" s="4"/>
      <c r="AI91" s="4"/>
      <c r="AJ91" s="4"/>
      <c r="AK91" s="4"/>
      <c r="AL91" s="4"/>
      <c r="AM91" s="4"/>
    </row>
    <row r="92" spans="1:39" x14ac:dyDescent="0.2">
      <c r="A92" s="4"/>
      <c r="R92" s="4"/>
      <c r="S92" s="4"/>
      <c r="T92" s="4"/>
      <c r="U92" s="4"/>
      <c r="V92" s="4"/>
      <c r="W92" s="4"/>
      <c r="X92" s="4"/>
      <c r="Y92" s="4"/>
      <c r="Z92" s="4"/>
      <c r="AA92" s="4"/>
      <c r="AB92" s="4"/>
      <c r="AC92" s="4"/>
      <c r="AD92" s="4"/>
      <c r="AE92" s="4"/>
      <c r="AF92" s="4"/>
      <c r="AG92" s="4"/>
      <c r="AH92" s="4"/>
      <c r="AI92" s="4"/>
      <c r="AJ92" s="4"/>
      <c r="AK92" s="4"/>
      <c r="AL92" s="4"/>
      <c r="AM92" s="4"/>
    </row>
    <row r="93" spans="1:39" x14ac:dyDescent="0.2">
      <c r="A93" s="4"/>
      <c r="R93" s="4"/>
      <c r="S93" s="4"/>
      <c r="T93" s="4"/>
      <c r="U93" s="4"/>
      <c r="V93" s="4"/>
      <c r="W93" s="4"/>
      <c r="X93" s="4"/>
      <c r="Y93" s="4"/>
      <c r="Z93" s="4"/>
      <c r="AA93" s="4"/>
      <c r="AB93" s="4"/>
      <c r="AC93" s="4"/>
      <c r="AD93" s="4"/>
      <c r="AE93" s="4"/>
      <c r="AF93" s="4"/>
      <c r="AG93" s="4"/>
      <c r="AH93" s="4"/>
      <c r="AI93" s="4"/>
      <c r="AJ93" s="4"/>
      <c r="AK93" s="4"/>
      <c r="AL93" s="4"/>
      <c r="AM93" s="4"/>
    </row>
    <row r="94" spans="1:39" x14ac:dyDescent="0.2">
      <c r="A94" s="4"/>
      <c r="R94" s="4"/>
      <c r="S94" s="4"/>
      <c r="T94" s="4"/>
      <c r="U94" s="4"/>
      <c r="V94" s="4"/>
      <c r="W94" s="4"/>
      <c r="X94" s="4"/>
      <c r="Y94" s="4"/>
      <c r="Z94" s="4"/>
      <c r="AA94" s="4"/>
      <c r="AB94" s="4"/>
      <c r="AC94" s="4"/>
      <c r="AD94" s="4"/>
      <c r="AE94" s="4"/>
      <c r="AF94" s="4"/>
      <c r="AG94" s="4"/>
      <c r="AH94" s="4"/>
      <c r="AI94" s="4"/>
      <c r="AJ94" s="4"/>
      <c r="AK94" s="4"/>
      <c r="AL94" s="4"/>
      <c r="AM94" s="4"/>
    </row>
    <row r="95" spans="1:39" x14ac:dyDescent="0.2">
      <c r="A95" s="4"/>
      <c r="R95" s="4"/>
      <c r="S95" s="4"/>
      <c r="T95" s="4"/>
      <c r="U95" s="4"/>
      <c r="V95" s="4"/>
      <c r="W95" s="4"/>
      <c r="X95" s="4"/>
      <c r="Y95" s="4"/>
      <c r="Z95" s="4"/>
      <c r="AA95" s="4"/>
      <c r="AB95" s="4"/>
      <c r="AC95" s="4"/>
      <c r="AD95" s="4"/>
      <c r="AE95" s="4"/>
      <c r="AF95" s="4"/>
      <c r="AG95" s="4"/>
      <c r="AH95" s="4"/>
      <c r="AI95" s="4"/>
      <c r="AJ95" s="4"/>
      <c r="AK95" s="4"/>
      <c r="AL95" s="4"/>
      <c r="AM95" s="4"/>
    </row>
    <row r="96" spans="1:39" x14ac:dyDescent="0.2">
      <c r="A96" s="4"/>
      <c r="R96" s="4"/>
      <c r="S96" s="4"/>
      <c r="T96" s="4"/>
      <c r="U96" s="4"/>
      <c r="V96" s="4"/>
      <c r="W96" s="4"/>
      <c r="X96" s="4"/>
      <c r="Y96" s="4"/>
      <c r="Z96" s="4"/>
      <c r="AA96" s="4"/>
      <c r="AB96" s="4"/>
      <c r="AC96" s="4"/>
      <c r="AD96" s="4"/>
      <c r="AE96" s="4"/>
      <c r="AF96" s="4"/>
      <c r="AG96" s="4"/>
      <c r="AH96" s="4"/>
      <c r="AI96" s="4"/>
      <c r="AJ96" s="4"/>
      <c r="AK96" s="4"/>
      <c r="AL96" s="4"/>
      <c r="AM96" s="4"/>
    </row>
    <row r="97" spans="1:39" x14ac:dyDescent="0.2">
      <c r="A97" s="4"/>
      <c r="R97" s="4"/>
      <c r="S97" s="4"/>
      <c r="T97" s="4"/>
      <c r="U97" s="4"/>
      <c r="V97" s="4"/>
      <c r="W97" s="4"/>
      <c r="X97" s="4"/>
      <c r="Y97" s="4"/>
      <c r="Z97" s="4"/>
      <c r="AA97" s="4"/>
      <c r="AB97" s="4"/>
      <c r="AC97" s="4"/>
      <c r="AD97" s="4"/>
      <c r="AE97" s="4"/>
      <c r="AF97" s="4"/>
      <c r="AG97" s="4"/>
      <c r="AH97" s="4"/>
      <c r="AI97" s="4"/>
      <c r="AJ97" s="4"/>
      <c r="AK97" s="4"/>
      <c r="AL97" s="4"/>
      <c r="AM97" s="4"/>
    </row>
    <row r="98" spans="1:39" x14ac:dyDescent="0.2">
      <c r="A98" s="4"/>
      <c r="R98" s="4"/>
      <c r="S98" s="4"/>
      <c r="T98" s="4"/>
      <c r="U98" s="4"/>
      <c r="V98" s="4"/>
      <c r="W98" s="4"/>
      <c r="X98" s="4"/>
      <c r="Y98" s="4"/>
      <c r="Z98" s="4"/>
      <c r="AA98" s="4"/>
      <c r="AB98" s="4"/>
      <c r="AC98" s="4"/>
      <c r="AD98" s="4"/>
      <c r="AE98" s="4"/>
      <c r="AF98" s="4"/>
      <c r="AG98" s="4"/>
      <c r="AH98" s="4"/>
      <c r="AI98" s="4"/>
      <c r="AJ98" s="4"/>
      <c r="AK98" s="4"/>
      <c r="AL98" s="4"/>
      <c r="AM98" s="4"/>
    </row>
    <row r="99" spans="1:39" x14ac:dyDescent="0.2">
      <c r="A99" s="4"/>
      <c r="R99" s="4"/>
      <c r="S99" s="4"/>
      <c r="T99" s="4"/>
      <c r="U99" s="4"/>
      <c r="V99" s="4"/>
      <c r="W99" s="4"/>
      <c r="X99" s="4"/>
      <c r="Y99" s="4"/>
      <c r="Z99" s="4"/>
      <c r="AA99" s="4"/>
      <c r="AB99" s="4"/>
      <c r="AC99" s="4"/>
      <c r="AD99" s="4"/>
      <c r="AE99" s="4"/>
      <c r="AF99" s="4"/>
      <c r="AG99" s="4"/>
      <c r="AH99" s="4"/>
      <c r="AI99" s="4"/>
      <c r="AJ99" s="4"/>
      <c r="AK99" s="4"/>
      <c r="AL99" s="4"/>
      <c r="AM99" s="4"/>
    </row>
    <row r="100" spans="1:39" x14ac:dyDescent="0.2">
      <c r="A100" s="4"/>
      <c r="R100" s="4"/>
      <c r="S100" s="4"/>
      <c r="T100" s="4"/>
      <c r="U100" s="4"/>
      <c r="V100" s="4"/>
      <c r="W100" s="4"/>
      <c r="X100" s="4"/>
      <c r="Y100" s="4"/>
      <c r="Z100" s="4"/>
      <c r="AA100" s="4"/>
      <c r="AB100" s="4"/>
      <c r="AC100" s="4"/>
      <c r="AD100" s="4"/>
      <c r="AE100" s="4"/>
      <c r="AF100" s="4"/>
      <c r="AG100" s="4"/>
      <c r="AH100" s="4"/>
      <c r="AI100" s="4"/>
      <c r="AJ100" s="4"/>
      <c r="AK100" s="4"/>
      <c r="AL100" s="4"/>
      <c r="AM100" s="4"/>
    </row>
    <row r="101" spans="1:39" x14ac:dyDescent="0.2">
      <c r="A101" s="4"/>
      <c r="R101" s="4"/>
      <c r="S101" s="4"/>
      <c r="T101" s="4"/>
      <c r="U101" s="4"/>
      <c r="V101" s="4"/>
      <c r="W101" s="4"/>
      <c r="X101" s="4"/>
      <c r="Y101" s="4"/>
      <c r="Z101" s="4"/>
      <c r="AA101" s="4"/>
      <c r="AB101" s="4"/>
      <c r="AC101" s="4"/>
      <c r="AD101" s="4"/>
      <c r="AE101" s="4"/>
      <c r="AF101" s="4"/>
      <c r="AG101" s="4"/>
      <c r="AH101" s="4"/>
      <c r="AI101" s="4"/>
      <c r="AJ101" s="4"/>
      <c r="AK101" s="4"/>
      <c r="AL101" s="4"/>
      <c r="AM101" s="4"/>
    </row>
    <row r="102" spans="1:39" x14ac:dyDescent="0.2">
      <c r="A102" s="4"/>
      <c r="R102" s="4"/>
      <c r="S102" s="4"/>
      <c r="T102" s="4"/>
      <c r="U102" s="4"/>
      <c r="V102" s="4"/>
      <c r="W102" s="4"/>
      <c r="X102" s="4"/>
      <c r="Y102" s="4"/>
      <c r="Z102" s="4"/>
      <c r="AA102" s="4"/>
      <c r="AB102" s="4"/>
      <c r="AC102" s="4"/>
      <c r="AD102" s="4"/>
      <c r="AE102" s="4"/>
      <c r="AF102" s="4"/>
      <c r="AG102" s="4"/>
      <c r="AH102" s="4"/>
      <c r="AI102" s="4"/>
      <c r="AJ102" s="4"/>
      <c r="AK102" s="4"/>
      <c r="AL102" s="4"/>
      <c r="AM102" s="4"/>
    </row>
    <row r="103" spans="1:39" x14ac:dyDescent="0.2">
      <c r="A103" s="4"/>
      <c r="R103" s="4"/>
      <c r="S103" s="4"/>
      <c r="T103" s="4"/>
      <c r="U103" s="4"/>
      <c r="V103" s="4"/>
      <c r="W103" s="4"/>
      <c r="X103" s="4"/>
      <c r="Y103" s="4"/>
      <c r="Z103" s="4"/>
      <c r="AA103" s="4"/>
      <c r="AB103" s="4"/>
      <c r="AC103" s="4"/>
      <c r="AD103" s="4"/>
      <c r="AE103" s="4"/>
      <c r="AF103" s="4"/>
      <c r="AG103" s="4"/>
      <c r="AH103" s="4"/>
      <c r="AI103" s="4"/>
      <c r="AJ103" s="4"/>
      <c r="AK103" s="4"/>
      <c r="AL103" s="4"/>
      <c r="AM103" s="4"/>
    </row>
    <row r="104" spans="1:39" x14ac:dyDescent="0.2">
      <c r="A104" s="4"/>
      <c r="R104" s="4"/>
      <c r="S104" s="4"/>
      <c r="T104" s="4"/>
      <c r="U104" s="4"/>
      <c r="V104" s="4"/>
      <c r="W104" s="4"/>
      <c r="X104" s="4"/>
      <c r="Y104" s="4"/>
      <c r="Z104" s="4"/>
      <c r="AA104" s="4"/>
      <c r="AB104" s="4"/>
      <c r="AC104" s="4"/>
      <c r="AD104" s="4"/>
      <c r="AE104" s="4"/>
      <c r="AF104" s="4"/>
      <c r="AG104" s="4"/>
      <c r="AH104" s="4"/>
      <c r="AI104" s="4"/>
      <c r="AJ104" s="4"/>
      <c r="AK104" s="4"/>
      <c r="AL104" s="4"/>
      <c r="AM104" s="4"/>
    </row>
    <row r="105" spans="1:39" x14ac:dyDescent="0.2">
      <c r="A105" s="4"/>
      <c r="R105" s="4"/>
      <c r="S105" s="4"/>
      <c r="T105" s="4"/>
      <c r="U105" s="4"/>
      <c r="V105" s="4"/>
      <c r="W105" s="4"/>
      <c r="X105" s="4"/>
      <c r="Y105" s="4"/>
      <c r="Z105" s="4"/>
      <c r="AA105" s="4"/>
      <c r="AB105" s="4"/>
      <c r="AC105" s="4"/>
      <c r="AD105" s="4"/>
      <c r="AE105" s="4"/>
      <c r="AF105" s="4"/>
      <c r="AG105" s="4"/>
      <c r="AH105" s="4"/>
      <c r="AI105" s="4"/>
      <c r="AJ105" s="4"/>
      <c r="AK105" s="4"/>
      <c r="AL105" s="4"/>
      <c r="AM105" s="4"/>
    </row>
    <row r="106" spans="1:39" x14ac:dyDescent="0.2">
      <c r="A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39" x14ac:dyDescent="0.2">
      <c r="A107" s="4"/>
      <c r="R107" s="4"/>
      <c r="S107" s="4"/>
      <c r="T107" s="4"/>
      <c r="U107" s="4"/>
      <c r="V107" s="4"/>
      <c r="W107" s="4"/>
      <c r="X107" s="4"/>
      <c r="Y107" s="4"/>
      <c r="Z107" s="4"/>
      <c r="AA107" s="4"/>
      <c r="AB107" s="4"/>
      <c r="AC107" s="4"/>
      <c r="AD107" s="4"/>
      <c r="AE107" s="4"/>
      <c r="AF107" s="4"/>
      <c r="AG107" s="4"/>
      <c r="AH107" s="4"/>
      <c r="AI107" s="4"/>
      <c r="AJ107" s="4"/>
      <c r="AK107" s="4"/>
      <c r="AL107" s="4"/>
      <c r="AM107" s="4"/>
    </row>
    <row r="108" spans="1:39" x14ac:dyDescent="0.2">
      <c r="A108" s="4"/>
      <c r="R108" s="4"/>
      <c r="S108" s="4"/>
      <c r="T108" s="4"/>
      <c r="U108" s="4"/>
      <c r="V108" s="4"/>
      <c r="W108" s="4"/>
      <c r="X108" s="4"/>
      <c r="Y108" s="4"/>
      <c r="Z108" s="4"/>
      <c r="AA108" s="4"/>
      <c r="AB108" s="4"/>
      <c r="AC108" s="4"/>
      <c r="AD108" s="4"/>
      <c r="AE108" s="4"/>
      <c r="AF108" s="4"/>
      <c r="AG108" s="4"/>
      <c r="AH108" s="4"/>
      <c r="AI108" s="4"/>
      <c r="AJ108" s="4"/>
      <c r="AK108" s="4"/>
      <c r="AL108" s="4"/>
      <c r="AM108" s="4"/>
    </row>
    <row r="109" spans="1:39" x14ac:dyDescent="0.2">
      <c r="A109" s="4"/>
      <c r="R109" s="4"/>
      <c r="S109" s="4"/>
      <c r="T109" s="4"/>
      <c r="U109" s="4"/>
      <c r="V109" s="4"/>
      <c r="W109" s="4"/>
      <c r="X109" s="4"/>
      <c r="Y109" s="4"/>
      <c r="Z109" s="4"/>
      <c r="AA109" s="4"/>
      <c r="AB109" s="4"/>
      <c r="AC109" s="4"/>
      <c r="AD109" s="4"/>
      <c r="AE109" s="4"/>
      <c r="AF109" s="4"/>
      <c r="AG109" s="4"/>
      <c r="AH109" s="4"/>
      <c r="AI109" s="4"/>
      <c r="AJ109" s="4"/>
      <c r="AK109" s="4"/>
      <c r="AL109" s="4"/>
      <c r="AM109" s="4"/>
    </row>
    <row r="110" spans="1:39" x14ac:dyDescent="0.2">
      <c r="A110" s="4"/>
      <c r="R110" s="4"/>
      <c r="S110" s="4"/>
      <c r="T110" s="4"/>
      <c r="U110" s="4"/>
      <c r="V110" s="4"/>
      <c r="W110" s="4"/>
      <c r="X110" s="4"/>
      <c r="Y110" s="4"/>
      <c r="Z110" s="4"/>
      <c r="AA110" s="4"/>
      <c r="AB110" s="4"/>
      <c r="AC110" s="4"/>
      <c r="AD110" s="4"/>
      <c r="AE110" s="4"/>
      <c r="AF110" s="4"/>
      <c r="AG110" s="4"/>
      <c r="AH110" s="4"/>
      <c r="AI110" s="4"/>
      <c r="AJ110" s="4"/>
      <c r="AK110" s="4"/>
      <c r="AL110" s="4"/>
      <c r="AM110" s="4"/>
    </row>
    <row r="111" spans="1:39" x14ac:dyDescent="0.2">
      <c r="A111" s="4"/>
      <c r="R111" s="4"/>
      <c r="S111" s="4"/>
      <c r="T111" s="4"/>
      <c r="U111" s="4"/>
      <c r="V111" s="4"/>
      <c r="W111" s="4"/>
      <c r="X111" s="4"/>
      <c r="Y111" s="4"/>
      <c r="Z111" s="4"/>
      <c r="AA111" s="4"/>
      <c r="AB111" s="4"/>
      <c r="AC111" s="4"/>
      <c r="AD111" s="4"/>
      <c r="AE111" s="4"/>
      <c r="AF111" s="4"/>
      <c r="AG111" s="4"/>
      <c r="AH111" s="4"/>
      <c r="AI111" s="4"/>
      <c r="AJ111" s="4"/>
      <c r="AK111" s="4"/>
      <c r="AL111" s="4"/>
      <c r="AM111" s="4"/>
    </row>
    <row r="112" spans="1:39" x14ac:dyDescent="0.2">
      <c r="A112" s="4"/>
      <c r="R112" s="4"/>
      <c r="S112" s="4"/>
      <c r="T112" s="4"/>
      <c r="U112" s="4"/>
      <c r="V112" s="4"/>
      <c r="W112" s="4"/>
      <c r="X112" s="4"/>
      <c r="Y112" s="4"/>
      <c r="Z112" s="4"/>
      <c r="AA112" s="4"/>
      <c r="AB112" s="4"/>
      <c r="AC112" s="4"/>
      <c r="AD112" s="4"/>
      <c r="AE112" s="4"/>
      <c r="AF112" s="4"/>
      <c r="AG112" s="4"/>
      <c r="AH112" s="4"/>
      <c r="AI112" s="4"/>
      <c r="AJ112" s="4"/>
      <c r="AK112" s="4"/>
      <c r="AL112" s="4"/>
      <c r="AM112" s="4"/>
    </row>
    <row r="113" spans="1:39" x14ac:dyDescent="0.2">
      <c r="A113" s="4"/>
      <c r="R113" s="4"/>
      <c r="S113" s="4"/>
      <c r="T113" s="4"/>
      <c r="U113" s="4"/>
      <c r="V113" s="4"/>
      <c r="W113" s="4"/>
      <c r="X113" s="4"/>
      <c r="Y113" s="4"/>
      <c r="Z113" s="4"/>
      <c r="AA113" s="4"/>
      <c r="AB113" s="4"/>
      <c r="AC113" s="4"/>
      <c r="AD113" s="4"/>
      <c r="AE113" s="4"/>
      <c r="AF113" s="4"/>
      <c r="AG113" s="4"/>
      <c r="AH113" s="4"/>
      <c r="AI113" s="4"/>
      <c r="AJ113" s="4"/>
      <c r="AK113" s="4"/>
      <c r="AL113" s="4"/>
      <c r="AM113" s="4"/>
    </row>
    <row r="114" spans="1:39" x14ac:dyDescent="0.2">
      <c r="A114" s="4"/>
      <c r="R114" s="4"/>
      <c r="S114" s="4"/>
      <c r="T114" s="4"/>
      <c r="U114" s="4"/>
      <c r="V114" s="4"/>
      <c r="W114" s="4"/>
      <c r="X114" s="4"/>
      <c r="Y114" s="4"/>
      <c r="Z114" s="4"/>
      <c r="AA114" s="4"/>
      <c r="AB114" s="4"/>
      <c r="AC114" s="4"/>
      <c r="AD114" s="4"/>
      <c r="AE114" s="4"/>
      <c r="AF114" s="4"/>
      <c r="AG114" s="4"/>
      <c r="AH114" s="4"/>
      <c r="AI114" s="4"/>
      <c r="AJ114" s="4"/>
      <c r="AK114" s="4"/>
      <c r="AL114" s="4"/>
      <c r="AM114" s="4"/>
    </row>
    <row r="115" spans="1:39" x14ac:dyDescent="0.2">
      <c r="A115" s="4"/>
      <c r="R115" s="4"/>
      <c r="S115" s="4"/>
      <c r="T115" s="4"/>
      <c r="U115" s="4"/>
      <c r="V115" s="4"/>
      <c r="W115" s="4"/>
      <c r="X115" s="4"/>
      <c r="Y115" s="4"/>
      <c r="Z115" s="4"/>
      <c r="AA115" s="4"/>
      <c r="AB115" s="4"/>
      <c r="AC115" s="4"/>
      <c r="AD115" s="4"/>
      <c r="AE115" s="4"/>
      <c r="AF115" s="4"/>
      <c r="AG115" s="4"/>
      <c r="AH115" s="4"/>
      <c r="AI115" s="4"/>
      <c r="AJ115" s="4"/>
      <c r="AK115" s="4"/>
      <c r="AL115" s="4"/>
      <c r="AM115" s="4"/>
    </row>
    <row r="116" spans="1:39" x14ac:dyDescent="0.2">
      <c r="A116" s="4"/>
      <c r="R116" s="4"/>
      <c r="S116" s="4"/>
      <c r="T116" s="4"/>
      <c r="U116" s="4"/>
      <c r="V116" s="4"/>
      <c r="W116" s="4"/>
      <c r="X116" s="4"/>
      <c r="Y116" s="4"/>
      <c r="Z116" s="4"/>
      <c r="AA116" s="4"/>
      <c r="AB116" s="4"/>
      <c r="AC116" s="4"/>
      <c r="AD116" s="4"/>
      <c r="AE116" s="4"/>
      <c r="AF116" s="4"/>
      <c r="AG116" s="4"/>
      <c r="AH116" s="4"/>
      <c r="AI116" s="4"/>
      <c r="AJ116" s="4"/>
      <c r="AK116" s="4"/>
      <c r="AL116" s="4"/>
      <c r="AM116" s="4"/>
    </row>
    <row r="117" spans="1:39" x14ac:dyDescent="0.2">
      <c r="A117" s="4"/>
      <c r="R117" s="4"/>
      <c r="S117" s="4"/>
      <c r="T117" s="4"/>
      <c r="U117" s="4"/>
      <c r="V117" s="4"/>
      <c r="W117" s="4"/>
      <c r="X117" s="4"/>
      <c r="Y117" s="4"/>
      <c r="Z117" s="4"/>
      <c r="AA117" s="4"/>
      <c r="AB117" s="4"/>
      <c r="AC117" s="4"/>
      <c r="AD117" s="4"/>
      <c r="AE117" s="4"/>
      <c r="AF117" s="4"/>
      <c r="AG117" s="4"/>
      <c r="AH117" s="4"/>
      <c r="AI117" s="4"/>
      <c r="AJ117" s="4"/>
      <c r="AK117" s="4"/>
      <c r="AL117" s="4"/>
      <c r="AM117" s="4"/>
    </row>
    <row r="118" spans="1:39" x14ac:dyDescent="0.2">
      <c r="A118" s="4"/>
      <c r="R118" s="4"/>
      <c r="S118" s="4"/>
      <c r="T118" s="4"/>
      <c r="U118" s="4"/>
      <c r="V118" s="4"/>
      <c r="W118" s="4"/>
      <c r="X118" s="4"/>
      <c r="Y118" s="4"/>
      <c r="Z118" s="4"/>
      <c r="AA118" s="4"/>
      <c r="AB118" s="4"/>
      <c r="AC118" s="4"/>
      <c r="AD118" s="4"/>
      <c r="AE118" s="4"/>
      <c r="AF118" s="4"/>
      <c r="AG118" s="4"/>
      <c r="AH118" s="4"/>
      <c r="AI118" s="4"/>
      <c r="AJ118" s="4"/>
      <c r="AK118" s="4"/>
      <c r="AL118" s="4"/>
      <c r="AM118" s="4"/>
    </row>
    <row r="119" spans="1:39" x14ac:dyDescent="0.2">
      <c r="A119" s="4"/>
      <c r="R119" s="4"/>
      <c r="S119" s="4"/>
      <c r="T119" s="4"/>
      <c r="U119" s="4"/>
      <c r="V119" s="4"/>
      <c r="W119" s="4"/>
      <c r="X119" s="4"/>
      <c r="Y119" s="4"/>
      <c r="Z119" s="4"/>
      <c r="AA119" s="4"/>
      <c r="AB119" s="4"/>
      <c r="AC119" s="4"/>
      <c r="AD119" s="4"/>
      <c r="AE119" s="4"/>
      <c r="AF119" s="4"/>
      <c r="AG119" s="4"/>
      <c r="AH119" s="4"/>
      <c r="AI119" s="4"/>
      <c r="AJ119" s="4"/>
      <c r="AK119" s="4"/>
      <c r="AL119" s="4"/>
      <c r="AM119" s="4"/>
    </row>
    <row r="120" spans="1:39" x14ac:dyDescent="0.2">
      <c r="A120" s="4"/>
      <c r="R120" s="4"/>
      <c r="S120" s="4"/>
      <c r="T120" s="4"/>
      <c r="U120" s="4"/>
      <c r="V120" s="4"/>
      <c r="W120" s="4"/>
      <c r="X120" s="4"/>
      <c r="Y120" s="4"/>
      <c r="Z120" s="4"/>
      <c r="AA120" s="4"/>
      <c r="AB120" s="4"/>
      <c r="AC120" s="4"/>
      <c r="AD120" s="4"/>
      <c r="AE120" s="4"/>
      <c r="AF120" s="4"/>
      <c r="AG120" s="4"/>
      <c r="AH120" s="4"/>
      <c r="AI120" s="4"/>
      <c r="AJ120" s="4"/>
      <c r="AK120" s="4"/>
      <c r="AL120" s="4"/>
      <c r="AM120" s="4"/>
    </row>
    <row r="121" spans="1:39" x14ac:dyDescent="0.2">
      <c r="A121" s="4"/>
      <c r="R121" s="4"/>
      <c r="S121" s="4"/>
      <c r="T121" s="4"/>
      <c r="U121" s="4"/>
      <c r="V121" s="4"/>
      <c r="W121" s="4"/>
      <c r="X121" s="4"/>
      <c r="Y121" s="4"/>
      <c r="Z121" s="4"/>
      <c r="AA121" s="4"/>
      <c r="AB121" s="4"/>
      <c r="AC121" s="4"/>
      <c r="AD121" s="4"/>
      <c r="AE121" s="4"/>
      <c r="AF121" s="4"/>
      <c r="AG121" s="4"/>
      <c r="AH121" s="4"/>
      <c r="AI121" s="4"/>
      <c r="AJ121" s="4"/>
      <c r="AK121" s="4"/>
      <c r="AL121" s="4"/>
      <c r="AM121" s="4"/>
    </row>
    <row r="122" spans="1:39" x14ac:dyDescent="0.2">
      <c r="A122" s="4"/>
      <c r="R122" s="4"/>
      <c r="S122" s="4"/>
      <c r="T122" s="4"/>
      <c r="U122" s="4"/>
      <c r="V122" s="4"/>
      <c r="W122" s="4"/>
      <c r="X122" s="4"/>
      <c r="Y122" s="4"/>
      <c r="Z122" s="4"/>
      <c r="AA122" s="4"/>
      <c r="AB122" s="4"/>
      <c r="AC122" s="4"/>
      <c r="AD122" s="4"/>
      <c r="AE122" s="4"/>
      <c r="AF122" s="4"/>
      <c r="AG122" s="4"/>
      <c r="AH122" s="4"/>
      <c r="AI122" s="4"/>
      <c r="AJ122" s="4"/>
      <c r="AK122" s="4"/>
      <c r="AL122" s="4"/>
      <c r="AM122" s="4"/>
    </row>
    <row r="123" spans="1:39" x14ac:dyDescent="0.2">
      <c r="A123" s="4"/>
      <c r="R123" s="4"/>
      <c r="S123" s="4"/>
      <c r="T123" s="4"/>
      <c r="U123" s="4"/>
      <c r="V123" s="4"/>
      <c r="W123" s="4"/>
      <c r="X123" s="4"/>
      <c r="Y123" s="4"/>
      <c r="Z123" s="4"/>
      <c r="AA123" s="4"/>
      <c r="AB123" s="4"/>
      <c r="AC123" s="4"/>
      <c r="AD123" s="4"/>
      <c r="AE123" s="4"/>
      <c r="AF123" s="4"/>
      <c r="AG123" s="4"/>
      <c r="AH123" s="4"/>
      <c r="AI123" s="4"/>
      <c r="AJ123" s="4"/>
      <c r="AK123" s="4"/>
      <c r="AL123" s="4"/>
      <c r="AM123" s="4"/>
    </row>
    <row r="124" spans="1:39" x14ac:dyDescent="0.2">
      <c r="A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39" x14ac:dyDescent="0.2">
      <c r="A125" s="4"/>
      <c r="R125" s="4"/>
      <c r="S125" s="4"/>
      <c r="T125" s="4"/>
      <c r="U125" s="4"/>
      <c r="V125" s="4"/>
      <c r="W125" s="4"/>
      <c r="X125" s="4"/>
      <c r="Y125" s="4"/>
      <c r="Z125" s="4"/>
      <c r="AA125" s="4"/>
      <c r="AB125" s="4"/>
      <c r="AC125" s="4"/>
      <c r="AD125" s="4"/>
      <c r="AE125" s="4"/>
      <c r="AF125" s="4"/>
      <c r="AG125" s="4"/>
      <c r="AH125" s="4"/>
      <c r="AI125" s="4"/>
      <c r="AJ125" s="4"/>
      <c r="AK125" s="4"/>
      <c r="AL125" s="4"/>
      <c r="AM125" s="4"/>
    </row>
    <row r="126" spans="1:39" x14ac:dyDescent="0.2">
      <c r="A126" s="4"/>
      <c r="R126" s="4"/>
      <c r="S126" s="4"/>
      <c r="T126" s="4"/>
      <c r="U126" s="4"/>
      <c r="V126" s="4"/>
      <c r="W126" s="4"/>
      <c r="X126" s="4"/>
      <c r="Y126" s="4"/>
      <c r="Z126" s="4"/>
      <c r="AA126" s="4"/>
      <c r="AB126" s="4"/>
      <c r="AC126" s="4"/>
      <c r="AD126" s="4"/>
      <c r="AE126" s="4"/>
      <c r="AF126" s="4"/>
      <c r="AG126" s="4"/>
      <c r="AH126" s="4"/>
      <c r="AI126" s="4"/>
      <c r="AJ126" s="4"/>
      <c r="AK126" s="4"/>
      <c r="AL126" s="4"/>
      <c r="AM126" s="4"/>
    </row>
    <row r="127" spans="1:39" x14ac:dyDescent="0.2">
      <c r="A127" s="4"/>
      <c r="R127" s="4"/>
      <c r="S127" s="4"/>
      <c r="T127" s="4"/>
      <c r="U127" s="4"/>
      <c r="V127" s="4"/>
      <c r="W127" s="4"/>
      <c r="X127" s="4"/>
      <c r="Y127" s="4"/>
      <c r="Z127" s="4"/>
      <c r="AA127" s="4"/>
      <c r="AB127" s="4"/>
      <c r="AC127" s="4"/>
      <c r="AD127" s="4"/>
      <c r="AE127" s="4"/>
      <c r="AF127" s="4"/>
      <c r="AG127" s="4"/>
      <c r="AH127" s="4"/>
      <c r="AI127" s="4"/>
      <c r="AJ127" s="4"/>
      <c r="AK127" s="4"/>
      <c r="AL127" s="4"/>
      <c r="AM127" s="4"/>
    </row>
    <row r="128" spans="1:39" x14ac:dyDescent="0.2">
      <c r="A128" s="4"/>
      <c r="R128" s="4"/>
      <c r="S128" s="4"/>
      <c r="T128" s="4"/>
      <c r="U128" s="4"/>
      <c r="V128" s="4"/>
      <c r="W128" s="4"/>
      <c r="X128" s="4"/>
      <c r="Y128" s="4"/>
      <c r="Z128" s="4"/>
      <c r="AA128" s="4"/>
      <c r="AB128" s="4"/>
      <c r="AC128" s="4"/>
      <c r="AD128" s="4"/>
      <c r="AE128" s="4"/>
      <c r="AF128" s="4"/>
      <c r="AG128" s="4"/>
      <c r="AH128" s="4"/>
      <c r="AI128" s="4"/>
      <c r="AJ128" s="4"/>
      <c r="AK128" s="4"/>
      <c r="AL128" s="4"/>
      <c r="AM128" s="4"/>
    </row>
    <row r="129" spans="1:39" x14ac:dyDescent="0.2">
      <c r="A129" s="4"/>
      <c r="R129" s="4"/>
      <c r="S129" s="4"/>
      <c r="T129" s="4"/>
      <c r="U129" s="4"/>
      <c r="V129" s="4"/>
      <c r="W129" s="4"/>
      <c r="X129" s="4"/>
      <c r="Y129" s="4"/>
      <c r="Z129" s="4"/>
      <c r="AA129" s="4"/>
      <c r="AB129" s="4"/>
      <c r="AC129" s="4"/>
      <c r="AD129" s="4"/>
      <c r="AE129" s="4"/>
      <c r="AF129" s="4"/>
      <c r="AG129" s="4"/>
      <c r="AH129" s="4"/>
      <c r="AI129" s="4"/>
      <c r="AJ129" s="4"/>
      <c r="AK129" s="4"/>
      <c r="AL129" s="4"/>
      <c r="AM129" s="4"/>
    </row>
    <row r="130" spans="1:39" x14ac:dyDescent="0.2">
      <c r="A130" s="4"/>
      <c r="R130" s="4"/>
      <c r="S130" s="4"/>
      <c r="T130" s="4"/>
      <c r="U130" s="4"/>
      <c r="V130" s="4"/>
      <c r="W130" s="4"/>
      <c r="X130" s="4"/>
      <c r="Y130" s="4"/>
      <c r="Z130" s="4"/>
      <c r="AA130" s="4"/>
      <c r="AB130" s="4"/>
      <c r="AC130" s="4"/>
      <c r="AD130" s="4"/>
      <c r="AE130" s="4"/>
      <c r="AF130" s="4"/>
      <c r="AG130" s="4"/>
      <c r="AH130" s="4"/>
      <c r="AI130" s="4"/>
      <c r="AJ130" s="4"/>
      <c r="AK130" s="4"/>
      <c r="AL130" s="4"/>
      <c r="AM130" s="4"/>
    </row>
    <row r="131" spans="1:39" x14ac:dyDescent="0.2">
      <c r="A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39" x14ac:dyDescent="0.2">
      <c r="A132" s="4"/>
      <c r="R132" s="4"/>
      <c r="S132" s="4"/>
      <c r="T132" s="4"/>
      <c r="U132" s="4"/>
      <c r="V132" s="4"/>
      <c r="W132" s="4"/>
      <c r="X132" s="4"/>
      <c r="Y132" s="4"/>
      <c r="Z132" s="4"/>
      <c r="AA132" s="4"/>
      <c r="AB132" s="4"/>
      <c r="AC132" s="4"/>
      <c r="AD132" s="4"/>
      <c r="AE132" s="4"/>
      <c r="AF132" s="4"/>
      <c r="AG132" s="4"/>
      <c r="AH132" s="4"/>
      <c r="AI132" s="4"/>
      <c r="AJ132" s="4"/>
      <c r="AK132" s="4"/>
      <c r="AL132" s="4"/>
      <c r="AM132" s="4"/>
    </row>
    <row r="133" spans="1:39" x14ac:dyDescent="0.2">
      <c r="A133" s="4"/>
      <c r="R133" s="4"/>
      <c r="S133" s="4"/>
      <c r="T133" s="4"/>
      <c r="U133" s="4"/>
      <c r="V133" s="4"/>
      <c r="W133" s="4"/>
      <c r="X133" s="4"/>
      <c r="Y133" s="4"/>
      <c r="Z133" s="4"/>
      <c r="AA133" s="4"/>
      <c r="AB133" s="4"/>
      <c r="AC133" s="4"/>
      <c r="AD133" s="4"/>
      <c r="AE133" s="4"/>
      <c r="AF133" s="4"/>
      <c r="AG133" s="4"/>
      <c r="AH133" s="4"/>
      <c r="AI133" s="4"/>
      <c r="AJ133" s="4"/>
      <c r="AK133" s="4"/>
      <c r="AL133" s="4"/>
      <c r="AM133" s="4"/>
    </row>
    <row r="134" spans="1:39" x14ac:dyDescent="0.2">
      <c r="A134" s="4"/>
      <c r="R134" s="4"/>
      <c r="S134" s="4"/>
      <c r="T134" s="4"/>
      <c r="U134" s="4"/>
      <c r="V134" s="4"/>
      <c r="W134" s="4"/>
      <c r="X134" s="4"/>
      <c r="Y134" s="4"/>
      <c r="Z134" s="4"/>
      <c r="AA134" s="4"/>
      <c r="AB134" s="4"/>
      <c r="AC134" s="4"/>
      <c r="AD134" s="4"/>
      <c r="AE134" s="4"/>
      <c r="AF134" s="4"/>
      <c r="AG134" s="4"/>
      <c r="AH134" s="4"/>
      <c r="AI134" s="4"/>
      <c r="AJ134" s="4"/>
      <c r="AK134" s="4"/>
      <c r="AL134" s="4"/>
      <c r="AM134" s="4"/>
    </row>
    <row r="135" spans="1:39" x14ac:dyDescent="0.2">
      <c r="A135" s="4"/>
      <c r="R135" s="4"/>
      <c r="S135" s="4"/>
      <c r="T135" s="4"/>
      <c r="U135" s="4"/>
      <c r="V135" s="4"/>
      <c r="W135" s="4"/>
      <c r="X135" s="4"/>
      <c r="Y135" s="4"/>
      <c r="Z135" s="4"/>
      <c r="AA135" s="4"/>
      <c r="AB135" s="4"/>
      <c r="AC135" s="4"/>
      <c r="AD135" s="4"/>
      <c r="AE135" s="4"/>
      <c r="AF135" s="4"/>
      <c r="AG135" s="4"/>
      <c r="AH135" s="4"/>
      <c r="AI135" s="4"/>
      <c r="AJ135" s="4"/>
      <c r="AK135" s="4"/>
      <c r="AL135" s="4"/>
      <c r="AM135" s="4"/>
    </row>
    <row r="136" spans="1:39" x14ac:dyDescent="0.2">
      <c r="A136" s="4"/>
      <c r="R136" s="4"/>
      <c r="S136" s="4"/>
      <c r="T136" s="4"/>
      <c r="U136" s="4"/>
      <c r="V136" s="4"/>
      <c r="W136" s="4"/>
      <c r="X136" s="4"/>
      <c r="Y136" s="4"/>
      <c r="Z136" s="4"/>
      <c r="AA136" s="4"/>
      <c r="AB136" s="4"/>
      <c r="AC136" s="4"/>
      <c r="AD136" s="4"/>
      <c r="AE136" s="4"/>
      <c r="AF136" s="4"/>
      <c r="AG136" s="4"/>
      <c r="AH136" s="4"/>
      <c r="AI136" s="4"/>
      <c r="AJ136" s="4"/>
      <c r="AK136" s="4"/>
      <c r="AL136" s="4"/>
      <c r="AM136" s="4"/>
    </row>
    <row r="137" spans="1:39" x14ac:dyDescent="0.2">
      <c r="A137" s="4"/>
      <c r="R137" s="4"/>
      <c r="S137" s="4"/>
      <c r="T137" s="4"/>
      <c r="U137" s="4"/>
      <c r="V137" s="4"/>
      <c r="W137" s="4"/>
      <c r="X137" s="4"/>
      <c r="Y137" s="4"/>
      <c r="Z137" s="4"/>
      <c r="AA137" s="4"/>
      <c r="AB137" s="4"/>
      <c r="AC137" s="4"/>
      <c r="AD137" s="4"/>
      <c r="AE137" s="4"/>
      <c r="AF137" s="4"/>
      <c r="AG137" s="4"/>
      <c r="AH137" s="4"/>
      <c r="AI137" s="4"/>
      <c r="AJ137" s="4"/>
      <c r="AK137" s="4"/>
      <c r="AL137" s="4"/>
      <c r="AM137" s="4"/>
    </row>
    <row r="138" spans="1:39" x14ac:dyDescent="0.2">
      <c r="A138" s="4"/>
      <c r="R138" s="4"/>
      <c r="S138" s="4"/>
      <c r="T138" s="4"/>
      <c r="U138" s="4"/>
      <c r="V138" s="4"/>
      <c r="W138" s="4"/>
      <c r="X138" s="4"/>
      <c r="Y138" s="4"/>
      <c r="Z138" s="4"/>
      <c r="AA138" s="4"/>
      <c r="AB138" s="4"/>
      <c r="AC138" s="4"/>
      <c r="AD138" s="4"/>
      <c r="AE138" s="4"/>
      <c r="AF138" s="4"/>
      <c r="AG138" s="4"/>
      <c r="AH138" s="4"/>
      <c r="AI138" s="4"/>
      <c r="AJ138" s="4"/>
      <c r="AK138" s="4"/>
      <c r="AL138" s="4"/>
      <c r="AM138" s="4"/>
    </row>
    <row r="139" spans="1:39" x14ac:dyDescent="0.2">
      <c r="A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39" x14ac:dyDescent="0.2">
      <c r="A140" s="4"/>
      <c r="R140" s="4"/>
      <c r="S140" s="4"/>
      <c r="T140" s="4"/>
      <c r="U140" s="4"/>
      <c r="V140" s="4"/>
      <c r="W140" s="4"/>
      <c r="X140" s="4"/>
      <c r="Y140" s="4"/>
      <c r="Z140" s="4"/>
      <c r="AA140" s="4"/>
      <c r="AB140" s="4"/>
      <c r="AC140" s="4"/>
      <c r="AD140" s="4"/>
      <c r="AE140" s="4"/>
      <c r="AF140" s="4"/>
      <c r="AG140" s="4"/>
      <c r="AH140" s="4"/>
      <c r="AI140" s="4"/>
      <c r="AJ140" s="4"/>
      <c r="AK140" s="4"/>
      <c r="AL140" s="4"/>
      <c r="AM140" s="4"/>
    </row>
    <row r="141" spans="1:39" x14ac:dyDescent="0.2">
      <c r="A141" s="4"/>
      <c r="R141" s="4"/>
      <c r="S141" s="4"/>
      <c r="T141" s="4"/>
      <c r="U141" s="4"/>
      <c r="V141" s="4"/>
      <c r="W141" s="4"/>
      <c r="X141" s="4"/>
      <c r="Y141" s="4"/>
      <c r="Z141" s="4"/>
      <c r="AA141" s="4"/>
      <c r="AB141" s="4"/>
      <c r="AC141" s="4"/>
      <c r="AD141" s="4"/>
      <c r="AE141" s="4"/>
      <c r="AF141" s="4"/>
      <c r="AG141" s="4"/>
      <c r="AH141" s="4"/>
      <c r="AI141" s="4"/>
      <c r="AJ141" s="4"/>
      <c r="AK141" s="4"/>
      <c r="AL141" s="4"/>
      <c r="AM141" s="4"/>
    </row>
    <row r="142" spans="1:39" x14ac:dyDescent="0.2">
      <c r="A142" s="4"/>
      <c r="R142" s="4"/>
      <c r="S142" s="4"/>
      <c r="T142" s="4"/>
      <c r="U142" s="4"/>
      <c r="V142" s="4"/>
      <c r="W142" s="4"/>
      <c r="X142" s="4"/>
      <c r="Y142" s="4"/>
      <c r="Z142" s="4"/>
      <c r="AA142" s="4"/>
      <c r="AB142" s="4"/>
      <c r="AC142" s="4"/>
      <c r="AD142" s="4"/>
      <c r="AE142" s="4"/>
      <c r="AF142" s="4"/>
      <c r="AG142" s="4"/>
      <c r="AH142" s="4"/>
      <c r="AI142" s="4"/>
      <c r="AJ142" s="4"/>
      <c r="AK142" s="4"/>
      <c r="AL142" s="4"/>
      <c r="AM142" s="4"/>
    </row>
    <row r="143" spans="1:39" x14ac:dyDescent="0.2">
      <c r="A143" s="4"/>
      <c r="R143" s="4"/>
      <c r="S143" s="4"/>
      <c r="T143" s="4"/>
      <c r="U143" s="4"/>
      <c r="V143" s="4"/>
      <c r="W143" s="4"/>
      <c r="X143" s="4"/>
      <c r="Y143" s="4"/>
      <c r="Z143" s="4"/>
      <c r="AA143" s="4"/>
      <c r="AB143" s="4"/>
      <c r="AC143" s="4"/>
      <c r="AD143" s="4"/>
      <c r="AE143" s="4"/>
      <c r="AF143" s="4"/>
      <c r="AG143" s="4"/>
      <c r="AH143" s="4"/>
      <c r="AI143" s="4"/>
      <c r="AJ143" s="4"/>
      <c r="AK143" s="4"/>
      <c r="AL143" s="4"/>
      <c r="AM143" s="4"/>
    </row>
    <row r="144" spans="1:39" x14ac:dyDescent="0.2">
      <c r="A144" s="4"/>
      <c r="R144" s="4"/>
      <c r="S144" s="4"/>
      <c r="T144" s="4"/>
      <c r="U144" s="4"/>
      <c r="V144" s="4"/>
      <c r="W144" s="4"/>
      <c r="X144" s="4"/>
      <c r="Y144" s="4"/>
      <c r="Z144" s="4"/>
      <c r="AA144" s="4"/>
      <c r="AB144" s="4"/>
      <c r="AC144" s="4"/>
      <c r="AD144" s="4"/>
      <c r="AE144" s="4"/>
      <c r="AF144" s="4"/>
      <c r="AG144" s="4"/>
      <c r="AH144" s="4"/>
      <c r="AI144" s="4"/>
      <c r="AJ144" s="4"/>
      <c r="AK144" s="4"/>
      <c r="AL144" s="4"/>
      <c r="AM144" s="4"/>
    </row>
    <row r="145" spans="1:39" x14ac:dyDescent="0.2">
      <c r="A145" s="4"/>
      <c r="R145" s="4"/>
      <c r="S145" s="4"/>
      <c r="T145" s="4"/>
      <c r="U145" s="4"/>
      <c r="V145" s="4"/>
      <c r="W145" s="4"/>
      <c r="X145" s="4"/>
      <c r="Y145" s="4"/>
      <c r="Z145" s="4"/>
      <c r="AA145" s="4"/>
      <c r="AB145" s="4"/>
      <c r="AC145" s="4"/>
      <c r="AD145" s="4"/>
      <c r="AE145" s="4"/>
      <c r="AF145" s="4"/>
      <c r="AG145" s="4"/>
      <c r="AH145" s="4"/>
      <c r="AI145" s="4"/>
      <c r="AJ145" s="4"/>
      <c r="AK145" s="4"/>
      <c r="AL145" s="4"/>
      <c r="AM145" s="4"/>
    </row>
    <row r="146" spans="1:39" x14ac:dyDescent="0.2">
      <c r="A146" s="4"/>
      <c r="R146" s="4"/>
      <c r="S146" s="4"/>
      <c r="T146" s="4"/>
      <c r="U146" s="4"/>
      <c r="V146" s="4"/>
      <c r="W146" s="4"/>
      <c r="X146" s="4"/>
      <c r="Y146" s="4"/>
      <c r="Z146" s="4"/>
      <c r="AA146" s="4"/>
      <c r="AB146" s="4"/>
      <c r="AC146" s="4"/>
      <c r="AD146" s="4"/>
      <c r="AE146" s="4"/>
      <c r="AF146" s="4"/>
      <c r="AG146" s="4"/>
      <c r="AH146" s="4"/>
      <c r="AI146" s="4"/>
      <c r="AJ146" s="4"/>
      <c r="AK146" s="4"/>
      <c r="AL146" s="4"/>
      <c r="AM146" s="4"/>
    </row>
    <row r="147" spans="1:39" x14ac:dyDescent="0.2">
      <c r="A147" s="4"/>
      <c r="R147" s="4"/>
      <c r="S147" s="4"/>
      <c r="T147" s="4"/>
      <c r="U147" s="4"/>
      <c r="V147" s="4"/>
      <c r="W147" s="4"/>
      <c r="X147" s="4"/>
      <c r="Y147" s="4"/>
      <c r="Z147" s="4"/>
      <c r="AA147" s="4"/>
      <c r="AB147" s="4"/>
      <c r="AC147" s="4"/>
      <c r="AD147" s="4"/>
      <c r="AE147" s="4"/>
      <c r="AF147" s="4"/>
      <c r="AG147" s="4"/>
      <c r="AH147" s="4"/>
      <c r="AI147" s="4"/>
      <c r="AJ147" s="4"/>
      <c r="AK147" s="4"/>
      <c r="AL147" s="4"/>
      <c r="AM147" s="4"/>
    </row>
    <row r="148" spans="1:39" x14ac:dyDescent="0.2">
      <c r="A148" s="4"/>
      <c r="R148" s="4"/>
      <c r="S148" s="4"/>
      <c r="T148" s="4"/>
      <c r="U148" s="4"/>
      <c r="V148" s="4"/>
      <c r="W148" s="4"/>
      <c r="X148" s="4"/>
      <c r="Y148" s="4"/>
      <c r="Z148" s="4"/>
      <c r="AA148" s="4"/>
      <c r="AB148" s="4"/>
      <c r="AC148" s="4"/>
      <c r="AD148" s="4"/>
      <c r="AE148" s="4"/>
      <c r="AF148" s="4"/>
      <c r="AG148" s="4"/>
      <c r="AH148" s="4"/>
      <c r="AI148" s="4"/>
      <c r="AJ148" s="4"/>
      <c r="AK148" s="4"/>
      <c r="AL148" s="4"/>
      <c r="AM148" s="4"/>
    </row>
    <row r="149" spans="1:39" x14ac:dyDescent="0.2">
      <c r="A149" s="4"/>
      <c r="R149" s="4"/>
      <c r="S149" s="4"/>
      <c r="T149" s="4"/>
      <c r="U149" s="4"/>
      <c r="V149" s="4"/>
      <c r="W149" s="4"/>
      <c r="X149" s="4"/>
      <c r="Y149" s="4"/>
      <c r="Z149" s="4"/>
      <c r="AA149" s="4"/>
      <c r="AB149" s="4"/>
      <c r="AC149" s="4"/>
      <c r="AD149" s="4"/>
      <c r="AE149" s="4"/>
      <c r="AF149" s="4"/>
      <c r="AG149" s="4"/>
      <c r="AH149" s="4"/>
      <c r="AI149" s="4"/>
      <c r="AJ149" s="4"/>
      <c r="AK149" s="4"/>
      <c r="AL149" s="4"/>
      <c r="AM149" s="4"/>
    </row>
    <row r="150" spans="1:39" x14ac:dyDescent="0.2">
      <c r="A150" s="4"/>
      <c r="R150" s="4"/>
      <c r="S150" s="4"/>
      <c r="T150" s="4"/>
      <c r="U150" s="4"/>
      <c r="V150" s="4"/>
      <c r="W150" s="4"/>
      <c r="X150" s="4"/>
      <c r="Y150" s="4"/>
      <c r="Z150" s="4"/>
      <c r="AA150" s="4"/>
      <c r="AB150" s="4"/>
      <c r="AC150" s="4"/>
      <c r="AD150" s="4"/>
      <c r="AE150" s="4"/>
      <c r="AF150" s="4"/>
      <c r="AG150" s="4"/>
      <c r="AH150" s="4"/>
      <c r="AI150" s="4"/>
      <c r="AJ150" s="4"/>
      <c r="AK150" s="4"/>
      <c r="AL150" s="4"/>
      <c r="AM150" s="4"/>
    </row>
    <row r="151" spans="1:39" x14ac:dyDescent="0.2">
      <c r="A151" s="4"/>
      <c r="R151" s="4"/>
      <c r="S151" s="4"/>
      <c r="T151" s="4"/>
      <c r="U151" s="4"/>
      <c r="V151" s="4"/>
      <c r="W151" s="4"/>
      <c r="X151" s="4"/>
      <c r="Y151" s="4"/>
      <c r="Z151" s="4"/>
      <c r="AA151" s="4"/>
      <c r="AB151" s="4"/>
      <c r="AC151" s="4"/>
      <c r="AD151" s="4"/>
      <c r="AE151" s="4"/>
      <c r="AF151" s="4"/>
      <c r="AG151" s="4"/>
      <c r="AH151" s="4"/>
      <c r="AI151" s="4"/>
      <c r="AJ151" s="4"/>
      <c r="AK151" s="4"/>
      <c r="AL151" s="4"/>
      <c r="AM151" s="4"/>
    </row>
    <row r="152" spans="1:39" x14ac:dyDescent="0.2">
      <c r="A152" s="4"/>
      <c r="R152" s="4"/>
      <c r="S152" s="4"/>
      <c r="T152" s="4"/>
      <c r="U152" s="4"/>
      <c r="V152" s="4"/>
      <c r="W152" s="4"/>
      <c r="X152" s="4"/>
      <c r="Y152" s="4"/>
      <c r="Z152" s="4"/>
      <c r="AA152" s="4"/>
      <c r="AB152" s="4"/>
      <c r="AC152" s="4"/>
      <c r="AD152" s="4"/>
      <c r="AE152" s="4"/>
      <c r="AF152" s="4"/>
      <c r="AG152" s="4"/>
      <c r="AH152" s="4"/>
      <c r="AI152" s="4"/>
      <c r="AJ152" s="4"/>
      <c r="AK152" s="4"/>
      <c r="AL152" s="4"/>
      <c r="AM152" s="4"/>
    </row>
    <row r="153" spans="1:39" x14ac:dyDescent="0.2">
      <c r="A153" s="4"/>
      <c r="R153" s="4"/>
      <c r="S153" s="4"/>
      <c r="T153" s="4"/>
      <c r="U153" s="4"/>
      <c r="V153" s="4"/>
      <c r="W153" s="4"/>
      <c r="X153" s="4"/>
      <c r="Y153" s="4"/>
      <c r="Z153" s="4"/>
      <c r="AA153" s="4"/>
      <c r="AB153" s="4"/>
      <c r="AC153" s="4"/>
      <c r="AD153" s="4"/>
      <c r="AE153" s="4"/>
      <c r="AF153" s="4"/>
      <c r="AG153" s="4"/>
      <c r="AH153" s="4"/>
      <c r="AI153" s="4"/>
      <c r="AJ153" s="4"/>
      <c r="AK153" s="4"/>
      <c r="AL153" s="4"/>
      <c r="AM153" s="4"/>
    </row>
    <row r="154" spans="1:39" x14ac:dyDescent="0.2">
      <c r="A154" s="4"/>
      <c r="R154" s="4"/>
      <c r="S154" s="4"/>
      <c r="T154" s="4"/>
      <c r="U154" s="4"/>
      <c r="V154" s="4"/>
      <c r="W154" s="4"/>
      <c r="X154" s="4"/>
      <c r="Y154" s="4"/>
      <c r="Z154" s="4"/>
      <c r="AA154" s="4"/>
      <c r="AB154" s="4"/>
      <c r="AC154" s="4"/>
      <c r="AD154" s="4"/>
      <c r="AE154" s="4"/>
      <c r="AF154" s="4"/>
      <c r="AG154" s="4"/>
      <c r="AH154" s="4"/>
      <c r="AI154" s="4"/>
      <c r="AJ154" s="4"/>
      <c r="AK154" s="4"/>
      <c r="AL154" s="4"/>
      <c r="AM154" s="4"/>
    </row>
    <row r="155" spans="1:39" x14ac:dyDescent="0.2">
      <c r="A155" s="4"/>
      <c r="R155" s="4"/>
      <c r="S155" s="4"/>
      <c r="T155" s="4"/>
      <c r="U155" s="4"/>
      <c r="V155" s="4"/>
      <c r="W155" s="4"/>
      <c r="X155" s="4"/>
      <c r="Y155" s="4"/>
      <c r="Z155" s="4"/>
      <c r="AA155" s="4"/>
      <c r="AB155" s="4"/>
      <c r="AC155" s="4"/>
      <c r="AD155" s="4"/>
      <c r="AE155" s="4"/>
      <c r="AF155" s="4"/>
      <c r="AG155" s="4"/>
      <c r="AH155" s="4"/>
      <c r="AI155" s="4"/>
      <c r="AJ155" s="4"/>
      <c r="AK155" s="4"/>
      <c r="AL155" s="4"/>
      <c r="AM155" s="4"/>
    </row>
    <row r="156" spans="1:39" x14ac:dyDescent="0.2">
      <c r="A156" s="4"/>
      <c r="R156" s="4"/>
      <c r="S156" s="4"/>
      <c r="T156" s="4"/>
      <c r="U156" s="4"/>
      <c r="V156" s="4"/>
      <c r="W156" s="4"/>
      <c r="X156" s="4"/>
      <c r="Y156" s="4"/>
      <c r="Z156" s="4"/>
      <c r="AA156" s="4"/>
      <c r="AB156" s="4"/>
      <c r="AC156" s="4"/>
      <c r="AD156" s="4"/>
      <c r="AE156" s="4"/>
      <c r="AF156" s="4"/>
      <c r="AG156" s="4"/>
      <c r="AH156" s="4"/>
      <c r="AI156" s="4"/>
      <c r="AJ156" s="4"/>
      <c r="AK156" s="4"/>
      <c r="AL156" s="4"/>
      <c r="AM156" s="4"/>
    </row>
    <row r="157" spans="1:39" x14ac:dyDescent="0.2">
      <c r="A157" s="4"/>
      <c r="R157" s="4"/>
      <c r="S157" s="4"/>
      <c r="T157" s="4"/>
      <c r="U157" s="4"/>
      <c r="V157" s="4"/>
      <c r="W157" s="4"/>
      <c r="X157" s="4"/>
      <c r="Y157" s="4"/>
      <c r="Z157" s="4"/>
      <c r="AA157" s="4"/>
      <c r="AB157" s="4"/>
      <c r="AC157" s="4"/>
      <c r="AD157" s="4"/>
      <c r="AE157" s="4"/>
      <c r="AF157" s="4"/>
      <c r="AG157" s="4"/>
      <c r="AH157" s="4"/>
      <c r="AI157" s="4"/>
      <c r="AJ157" s="4"/>
      <c r="AK157" s="4"/>
      <c r="AL157" s="4"/>
      <c r="AM157" s="4"/>
    </row>
    <row r="158" spans="1:39" x14ac:dyDescent="0.2">
      <c r="A158" s="4"/>
      <c r="R158" s="4"/>
      <c r="S158" s="4"/>
      <c r="T158" s="4"/>
      <c r="U158" s="4"/>
      <c r="V158" s="4"/>
      <c r="W158" s="4"/>
      <c r="X158" s="4"/>
      <c r="Y158" s="4"/>
      <c r="Z158" s="4"/>
      <c r="AA158" s="4"/>
      <c r="AB158" s="4"/>
      <c r="AC158" s="4"/>
      <c r="AD158" s="4"/>
      <c r="AE158" s="4"/>
      <c r="AF158" s="4"/>
      <c r="AG158" s="4"/>
      <c r="AH158" s="4"/>
      <c r="AI158" s="4"/>
      <c r="AJ158" s="4"/>
      <c r="AK158" s="4"/>
      <c r="AL158" s="4"/>
      <c r="AM158" s="4"/>
    </row>
    <row r="159" spans="1:39" x14ac:dyDescent="0.2">
      <c r="A159" s="4"/>
      <c r="R159" s="4"/>
      <c r="S159" s="4"/>
      <c r="T159" s="4"/>
      <c r="U159" s="4"/>
      <c r="V159" s="4"/>
      <c r="W159" s="4"/>
      <c r="X159" s="4"/>
      <c r="Y159" s="4"/>
      <c r="Z159" s="4"/>
      <c r="AA159" s="4"/>
      <c r="AB159" s="4"/>
      <c r="AC159" s="4"/>
      <c r="AD159" s="4"/>
      <c r="AE159" s="4"/>
      <c r="AF159" s="4"/>
      <c r="AG159" s="4"/>
      <c r="AH159" s="4"/>
      <c r="AI159" s="4"/>
      <c r="AJ159" s="4"/>
      <c r="AK159" s="4"/>
      <c r="AL159" s="4"/>
      <c r="AM159" s="4"/>
    </row>
    <row r="160" spans="1:39" x14ac:dyDescent="0.2">
      <c r="A160" s="4"/>
      <c r="R160" s="4"/>
      <c r="S160" s="4"/>
      <c r="T160" s="4"/>
      <c r="U160" s="4"/>
      <c r="V160" s="4"/>
      <c r="W160" s="4"/>
      <c r="X160" s="4"/>
      <c r="Y160" s="4"/>
      <c r="Z160" s="4"/>
      <c r="AA160" s="4"/>
      <c r="AB160" s="4"/>
      <c r="AC160" s="4"/>
      <c r="AD160" s="4"/>
      <c r="AE160" s="4"/>
      <c r="AF160" s="4"/>
      <c r="AG160" s="4"/>
      <c r="AH160" s="4"/>
      <c r="AI160" s="4"/>
      <c r="AJ160" s="4"/>
      <c r="AK160" s="4"/>
      <c r="AL160" s="4"/>
      <c r="AM160" s="4"/>
    </row>
    <row r="161" spans="1:39" x14ac:dyDescent="0.2">
      <c r="A161" s="4"/>
      <c r="R161" s="4"/>
      <c r="S161" s="4"/>
      <c r="T161" s="4"/>
      <c r="U161" s="4"/>
      <c r="V161" s="4"/>
      <c r="W161" s="4"/>
      <c r="X161" s="4"/>
      <c r="Y161" s="4"/>
      <c r="Z161" s="4"/>
      <c r="AA161" s="4"/>
      <c r="AB161" s="4"/>
      <c r="AC161" s="4"/>
      <c r="AD161" s="4"/>
      <c r="AE161" s="4"/>
      <c r="AF161" s="4"/>
      <c r="AG161" s="4"/>
      <c r="AH161" s="4"/>
      <c r="AI161" s="4"/>
      <c r="AJ161" s="4"/>
      <c r="AK161" s="4"/>
      <c r="AL161" s="4"/>
      <c r="AM161" s="4"/>
    </row>
    <row r="162" spans="1:39" x14ac:dyDescent="0.2">
      <c r="A162" s="4"/>
      <c r="R162" s="4"/>
      <c r="S162" s="4"/>
      <c r="T162" s="4"/>
      <c r="U162" s="4"/>
      <c r="V162" s="4"/>
      <c r="W162" s="4"/>
      <c r="X162" s="4"/>
      <c r="Y162" s="4"/>
      <c r="Z162" s="4"/>
      <c r="AA162" s="4"/>
      <c r="AB162" s="4"/>
      <c r="AC162" s="4"/>
      <c r="AD162" s="4"/>
      <c r="AE162" s="4"/>
      <c r="AF162" s="4"/>
      <c r="AG162" s="4"/>
      <c r="AH162" s="4"/>
      <c r="AI162" s="4"/>
      <c r="AJ162" s="4"/>
      <c r="AK162" s="4"/>
      <c r="AL162" s="4"/>
      <c r="AM162" s="4"/>
    </row>
    <row r="163" spans="1:39" x14ac:dyDescent="0.2">
      <c r="A163" s="4"/>
      <c r="R163" s="4"/>
      <c r="S163" s="4"/>
      <c r="T163" s="4"/>
      <c r="U163" s="4"/>
      <c r="V163" s="4"/>
      <c r="W163" s="4"/>
      <c r="X163" s="4"/>
      <c r="Y163" s="4"/>
      <c r="Z163" s="4"/>
      <c r="AA163" s="4"/>
      <c r="AB163" s="4"/>
      <c r="AC163" s="4"/>
      <c r="AD163" s="4"/>
      <c r="AE163" s="4"/>
      <c r="AF163" s="4"/>
      <c r="AG163" s="4"/>
      <c r="AH163" s="4"/>
      <c r="AI163" s="4"/>
      <c r="AJ163" s="4"/>
      <c r="AK163" s="4"/>
      <c r="AL163" s="4"/>
      <c r="AM163" s="4"/>
    </row>
    <row r="164" spans="1:39" x14ac:dyDescent="0.2">
      <c r="A164" s="4"/>
      <c r="R164" s="4"/>
      <c r="S164" s="4"/>
      <c r="T164" s="4"/>
      <c r="U164" s="4"/>
      <c r="V164" s="4"/>
      <c r="W164" s="4"/>
      <c r="X164" s="4"/>
      <c r="Y164" s="4"/>
      <c r="Z164" s="4"/>
      <c r="AA164" s="4"/>
      <c r="AB164" s="4"/>
      <c r="AC164" s="4"/>
      <c r="AD164" s="4"/>
      <c r="AE164" s="4"/>
      <c r="AF164" s="4"/>
      <c r="AG164" s="4"/>
      <c r="AH164" s="4"/>
      <c r="AI164" s="4"/>
      <c r="AJ164" s="4"/>
      <c r="AK164" s="4"/>
      <c r="AL164" s="4"/>
      <c r="AM164" s="4"/>
    </row>
    <row r="165" spans="1:39" x14ac:dyDescent="0.2">
      <c r="A165" s="4"/>
      <c r="R165" s="4"/>
      <c r="S165" s="4"/>
      <c r="T165" s="4"/>
      <c r="U165" s="4"/>
      <c r="V165" s="4"/>
      <c r="W165" s="4"/>
      <c r="X165" s="4"/>
      <c r="Y165" s="4"/>
      <c r="Z165" s="4"/>
      <c r="AA165" s="4"/>
      <c r="AB165" s="4"/>
      <c r="AC165" s="4"/>
      <c r="AD165" s="4"/>
      <c r="AE165" s="4"/>
      <c r="AF165" s="4"/>
      <c r="AG165" s="4"/>
      <c r="AH165" s="4"/>
      <c r="AI165" s="4"/>
      <c r="AJ165" s="4"/>
      <c r="AK165" s="4"/>
      <c r="AL165" s="4"/>
      <c r="AM165" s="4"/>
    </row>
    <row r="166" spans="1:39" x14ac:dyDescent="0.2">
      <c r="A166" s="4"/>
      <c r="R166" s="4"/>
      <c r="S166" s="4"/>
      <c r="T166" s="4"/>
      <c r="U166" s="4"/>
      <c r="V166" s="4"/>
      <c r="W166" s="4"/>
      <c r="X166" s="4"/>
      <c r="Y166" s="4"/>
      <c r="Z166" s="4"/>
      <c r="AA166" s="4"/>
      <c r="AB166" s="4"/>
      <c r="AC166" s="4"/>
      <c r="AD166" s="4"/>
      <c r="AE166" s="4"/>
      <c r="AF166" s="4"/>
      <c r="AG166" s="4"/>
      <c r="AH166" s="4"/>
      <c r="AI166" s="4"/>
      <c r="AJ166" s="4"/>
      <c r="AK166" s="4"/>
      <c r="AL166" s="4"/>
      <c r="AM166" s="4"/>
    </row>
    <row r="167" spans="1:39" x14ac:dyDescent="0.2">
      <c r="A167" s="4"/>
      <c r="R167" s="4"/>
      <c r="S167" s="4"/>
      <c r="T167" s="4"/>
      <c r="U167" s="4"/>
      <c r="V167" s="4"/>
      <c r="W167" s="4"/>
      <c r="X167" s="4"/>
      <c r="Y167" s="4"/>
      <c r="Z167" s="4"/>
      <c r="AA167" s="4"/>
      <c r="AB167" s="4"/>
      <c r="AC167" s="4"/>
      <c r="AD167" s="4"/>
      <c r="AE167" s="4"/>
      <c r="AF167" s="4"/>
      <c r="AG167" s="4"/>
      <c r="AH167" s="4"/>
      <c r="AI167" s="4"/>
      <c r="AJ167" s="4"/>
      <c r="AK167" s="4"/>
      <c r="AL167" s="4"/>
      <c r="AM167" s="4"/>
    </row>
    <row r="168" spans="1:39" x14ac:dyDescent="0.2">
      <c r="A168" s="4"/>
      <c r="R168" s="4"/>
      <c r="S168" s="4"/>
      <c r="T168" s="4"/>
      <c r="U168" s="4"/>
      <c r="V168" s="4"/>
      <c r="W168" s="4"/>
      <c r="X168" s="4"/>
      <c r="Y168" s="4"/>
      <c r="Z168" s="4"/>
      <c r="AA168" s="4"/>
      <c r="AB168" s="4"/>
      <c r="AC168" s="4"/>
      <c r="AD168" s="4"/>
      <c r="AE168" s="4"/>
      <c r="AF168" s="4"/>
      <c r="AG168" s="4"/>
      <c r="AH168" s="4"/>
      <c r="AI168" s="4"/>
      <c r="AJ168" s="4"/>
      <c r="AK168" s="4"/>
      <c r="AL168" s="4"/>
      <c r="AM168" s="4"/>
    </row>
    <row r="169" spans="1:39" x14ac:dyDescent="0.2">
      <c r="A169" s="4"/>
      <c r="R169" s="4"/>
      <c r="S169" s="4"/>
      <c r="T169" s="4"/>
      <c r="U169" s="4"/>
      <c r="V169" s="4"/>
      <c r="W169" s="4"/>
      <c r="X169" s="4"/>
      <c r="Y169" s="4"/>
      <c r="Z169" s="4"/>
      <c r="AA169" s="4"/>
      <c r="AB169" s="4"/>
      <c r="AC169" s="4"/>
      <c r="AD169" s="4"/>
      <c r="AE169" s="4"/>
      <c r="AF169" s="4"/>
      <c r="AG169" s="4"/>
      <c r="AH169" s="4"/>
      <c r="AI169" s="4"/>
      <c r="AJ169" s="4"/>
      <c r="AK169" s="4"/>
      <c r="AL169" s="4"/>
      <c r="AM169" s="4"/>
    </row>
    <row r="170" spans="1:39" x14ac:dyDescent="0.2">
      <c r="A170" s="4"/>
      <c r="R170" s="4"/>
      <c r="S170" s="4"/>
      <c r="T170" s="4"/>
      <c r="U170" s="4"/>
      <c r="V170" s="4"/>
      <c r="W170" s="4"/>
      <c r="X170" s="4"/>
      <c r="Y170" s="4"/>
      <c r="Z170" s="4"/>
      <c r="AA170" s="4"/>
      <c r="AB170" s="4"/>
      <c r="AC170" s="4"/>
      <c r="AD170" s="4"/>
      <c r="AE170" s="4"/>
      <c r="AF170" s="4"/>
      <c r="AG170" s="4"/>
      <c r="AH170" s="4"/>
      <c r="AI170" s="4"/>
      <c r="AJ170" s="4"/>
      <c r="AK170" s="4"/>
      <c r="AL170" s="4"/>
      <c r="AM170" s="4"/>
    </row>
    <row r="171" spans="1:39" x14ac:dyDescent="0.2">
      <c r="A171" s="4"/>
      <c r="R171" s="4"/>
      <c r="S171" s="4"/>
      <c r="T171" s="4"/>
      <c r="U171" s="4"/>
      <c r="V171" s="4"/>
      <c r="W171" s="4"/>
      <c r="X171" s="4"/>
      <c r="Y171" s="4"/>
      <c r="Z171" s="4"/>
      <c r="AA171" s="4"/>
      <c r="AB171" s="4"/>
      <c r="AC171" s="4"/>
      <c r="AD171" s="4"/>
      <c r="AE171" s="4"/>
      <c r="AF171" s="4"/>
      <c r="AG171" s="4"/>
      <c r="AH171" s="4"/>
      <c r="AI171" s="4"/>
      <c r="AJ171" s="4"/>
      <c r="AK171" s="4"/>
      <c r="AL171" s="4"/>
      <c r="AM171" s="4"/>
    </row>
    <row r="172" spans="1:39" x14ac:dyDescent="0.2">
      <c r="A172" s="4"/>
      <c r="R172" s="4"/>
      <c r="S172" s="4"/>
      <c r="T172" s="4"/>
      <c r="U172" s="4"/>
      <c r="V172" s="4"/>
      <c r="W172" s="4"/>
      <c r="X172" s="4"/>
      <c r="Y172" s="4"/>
      <c r="Z172" s="4"/>
      <c r="AA172" s="4"/>
      <c r="AB172" s="4"/>
      <c r="AC172" s="4"/>
      <c r="AD172" s="4"/>
      <c r="AE172" s="4"/>
      <c r="AF172" s="4"/>
      <c r="AG172" s="4"/>
      <c r="AH172" s="4"/>
      <c r="AI172" s="4"/>
      <c r="AJ172" s="4"/>
      <c r="AK172" s="4"/>
      <c r="AL172" s="4"/>
      <c r="AM172" s="4"/>
    </row>
    <row r="173" spans="1:39" x14ac:dyDescent="0.2">
      <c r="A173" s="4"/>
      <c r="R173" s="4"/>
      <c r="S173" s="4"/>
      <c r="T173" s="4"/>
      <c r="U173" s="4"/>
      <c r="V173" s="4"/>
      <c r="W173" s="4"/>
      <c r="X173" s="4"/>
      <c r="Y173" s="4"/>
      <c r="Z173" s="4"/>
      <c r="AA173" s="4"/>
      <c r="AB173" s="4"/>
      <c r="AC173" s="4"/>
      <c r="AD173" s="4"/>
      <c r="AE173" s="4"/>
      <c r="AF173" s="4"/>
      <c r="AG173" s="4"/>
      <c r="AH173" s="4"/>
      <c r="AI173" s="4"/>
      <c r="AJ173" s="4"/>
      <c r="AK173" s="4"/>
      <c r="AL173" s="4"/>
      <c r="AM173" s="4"/>
    </row>
    <row r="174" spans="1:39" x14ac:dyDescent="0.2">
      <c r="A174" s="4"/>
      <c r="R174" s="4"/>
      <c r="S174" s="4"/>
      <c r="T174" s="4"/>
      <c r="U174" s="4"/>
      <c r="V174" s="4"/>
      <c r="W174" s="4"/>
      <c r="X174" s="4"/>
      <c r="Y174" s="4"/>
      <c r="Z174" s="4"/>
      <c r="AA174" s="4"/>
      <c r="AB174" s="4"/>
      <c r="AC174" s="4"/>
      <c r="AD174" s="4"/>
      <c r="AE174" s="4"/>
      <c r="AF174" s="4"/>
      <c r="AG174" s="4"/>
      <c r="AH174" s="4"/>
      <c r="AI174" s="4"/>
      <c r="AJ174" s="4"/>
      <c r="AK174" s="4"/>
      <c r="AL174" s="4"/>
      <c r="AM174" s="4"/>
    </row>
    <row r="175" spans="1:39" x14ac:dyDescent="0.2">
      <c r="A175" s="4"/>
      <c r="R175" s="4"/>
      <c r="S175" s="4"/>
      <c r="T175" s="4"/>
      <c r="U175" s="4"/>
      <c r="V175" s="4"/>
      <c r="W175" s="4"/>
      <c r="X175" s="4"/>
      <c r="Y175" s="4"/>
      <c r="Z175" s="4"/>
      <c r="AA175" s="4"/>
      <c r="AB175" s="4"/>
      <c r="AC175" s="4"/>
      <c r="AD175" s="4"/>
      <c r="AE175" s="4"/>
      <c r="AF175" s="4"/>
      <c r="AG175" s="4"/>
      <c r="AH175" s="4"/>
      <c r="AI175" s="4"/>
      <c r="AJ175" s="4"/>
      <c r="AK175" s="4"/>
      <c r="AL175" s="4"/>
      <c r="AM175" s="4"/>
    </row>
    <row r="176" spans="1:39" x14ac:dyDescent="0.2">
      <c r="A176" s="4"/>
      <c r="R176" s="4"/>
      <c r="S176" s="4"/>
      <c r="T176" s="4"/>
      <c r="U176" s="4"/>
      <c r="V176" s="4"/>
      <c r="W176" s="4"/>
      <c r="X176" s="4"/>
      <c r="Y176" s="4"/>
      <c r="Z176" s="4"/>
      <c r="AA176" s="4"/>
      <c r="AB176" s="4"/>
      <c r="AC176" s="4"/>
      <c r="AD176" s="4"/>
      <c r="AE176" s="4"/>
      <c r="AF176" s="4"/>
      <c r="AG176" s="4"/>
      <c r="AH176" s="4"/>
      <c r="AI176" s="4"/>
      <c r="AJ176" s="4"/>
      <c r="AK176" s="4"/>
      <c r="AL176" s="4"/>
      <c r="AM176" s="4"/>
    </row>
    <row r="177" spans="1:39" x14ac:dyDescent="0.2">
      <c r="A177" s="4"/>
      <c r="R177" s="4"/>
      <c r="S177" s="4"/>
      <c r="T177" s="4"/>
      <c r="U177" s="4"/>
      <c r="V177" s="4"/>
      <c r="W177" s="4"/>
      <c r="X177" s="4"/>
      <c r="Y177" s="4"/>
      <c r="Z177" s="4"/>
      <c r="AA177" s="4"/>
      <c r="AB177" s="4"/>
      <c r="AC177" s="4"/>
      <c r="AD177" s="4"/>
      <c r="AE177" s="4"/>
      <c r="AF177" s="4"/>
      <c r="AG177" s="4"/>
      <c r="AH177" s="4"/>
      <c r="AI177" s="4"/>
      <c r="AJ177" s="4"/>
      <c r="AK177" s="4"/>
      <c r="AL177" s="4"/>
      <c r="AM177" s="4"/>
    </row>
    <row r="178" spans="1:39" x14ac:dyDescent="0.2">
      <c r="A178" s="4"/>
      <c r="R178" s="4"/>
      <c r="S178" s="4"/>
      <c r="T178" s="4"/>
      <c r="U178" s="4"/>
      <c r="V178" s="4"/>
      <c r="W178" s="4"/>
      <c r="X178" s="4"/>
      <c r="Y178" s="4"/>
      <c r="Z178" s="4"/>
      <c r="AA178" s="4"/>
      <c r="AB178" s="4"/>
      <c r="AC178" s="4"/>
      <c r="AD178" s="4"/>
      <c r="AE178" s="4"/>
      <c r="AF178" s="4"/>
      <c r="AG178" s="4"/>
      <c r="AH178" s="4"/>
      <c r="AI178" s="4"/>
      <c r="AJ178" s="4"/>
      <c r="AK178" s="4"/>
      <c r="AL178" s="4"/>
      <c r="AM178" s="4"/>
    </row>
    <row r="179" spans="1:39" x14ac:dyDescent="0.2">
      <c r="A179" s="4"/>
      <c r="R179" s="4"/>
      <c r="S179" s="4"/>
      <c r="T179" s="4"/>
      <c r="U179" s="4"/>
      <c r="V179" s="4"/>
      <c r="W179" s="4"/>
      <c r="X179" s="4"/>
      <c r="Y179" s="4"/>
      <c r="Z179" s="4"/>
      <c r="AA179" s="4"/>
      <c r="AB179" s="4"/>
      <c r="AC179" s="4"/>
      <c r="AD179" s="4"/>
      <c r="AE179" s="4"/>
      <c r="AF179" s="4"/>
      <c r="AG179" s="4"/>
      <c r="AH179" s="4"/>
      <c r="AI179" s="4"/>
      <c r="AJ179" s="4"/>
      <c r="AK179" s="4"/>
      <c r="AL179" s="4"/>
      <c r="AM179" s="4"/>
    </row>
    <row r="180" spans="1:39" x14ac:dyDescent="0.2">
      <c r="A180" s="4"/>
      <c r="R180" s="4"/>
      <c r="S180" s="4"/>
      <c r="T180" s="4"/>
      <c r="U180" s="4"/>
      <c r="V180" s="4"/>
      <c r="W180" s="4"/>
      <c r="X180" s="4"/>
      <c r="Y180" s="4"/>
      <c r="Z180" s="4"/>
      <c r="AA180" s="4"/>
      <c r="AB180" s="4"/>
      <c r="AC180" s="4"/>
      <c r="AD180" s="4"/>
      <c r="AE180" s="4"/>
      <c r="AF180" s="4"/>
      <c r="AG180" s="4"/>
      <c r="AH180" s="4"/>
      <c r="AI180" s="4"/>
      <c r="AJ180" s="4"/>
      <c r="AK180" s="4"/>
      <c r="AL180" s="4"/>
      <c r="AM180" s="4"/>
    </row>
    <row r="181" spans="1:39" x14ac:dyDescent="0.2">
      <c r="A181" s="4"/>
      <c r="R181" s="4"/>
      <c r="S181" s="4"/>
      <c r="T181" s="4"/>
      <c r="U181" s="4"/>
      <c r="V181" s="4"/>
      <c r="W181" s="4"/>
      <c r="X181" s="4"/>
      <c r="Y181" s="4"/>
      <c r="Z181" s="4"/>
      <c r="AA181" s="4"/>
      <c r="AB181" s="4"/>
      <c r="AC181" s="4"/>
      <c r="AD181" s="4"/>
      <c r="AE181" s="4"/>
      <c r="AF181" s="4"/>
      <c r="AG181" s="4"/>
      <c r="AH181" s="4"/>
      <c r="AI181" s="4"/>
      <c r="AJ181" s="4"/>
      <c r="AK181" s="4"/>
      <c r="AL181" s="4"/>
      <c r="AM181" s="4"/>
    </row>
    <row r="182" spans="1:39" x14ac:dyDescent="0.2">
      <c r="A182" s="4"/>
      <c r="R182" s="4"/>
      <c r="S182" s="4"/>
      <c r="T182" s="4"/>
      <c r="U182" s="4"/>
      <c r="V182" s="4"/>
      <c r="W182" s="4"/>
      <c r="X182" s="4"/>
      <c r="Y182" s="4"/>
      <c r="Z182" s="4"/>
      <c r="AA182" s="4"/>
      <c r="AB182" s="4"/>
      <c r="AC182" s="4"/>
      <c r="AD182" s="4"/>
      <c r="AE182" s="4"/>
      <c r="AF182" s="4"/>
      <c r="AG182" s="4"/>
      <c r="AH182" s="4"/>
      <c r="AI182" s="4"/>
      <c r="AJ182" s="4"/>
      <c r="AK182" s="4"/>
      <c r="AL182" s="4"/>
      <c r="AM182" s="4"/>
    </row>
    <row r="183" spans="1:39" x14ac:dyDescent="0.2">
      <c r="A183" s="4"/>
      <c r="R183" s="4"/>
      <c r="S183" s="4"/>
      <c r="T183" s="4"/>
      <c r="U183" s="4"/>
      <c r="V183" s="4"/>
      <c r="W183" s="4"/>
      <c r="X183" s="4"/>
      <c r="Y183" s="4"/>
      <c r="Z183" s="4"/>
      <c r="AA183" s="4"/>
      <c r="AB183" s="4"/>
      <c r="AC183" s="4"/>
      <c r="AD183" s="4"/>
      <c r="AE183" s="4"/>
      <c r="AF183" s="4"/>
      <c r="AG183" s="4"/>
      <c r="AH183" s="4"/>
      <c r="AI183" s="4"/>
      <c r="AJ183" s="4"/>
      <c r="AK183" s="4"/>
      <c r="AL183" s="4"/>
      <c r="AM183" s="4"/>
    </row>
    <row r="184" spans="1:39" x14ac:dyDescent="0.2">
      <c r="A184" s="4"/>
      <c r="R184" s="4"/>
      <c r="S184" s="4"/>
      <c r="T184" s="4"/>
      <c r="U184" s="4"/>
      <c r="V184" s="4"/>
      <c r="W184" s="4"/>
      <c r="X184" s="4"/>
      <c r="Y184" s="4"/>
      <c r="Z184" s="4"/>
      <c r="AA184" s="4"/>
      <c r="AB184" s="4"/>
      <c r="AC184" s="4"/>
      <c r="AD184" s="4"/>
      <c r="AE184" s="4"/>
      <c r="AF184" s="4"/>
      <c r="AG184" s="4"/>
      <c r="AH184" s="4"/>
      <c r="AI184" s="4"/>
      <c r="AJ184" s="4"/>
      <c r="AK184" s="4"/>
      <c r="AL184" s="4"/>
      <c r="AM184" s="4"/>
    </row>
    <row r="185" spans="1:39" x14ac:dyDescent="0.2">
      <c r="A185" s="4"/>
      <c r="R185" s="4"/>
      <c r="S185" s="4"/>
      <c r="T185" s="4"/>
      <c r="U185" s="4"/>
      <c r="V185" s="4"/>
      <c r="W185" s="4"/>
      <c r="X185" s="4"/>
      <c r="Y185" s="4"/>
      <c r="Z185" s="4"/>
      <c r="AA185" s="4"/>
      <c r="AB185" s="4"/>
      <c r="AC185" s="4"/>
      <c r="AD185" s="4"/>
      <c r="AE185" s="4"/>
      <c r="AF185" s="4"/>
      <c r="AG185" s="4"/>
      <c r="AH185" s="4"/>
      <c r="AI185" s="4"/>
      <c r="AJ185" s="4"/>
      <c r="AK185" s="4"/>
      <c r="AL185" s="4"/>
      <c r="AM185" s="4"/>
    </row>
    <row r="186" spans="1:39" x14ac:dyDescent="0.2">
      <c r="A186" s="4"/>
      <c r="R186" s="4"/>
      <c r="S186" s="4"/>
      <c r="T186" s="4"/>
      <c r="U186" s="4"/>
      <c r="V186" s="4"/>
      <c r="W186" s="4"/>
      <c r="X186" s="4"/>
      <c r="Y186" s="4"/>
      <c r="Z186" s="4"/>
      <c r="AA186" s="4"/>
      <c r="AB186" s="4"/>
      <c r="AC186" s="4"/>
      <c r="AD186" s="4"/>
      <c r="AE186" s="4"/>
      <c r="AF186" s="4"/>
      <c r="AG186" s="4"/>
      <c r="AH186" s="4"/>
      <c r="AI186" s="4"/>
      <c r="AJ186" s="4"/>
      <c r="AK186" s="4"/>
      <c r="AL186" s="4"/>
      <c r="AM186" s="4"/>
    </row>
    <row r="187" spans="1:39" x14ac:dyDescent="0.2">
      <c r="A187" s="4"/>
      <c r="R187" s="4"/>
      <c r="S187" s="4"/>
      <c r="T187" s="4"/>
      <c r="U187" s="4"/>
      <c r="V187" s="4"/>
      <c r="W187" s="4"/>
      <c r="X187" s="4"/>
      <c r="Y187" s="4"/>
      <c r="Z187" s="4"/>
      <c r="AA187" s="4"/>
      <c r="AB187" s="4"/>
      <c r="AC187" s="4"/>
      <c r="AD187" s="4"/>
      <c r="AE187" s="4"/>
      <c r="AF187" s="4"/>
      <c r="AG187" s="4"/>
      <c r="AH187" s="4"/>
      <c r="AI187" s="4"/>
      <c r="AJ187" s="4"/>
      <c r="AK187" s="4"/>
      <c r="AL187" s="4"/>
      <c r="AM187" s="4"/>
    </row>
    <row r="188" spans="1:39" x14ac:dyDescent="0.2">
      <c r="A188" s="4"/>
      <c r="R188" s="4"/>
      <c r="S188" s="4"/>
      <c r="T188" s="4"/>
      <c r="U188" s="4"/>
      <c r="V188" s="4"/>
      <c r="W188" s="4"/>
      <c r="X188" s="4"/>
      <c r="Y188" s="4"/>
      <c r="Z188" s="4"/>
      <c r="AA188" s="4"/>
      <c r="AB188" s="4"/>
      <c r="AC188" s="4"/>
      <c r="AD188" s="4"/>
      <c r="AE188" s="4"/>
      <c r="AF188" s="4"/>
      <c r="AG188" s="4"/>
      <c r="AH188" s="4"/>
      <c r="AI188" s="4"/>
      <c r="AJ188" s="4"/>
      <c r="AK188" s="4"/>
      <c r="AL188" s="4"/>
      <c r="AM188" s="4"/>
    </row>
    <row r="189" spans="1:39" x14ac:dyDescent="0.2">
      <c r="A189" s="4"/>
      <c r="R189" s="4"/>
      <c r="S189" s="4"/>
      <c r="T189" s="4"/>
      <c r="U189" s="4"/>
      <c r="V189" s="4"/>
      <c r="W189" s="4"/>
      <c r="X189" s="4"/>
      <c r="Y189" s="4"/>
      <c r="Z189" s="4"/>
      <c r="AA189" s="4"/>
      <c r="AB189" s="4"/>
      <c r="AC189" s="4"/>
      <c r="AD189" s="4"/>
      <c r="AE189" s="4"/>
      <c r="AF189" s="4"/>
      <c r="AG189" s="4"/>
      <c r="AH189" s="4"/>
      <c r="AI189" s="4"/>
      <c r="AJ189" s="4"/>
      <c r="AK189" s="4"/>
      <c r="AL189" s="4"/>
      <c r="AM189" s="4"/>
    </row>
    <row r="190" spans="1:39" x14ac:dyDescent="0.2">
      <c r="A190" s="4"/>
      <c r="R190" s="4"/>
      <c r="S190" s="4"/>
      <c r="T190" s="4"/>
      <c r="U190" s="4"/>
      <c r="V190" s="4"/>
      <c r="W190" s="4"/>
      <c r="X190" s="4"/>
      <c r="Y190" s="4"/>
      <c r="Z190" s="4"/>
      <c r="AA190" s="4"/>
      <c r="AB190" s="4"/>
      <c r="AC190" s="4"/>
      <c r="AD190" s="4"/>
      <c r="AE190" s="4"/>
      <c r="AF190" s="4"/>
      <c r="AG190" s="4"/>
      <c r="AH190" s="4"/>
      <c r="AI190" s="4"/>
      <c r="AJ190" s="4"/>
      <c r="AK190" s="4"/>
      <c r="AL190" s="4"/>
      <c r="AM190" s="4"/>
    </row>
    <row r="191" spans="1:39" x14ac:dyDescent="0.2">
      <c r="A191" s="4"/>
      <c r="R191" s="4"/>
      <c r="S191" s="4"/>
      <c r="T191" s="4"/>
      <c r="U191" s="4"/>
      <c r="V191" s="4"/>
      <c r="W191" s="4"/>
      <c r="X191" s="4"/>
      <c r="Y191" s="4"/>
      <c r="Z191" s="4"/>
      <c r="AA191" s="4"/>
      <c r="AB191" s="4"/>
      <c r="AC191" s="4"/>
      <c r="AD191" s="4"/>
      <c r="AE191" s="4"/>
      <c r="AF191" s="4"/>
      <c r="AG191" s="4"/>
      <c r="AH191" s="4"/>
      <c r="AI191" s="4"/>
      <c r="AJ191" s="4"/>
      <c r="AK191" s="4"/>
      <c r="AL191" s="4"/>
      <c r="AM191" s="4"/>
    </row>
    <row r="192" spans="1:39" x14ac:dyDescent="0.2">
      <c r="A192" s="4"/>
      <c r="R192" s="4"/>
      <c r="S192" s="4"/>
      <c r="T192" s="4"/>
      <c r="U192" s="4"/>
      <c r="V192" s="4"/>
      <c r="W192" s="4"/>
      <c r="X192" s="4"/>
      <c r="Y192" s="4"/>
      <c r="Z192" s="4"/>
      <c r="AA192" s="4"/>
      <c r="AB192" s="4"/>
      <c r="AC192" s="4"/>
      <c r="AD192" s="4"/>
      <c r="AE192" s="4"/>
      <c r="AF192" s="4"/>
      <c r="AG192" s="4"/>
      <c r="AH192" s="4"/>
      <c r="AI192" s="4"/>
      <c r="AJ192" s="4"/>
      <c r="AK192" s="4"/>
      <c r="AL192" s="4"/>
      <c r="AM192" s="4"/>
    </row>
    <row r="193" spans="1:39" x14ac:dyDescent="0.2">
      <c r="A193" s="4"/>
      <c r="R193" s="4"/>
      <c r="S193" s="4"/>
      <c r="T193" s="4"/>
      <c r="U193" s="4"/>
      <c r="V193" s="4"/>
      <c r="W193" s="4"/>
      <c r="X193" s="4"/>
      <c r="Y193" s="4"/>
      <c r="Z193" s="4"/>
      <c r="AA193" s="4"/>
      <c r="AB193" s="4"/>
      <c r="AC193" s="4"/>
      <c r="AD193" s="4"/>
      <c r="AE193" s="4"/>
      <c r="AF193" s="4"/>
      <c r="AG193" s="4"/>
      <c r="AH193" s="4"/>
      <c r="AI193" s="4"/>
      <c r="AJ193" s="4"/>
      <c r="AK193" s="4"/>
      <c r="AL193" s="4"/>
      <c r="AM193" s="4"/>
    </row>
    <row r="194" spans="1:39" x14ac:dyDescent="0.2">
      <c r="A194" s="4"/>
      <c r="R194" s="4"/>
      <c r="S194" s="4"/>
      <c r="T194" s="4"/>
      <c r="U194" s="4"/>
      <c r="V194" s="4"/>
      <c r="W194" s="4"/>
      <c r="X194" s="4"/>
      <c r="Y194" s="4"/>
      <c r="Z194" s="4"/>
      <c r="AA194" s="4"/>
      <c r="AB194" s="4"/>
      <c r="AC194" s="4"/>
      <c r="AD194" s="4"/>
      <c r="AE194" s="4"/>
      <c r="AF194" s="4"/>
      <c r="AG194" s="4"/>
      <c r="AH194" s="4"/>
      <c r="AI194" s="4"/>
      <c r="AJ194" s="4"/>
      <c r="AK194" s="4"/>
      <c r="AL194" s="4"/>
      <c r="AM194" s="4"/>
    </row>
    <row r="195" spans="1:39" x14ac:dyDescent="0.2">
      <c r="A195" s="4"/>
      <c r="R195" s="4"/>
      <c r="S195" s="4"/>
      <c r="T195" s="4"/>
      <c r="U195" s="4"/>
      <c r="V195" s="4"/>
      <c r="W195" s="4"/>
      <c r="X195" s="4"/>
      <c r="Y195" s="4"/>
      <c r="Z195" s="4"/>
      <c r="AA195" s="4"/>
      <c r="AB195" s="4"/>
      <c r="AC195" s="4"/>
      <c r="AD195" s="4"/>
      <c r="AE195" s="4"/>
      <c r="AF195" s="4"/>
      <c r="AG195" s="4"/>
      <c r="AH195" s="4"/>
      <c r="AI195" s="4"/>
      <c r="AJ195" s="4"/>
      <c r="AK195" s="4"/>
      <c r="AL195" s="4"/>
      <c r="AM195" s="4"/>
    </row>
    <row r="196" spans="1:39" x14ac:dyDescent="0.2">
      <c r="A196" s="4"/>
      <c r="R196" s="4"/>
      <c r="S196" s="4"/>
      <c r="T196" s="4"/>
      <c r="U196" s="4"/>
      <c r="V196" s="4"/>
      <c r="W196" s="4"/>
      <c r="X196" s="4"/>
      <c r="Y196" s="4"/>
      <c r="Z196" s="4"/>
      <c r="AA196" s="4"/>
      <c r="AB196" s="4"/>
      <c r="AC196" s="4"/>
      <c r="AD196" s="4"/>
      <c r="AE196" s="4"/>
      <c r="AF196" s="4"/>
      <c r="AG196" s="4"/>
      <c r="AH196" s="4"/>
      <c r="AI196" s="4"/>
      <c r="AJ196" s="4"/>
      <c r="AK196" s="4"/>
      <c r="AL196" s="4"/>
      <c r="AM196" s="4"/>
    </row>
    <row r="197" spans="1:39" x14ac:dyDescent="0.2">
      <c r="A197" s="4"/>
      <c r="R197" s="4"/>
      <c r="S197" s="4"/>
      <c r="T197" s="4"/>
      <c r="U197" s="4"/>
      <c r="V197" s="4"/>
      <c r="W197" s="4"/>
      <c r="X197" s="4"/>
      <c r="Y197" s="4"/>
      <c r="Z197" s="4"/>
      <c r="AA197" s="4"/>
      <c r="AB197" s="4"/>
      <c r="AC197" s="4"/>
      <c r="AD197" s="4"/>
      <c r="AE197" s="4"/>
      <c r="AF197" s="4"/>
      <c r="AG197" s="4"/>
      <c r="AH197" s="4"/>
      <c r="AI197" s="4"/>
      <c r="AJ197" s="4"/>
      <c r="AK197" s="4"/>
      <c r="AL197" s="4"/>
      <c r="AM197" s="4"/>
    </row>
    <row r="198" spans="1:39" x14ac:dyDescent="0.2">
      <c r="A198" s="4"/>
      <c r="R198" s="4"/>
      <c r="S198" s="4"/>
      <c r="T198" s="4"/>
      <c r="U198" s="4"/>
      <c r="V198" s="4"/>
      <c r="W198" s="4"/>
      <c r="X198" s="4"/>
      <c r="Y198" s="4"/>
      <c r="Z198" s="4"/>
      <c r="AA198" s="4"/>
      <c r="AB198" s="4"/>
      <c r="AC198" s="4"/>
      <c r="AD198" s="4"/>
      <c r="AE198" s="4"/>
      <c r="AF198" s="4"/>
      <c r="AG198" s="4"/>
      <c r="AH198" s="4"/>
      <c r="AI198" s="4"/>
      <c r="AJ198" s="4"/>
      <c r="AK198" s="4"/>
      <c r="AL198" s="4"/>
      <c r="AM198" s="4"/>
    </row>
    <row r="199" spans="1:39" x14ac:dyDescent="0.2">
      <c r="A199" s="4"/>
      <c r="R199" s="4"/>
      <c r="S199" s="4"/>
      <c r="T199" s="4"/>
      <c r="U199" s="4"/>
      <c r="V199" s="4"/>
      <c r="W199" s="4"/>
      <c r="X199" s="4"/>
      <c r="Y199" s="4"/>
      <c r="Z199" s="4"/>
      <c r="AA199" s="4"/>
      <c r="AB199" s="4"/>
      <c r="AC199" s="4"/>
      <c r="AD199" s="4"/>
      <c r="AE199" s="4"/>
      <c r="AF199" s="4"/>
      <c r="AG199" s="4"/>
      <c r="AH199" s="4"/>
      <c r="AI199" s="4"/>
      <c r="AJ199" s="4"/>
      <c r="AK199" s="4"/>
      <c r="AL199" s="4"/>
      <c r="AM199" s="4"/>
    </row>
    <row r="200" spans="1:39" x14ac:dyDescent="0.2">
      <c r="A200" s="4"/>
      <c r="R200" s="4"/>
      <c r="S200" s="4"/>
      <c r="T200" s="4"/>
      <c r="U200" s="4"/>
      <c r="V200" s="4"/>
      <c r="W200" s="4"/>
      <c r="X200" s="4"/>
      <c r="Y200" s="4"/>
      <c r="Z200" s="4"/>
      <c r="AA200" s="4"/>
      <c r="AB200" s="4"/>
      <c r="AC200" s="4"/>
      <c r="AD200" s="4"/>
      <c r="AE200" s="4"/>
      <c r="AF200" s="4"/>
      <c r="AG200" s="4"/>
      <c r="AH200" s="4"/>
      <c r="AI200" s="4"/>
      <c r="AJ200" s="4"/>
      <c r="AK200" s="4"/>
      <c r="AL200" s="4"/>
      <c r="AM200" s="4"/>
    </row>
    <row r="201" spans="1:39" x14ac:dyDescent="0.2">
      <c r="A201" s="4"/>
      <c r="R201" s="4"/>
      <c r="S201" s="4"/>
      <c r="T201" s="4"/>
      <c r="U201" s="4"/>
      <c r="V201" s="4"/>
      <c r="W201" s="4"/>
      <c r="X201" s="4"/>
      <c r="Y201" s="4"/>
      <c r="Z201" s="4"/>
      <c r="AA201" s="4"/>
      <c r="AB201" s="4"/>
      <c r="AC201" s="4"/>
      <c r="AD201" s="4"/>
      <c r="AE201" s="4"/>
      <c r="AF201" s="4"/>
      <c r="AG201" s="4"/>
      <c r="AH201" s="4"/>
      <c r="AI201" s="4"/>
      <c r="AJ201" s="4"/>
      <c r="AK201" s="4"/>
      <c r="AL201" s="4"/>
      <c r="AM201" s="4"/>
    </row>
    <row r="202" spans="1:39" x14ac:dyDescent="0.2">
      <c r="A202" s="4"/>
      <c r="R202" s="4"/>
      <c r="S202" s="4"/>
      <c r="T202" s="4"/>
      <c r="U202" s="4"/>
      <c r="V202" s="4"/>
      <c r="W202" s="4"/>
      <c r="X202" s="4"/>
      <c r="Y202" s="4"/>
      <c r="Z202" s="4"/>
      <c r="AA202" s="4"/>
      <c r="AB202" s="4"/>
      <c r="AC202" s="4"/>
      <c r="AD202" s="4"/>
      <c r="AE202" s="4"/>
      <c r="AF202" s="4"/>
      <c r="AG202" s="4"/>
      <c r="AH202" s="4"/>
      <c r="AI202" s="4"/>
      <c r="AJ202" s="4"/>
      <c r="AK202" s="4"/>
      <c r="AL202" s="4"/>
      <c r="AM202" s="4"/>
    </row>
    <row r="203" spans="1:39" x14ac:dyDescent="0.2">
      <c r="A203" s="4"/>
      <c r="R203" s="4"/>
      <c r="S203" s="4"/>
      <c r="T203" s="4"/>
      <c r="U203" s="4"/>
      <c r="V203" s="4"/>
      <c r="W203" s="4"/>
      <c r="X203" s="4"/>
      <c r="Y203" s="4"/>
      <c r="Z203" s="4"/>
      <c r="AA203" s="4"/>
      <c r="AB203" s="4"/>
      <c r="AC203" s="4"/>
      <c r="AD203" s="4"/>
      <c r="AE203" s="4"/>
      <c r="AF203" s="4"/>
      <c r="AG203" s="4"/>
      <c r="AH203" s="4"/>
      <c r="AI203" s="4"/>
      <c r="AJ203" s="4"/>
      <c r="AK203" s="4"/>
      <c r="AL203" s="4"/>
      <c r="AM203" s="4"/>
    </row>
    <row r="204" spans="1:39" x14ac:dyDescent="0.2">
      <c r="A204" s="4"/>
      <c r="R204" s="4"/>
      <c r="S204" s="4"/>
      <c r="T204" s="4"/>
      <c r="U204" s="4"/>
      <c r="V204" s="4"/>
      <c r="W204" s="4"/>
      <c r="X204" s="4"/>
      <c r="Y204" s="4"/>
      <c r="Z204" s="4"/>
      <c r="AA204" s="4"/>
      <c r="AB204" s="4"/>
      <c r="AC204" s="4"/>
      <c r="AD204" s="4"/>
      <c r="AE204" s="4"/>
      <c r="AF204" s="4"/>
      <c r="AG204" s="4"/>
      <c r="AH204" s="4"/>
      <c r="AI204" s="4"/>
      <c r="AJ204" s="4"/>
      <c r="AK204" s="4"/>
      <c r="AL204" s="4"/>
      <c r="AM204" s="4"/>
    </row>
  </sheetData>
  <sheetProtection algorithmName="SHA-512" hashValue="tg8kje3MxenZpbtP7s+BUiJwZcUaqnn38ALxdHjXLW9t127/+fJKVw5Gr2odG7ft8Rsy2eF40jP0Hzqje8P/Lw==" saltValue="6Q18gT4DtmeyUgA3aN037A==" spinCount="100000" sheet="1" selectLockedCells="1"/>
  <mergeCells count="2">
    <mergeCell ref="G3:I3"/>
    <mergeCell ref="B1:N1"/>
  </mergeCells>
  <conditionalFormatting sqref="G5:I34">
    <cfRule type="expression" dxfId="130" priority="1">
      <formula>$E5=""</formula>
    </cfRule>
  </conditionalFormatting>
  <dataValidations count="1">
    <dataValidation type="list" allowBlank="1" showInputMessage="1" showErrorMessage="1" sqref="E5:E34" xr:uid="{FCBD3419-D020-4D94-8BC7-C23011E34A13}">
      <formula1>List_Misc_Measure</formula1>
    </dataValidation>
  </dataValidations>
  <pageMargins left="0.7" right="0.7" top="0.75" bottom="0.75" header="0.3" footer="0.3"/>
  <pageSetup scale="75" fitToWidth="0" fitToHeight="0" orientation="landscape" verticalDpi="4294967293" r:id="rId1"/>
  <drawing r:id="rId2"/>
  <legacyDrawing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3A77B8B12827240A2A3ED551A051FAD" ma:contentTypeVersion="19" ma:contentTypeDescription="Create a new document." ma:contentTypeScope="" ma:versionID="b75b1f8710df1cd426f4d5e9f368d1fa">
  <xsd:schema xmlns:xsd="http://www.w3.org/2001/XMLSchema" xmlns:xs="http://www.w3.org/2001/XMLSchema" xmlns:p="http://schemas.microsoft.com/office/2006/metadata/properties" xmlns:ns2="753b216e-e208-4445-90b7-cb0adfe82f5c" xmlns:ns3="405923a6-f60e-469d-8560-ac7b1a3d2c54" xmlns:ns4="6b2b484f-4c19-4c24-b89d-0399ef7e60bb" targetNamespace="http://schemas.microsoft.com/office/2006/metadata/properties" ma:root="true" ma:fieldsID="cf5619449892876f4cdf51cab2d67f0c" ns2:_="" ns3:_="" ns4:_="">
    <xsd:import namespace="753b216e-e208-4445-90b7-cb0adfe82f5c"/>
    <xsd:import namespace="405923a6-f60e-469d-8560-ac7b1a3d2c54"/>
    <xsd:import namespace="6b2b484f-4c19-4c24-b89d-0399ef7e60b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2:Status" minOccurs="0"/>
                <xsd:element ref="ns2:MediaLengthInSeconds" minOccurs="0"/>
                <xsd:element ref="ns3:SharedWithUsers" minOccurs="0"/>
                <xsd:element ref="ns3:SharedWithDetails" minOccurs="0"/>
                <xsd:element ref="ns2:lcf76f155ced4ddcb4097134ff3c332f" minOccurs="0"/>
                <xsd:element ref="ns4:TaxCatchAll" minOccurs="0"/>
                <xsd:element ref="ns2:Comment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3b216e-e208-4445-90b7-cb0adfe82f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Status" ma:index="18" nillable="true" ma:displayName="Status" ma:format="Dropdown" ma:internalName="Status">
      <xsd:simpleType>
        <xsd:restriction base="dms:Choice">
          <xsd:enumeration value="In Progress"/>
          <xsd:enumeration value="Draft"/>
          <xsd:enumeration value="Final"/>
          <xsd:enumeration value="Archived"/>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af5a3b8-19fe-4aaf-8551-0b725c993cda" ma:termSetId="09814cd3-568e-fe90-9814-8d621ff8fb84" ma:anchorId="fba54fb3-c3e1-fe81-a776-ca4b69148c4d" ma:open="true" ma:isKeyword="false">
      <xsd:complexType>
        <xsd:sequence>
          <xsd:element ref="pc:Terms" minOccurs="0" maxOccurs="1"/>
        </xsd:sequence>
      </xsd:complexType>
    </xsd:element>
    <xsd:element name="Comments" ma:index="25" nillable="true" ma:displayName="Comments" ma:format="Dropdown" ma:internalName="Comments">
      <xsd:simpleType>
        <xsd:restriction base="dms:Note">
          <xsd:maxLength value="255"/>
        </xsd:restrictio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5923a6-f60e-469d-8560-ac7b1a3d2c54" elementFormDefault="qualified">
    <xsd:import namespace="http://schemas.microsoft.com/office/2006/documentManagement/types"/>
    <xsd:import namespace="http://schemas.microsoft.com/office/infopath/2007/PartnerControls"/>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b2b484f-4c19-4c24-b89d-0399ef7e60bb"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40c359fd-0401-4fb7-b333-7fe9b6ff300f}" ma:internalName="TaxCatchAll" ma:showField="CatchAllData" ma:web="6b2b484f-4c19-4c24-b89d-0399ef7e60b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daf5a3b8-19fe-4aaf-8551-0b725c993cda"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tatus xmlns="753b216e-e208-4445-90b7-cb0adfe82f5c" xsi:nil="true"/>
    <lcf76f155ced4ddcb4097134ff3c332f xmlns="753b216e-e208-4445-90b7-cb0adfe82f5c">
      <Terms xmlns="http://schemas.microsoft.com/office/infopath/2007/PartnerControls"/>
    </lcf76f155ced4ddcb4097134ff3c332f>
    <Comments xmlns="753b216e-e208-4445-90b7-cb0adfe82f5c" xsi:nil="true"/>
    <TaxCatchAll xmlns="6b2b484f-4c19-4c24-b89d-0399ef7e60bb" xsi:nil="true"/>
  </documentManagement>
</p:properties>
</file>

<file path=customXml/itemProps1.xml><?xml version="1.0" encoding="utf-8"?>
<ds:datastoreItem xmlns:ds="http://schemas.openxmlformats.org/officeDocument/2006/customXml" ds:itemID="{68D99784-ED7B-4FC1-8BDE-7B71ABED0F1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53b216e-e208-4445-90b7-cb0adfe82f5c"/>
    <ds:schemaRef ds:uri="405923a6-f60e-469d-8560-ac7b1a3d2c54"/>
    <ds:schemaRef ds:uri="6b2b484f-4c19-4c24-b89d-0399ef7e60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2E50F1C-15DA-45E9-ACE8-A9BF452DD6F1}">
  <ds:schemaRefs>
    <ds:schemaRef ds:uri="Microsoft.SharePoint.Taxonomy.ContentTypeSync"/>
  </ds:schemaRefs>
</ds:datastoreItem>
</file>

<file path=customXml/itemProps3.xml><?xml version="1.0" encoding="utf-8"?>
<ds:datastoreItem xmlns:ds="http://schemas.openxmlformats.org/officeDocument/2006/customXml" ds:itemID="{B8F538E9-556C-4740-9384-70820DA6A959}">
  <ds:schemaRefs>
    <ds:schemaRef ds:uri="http://schemas.microsoft.com/sharepoint/v3/contenttype/forms"/>
  </ds:schemaRefs>
</ds:datastoreItem>
</file>

<file path=customXml/itemProps4.xml><?xml version="1.0" encoding="utf-8"?>
<ds:datastoreItem xmlns:ds="http://schemas.openxmlformats.org/officeDocument/2006/customXml" ds:itemID="{6CB6706F-DDF4-41B7-B137-65BA3C1C0B78}">
  <ds:schemaRefs>
    <ds:schemaRef ds:uri="http://purl.org/dc/elements/1.1/"/>
    <ds:schemaRef ds:uri="6b2b484f-4c19-4c24-b89d-0399ef7e60bb"/>
    <ds:schemaRef ds:uri="753b216e-e208-4445-90b7-cb0adfe82f5c"/>
    <ds:schemaRef ds:uri="http://schemas.microsoft.com/office/2006/metadata/properties"/>
    <ds:schemaRef ds:uri="http://purl.org/dc/terms/"/>
    <ds:schemaRef ds:uri="http://schemas.microsoft.com/office/2006/documentManagement/types"/>
    <ds:schemaRef ds:uri="http://purl.org/dc/dcmitype/"/>
    <ds:schemaRef ds:uri="405923a6-f60e-469d-8560-ac7b1a3d2c54"/>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45</vt:i4>
      </vt:variant>
    </vt:vector>
  </HeadingPairs>
  <TitlesOfParts>
    <vt:vector size="64" baseType="lpstr">
      <vt:lpstr>Review the Intro Tab</vt:lpstr>
      <vt:lpstr>Fill in the Application</vt:lpstr>
      <vt:lpstr>Place Your Signature</vt:lpstr>
      <vt:lpstr>Input HVAC Measures</vt:lpstr>
      <vt:lpstr>Input Refrigeration Measures</vt:lpstr>
      <vt:lpstr>Input Comm Kitchen Measures</vt:lpstr>
      <vt:lpstr>Input Window Film Measures</vt:lpstr>
      <vt:lpstr>Input Efficient Window Measures</vt:lpstr>
      <vt:lpstr>Input Misc Measures</vt:lpstr>
      <vt:lpstr>Input Custom Measures</vt:lpstr>
      <vt:lpstr>Review the Summary</vt:lpstr>
      <vt:lpstr>Completion</vt:lpstr>
      <vt:lpstr>References</vt:lpstr>
      <vt:lpstr>HVAC Calcs</vt:lpstr>
      <vt:lpstr>Caps</vt:lpstr>
      <vt:lpstr>QC</vt:lpstr>
      <vt:lpstr>Proj Data</vt:lpstr>
      <vt:lpstr>APTracks Export Data</vt:lpstr>
      <vt:lpstr>Change Log</vt:lpstr>
      <vt:lpstr>Gross_Proj_Cost</vt:lpstr>
      <vt:lpstr>Input_AvgkWhRate</vt:lpstr>
      <vt:lpstr>Input_BldgType</vt:lpstr>
      <vt:lpstr>Input_Bonus</vt:lpstr>
      <vt:lpstr>Input_BonusMeasureNumber</vt:lpstr>
      <vt:lpstr>Input_HVACType</vt:lpstr>
      <vt:lpstr>Input_ProgramType</vt:lpstr>
      <vt:lpstr>Input_ProjectNumber</vt:lpstr>
      <vt:lpstr>Input_Usage</vt:lpstr>
      <vt:lpstr>List_Biz_Class</vt:lpstr>
      <vt:lpstr>List_Bldg_Types</vt:lpstr>
      <vt:lpstr>List_ComKitch_Measure</vt:lpstr>
      <vt:lpstr>List_Contacts</vt:lpstr>
      <vt:lpstr>List_Custom_Class</vt:lpstr>
      <vt:lpstr>List_Custom_HVAC</vt:lpstr>
      <vt:lpstr>List_Custom_Type</vt:lpstr>
      <vt:lpstr>List_DBE_Option</vt:lpstr>
      <vt:lpstr>List_EffWindow_Direction</vt:lpstr>
      <vt:lpstr>List_EffWindow_Measure</vt:lpstr>
      <vt:lpstr>List_HVAC</vt:lpstr>
      <vt:lpstr>List_HVAC_Measure</vt:lpstr>
      <vt:lpstr>List_Install_Type</vt:lpstr>
      <vt:lpstr>List_Misc_Measure</vt:lpstr>
      <vt:lpstr>List_Ownership</vt:lpstr>
      <vt:lpstr>'Input Efficient Window Measures'!List_Program_Names</vt:lpstr>
      <vt:lpstr>List_Program_Names</vt:lpstr>
      <vt:lpstr>List_Project_Stage</vt:lpstr>
      <vt:lpstr>List_Refrig_Measure</vt:lpstr>
      <vt:lpstr>List_Source</vt:lpstr>
      <vt:lpstr>List_Tax_Entity</vt:lpstr>
      <vt:lpstr>List_Water_Heating</vt:lpstr>
      <vt:lpstr>List_WinFilm_Direction</vt:lpstr>
      <vt:lpstr>List_WinFilm_Measure</vt:lpstr>
      <vt:lpstr>List_Y_N</vt:lpstr>
      <vt:lpstr>List_Y_N_U</vt:lpstr>
      <vt:lpstr>Net_Project_Cost</vt:lpstr>
      <vt:lpstr>Project_Energy_Savings</vt:lpstr>
      <vt:lpstr>Subtotal_CustomIncentive</vt:lpstr>
      <vt:lpstr>Total_Incentive</vt:lpstr>
      <vt:lpstr>Value_Application_Version</vt:lpstr>
      <vt:lpstr>Value_Bonus_Rate</vt:lpstr>
      <vt:lpstr>Value_Cus_IncentRate</vt:lpstr>
      <vt:lpstr>Value_FastTrack_Limit</vt:lpstr>
      <vt:lpstr>Value_Measure_CAP</vt:lpstr>
      <vt:lpstr>Value_Project_CAP</vt:lpstr>
    </vt:vector>
  </TitlesOfParts>
  <Manager/>
  <Company>Chicago Bridge &amp; Iron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Kurtz, Spencer</dc:creator>
  <cp:keywords/>
  <dc:description/>
  <cp:lastModifiedBy>Ellerd, Dawn</cp:lastModifiedBy>
  <cp:revision/>
  <dcterms:created xsi:type="dcterms:W3CDTF">2017-02-21T18:38:33Z</dcterms:created>
  <dcterms:modified xsi:type="dcterms:W3CDTF">2025-01-06T16:41:36Z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0x01010063A77B8B12827240A2A3ED551A051FAD</vt:lpwstr>
  </property>
  <property fmtid="{D5CDD505-2E9C-101B-9397-08002B2CF9AE}" pid="3" name="MediaServiceImageTags">
    <vt:lpwstr/>
  </property>
</Properties>
</file>