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2.xml" ContentType="application/vnd.ms-excel.namedsheetview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namedSheetViews/namedSheetView3.xml" ContentType="application/vnd.ms-excel.namedsheetview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1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NO Program Files/Program Calculator Templates/2024/Re-Branded for 2024/"/>
    </mc:Choice>
  </mc:AlternateContent>
  <xr:revisionPtr revIDLastSave="29" documentId="8_{1F7ACE9F-48C5-4E59-89BD-8E8812CB3F5A}" xr6:coauthVersionLast="47" xr6:coauthVersionMax="47" xr10:uidLastSave="{CBD691E7-4E28-4023-9A48-6AED5CFCC687}"/>
  <workbookProtection workbookAlgorithmName="SHA-512" workbookHashValue="aXDo77oYU4y3Df8enKHo7Eba2SNIs4NpWaltKxxvli6oIuLzKd5tXOYF4eMwBnimumeVjBesSbMzqma0gSnpxA==" workbookSaltValue="kPdzwMx3W8yO0h8OM+bVRw==" workbookSpinCount="100000" lockStructure="1"/>
  <bookViews>
    <workbookView xWindow="28680" yWindow="-120" windowWidth="29040" windowHeight="15840" xr2:uid="{82F6A19B-5495-4F11-A89F-59BCA2D50EC3}"/>
  </bookViews>
  <sheets>
    <sheet name="Review the Intro Tab" sheetId="61" r:id="rId1"/>
    <sheet name="Fill in the Application" sheetId="37" r:id="rId2"/>
    <sheet name="Place Your Signature" sheetId="44" r:id="rId3"/>
    <sheet name="Input Interior Light Measures" sheetId="62" r:id="rId4"/>
    <sheet name="Input Exterior Light Measures" sheetId="63" r:id="rId5"/>
    <sheet name="Input HVAC Measures" sheetId="1" r:id="rId6"/>
    <sheet name="Input Refrigeration Measures" sheetId="27" r:id="rId7"/>
    <sheet name="Input Com Kitchen Measures" sheetId="46" r:id="rId8"/>
    <sheet name="Input Low-Flow Water Measures" sheetId="55" r:id="rId9"/>
    <sheet name="Input Custom Measures" sheetId="57" r:id="rId10"/>
    <sheet name="Input Whole Bldg Perform. Info" sheetId="64" r:id="rId11"/>
    <sheet name="Review the Summary" sheetId="26" r:id="rId12"/>
    <sheet name="Completion" sheetId="52" state="hidden" r:id="rId13"/>
    <sheet name="References" sheetId="22" state="hidden" r:id="rId14"/>
    <sheet name="HVAC Calcs" sheetId="58" state="hidden" r:id="rId15"/>
    <sheet name="Caps" sheetId="51" state="hidden" r:id="rId16"/>
    <sheet name="QC" sheetId="33" state="hidden" r:id="rId17"/>
    <sheet name="Proj Data" sheetId="53" state="hidden" r:id="rId18"/>
    <sheet name="APTracks Export Data" sheetId="28" state="hidden" r:id="rId19"/>
    <sheet name="Change Log" sheetId="60" state="hidden" r:id="rId20"/>
  </sheets>
  <externalReferences>
    <externalReference r:id="rId21"/>
  </externalReferences>
  <definedNames>
    <definedName name="_xlnm._FilterDatabase" localSheetId="18" hidden="1">'APTracks Export Data'!$A$1:$M$313</definedName>
    <definedName name="ActiveStorage">References!$X$49:$X$50</definedName>
    <definedName name="Atrium">References!$X$32:$X$33</definedName>
    <definedName name="AudiencesSeatingArea">References!$X$22:$X$31</definedName>
    <definedName name="AutomatedTellerMachinesandNightDepositories">References!$X$125:$X$126</definedName>
    <definedName name="Automotive">References!$X$80</definedName>
    <definedName name="BankOffice">References!$X$90</definedName>
    <definedName name="BuildingEntrancesandExits">References!$X$117:$X$118</definedName>
    <definedName name="BuildingFacades">References!$X$123:$X$124</definedName>
    <definedName name="BuildingGrounds">References!$X$109:$X$116</definedName>
    <definedName name="CanopiesandOverhangs">References!$X$119:$X$120</definedName>
    <definedName name="ClassroomLectureTraining">References!$X$16:$X$17</definedName>
    <definedName name="ConventionCenter">References!$X$64</definedName>
    <definedName name="CorridorTransition">References!$X$45:$X$47</definedName>
    <definedName name="CourthousePoliceStationPenitentiary">References!$X$58:$X$60</definedName>
    <definedName name="DiningArea">References!$X$36:$X$40</definedName>
    <definedName name="Dormitory">References!$X$87</definedName>
    <definedName name="DressingLockerFittingRoom">References!$X$44</definedName>
    <definedName name="DriveupWindowsatFastFoodRestaurants">References!$X$129</definedName>
    <definedName name="ElectricalMechanical">References!$X$53</definedName>
    <definedName name="EntrancesandGatehousInspectionStationsatGuardedFacilities">References!$X$127</definedName>
    <definedName name="FireStations">References!$X$61:$X$62</definedName>
    <definedName name="FoodPreparation">References!$X$41</definedName>
    <definedName name="Gross_Proj_Cost">'Review the Summary'!$C$7</definedName>
    <definedName name="GymnasiumExerciseCenter">References!$X$56:$X$57</definedName>
    <definedName name="HighTemp">#REF!</definedName>
    <definedName name="Hospital">References!$X$68:$X$79</definedName>
    <definedName name="HotelMotel">References!$X$86</definedName>
    <definedName name="InactiveStorage">References!$X$51:$X$52</definedName>
    <definedName name="Input_AvgkWhRate" localSheetId="19">#REF!</definedName>
    <definedName name="Input_AvgkWhRate" localSheetId="0">#REF!</definedName>
    <definedName name="Input_AvgkWhRate">'Fill in the Application'!$F$28</definedName>
    <definedName name="Input_BldgType" localSheetId="19">#REF!</definedName>
    <definedName name="Input_BldgType">'Fill in the Application'!$F$29</definedName>
    <definedName name="Input_Bonus">QC!$F$18</definedName>
    <definedName name="Input_BonusMeasureNumber" localSheetId="19">#REF!</definedName>
    <definedName name="Input_BonusMeasureNumber">QC!$G$18</definedName>
    <definedName name="Input_HVACType">'Fill in the Application'!$F$30</definedName>
    <definedName name="Input_ProgramType" localSheetId="19">#REF!</definedName>
    <definedName name="Input_ProgramType" localSheetId="0">#REF!</definedName>
    <definedName name="Input_ProgramType">'Fill in the Application'!$F$11</definedName>
    <definedName name="Input_ProjectNumber" localSheetId="19">#REF!</definedName>
    <definedName name="Input_ProjectNumber" localSheetId="0">#REF!</definedName>
    <definedName name="Input_ProjectNumber">QC!$B$1</definedName>
    <definedName name="Input_Usage" localSheetId="19">#REF!</definedName>
    <definedName name="Input_Usage" localSheetId="0">#REF!</definedName>
    <definedName name="Input_Usage">QC!$B$2</definedName>
    <definedName name="Laboratory">References!$X$42</definedName>
    <definedName name="Library">References!$X$65:$X$67</definedName>
    <definedName name="List_Biz_Class">References!$Z$4:$Z$10</definedName>
    <definedName name="List_Bldg_Types">References!$AH$4:$AH$36</definedName>
    <definedName name="List_BuildingAreaMethod">References!$P$3:$P$41</definedName>
    <definedName name="List_ComKitch_Measure">References!$AP$4:$AP$9</definedName>
    <definedName name="List_Contacts">References!$AK$4:$AK$7</definedName>
    <definedName name="List_Custom_Class">References!$AW$4:$AW$41</definedName>
    <definedName name="List_Custom_HVAC">References!$AX$4:$AX$6</definedName>
    <definedName name="List_Custom_Type">References!$AV$4:$AV$6</definedName>
    <definedName name="List_DBE_Option">References!$AD$4:$AD$14</definedName>
    <definedName name="List_EffWindow_Direction">References!$AU$4:$AU$7</definedName>
    <definedName name="List_EffWindow_Measure">References!$AR$4:$AR$5</definedName>
    <definedName name="List_ExtLtgType">References!$W$133:$W$143</definedName>
    <definedName name="List_HVAC">References!$AI$4:$AI$10</definedName>
    <definedName name="List_HVAC_Measure">References!$AN$4:$AN$11</definedName>
    <definedName name="List_Install_Type">References!$AF$4:$AF$7</definedName>
    <definedName name="List_IntLPDMethods">References!$P$53:$P$54</definedName>
    <definedName name="List_Misc_Measure">References!$AS$4:$AS$6</definedName>
    <definedName name="List_Ownership">References!$AG$4:$AG$5</definedName>
    <definedName name="List_Program_Names" localSheetId="4">Table_Programs_Rates[List_Programs]</definedName>
    <definedName name="List_Program_Names" localSheetId="3">Table_Programs_Rates[List_Programs]</definedName>
    <definedName name="List_Program_Names" localSheetId="10">Table_Programs_Rates[List_Programs]</definedName>
    <definedName name="List_Program_Names">Table_Programs_Rates[List_Programs]</definedName>
    <definedName name="List_Project_Stage">References!$AE$4:$AE$5</definedName>
    <definedName name="List_Refrig_Measure">References!$AO$4:$AO$7</definedName>
    <definedName name="List_Source">References!$AL$4:$AL$13</definedName>
    <definedName name="List_SpacebySpaceMethod">References!$U$3:$U$42</definedName>
    <definedName name="List_Tax_Entity">References!$AA$4:$AA$9</definedName>
    <definedName name="List_Water_Heating">References!$AJ$4:$AJ$10</definedName>
    <definedName name="List_WinFilm_Direction">References!$AT$4:$AT$6</definedName>
    <definedName name="List_WinFilm_Measure">References!$AQ$4:$AQ$6</definedName>
    <definedName name="List_Y_N">References!$AC$4:$AC$5</definedName>
    <definedName name="List_Y_N_U">References!$AB$4:$AB$6</definedName>
    <definedName name="LoadingAreasforEmergencyServiceVehicles">References!$X$128</definedName>
    <definedName name="Lobby">References!$X$18:$X$21</definedName>
    <definedName name="LoungeRecreation">References!$X$34:$X$35</definedName>
    <definedName name="Manufacturing">References!$X$81:$X$85</definedName>
    <definedName name="Museum">References!$X$88:$X$89</definedName>
    <definedName name="Net_Project_Cost">'Review the Summary'!$E$7</definedName>
    <definedName name="Office">References!$X$14:$X$15</definedName>
    <definedName name="OutdoorSales">References!$X$121:$X$122</definedName>
    <definedName name="ParkingGarage">References!$X$101</definedName>
    <definedName name="ParkingNear24hourRetailEntrances">References!$X$130</definedName>
    <definedName name="PostOffice">References!$X$63</definedName>
    <definedName name="Project_Energy_Savings">'Review the Summary'!$F$7</definedName>
    <definedName name="ReligiousBuilding">References!$X$91:$X$92</definedName>
    <definedName name="Restrooms">References!$X$43</definedName>
    <definedName name="Retail">References!$X$93:$X$94</definedName>
    <definedName name="SalesAreaAccentLighting">References!$X$55</definedName>
    <definedName name="SportsArena">References!$X$95:$X$98</definedName>
    <definedName name="Stairs">References!$X$48</definedName>
    <definedName name="Subtotal_Bonus">#REF!</definedName>
    <definedName name="Subtotal_CustomIncentive" localSheetId="19">#REF!</definedName>
    <definedName name="Subtotal_CustomIncentive">QC!$C$18</definedName>
    <definedName name="Subtotal_Incentive">#REF!</definedName>
    <definedName name="Subtotal_OtherCosts" localSheetId="0">SUM(#REF!)</definedName>
    <definedName name="Subtotal_OtherCosts">SUM('Review the Summary'!#REF!)</definedName>
    <definedName name="Subtotal_PrescriptiveIncentive">#REF!</definedName>
    <definedName name="Table_ACHPFactors">#REF!</definedName>
    <definedName name="Table_ACTU">#REF!</definedName>
    <definedName name="Table_ACTUFactors">#REF!</definedName>
    <definedName name="Table_Aerators">#REF!</definedName>
    <definedName name="Table_APS">#REF!</definedName>
    <definedName name="Table_ASHC">#REF!</definedName>
    <definedName name="Table_ChillerFactors">#REF!</definedName>
    <definedName name="Table_Chillers">#REF!</definedName>
    <definedName name="Table_CombinationOven">#REF!</definedName>
    <definedName name="Table_ConvectionOven">#REF!</definedName>
    <definedName name="Table_CustomMeasureNames">#REF!</definedName>
    <definedName name="Table_Dishwashers">#REF!</definedName>
    <definedName name="Table_DuctSealing">#REF!</definedName>
    <definedName name="Table_ECMHVACFan">#REF!</definedName>
    <definedName name="Table_ECMRefrFan">#REF!</definedName>
    <definedName name="Table_EFLH">#REF!</definedName>
    <definedName name="Table_ESRefrigerators">#REF!</definedName>
    <definedName name="Table_EvapFanControls">#REF!</definedName>
    <definedName name="Table_GREM">#REF!</definedName>
    <definedName name="Table_IceMaker">#REF!</definedName>
    <definedName name="Table_kWhCost">[1]Lookups!$J$188:$K$190</definedName>
    <definedName name="Table_Measures">#REF!</definedName>
    <definedName name="Table_NightCovers">#REF!</definedName>
    <definedName name="Table_PCPowerMgmt">#REF!</definedName>
    <definedName name="Table_PRSV">#REF!</definedName>
    <definedName name="Table_RTUFactors">#REF!</definedName>
    <definedName name="Table_Showerhead">#REF!</definedName>
    <definedName name="Table_SteamCooker">#REF!</definedName>
    <definedName name="Table_StripCurtains">#REF!</definedName>
    <definedName name="Total_Incentive" localSheetId="0">#REF!</definedName>
    <definedName name="Total_Incentive">'Review the Summary'!$D$7</definedName>
    <definedName name="Total_ProjectCost">#REF!</definedName>
    <definedName name="Transportation">References!$X$102:$X$104</definedName>
    <definedName name="UncoveredParkingAreas">References!$X$108</definedName>
    <definedName name="Value_Application_Version" localSheetId="0">#REF!</definedName>
    <definedName name="Value_Application_Version">References!$B$8</definedName>
    <definedName name="Value_Bonus_Rate">References!$B$9</definedName>
    <definedName name="Value_CalcVersion">#REF!</definedName>
    <definedName name="Value_Cus_IncentRate" localSheetId="0">#REF!</definedName>
    <definedName name="Value_Cus_IncentRate">References!$B$6</definedName>
    <definedName name="Value_ExitSign_BaselineW">25.1</definedName>
    <definedName name="Value_ExitSign_LEDW">3</definedName>
    <definedName name="Value_ExtLtgAOH">References!$R$11</definedName>
    <definedName name="Value_ExtLtgCF">References!$S$11</definedName>
    <definedName name="Value_FastTrack_Limit">References!$B$5</definedName>
    <definedName name="Value_LtgControls_CF">0.26</definedName>
    <definedName name="Value_Max_Incentive">#REF!</definedName>
    <definedName name="Value_Measure_CAP">References!$B$4</definedName>
    <definedName name="Value_Project_CAP" localSheetId="0">#REF!</definedName>
    <definedName name="Value_Project_CAP">References!$B$3</definedName>
    <definedName name="Warehouse">References!$X$99:$X$100</definedName>
    <definedName name="Workshop">References!$X$54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6" l="1"/>
  <c r="B28" i="26"/>
  <c r="M264" i="28"/>
  <c r="M265" i="28"/>
  <c r="M266" i="28"/>
  <c r="M267" i="28"/>
  <c r="M268" i="28"/>
  <c r="M269" i="28"/>
  <c r="M270" i="28"/>
  <c r="M271" i="28"/>
  <c r="M272" i="28"/>
  <c r="M273" i="28"/>
  <c r="M274" i="28"/>
  <c r="M275" i="28"/>
  <c r="M276" i="28"/>
  <c r="M277" i="28"/>
  <c r="M278" i="28"/>
  <c r="M279" i="28"/>
  <c r="M280" i="28"/>
  <c r="M281" i="28"/>
  <c r="M282" i="28"/>
  <c r="M283" i="28"/>
  <c r="M284" i="28"/>
  <c r="M285" i="28"/>
  <c r="M286" i="28"/>
  <c r="M287" i="28"/>
  <c r="M288" i="28"/>
  <c r="M289" i="28"/>
  <c r="M290" i="28"/>
  <c r="M291" i="28"/>
  <c r="M292" i="28"/>
  <c r="M293" i="28"/>
  <c r="M294" i="28"/>
  <c r="M295" i="28"/>
  <c r="M296" i="28"/>
  <c r="M297" i="28"/>
  <c r="M298" i="28"/>
  <c r="M299" i="28"/>
  <c r="M300" i="28"/>
  <c r="M301" i="28"/>
  <c r="M302" i="28"/>
  <c r="M303" i="28"/>
  <c r="M304" i="28"/>
  <c r="M305" i="28"/>
  <c r="M306" i="28"/>
  <c r="M307" i="28"/>
  <c r="M308" i="28"/>
  <c r="M309" i="28"/>
  <c r="M310" i="28"/>
  <c r="M311" i="28"/>
  <c r="M312" i="28"/>
  <c r="M263" i="28"/>
  <c r="L264" i="28"/>
  <c r="L265" i="28"/>
  <c r="L266" i="28"/>
  <c r="L267" i="28"/>
  <c r="L268" i="28"/>
  <c r="L269" i="28"/>
  <c r="L270" i="28"/>
  <c r="L271" i="28"/>
  <c r="L272" i="28"/>
  <c r="L273" i="28"/>
  <c r="L274" i="28"/>
  <c r="L275" i="28"/>
  <c r="L276" i="28"/>
  <c r="L277" i="28"/>
  <c r="L278" i="28"/>
  <c r="L279" i="28"/>
  <c r="L280" i="28"/>
  <c r="L281" i="28"/>
  <c r="L282" i="28"/>
  <c r="L283" i="28"/>
  <c r="L284" i="28"/>
  <c r="L285" i="28"/>
  <c r="L286" i="28"/>
  <c r="L287" i="28"/>
  <c r="L288" i="28"/>
  <c r="L289" i="28"/>
  <c r="L290" i="28"/>
  <c r="L291" i="28"/>
  <c r="L292" i="28"/>
  <c r="L293" i="28"/>
  <c r="L294" i="28"/>
  <c r="L295" i="28"/>
  <c r="L296" i="28"/>
  <c r="L297" i="28"/>
  <c r="L298" i="28"/>
  <c r="L299" i="28"/>
  <c r="L300" i="28"/>
  <c r="L301" i="28"/>
  <c r="L302" i="28"/>
  <c r="L303" i="28"/>
  <c r="L304" i="28"/>
  <c r="L305" i="28"/>
  <c r="L306" i="28"/>
  <c r="L307" i="28"/>
  <c r="L308" i="28"/>
  <c r="L309" i="28"/>
  <c r="L310" i="28"/>
  <c r="L311" i="28"/>
  <c r="L312" i="28"/>
  <c r="L263" i="28"/>
  <c r="J264" i="28"/>
  <c r="K264" i="28"/>
  <c r="J265" i="28"/>
  <c r="K265" i="28"/>
  <c r="J266" i="28"/>
  <c r="K266" i="28"/>
  <c r="J267" i="28"/>
  <c r="K267" i="28"/>
  <c r="J268" i="28"/>
  <c r="K268" i="28"/>
  <c r="J269" i="28"/>
  <c r="K269" i="28"/>
  <c r="J270" i="28"/>
  <c r="K270" i="28"/>
  <c r="J271" i="28"/>
  <c r="K271" i="28"/>
  <c r="J272" i="28"/>
  <c r="K272" i="28"/>
  <c r="J273" i="28"/>
  <c r="K273" i="28"/>
  <c r="J274" i="28"/>
  <c r="K274" i="28"/>
  <c r="J275" i="28"/>
  <c r="K275" i="28"/>
  <c r="J276" i="28"/>
  <c r="K276" i="28"/>
  <c r="J277" i="28"/>
  <c r="K277" i="28"/>
  <c r="J278" i="28"/>
  <c r="K278" i="28"/>
  <c r="J279" i="28"/>
  <c r="K279" i="28"/>
  <c r="J280" i="28"/>
  <c r="K280" i="28"/>
  <c r="J281" i="28"/>
  <c r="K281" i="28"/>
  <c r="J282" i="28"/>
  <c r="K282" i="28"/>
  <c r="J283" i="28"/>
  <c r="K283" i="28"/>
  <c r="J284" i="28"/>
  <c r="K284" i="28"/>
  <c r="J285" i="28"/>
  <c r="K285" i="28"/>
  <c r="J286" i="28"/>
  <c r="K286" i="28"/>
  <c r="J287" i="28"/>
  <c r="K287" i="28"/>
  <c r="J288" i="28"/>
  <c r="K288" i="28"/>
  <c r="J289" i="28"/>
  <c r="K289" i="28"/>
  <c r="J290" i="28"/>
  <c r="K290" i="28"/>
  <c r="J291" i="28"/>
  <c r="K291" i="28"/>
  <c r="J292" i="28"/>
  <c r="K292" i="28"/>
  <c r="J293" i="28"/>
  <c r="K293" i="28"/>
  <c r="J294" i="28"/>
  <c r="K294" i="28"/>
  <c r="J295" i="28"/>
  <c r="K295" i="28"/>
  <c r="J296" i="28"/>
  <c r="K296" i="28"/>
  <c r="J297" i="28"/>
  <c r="K297" i="28"/>
  <c r="J298" i="28"/>
  <c r="K298" i="28"/>
  <c r="J299" i="28"/>
  <c r="K299" i="28"/>
  <c r="J300" i="28"/>
  <c r="K300" i="28"/>
  <c r="J301" i="28"/>
  <c r="K301" i="28"/>
  <c r="J302" i="28"/>
  <c r="K302" i="28"/>
  <c r="J303" i="28"/>
  <c r="K303" i="28"/>
  <c r="J304" i="28"/>
  <c r="K304" i="28"/>
  <c r="J305" i="28"/>
  <c r="K305" i="28"/>
  <c r="J306" i="28"/>
  <c r="K306" i="28"/>
  <c r="J307" i="28"/>
  <c r="K307" i="28"/>
  <c r="J308" i="28"/>
  <c r="K308" i="28"/>
  <c r="J309" i="28"/>
  <c r="K309" i="28"/>
  <c r="J310" i="28"/>
  <c r="K310" i="28"/>
  <c r="J311" i="28"/>
  <c r="K311" i="28"/>
  <c r="J312" i="28"/>
  <c r="K312" i="28"/>
  <c r="K263" i="28"/>
  <c r="J263" i="28"/>
  <c r="M214" i="28"/>
  <c r="M215" i="28"/>
  <c r="M216" i="28"/>
  <c r="M217" i="28"/>
  <c r="M218" i="28"/>
  <c r="M219" i="28"/>
  <c r="M220" i="28"/>
  <c r="M221" i="28"/>
  <c r="M222" i="28"/>
  <c r="M223" i="28"/>
  <c r="M224" i="28"/>
  <c r="M225" i="28"/>
  <c r="M226" i="28"/>
  <c r="M227" i="28"/>
  <c r="M228" i="28"/>
  <c r="M229" i="28"/>
  <c r="M230" i="28"/>
  <c r="M231" i="28"/>
  <c r="M232" i="28"/>
  <c r="M233" i="28"/>
  <c r="M234" i="28"/>
  <c r="M235" i="28"/>
  <c r="M236" i="28"/>
  <c r="M237" i="28"/>
  <c r="M238" i="28"/>
  <c r="M239" i="28"/>
  <c r="M240" i="28"/>
  <c r="M241" i="28"/>
  <c r="M242" i="28"/>
  <c r="M243" i="28"/>
  <c r="M244" i="28"/>
  <c r="M245" i="28"/>
  <c r="M246" i="28"/>
  <c r="M247" i="28"/>
  <c r="M248" i="28"/>
  <c r="M249" i="28"/>
  <c r="M250" i="28"/>
  <c r="M251" i="28"/>
  <c r="M252" i="28"/>
  <c r="M253" i="28"/>
  <c r="M254" i="28"/>
  <c r="M255" i="28"/>
  <c r="M256" i="28"/>
  <c r="M257" i="28"/>
  <c r="M258" i="28"/>
  <c r="M259" i="28"/>
  <c r="M260" i="28"/>
  <c r="M261" i="28"/>
  <c r="M262" i="28"/>
  <c r="M213" i="28"/>
  <c r="L214" i="28"/>
  <c r="L215" i="28"/>
  <c r="L216" i="28"/>
  <c r="L217" i="28"/>
  <c r="L218" i="28"/>
  <c r="L219" i="28"/>
  <c r="L220" i="28"/>
  <c r="L221" i="28"/>
  <c r="L222" i="28"/>
  <c r="L223" i="28"/>
  <c r="L224" i="28"/>
  <c r="L225" i="28"/>
  <c r="L226" i="28"/>
  <c r="L227" i="28"/>
  <c r="L228" i="28"/>
  <c r="L229" i="28"/>
  <c r="L230" i="28"/>
  <c r="L231" i="28"/>
  <c r="L232" i="28"/>
  <c r="L233" i="28"/>
  <c r="L234" i="28"/>
  <c r="L235" i="28"/>
  <c r="L236" i="28"/>
  <c r="L237" i="28"/>
  <c r="L238" i="28"/>
  <c r="L239" i="28"/>
  <c r="L240" i="28"/>
  <c r="L241" i="28"/>
  <c r="L242" i="28"/>
  <c r="L243" i="28"/>
  <c r="L244" i="28"/>
  <c r="L245" i="28"/>
  <c r="L246" i="28"/>
  <c r="L247" i="28"/>
  <c r="L248" i="28"/>
  <c r="L249" i="28"/>
  <c r="L250" i="28"/>
  <c r="L251" i="28"/>
  <c r="L252" i="28"/>
  <c r="L253" i="28"/>
  <c r="L254" i="28"/>
  <c r="L255" i="28"/>
  <c r="L256" i="28"/>
  <c r="L257" i="28"/>
  <c r="L258" i="28"/>
  <c r="L259" i="28"/>
  <c r="L260" i="28"/>
  <c r="L261" i="28"/>
  <c r="L262" i="28"/>
  <c r="L213" i="28"/>
  <c r="J214" i="28"/>
  <c r="K214" i="28"/>
  <c r="J215" i="28"/>
  <c r="K215" i="28"/>
  <c r="J216" i="28"/>
  <c r="K216" i="28"/>
  <c r="J217" i="28"/>
  <c r="K217" i="28"/>
  <c r="J218" i="28"/>
  <c r="K218" i="28"/>
  <c r="J219" i="28"/>
  <c r="K219" i="28"/>
  <c r="J220" i="28"/>
  <c r="K220" i="28"/>
  <c r="J221" i="28"/>
  <c r="K221" i="28"/>
  <c r="J222" i="28"/>
  <c r="K222" i="28"/>
  <c r="J223" i="28"/>
  <c r="K223" i="28"/>
  <c r="J224" i="28"/>
  <c r="K224" i="28"/>
  <c r="J225" i="28"/>
  <c r="K225" i="28"/>
  <c r="J226" i="28"/>
  <c r="K226" i="28"/>
  <c r="J227" i="28"/>
  <c r="K227" i="28"/>
  <c r="J228" i="28"/>
  <c r="K228" i="28"/>
  <c r="J229" i="28"/>
  <c r="K229" i="28"/>
  <c r="J230" i="28"/>
  <c r="K230" i="28"/>
  <c r="J231" i="28"/>
  <c r="K231" i="28"/>
  <c r="J232" i="28"/>
  <c r="K232" i="28"/>
  <c r="J233" i="28"/>
  <c r="K233" i="28"/>
  <c r="J234" i="28"/>
  <c r="K234" i="28"/>
  <c r="J235" i="28"/>
  <c r="K235" i="28"/>
  <c r="J236" i="28"/>
  <c r="K236" i="28"/>
  <c r="J237" i="28"/>
  <c r="K237" i="28"/>
  <c r="J238" i="28"/>
  <c r="K238" i="28"/>
  <c r="J239" i="28"/>
  <c r="K239" i="28"/>
  <c r="J240" i="28"/>
  <c r="K240" i="28"/>
  <c r="J241" i="28"/>
  <c r="K241" i="28"/>
  <c r="J242" i="28"/>
  <c r="K242" i="28"/>
  <c r="J243" i="28"/>
  <c r="K243" i="28"/>
  <c r="J244" i="28"/>
  <c r="K244" i="28"/>
  <c r="J245" i="28"/>
  <c r="K245" i="28"/>
  <c r="J246" i="28"/>
  <c r="K246" i="28"/>
  <c r="J247" i="28"/>
  <c r="K247" i="28"/>
  <c r="J248" i="28"/>
  <c r="K248" i="28"/>
  <c r="J249" i="28"/>
  <c r="K249" i="28"/>
  <c r="J250" i="28"/>
  <c r="K250" i="28"/>
  <c r="J251" i="28"/>
  <c r="K251" i="28"/>
  <c r="J252" i="28"/>
  <c r="K252" i="28"/>
  <c r="J253" i="28"/>
  <c r="K253" i="28"/>
  <c r="J254" i="28"/>
  <c r="K254" i="28"/>
  <c r="J255" i="28"/>
  <c r="K255" i="28"/>
  <c r="J256" i="28"/>
  <c r="K256" i="28"/>
  <c r="J257" i="28"/>
  <c r="K257" i="28"/>
  <c r="J258" i="28"/>
  <c r="K258" i="28"/>
  <c r="J259" i="28"/>
  <c r="K259" i="28"/>
  <c r="J260" i="28"/>
  <c r="K260" i="28"/>
  <c r="J261" i="28"/>
  <c r="K261" i="28"/>
  <c r="J262" i="28"/>
  <c r="K262" i="28"/>
  <c r="K213" i="28"/>
  <c r="J213"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03" i="28"/>
  <c r="G10" i="51" a="1"/>
  <c r="G10" i="51" s="1"/>
  <c r="D35" i="26" s="1"/>
  <c r="K313" i="28" a="1"/>
  <c r="K313" i="28" s="1"/>
  <c r="B35" i="26"/>
  <c r="M313" i="28" a="1"/>
  <c r="M313" i="28" s="1"/>
  <c r="L313" i="28"/>
  <c r="B313" i="28"/>
  <c r="B9" i="64"/>
  <c r="Q5" i="64"/>
  <c r="Q3" i="64" s="1"/>
  <c r="P5" i="64"/>
  <c r="P3" i="64" s="1"/>
  <c r="L2" i="28"/>
  <c r="B2" i="2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H5" i="58"/>
  <c r="H6" i="58"/>
  <c r="H7" i="58"/>
  <c r="H8" i="58"/>
  <c r="H9" i="58"/>
  <c r="H10" i="58"/>
  <c r="H11" i="58"/>
  <c r="H12" i="58"/>
  <c r="H13" i="58"/>
  <c r="H14" i="58"/>
  <c r="H15" i="58"/>
  <c r="H16" i="58"/>
  <c r="H17" i="58"/>
  <c r="H18" i="58"/>
  <c r="H19" i="58"/>
  <c r="H20"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N123" i="22"/>
  <c r="N122" i="22"/>
  <c r="B29" i="26"/>
  <c r="B17" i="26"/>
  <c r="C5" i="64" l="1"/>
  <c r="D313" i="28" s="1" a="1"/>
  <c r="D313" i="28" s="1"/>
  <c r="O5" i="64"/>
  <c r="I313" i="28" s="1" a="1"/>
  <c r="I313" i="28" s="1"/>
  <c r="F313" i="28" l="1"/>
  <c r="C10" i="51" a="1"/>
  <c r="C10" i="51" s="1"/>
  <c r="E35" i="26" l="1"/>
  <c r="C5" i="57" l="1"/>
  <c r="C6" i="57"/>
  <c r="C7" i="57"/>
  <c r="C8" i="57"/>
  <c r="C9" i="57"/>
  <c r="C10" i="57"/>
  <c r="C11" i="57"/>
  <c r="C12" i="57"/>
  <c r="C13" i="57"/>
  <c r="C14" i="57"/>
  <c r="C15" i="57"/>
  <c r="C16" i="57"/>
  <c r="C17" i="57"/>
  <c r="C18" i="57"/>
  <c r="C19" i="57"/>
  <c r="C20" i="57"/>
  <c r="C21" i="57"/>
  <c r="C22" i="57"/>
  <c r="C23" i="57"/>
  <c r="C24" i="57"/>
  <c r="Z108" i="22"/>
  <c r="J5" i="63" a="1"/>
  <c r="J5" i="63" s="1"/>
  <c r="J6" i="63" a="1"/>
  <c r="J6" i="63" s="1"/>
  <c r="J7" i="63" a="1"/>
  <c r="J7" i="63" s="1"/>
  <c r="J8" i="63" a="1"/>
  <c r="J8" i="63" s="1"/>
  <c r="J9" i="63" a="1"/>
  <c r="J9" i="63" s="1"/>
  <c r="J10" i="63" a="1"/>
  <c r="J10" i="63" s="1"/>
  <c r="J11" i="63" a="1"/>
  <c r="J11" i="63" s="1"/>
  <c r="K11" i="63" s="1"/>
  <c r="J12" i="63" a="1"/>
  <c r="J12" i="63" s="1"/>
  <c r="J13" i="63" a="1"/>
  <c r="J13" i="63" s="1"/>
  <c r="J14" i="63" a="1"/>
  <c r="J14" i="63" s="1"/>
  <c r="J15" i="63" a="1"/>
  <c r="J15" i="63" s="1"/>
  <c r="K15" i="63" s="1"/>
  <c r="J16" i="63" a="1"/>
  <c r="J16" i="63" s="1"/>
  <c r="J17" i="63" a="1"/>
  <c r="J17" i="63" s="1"/>
  <c r="J18" i="63" a="1"/>
  <c r="J18" i="63" s="1"/>
  <c r="J19" i="63" a="1"/>
  <c r="J19" i="63" s="1"/>
  <c r="J20" i="63" a="1"/>
  <c r="J20" i="63" s="1"/>
  <c r="J21" i="63" a="1"/>
  <c r="J21" i="63" s="1"/>
  <c r="J22" i="63" a="1"/>
  <c r="J22" i="63" s="1"/>
  <c r="J23" i="63" a="1"/>
  <c r="J23" i="63" s="1"/>
  <c r="K23" i="63" s="1"/>
  <c r="F281" i="28" s="1"/>
  <c r="J24" i="63" a="1"/>
  <c r="J24" i="63" s="1"/>
  <c r="J25" i="63" a="1"/>
  <c r="J25" i="63" s="1"/>
  <c r="J26" i="63" a="1"/>
  <c r="J26" i="63" s="1"/>
  <c r="J27" i="63" a="1"/>
  <c r="J27" i="63" s="1"/>
  <c r="K27" i="63" s="1"/>
  <c r="J28" i="63" a="1"/>
  <c r="J28" i="63" s="1"/>
  <c r="J29" i="63" a="1"/>
  <c r="J29" i="63" s="1"/>
  <c r="J30" i="63" a="1"/>
  <c r="J30" i="63" s="1"/>
  <c r="J31" i="63" a="1"/>
  <c r="J31" i="63" s="1"/>
  <c r="K31" i="63" s="1"/>
  <c r="J32" i="63" a="1"/>
  <c r="J32" i="63" s="1"/>
  <c r="J33" i="63" a="1"/>
  <c r="J33" i="63" s="1"/>
  <c r="J34" i="63" a="1"/>
  <c r="J34" i="63" s="1"/>
  <c r="J35" i="63" a="1"/>
  <c r="J35" i="63" s="1"/>
  <c r="J36" i="63" a="1"/>
  <c r="J36" i="63" s="1"/>
  <c r="J37" i="63" a="1"/>
  <c r="J37" i="63" s="1"/>
  <c r="J38" i="63" a="1"/>
  <c r="J38" i="63" s="1"/>
  <c r="J39" i="63" a="1"/>
  <c r="J39" i="63" s="1"/>
  <c r="J40" i="63" a="1"/>
  <c r="J40" i="63" s="1"/>
  <c r="J41" i="63" a="1"/>
  <c r="J41" i="63" s="1"/>
  <c r="J42" i="63" a="1"/>
  <c r="J42" i="63" s="1"/>
  <c r="J43" i="63" a="1"/>
  <c r="J43" i="63" s="1"/>
  <c r="J44" i="63" a="1"/>
  <c r="J44" i="63" s="1"/>
  <c r="J45" i="63" a="1"/>
  <c r="J45" i="63" s="1"/>
  <c r="J46" i="63" a="1"/>
  <c r="J46" i="63" s="1"/>
  <c r="J47" i="63" a="1"/>
  <c r="J47" i="63" s="1"/>
  <c r="K47" i="63" s="1"/>
  <c r="J48" i="63" a="1"/>
  <c r="J48" i="63" s="1"/>
  <c r="J49" i="63" a="1"/>
  <c r="J49" i="63" s="1"/>
  <c r="J50" i="63" a="1"/>
  <c r="J50" i="63" s="1"/>
  <c r="J51" i="63" a="1"/>
  <c r="J51" i="63" s="1"/>
  <c r="J52" i="63" a="1"/>
  <c r="J52" i="63" s="1"/>
  <c r="J53" i="63" a="1"/>
  <c r="J53" i="63" s="1"/>
  <c r="J54" i="63" a="1"/>
  <c r="J54" i="63" s="1"/>
  <c r="C5" i="63"/>
  <c r="C6" i="63"/>
  <c r="D264" i="28" s="1"/>
  <c r="C7" i="63"/>
  <c r="D265" i="28" s="1"/>
  <c r="C8" i="63"/>
  <c r="D266" i="28" s="1"/>
  <c r="C9" i="63"/>
  <c r="D267" i="28" s="1"/>
  <c r="C10" i="63"/>
  <c r="D268" i="28" s="1"/>
  <c r="C11" i="63"/>
  <c r="D269" i="28" s="1"/>
  <c r="C12" i="63"/>
  <c r="D270" i="28" s="1"/>
  <c r="C13" i="63"/>
  <c r="D271" i="28" s="1"/>
  <c r="C14" i="63"/>
  <c r="D272" i="28" s="1"/>
  <c r="C15" i="63"/>
  <c r="D273" i="28" s="1"/>
  <c r="C16" i="63"/>
  <c r="D274" i="28" s="1"/>
  <c r="C17" i="63"/>
  <c r="D275" i="28" s="1"/>
  <c r="C18" i="63"/>
  <c r="D276" i="28" s="1"/>
  <c r="C19" i="63"/>
  <c r="D277" i="28" s="1"/>
  <c r="C20" i="63"/>
  <c r="D278" i="28" s="1"/>
  <c r="C21" i="63"/>
  <c r="D279" i="28" s="1"/>
  <c r="C22" i="63"/>
  <c r="D280" i="28" s="1"/>
  <c r="C23" i="63"/>
  <c r="D281" i="28" s="1"/>
  <c r="C24" i="63"/>
  <c r="D282" i="28" s="1"/>
  <c r="C25" i="63"/>
  <c r="D283" i="28" s="1"/>
  <c r="C26" i="63"/>
  <c r="D284" i="28" s="1"/>
  <c r="C27" i="63"/>
  <c r="D285" i="28" s="1"/>
  <c r="C28" i="63"/>
  <c r="D286" i="28" s="1"/>
  <c r="C29" i="63"/>
  <c r="D287" i="28" s="1"/>
  <c r="C30" i="63"/>
  <c r="D288" i="28" s="1"/>
  <c r="C31" i="63"/>
  <c r="D289" i="28" s="1"/>
  <c r="C32" i="63"/>
  <c r="D290" i="28" s="1"/>
  <c r="C33" i="63"/>
  <c r="D291" i="28" s="1"/>
  <c r="C34" i="63"/>
  <c r="D292" i="28" s="1"/>
  <c r="C35" i="63"/>
  <c r="D293" i="28" s="1"/>
  <c r="C36" i="63"/>
  <c r="D294" i="28" s="1"/>
  <c r="C37" i="63"/>
  <c r="D295" i="28" s="1"/>
  <c r="C38" i="63"/>
  <c r="D296" i="28" s="1"/>
  <c r="C39" i="63"/>
  <c r="D297" i="28" s="1"/>
  <c r="C40" i="63"/>
  <c r="D298" i="28" s="1"/>
  <c r="C41" i="63"/>
  <c r="D299" i="28" s="1"/>
  <c r="C42" i="63"/>
  <c r="D300" i="28" s="1"/>
  <c r="C43" i="63"/>
  <c r="D301" i="28" s="1"/>
  <c r="C44" i="63"/>
  <c r="D302" i="28" s="1"/>
  <c r="C45" i="63"/>
  <c r="D303" i="28" s="1"/>
  <c r="C46" i="63"/>
  <c r="D304" i="28" s="1"/>
  <c r="C47" i="63"/>
  <c r="D305" i="28" s="1"/>
  <c r="C48" i="63"/>
  <c r="D306" i="28" s="1"/>
  <c r="C49" i="63"/>
  <c r="D307" i="28" s="1"/>
  <c r="C50" i="63"/>
  <c r="D308" i="28" s="1"/>
  <c r="C51" i="63"/>
  <c r="D309" i="28" s="1"/>
  <c r="C52" i="63"/>
  <c r="D310" i="28" s="1"/>
  <c r="C53" i="63"/>
  <c r="D311" i="28" s="1"/>
  <c r="C54" i="63"/>
  <c r="D312" i="28" s="1"/>
  <c r="M9" i="63"/>
  <c r="M10" i="63"/>
  <c r="M11" i="63"/>
  <c r="M12" i="63"/>
  <c r="M13" i="63"/>
  <c r="M14" i="63"/>
  <c r="M15" i="63"/>
  <c r="M16" i="63"/>
  <c r="M17" i="63"/>
  <c r="M18" i="63"/>
  <c r="M19" i="63"/>
  <c r="M20" i="63"/>
  <c r="M21" i="63"/>
  <c r="M22" i="63"/>
  <c r="M23" i="63"/>
  <c r="M24" i="63"/>
  <c r="M25" i="63"/>
  <c r="M26" i="63"/>
  <c r="M27" i="63"/>
  <c r="M28" i="63"/>
  <c r="M29" i="63"/>
  <c r="M30" i="63"/>
  <c r="M31" i="63"/>
  <c r="M32" i="63"/>
  <c r="M33" i="63"/>
  <c r="M34" i="63"/>
  <c r="M35" i="63"/>
  <c r="M36" i="63"/>
  <c r="M37" i="63"/>
  <c r="M38" i="63"/>
  <c r="M39" i="63"/>
  <c r="M40" i="63"/>
  <c r="M41" i="63"/>
  <c r="M42" i="63"/>
  <c r="M43" i="63"/>
  <c r="M44" i="63"/>
  <c r="M45" i="63"/>
  <c r="M46" i="63"/>
  <c r="M47" i="63"/>
  <c r="M48" i="63"/>
  <c r="M49" i="63"/>
  <c r="M50" i="63"/>
  <c r="M51" i="63"/>
  <c r="M52" i="63"/>
  <c r="M53" i="63"/>
  <c r="M54" i="63"/>
  <c r="I5" i="63" a="1"/>
  <c r="I5" i="63" s="1"/>
  <c r="I6" i="63" a="1"/>
  <c r="I6" i="63" s="1"/>
  <c r="I7" i="63" a="1"/>
  <c r="I7" i="63" s="1"/>
  <c r="I8" i="63" a="1"/>
  <c r="I8" i="63" s="1"/>
  <c r="I9" i="63" a="1"/>
  <c r="I9" i="63" s="1"/>
  <c r="I10" i="63" a="1"/>
  <c r="I10" i="63" s="1"/>
  <c r="I11" i="63" a="1"/>
  <c r="I11" i="63" s="1"/>
  <c r="I12" i="63" a="1"/>
  <c r="I12" i="63" s="1"/>
  <c r="I13" i="63" a="1"/>
  <c r="I13" i="63" s="1"/>
  <c r="I14" i="63" a="1"/>
  <c r="I14" i="63" s="1"/>
  <c r="I15" i="63" a="1"/>
  <c r="I15" i="63" s="1"/>
  <c r="I16" i="63" a="1"/>
  <c r="I16" i="63" s="1"/>
  <c r="I17" i="63" a="1"/>
  <c r="I17" i="63" s="1"/>
  <c r="I18" i="63" a="1"/>
  <c r="I18" i="63" s="1"/>
  <c r="I19" i="63" a="1"/>
  <c r="I19" i="63" s="1"/>
  <c r="I20" i="63" a="1"/>
  <c r="I20" i="63" s="1"/>
  <c r="I21" i="63" a="1"/>
  <c r="I21" i="63" s="1"/>
  <c r="I22" i="63" a="1"/>
  <c r="I22" i="63" s="1"/>
  <c r="I23" i="63" a="1"/>
  <c r="I23" i="63" s="1"/>
  <c r="I24" i="63" a="1"/>
  <c r="I24" i="63" s="1"/>
  <c r="I25" i="63" a="1"/>
  <c r="I25" i="63" s="1"/>
  <c r="I26" i="63" a="1"/>
  <c r="I26" i="63" s="1"/>
  <c r="I27" i="63" a="1"/>
  <c r="I27" i="63" s="1"/>
  <c r="I28" i="63" a="1"/>
  <c r="I28" i="63" s="1"/>
  <c r="I29" i="63" a="1"/>
  <c r="I29" i="63" s="1"/>
  <c r="I30" i="63" a="1"/>
  <c r="I30" i="63" s="1"/>
  <c r="I31" i="63" a="1"/>
  <c r="I31" i="63" s="1"/>
  <c r="I32" i="63" a="1"/>
  <c r="I32" i="63" s="1"/>
  <c r="I33" i="63" a="1"/>
  <c r="I33" i="63" s="1"/>
  <c r="I34" i="63" a="1"/>
  <c r="I34" i="63" s="1"/>
  <c r="I35" i="63" a="1"/>
  <c r="I35" i="63" s="1"/>
  <c r="I36" i="63" a="1"/>
  <c r="I36" i="63" s="1"/>
  <c r="I37" i="63" a="1"/>
  <c r="I37" i="63" s="1"/>
  <c r="I38" i="63" a="1"/>
  <c r="I38" i="63" s="1"/>
  <c r="I39" i="63" a="1"/>
  <c r="I39" i="63" s="1"/>
  <c r="I40" i="63" a="1"/>
  <c r="I40" i="63" s="1"/>
  <c r="I41" i="63" a="1"/>
  <c r="I41" i="63" s="1"/>
  <c r="I42" i="63" a="1"/>
  <c r="I42" i="63" s="1"/>
  <c r="I43" i="63" a="1"/>
  <c r="I43" i="63" s="1"/>
  <c r="I44" i="63" a="1"/>
  <c r="I44" i="63" s="1"/>
  <c r="I45" i="63" a="1"/>
  <c r="I45" i="63" s="1"/>
  <c r="I46" i="63" a="1"/>
  <c r="I46" i="63" s="1"/>
  <c r="I47" i="63" a="1"/>
  <c r="I47" i="63" s="1"/>
  <c r="I48" i="63" a="1"/>
  <c r="I48" i="63" s="1"/>
  <c r="I49" i="63" a="1"/>
  <c r="I49" i="63" s="1"/>
  <c r="I50" i="63" a="1"/>
  <c r="I50" i="63" s="1"/>
  <c r="I51" i="63" a="1"/>
  <c r="I51" i="63" s="1"/>
  <c r="I52" i="63" a="1"/>
  <c r="I52" i="63" s="1"/>
  <c r="I53" i="63" a="1"/>
  <c r="I53" i="63" s="1"/>
  <c r="I54" i="63" a="1"/>
  <c r="I54" i="63" s="1"/>
  <c r="H5" i="63" a="1"/>
  <c r="H5" i="63" s="1"/>
  <c r="H6" i="63" a="1"/>
  <c r="H6" i="63" s="1"/>
  <c r="H7" i="63" a="1"/>
  <c r="H7" i="63" s="1"/>
  <c r="H8" i="63" a="1"/>
  <c r="H8" i="63" s="1"/>
  <c r="H9" i="63" a="1"/>
  <c r="H9" i="63" s="1"/>
  <c r="H10" i="63" a="1"/>
  <c r="H10" i="63" s="1"/>
  <c r="H11" i="63" a="1"/>
  <c r="H11" i="63" s="1"/>
  <c r="H12" i="63" a="1"/>
  <c r="H12" i="63" s="1"/>
  <c r="H13" i="63" a="1"/>
  <c r="H13" i="63" s="1"/>
  <c r="H14" i="63" a="1"/>
  <c r="H14" i="63" s="1"/>
  <c r="H15" i="63" a="1"/>
  <c r="H15" i="63" s="1"/>
  <c r="H16" i="63" a="1"/>
  <c r="H16" i="63" s="1"/>
  <c r="H17" i="63" a="1"/>
  <c r="H17" i="63" s="1"/>
  <c r="H18" i="63" a="1"/>
  <c r="H18" i="63" s="1"/>
  <c r="H19" i="63" a="1"/>
  <c r="H19" i="63" s="1"/>
  <c r="H20" i="63" a="1"/>
  <c r="H20" i="63" s="1"/>
  <c r="H21" i="63" a="1"/>
  <c r="H21" i="63" s="1"/>
  <c r="H22" i="63" a="1"/>
  <c r="H22" i="63" s="1"/>
  <c r="H23" i="63" a="1"/>
  <c r="H23" i="63" s="1"/>
  <c r="H24" i="63" a="1"/>
  <c r="H24" i="63" s="1"/>
  <c r="H25" i="63" a="1"/>
  <c r="H25" i="63" s="1"/>
  <c r="H26" i="63" a="1"/>
  <c r="H26" i="63" s="1"/>
  <c r="H27" i="63" a="1"/>
  <c r="H27" i="63" s="1"/>
  <c r="H28" i="63" a="1"/>
  <c r="H28" i="63" s="1"/>
  <c r="H29" i="63" a="1"/>
  <c r="H29" i="63" s="1"/>
  <c r="H30" i="63" a="1"/>
  <c r="H30" i="63" s="1"/>
  <c r="H31" i="63" a="1"/>
  <c r="H31" i="63" s="1"/>
  <c r="H32" i="63" a="1"/>
  <c r="H32" i="63" s="1"/>
  <c r="H33" i="63" a="1"/>
  <c r="H33" i="63" s="1"/>
  <c r="H34" i="63" a="1"/>
  <c r="H34" i="63" s="1"/>
  <c r="H35" i="63" a="1"/>
  <c r="H35" i="63" s="1"/>
  <c r="H36" i="63" a="1"/>
  <c r="H36" i="63" s="1"/>
  <c r="H37" i="63" a="1"/>
  <c r="H37" i="63" s="1"/>
  <c r="H38" i="63" a="1"/>
  <c r="H38" i="63" s="1"/>
  <c r="H39" i="63" a="1"/>
  <c r="H39" i="63" s="1"/>
  <c r="H40" i="63" a="1"/>
  <c r="H40" i="63" s="1"/>
  <c r="H41" i="63" a="1"/>
  <c r="H41" i="63" s="1"/>
  <c r="H42" i="63" a="1"/>
  <c r="H42" i="63" s="1"/>
  <c r="H43" i="63" a="1"/>
  <c r="H43" i="63" s="1"/>
  <c r="H44" i="63" a="1"/>
  <c r="H44" i="63" s="1"/>
  <c r="H45" i="63" a="1"/>
  <c r="H45" i="63" s="1"/>
  <c r="H46" i="63" a="1"/>
  <c r="H46" i="63" s="1"/>
  <c r="H47" i="63" a="1"/>
  <c r="H47" i="63" s="1"/>
  <c r="H48" i="63" a="1"/>
  <c r="H48" i="63" s="1"/>
  <c r="H49" i="63" a="1"/>
  <c r="H49" i="63" s="1"/>
  <c r="H50" i="63" a="1"/>
  <c r="H50" i="63" s="1"/>
  <c r="H51" i="63" a="1"/>
  <c r="H51" i="63" s="1"/>
  <c r="H52" i="63" a="1"/>
  <c r="H52" i="63" s="1"/>
  <c r="H53" i="63" a="1"/>
  <c r="H53" i="63" s="1"/>
  <c r="H54" i="63" a="1"/>
  <c r="H54" i="63" s="1"/>
  <c r="J5" i="62" a="1"/>
  <c r="J5" i="62" s="1"/>
  <c r="F213" i="28" s="1"/>
  <c r="J6" i="62" a="1"/>
  <c r="J6" i="62" s="1"/>
  <c r="F214" i="28" s="1"/>
  <c r="J7" i="62" a="1"/>
  <c r="J7" i="62" s="1"/>
  <c r="F215" i="28" s="1"/>
  <c r="J8" i="62" a="1"/>
  <c r="J8" i="62" s="1"/>
  <c r="F216" i="28" s="1"/>
  <c r="J9" i="62" a="1"/>
  <c r="J9" i="62" s="1"/>
  <c r="F217" i="28" s="1"/>
  <c r="J10" i="62" a="1"/>
  <c r="J10" i="62" s="1"/>
  <c r="F218" i="28" s="1"/>
  <c r="J11" i="62" a="1"/>
  <c r="J11" i="62" s="1"/>
  <c r="F219" i="28" s="1"/>
  <c r="J12" i="62" a="1"/>
  <c r="J12" i="62" s="1"/>
  <c r="F220" i="28" s="1"/>
  <c r="J13" i="62" a="1"/>
  <c r="J13" i="62" s="1"/>
  <c r="F221" i="28" s="1"/>
  <c r="J14" i="62" a="1"/>
  <c r="J14" i="62" s="1"/>
  <c r="F222" i="28" s="1"/>
  <c r="J15" i="62" a="1"/>
  <c r="J15" i="62" s="1"/>
  <c r="F223" i="28" s="1"/>
  <c r="J16" i="62" a="1"/>
  <c r="J16" i="62" s="1"/>
  <c r="F224" i="28" s="1"/>
  <c r="J17" i="62" a="1"/>
  <c r="J17" i="62" s="1"/>
  <c r="F225" i="28" s="1"/>
  <c r="J18" i="62" a="1"/>
  <c r="J18" i="62" s="1"/>
  <c r="F226" i="28" s="1"/>
  <c r="J19" i="62" a="1"/>
  <c r="J19" i="62" s="1"/>
  <c r="F227" i="28" s="1"/>
  <c r="J20" i="62" a="1"/>
  <c r="J20" i="62" s="1"/>
  <c r="F228" i="28" s="1"/>
  <c r="J21" i="62" a="1"/>
  <c r="J21" i="62" s="1"/>
  <c r="F229" i="28" s="1"/>
  <c r="J22" i="62" a="1"/>
  <c r="J22" i="62" s="1"/>
  <c r="F230" i="28" s="1"/>
  <c r="J23" i="62" a="1"/>
  <c r="J23" i="62" s="1"/>
  <c r="F231" i="28" s="1"/>
  <c r="J24" i="62" a="1"/>
  <c r="J24" i="62" s="1"/>
  <c r="F232" i="28" s="1"/>
  <c r="J25" i="62" a="1"/>
  <c r="J25" i="62" s="1"/>
  <c r="F233" i="28" s="1"/>
  <c r="J26" i="62" a="1"/>
  <c r="J26" i="62" s="1"/>
  <c r="F234" i="28" s="1"/>
  <c r="J27" i="62" a="1"/>
  <c r="J27" i="62" s="1"/>
  <c r="F235" i="28" s="1"/>
  <c r="J28" i="62" a="1"/>
  <c r="J28" i="62" s="1"/>
  <c r="F236" i="28" s="1"/>
  <c r="J29" i="62" a="1"/>
  <c r="J29" i="62" s="1"/>
  <c r="F237" i="28" s="1"/>
  <c r="J30" i="62" a="1"/>
  <c r="J30" i="62" s="1"/>
  <c r="F238" i="28" s="1"/>
  <c r="J31" i="62" a="1"/>
  <c r="J31" i="62" s="1"/>
  <c r="F239" i="28" s="1"/>
  <c r="J32" i="62" a="1"/>
  <c r="J32" i="62" s="1"/>
  <c r="F240" i="28" s="1"/>
  <c r="J33" i="62" a="1"/>
  <c r="J33" i="62" s="1"/>
  <c r="F241" i="28" s="1"/>
  <c r="J34" i="62" a="1"/>
  <c r="J34" i="62" s="1"/>
  <c r="F242" i="28" s="1"/>
  <c r="J35" i="62" a="1"/>
  <c r="J35" i="62" s="1"/>
  <c r="F243" i="28" s="1"/>
  <c r="J36" i="62" a="1"/>
  <c r="J36" i="62" s="1"/>
  <c r="F244" i="28" s="1"/>
  <c r="J37" i="62" a="1"/>
  <c r="J37" i="62" s="1"/>
  <c r="F245" i="28" s="1"/>
  <c r="J38" i="62" a="1"/>
  <c r="J38" i="62" s="1"/>
  <c r="F246" i="28" s="1"/>
  <c r="J39" i="62" a="1"/>
  <c r="J39" i="62" s="1"/>
  <c r="F247" i="28" s="1"/>
  <c r="J40" i="62" a="1"/>
  <c r="J40" i="62" s="1"/>
  <c r="F248" i="28" s="1"/>
  <c r="J41" i="62" a="1"/>
  <c r="J41" i="62" s="1"/>
  <c r="F249" i="28" s="1"/>
  <c r="J42" i="62" a="1"/>
  <c r="J42" i="62" s="1"/>
  <c r="F250" i="28" s="1"/>
  <c r="J43" i="62" a="1"/>
  <c r="J43" i="62" s="1"/>
  <c r="F251" i="28" s="1"/>
  <c r="J44" i="62" a="1"/>
  <c r="J44" i="62" s="1"/>
  <c r="F252" i="28" s="1"/>
  <c r="J45" i="62" a="1"/>
  <c r="J45" i="62" s="1"/>
  <c r="F253" i="28" s="1"/>
  <c r="J46" i="62" a="1"/>
  <c r="J46" i="62" s="1"/>
  <c r="F254" i="28" s="1"/>
  <c r="J47" i="62" a="1"/>
  <c r="J47" i="62" s="1"/>
  <c r="F255" i="28" s="1"/>
  <c r="J48" i="62" a="1"/>
  <c r="J48" i="62" s="1"/>
  <c r="F256" i="28" s="1"/>
  <c r="J49" i="62" a="1"/>
  <c r="J49" i="62" s="1"/>
  <c r="F257" i="28" s="1"/>
  <c r="J50" i="62" a="1"/>
  <c r="J50" i="62" s="1"/>
  <c r="F258" i="28" s="1"/>
  <c r="J51" i="62" a="1"/>
  <c r="J51" i="62" s="1"/>
  <c r="F259" i="28" s="1"/>
  <c r="J52" i="62" a="1"/>
  <c r="J52" i="62" s="1"/>
  <c r="F260" i="28" s="1"/>
  <c r="J53" i="62" a="1"/>
  <c r="J53" i="62" s="1"/>
  <c r="F261" i="28" s="1"/>
  <c r="J54" i="62" a="1"/>
  <c r="J54" i="62" s="1"/>
  <c r="F262" i="28" s="1"/>
  <c r="K5" i="62"/>
  <c r="K6" i="62"/>
  <c r="K7" i="62"/>
  <c r="K8" i="62"/>
  <c r="K9" i="62"/>
  <c r="K10" i="62"/>
  <c r="K11" i="62"/>
  <c r="K12" i="62"/>
  <c r="K13" i="62"/>
  <c r="K14" i="62"/>
  <c r="K15" i="62"/>
  <c r="K16" i="62"/>
  <c r="K17" i="62"/>
  <c r="K18" i="62"/>
  <c r="K19" i="62"/>
  <c r="K20" i="62"/>
  <c r="K21" i="62"/>
  <c r="K22" i="62"/>
  <c r="K23" i="62"/>
  <c r="K24" i="62"/>
  <c r="K25" i="62"/>
  <c r="K26" i="62"/>
  <c r="K27" i="62"/>
  <c r="K28" i="62"/>
  <c r="K29" i="62"/>
  <c r="K30" i="62"/>
  <c r="K31" i="62"/>
  <c r="K32" i="62"/>
  <c r="K33" i="62"/>
  <c r="K34" i="62"/>
  <c r="K35" i="62"/>
  <c r="K36" i="62"/>
  <c r="K37" i="62"/>
  <c r="K38" i="62"/>
  <c r="K39" i="62"/>
  <c r="K40" i="62"/>
  <c r="K41" i="62"/>
  <c r="K42" i="62"/>
  <c r="K43" i="62"/>
  <c r="K44" i="62"/>
  <c r="K45" i="62"/>
  <c r="K46" i="62"/>
  <c r="K47" i="62"/>
  <c r="K48" i="62"/>
  <c r="K49" i="62"/>
  <c r="K50" i="62"/>
  <c r="K51" i="62"/>
  <c r="K52" i="62"/>
  <c r="K53" i="62"/>
  <c r="K54" i="62"/>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C5" i="62"/>
  <c r="D213" i="28" s="1"/>
  <c r="C6" i="62"/>
  <c r="D214" i="28" s="1"/>
  <c r="C7" i="62"/>
  <c r="D215" i="28" s="1"/>
  <c r="C8" i="62"/>
  <c r="D216" i="28" s="1"/>
  <c r="C9" i="62"/>
  <c r="D217" i="28" s="1"/>
  <c r="C10" i="62"/>
  <c r="D218" i="28" s="1"/>
  <c r="C11" i="62"/>
  <c r="D219" i="28" s="1"/>
  <c r="C12" i="62"/>
  <c r="D220" i="28" s="1"/>
  <c r="C13" i="62"/>
  <c r="D221" i="28" s="1"/>
  <c r="C14" i="62"/>
  <c r="D222" i="28" s="1"/>
  <c r="C15" i="62"/>
  <c r="D223" i="28" s="1"/>
  <c r="C16" i="62"/>
  <c r="D224" i="28" s="1"/>
  <c r="C17" i="62"/>
  <c r="D225" i="28" s="1"/>
  <c r="C18" i="62"/>
  <c r="D226" i="28" s="1"/>
  <c r="C19" i="62"/>
  <c r="D227" i="28" s="1"/>
  <c r="C20" i="62"/>
  <c r="D228" i="28" s="1"/>
  <c r="C21" i="62"/>
  <c r="D229" i="28" s="1"/>
  <c r="C22" i="62"/>
  <c r="D230" i="28" s="1"/>
  <c r="C23" i="62"/>
  <c r="D231" i="28" s="1"/>
  <c r="C24" i="62"/>
  <c r="D232" i="28" s="1"/>
  <c r="C25" i="62"/>
  <c r="D233" i="28" s="1"/>
  <c r="C26" i="62"/>
  <c r="D234" i="28" s="1"/>
  <c r="C27" i="62"/>
  <c r="D235" i="28" s="1"/>
  <c r="C28" i="62"/>
  <c r="D236" i="28" s="1"/>
  <c r="C29" i="62"/>
  <c r="D237" i="28" s="1"/>
  <c r="C30" i="62"/>
  <c r="D238" i="28" s="1"/>
  <c r="C31" i="62"/>
  <c r="D239" i="28" s="1"/>
  <c r="C32" i="62"/>
  <c r="D240" i="28" s="1"/>
  <c r="C33" i="62"/>
  <c r="D241" i="28" s="1"/>
  <c r="C34" i="62"/>
  <c r="D242" i="28" s="1"/>
  <c r="C35" i="62"/>
  <c r="D243" i="28" s="1"/>
  <c r="C36" i="62"/>
  <c r="D244" i="28" s="1"/>
  <c r="C37" i="62"/>
  <c r="D245" i="28" s="1"/>
  <c r="C38" i="62"/>
  <c r="D246" i="28" s="1"/>
  <c r="C39" i="62"/>
  <c r="D247" i="28" s="1"/>
  <c r="C40" i="62"/>
  <c r="D248" i="28" s="1"/>
  <c r="C41" i="62"/>
  <c r="D249" i="28" s="1"/>
  <c r="C42" i="62"/>
  <c r="D250" i="28" s="1"/>
  <c r="C43" i="62"/>
  <c r="D251" i="28" s="1"/>
  <c r="C44" i="62"/>
  <c r="D252" i="28" s="1"/>
  <c r="C45" i="62"/>
  <c r="D253" i="28" s="1"/>
  <c r="C46" i="62"/>
  <c r="D254" i="28" s="1"/>
  <c r="C47" i="62"/>
  <c r="D255" i="28" s="1"/>
  <c r="C48" i="62"/>
  <c r="D256" i="28" s="1"/>
  <c r="C49" i="62"/>
  <c r="D257" i="28" s="1"/>
  <c r="C50" i="62"/>
  <c r="D258" i="28" s="1"/>
  <c r="C51" i="62"/>
  <c r="D259" i="28" s="1"/>
  <c r="C52" i="62"/>
  <c r="D260" i="28" s="1"/>
  <c r="C53" i="62"/>
  <c r="D261" i="28" s="1"/>
  <c r="C54" i="62"/>
  <c r="D262" i="28" s="1"/>
  <c r="A13" i="22"/>
  <c r="A12" i="22"/>
  <c r="R5" i="62" l="1"/>
  <c r="G213" i="28" s="1"/>
  <c r="P5" i="63"/>
  <c r="D263" i="28"/>
  <c r="R47" i="63"/>
  <c r="G305" i="28" s="1"/>
  <c r="F305" i="28"/>
  <c r="S31" i="63"/>
  <c r="H289" i="28" s="1"/>
  <c r="F289" i="28"/>
  <c r="S27" i="63"/>
  <c r="H285" i="28" s="1"/>
  <c r="F285" i="28"/>
  <c r="R15" i="63"/>
  <c r="G273" i="28" s="1"/>
  <c r="F273" i="28"/>
  <c r="S11" i="63"/>
  <c r="H269" i="28" s="1"/>
  <c r="F269" i="28"/>
  <c r="R5" i="64"/>
  <c r="O58" i="63"/>
  <c r="N58" i="63"/>
  <c r="R11" i="63"/>
  <c r="G269" i="28" s="1"/>
  <c r="R23" i="63"/>
  <c r="G281" i="28" s="1"/>
  <c r="S23" i="63"/>
  <c r="H281" i="28" s="1"/>
  <c r="O57" i="63"/>
  <c r="R27" i="63"/>
  <c r="G285" i="28" s="1"/>
  <c r="R31" i="63"/>
  <c r="G289" i="28" s="1"/>
  <c r="N57" i="63"/>
  <c r="S47" i="63"/>
  <c r="H305" i="28" s="1"/>
  <c r="S15" i="63"/>
  <c r="H273" i="28" s="1"/>
  <c r="K19" i="63"/>
  <c r="F277" i="28" s="1"/>
  <c r="K39" i="63"/>
  <c r="F297" i="28" s="1"/>
  <c r="K7" i="63"/>
  <c r="F265" i="28" s="1"/>
  <c r="K51" i="63"/>
  <c r="F309" i="28" s="1"/>
  <c r="K35" i="63"/>
  <c r="F293" i="28" s="1"/>
  <c r="K43" i="63"/>
  <c r="F301" i="28" s="1"/>
  <c r="L58" i="63"/>
  <c r="L57" i="63"/>
  <c r="K52" i="63"/>
  <c r="F310" i="28" s="1"/>
  <c r="K44" i="63"/>
  <c r="F302" i="28" s="1"/>
  <c r="K36" i="63"/>
  <c r="F294" i="28" s="1"/>
  <c r="K12" i="63"/>
  <c r="F270" i="28" s="1"/>
  <c r="K50" i="63"/>
  <c r="F308" i="28" s="1"/>
  <c r="K42" i="63"/>
  <c r="F300" i="28" s="1"/>
  <c r="K34" i="63"/>
  <c r="F292" i="28" s="1"/>
  <c r="K26" i="63"/>
  <c r="F284" i="28" s="1"/>
  <c r="K18" i="63"/>
  <c r="F276" i="28" s="1"/>
  <c r="K10" i="63"/>
  <c r="F268" i="28" s="1"/>
  <c r="K28" i="63"/>
  <c r="F286" i="28" s="1"/>
  <c r="K20" i="63"/>
  <c r="F278" i="28" s="1"/>
  <c r="K54" i="63"/>
  <c r="F312" i="28" s="1"/>
  <c r="K46" i="63"/>
  <c r="F304" i="28" s="1"/>
  <c r="K38" i="63"/>
  <c r="F296" i="28" s="1"/>
  <c r="K30" i="63"/>
  <c r="F288" i="28" s="1"/>
  <c r="K22" i="63"/>
  <c r="F280" i="28" s="1"/>
  <c r="K14" i="63"/>
  <c r="F272" i="28" s="1"/>
  <c r="K6" i="63"/>
  <c r="F264" i="28" s="1"/>
  <c r="K48" i="63"/>
  <c r="F306" i="28" s="1"/>
  <c r="K40" i="63"/>
  <c r="F298" i="28" s="1"/>
  <c r="K32" i="63"/>
  <c r="F290" i="28" s="1"/>
  <c r="K24" i="63"/>
  <c r="F282" i="28" s="1"/>
  <c r="K16" i="63"/>
  <c r="F274" i="28" s="1"/>
  <c r="K8" i="63"/>
  <c r="K53" i="63"/>
  <c r="F311" i="28" s="1"/>
  <c r="K49" i="63"/>
  <c r="F307" i="28" s="1"/>
  <c r="K45" i="63"/>
  <c r="F303" i="28" s="1"/>
  <c r="K41" i="63"/>
  <c r="F299" i="28" s="1"/>
  <c r="K37" i="63"/>
  <c r="F295" i="28" s="1"/>
  <c r="K33" i="63"/>
  <c r="F291" i="28" s="1"/>
  <c r="K29" i="63"/>
  <c r="F287" i="28" s="1"/>
  <c r="K25" i="63"/>
  <c r="F283" i="28" s="1"/>
  <c r="K21" i="63"/>
  <c r="F279" i="28" s="1"/>
  <c r="K17" i="63"/>
  <c r="F275" i="28" s="1"/>
  <c r="K13" i="63"/>
  <c r="F271" i="28" s="1"/>
  <c r="K9" i="63"/>
  <c r="F267" i="28" s="1"/>
  <c r="K5" i="63"/>
  <c r="F263" i="28" s="1"/>
  <c r="R42" i="62"/>
  <c r="R10" i="62"/>
  <c r="G218" i="28" s="1"/>
  <c r="R34" i="62"/>
  <c r="G242" i="28" s="1"/>
  <c r="S52" i="62"/>
  <c r="H260" i="28" s="1"/>
  <c r="S5" i="62"/>
  <c r="H213" i="28" s="1"/>
  <c r="R26" i="62"/>
  <c r="G234" i="28" s="1"/>
  <c r="S36" i="62"/>
  <c r="H244" i="28" s="1"/>
  <c r="R18" i="62"/>
  <c r="G226" i="28" s="1"/>
  <c r="S20" i="62"/>
  <c r="H228" i="28" s="1"/>
  <c r="R49" i="62"/>
  <c r="R41" i="62"/>
  <c r="R33" i="62"/>
  <c r="G241" i="28" s="1"/>
  <c r="R25" i="62"/>
  <c r="G233" i="28" s="1"/>
  <c r="R17" i="62"/>
  <c r="G225" i="28" s="1"/>
  <c r="R9" i="62"/>
  <c r="G217" i="28" s="1"/>
  <c r="S48" i="62"/>
  <c r="H256" i="28" s="1"/>
  <c r="S32" i="62"/>
  <c r="H240" i="28" s="1"/>
  <c r="S16" i="62"/>
  <c r="H224" i="28" s="1"/>
  <c r="R50" i="62"/>
  <c r="R54" i="62"/>
  <c r="R46" i="62"/>
  <c r="R38" i="62"/>
  <c r="R30" i="62"/>
  <c r="G238" i="28" s="1"/>
  <c r="R22" i="62"/>
  <c r="G230" i="28" s="1"/>
  <c r="R14" i="62"/>
  <c r="G222" i="28" s="1"/>
  <c r="R6" i="62"/>
  <c r="G214" i="28" s="1"/>
  <c r="S44" i="62"/>
  <c r="H252" i="28" s="1"/>
  <c r="S28" i="62"/>
  <c r="H236" i="28" s="1"/>
  <c r="S12" i="62"/>
  <c r="H220" i="28" s="1"/>
  <c r="R53" i="62"/>
  <c r="R45" i="62"/>
  <c r="R37" i="62"/>
  <c r="R29" i="62"/>
  <c r="G237" i="28" s="1"/>
  <c r="R21" i="62"/>
  <c r="G229" i="28" s="1"/>
  <c r="R13" i="62"/>
  <c r="G221" i="28" s="1"/>
  <c r="S40" i="62"/>
  <c r="H248" i="28" s="1"/>
  <c r="S24" i="62"/>
  <c r="H232" i="28" s="1"/>
  <c r="S8" i="62"/>
  <c r="H216" i="28" s="1"/>
  <c r="S51" i="62"/>
  <c r="H259" i="28" s="1"/>
  <c r="S47" i="62"/>
  <c r="H255" i="28" s="1"/>
  <c r="S43" i="62"/>
  <c r="H251" i="28" s="1"/>
  <c r="S39" i="62"/>
  <c r="H247" i="28" s="1"/>
  <c r="S35" i="62"/>
  <c r="H243" i="28" s="1"/>
  <c r="S31" i="62"/>
  <c r="H239" i="28" s="1"/>
  <c r="S27" i="62"/>
  <c r="H235" i="28" s="1"/>
  <c r="S23" i="62"/>
  <c r="H231" i="28" s="1"/>
  <c r="S19" i="62"/>
  <c r="H227" i="28" s="1"/>
  <c r="S15" i="62"/>
  <c r="H223" i="28" s="1"/>
  <c r="S11" i="62"/>
  <c r="H219" i="28" s="1"/>
  <c r="S7" i="62"/>
  <c r="H215" i="28" s="1"/>
  <c r="R52" i="62"/>
  <c r="R48" i="62"/>
  <c r="R44" i="62"/>
  <c r="R40" i="62"/>
  <c r="R36" i="62"/>
  <c r="G244" i="28" s="1"/>
  <c r="R32" i="62"/>
  <c r="G240" i="28" s="1"/>
  <c r="R28" i="62"/>
  <c r="G236" i="28" s="1"/>
  <c r="R24" i="62"/>
  <c r="G232" i="28" s="1"/>
  <c r="R20" i="62"/>
  <c r="G228" i="28" s="1"/>
  <c r="R16" i="62"/>
  <c r="G224" i="28" s="1"/>
  <c r="R12" i="62"/>
  <c r="R8" i="62"/>
  <c r="G216" i="28" s="1"/>
  <c r="S54" i="62"/>
  <c r="H262" i="28" s="1"/>
  <c r="S50" i="62"/>
  <c r="H258" i="28" s="1"/>
  <c r="S46" i="62"/>
  <c r="H254" i="28" s="1"/>
  <c r="S42" i="62"/>
  <c r="H250" i="28" s="1"/>
  <c r="S38" i="62"/>
  <c r="H246" i="28" s="1"/>
  <c r="S34" i="62"/>
  <c r="H242" i="28" s="1"/>
  <c r="S30" i="62"/>
  <c r="H238" i="28" s="1"/>
  <c r="S26" i="62"/>
  <c r="H234" i="28" s="1"/>
  <c r="S22" i="62"/>
  <c r="H230" i="28" s="1"/>
  <c r="S18" i="62"/>
  <c r="H226" i="28" s="1"/>
  <c r="S14" i="62"/>
  <c r="H222" i="28" s="1"/>
  <c r="S10" i="62"/>
  <c r="H218" i="28" s="1"/>
  <c r="S6" i="62"/>
  <c r="H214" i="28" s="1"/>
  <c r="R51" i="62"/>
  <c r="R47" i="62"/>
  <c r="R43" i="62"/>
  <c r="R39" i="62"/>
  <c r="R35" i="62"/>
  <c r="G243" i="28" s="1"/>
  <c r="R31" i="62"/>
  <c r="G239" i="28" s="1"/>
  <c r="R27" i="62"/>
  <c r="G235" i="28" s="1"/>
  <c r="R23" i="62"/>
  <c r="G231" i="28" s="1"/>
  <c r="R19" i="62"/>
  <c r="G227" i="28" s="1"/>
  <c r="R15" i="62"/>
  <c r="G223" i="28" s="1"/>
  <c r="R11" i="62"/>
  <c r="G219" i="28" s="1"/>
  <c r="R7" i="62"/>
  <c r="G215" i="28" s="1"/>
  <c r="S53" i="62"/>
  <c r="H261" i="28" s="1"/>
  <c r="S49" i="62"/>
  <c r="H257" i="28" s="1"/>
  <c r="S45" i="62"/>
  <c r="H253" i="28" s="1"/>
  <c r="S41" i="62"/>
  <c r="H249" i="28" s="1"/>
  <c r="S37" i="62"/>
  <c r="H245" i="28" s="1"/>
  <c r="S33" i="62"/>
  <c r="H241" i="28" s="1"/>
  <c r="S29" i="62"/>
  <c r="H237" i="28" s="1"/>
  <c r="S25" i="62"/>
  <c r="H233" i="28" s="1"/>
  <c r="S21" i="62"/>
  <c r="H229" i="28" s="1"/>
  <c r="S17" i="62"/>
  <c r="H225" i="28" s="1"/>
  <c r="S13" i="62"/>
  <c r="H221" i="28" s="1"/>
  <c r="S9" i="62"/>
  <c r="H217" i="28" s="1"/>
  <c r="B58" i="63"/>
  <c r="U54" i="63"/>
  <c r="U53" i="63"/>
  <c r="U52" i="63"/>
  <c r="U51" i="63"/>
  <c r="U50" i="63"/>
  <c r="U49" i="63"/>
  <c r="U48" i="63"/>
  <c r="U47" i="63"/>
  <c r="U46" i="63"/>
  <c r="U45" i="63"/>
  <c r="U44" i="63"/>
  <c r="U43" i="63"/>
  <c r="U42" i="63"/>
  <c r="U41" i="63"/>
  <c r="U40" i="63"/>
  <c r="U39" i="63"/>
  <c r="U38" i="63"/>
  <c r="U37" i="63"/>
  <c r="U36" i="63"/>
  <c r="U35" i="63"/>
  <c r="U34" i="63"/>
  <c r="U33" i="63"/>
  <c r="U32" i="63"/>
  <c r="U31" i="63"/>
  <c r="U30" i="63"/>
  <c r="U29" i="63"/>
  <c r="U28" i="63"/>
  <c r="U27" i="63"/>
  <c r="U26" i="63"/>
  <c r="U25" i="63"/>
  <c r="U24" i="63"/>
  <c r="U23" i="63"/>
  <c r="U22" i="63"/>
  <c r="U21" i="63"/>
  <c r="U20" i="63"/>
  <c r="U19" i="63"/>
  <c r="U18" i="63"/>
  <c r="U17" i="63"/>
  <c r="U16" i="63"/>
  <c r="U15" i="63"/>
  <c r="U14" i="63"/>
  <c r="U13" i="63"/>
  <c r="U12" i="63"/>
  <c r="U11" i="63"/>
  <c r="P11" i="63"/>
  <c r="Q11" i="63" s="1"/>
  <c r="N269" i="28" s="1"/>
  <c r="U10" i="63"/>
  <c r="U9" i="63"/>
  <c r="P9" i="63"/>
  <c r="U8" i="63"/>
  <c r="U58" i="63" s="1"/>
  <c r="U7" i="63"/>
  <c r="P7" i="63"/>
  <c r="U6" i="63"/>
  <c r="U5" i="63"/>
  <c r="B58" i="62"/>
  <c r="U54" i="62"/>
  <c r="U53" i="62"/>
  <c r="U52" i="62"/>
  <c r="U51" i="62"/>
  <c r="U50" i="62"/>
  <c r="U49" i="62"/>
  <c r="U48" i="62"/>
  <c r="U47" i="62"/>
  <c r="U46" i="62"/>
  <c r="U45" i="62"/>
  <c r="U44" i="62"/>
  <c r="U43" i="62"/>
  <c r="U42" i="62"/>
  <c r="U41" i="62"/>
  <c r="U40" i="62"/>
  <c r="U39" i="62"/>
  <c r="U38" i="62"/>
  <c r="U37" i="62"/>
  <c r="U36" i="62"/>
  <c r="P36" i="62"/>
  <c r="Q36" i="62" s="1"/>
  <c r="N244" i="28" s="1"/>
  <c r="U35" i="62"/>
  <c r="U34" i="62"/>
  <c r="P34" i="62"/>
  <c r="Q34" i="62" s="1"/>
  <c r="N242" i="28" s="1"/>
  <c r="U33" i="62"/>
  <c r="U32" i="62"/>
  <c r="U31" i="62"/>
  <c r="U30" i="62"/>
  <c r="U29" i="62"/>
  <c r="U28" i="62"/>
  <c r="P28" i="62"/>
  <c r="Q28" i="62" s="1"/>
  <c r="N236" i="28" s="1"/>
  <c r="U27" i="62"/>
  <c r="U26" i="62"/>
  <c r="P26" i="62"/>
  <c r="Q26" i="62" s="1"/>
  <c r="N234" i="28" s="1"/>
  <c r="U25" i="62"/>
  <c r="U24" i="62"/>
  <c r="U23" i="62"/>
  <c r="U22" i="62"/>
  <c r="U21" i="62"/>
  <c r="U20" i="62"/>
  <c r="P20" i="62"/>
  <c r="Q20" i="62" s="1"/>
  <c r="N228" i="28" s="1"/>
  <c r="U19" i="62"/>
  <c r="U18" i="62"/>
  <c r="P18" i="62"/>
  <c r="Q18" i="62" s="1"/>
  <c r="N226" i="28" s="1"/>
  <c r="U17" i="62"/>
  <c r="U16" i="62"/>
  <c r="P16" i="62"/>
  <c r="Q16" i="62" s="1"/>
  <c r="N224" i="28" s="1"/>
  <c r="U15" i="62"/>
  <c r="U14" i="62"/>
  <c r="P14" i="62"/>
  <c r="Q14" i="62" s="1"/>
  <c r="N222" i="28" s="1"/>
  <c r="U13" i="62"/>
  <c r="U12" i="62"/>
  <c r="U11" i="62"/>
  <c r="P11" i="62"/>
  <c r="Q11" i="62" s="1"/>
  <c r="N219" i="28" s="1"/>
  <c r="U10" i="62"/>
  <c r="U9" i="62"/>
  <c r="P9" i="62"/>
  <c r="Q9" i="62" s="1"/>
  <c r="N217" i="28" s="1"/>
  <c r="U8" i="62"/>
  <c r="P8" i="62"/>
  <c r="Q8" i="62" s="1"/>
  <c r="N216" i="28" s="1"/>
  <c r="U7" i="62"/>
  <c r="P7" i="62"/>
  <c r="Q7" i="62" s="1"/>
  <c r="N215" i="28" s="1"/>
  <c r="U6" i="62"/>
  <c r="P6" i="62"/>
  <c r="Q6" i="62" s="1"/>
  <c r="N214" i="28" s="1"/>
  <c r="U5" i="62"/>
  <c r="P5" i="62"/>
  <c r="Q5" i="62" s="1"/>
  <c r="N213" i="28" s="1"/>
  <c r="T15" i="63" l="1"/>
  <c r="Q7" i="63"/>
  <c r="N265" i="28" s="1"/>
  <c r="T52" i="62"/>
  <c r="G260" i="28"/>
  <c r="T43" i="62"/>
  <c r="G251" i="28"/>
  <c r="T53" i="62"/>
  <c r="G261" i="28"/>
  <c r="T38" i="62"/>
  <c r="G246" i="28"/>
  <c r="T49" i="62"/>
  <c r="G257" i="28"/>
  <c r="T47" i="62"/>
  <c r="G255" i="28"/>
  <c r="T12" i="62"/>
  <c r="G220" i="28"/>
  <c r="T44" i="62"/>
  <c r="G252" i="28"/>
  <c r="T46" i="62"/>
  <c r="G254" i="28"/>
  <c r="T42" i="62"/>
  <c r="G250" i="28"/>
  <c r="T39" i="62"/>
  <c r="G247" i="28"/>
  <c r="T40" i="62"/>
  <c r="G248" i="28"/>
  <c r="T51" i="62"/>
  <c r="G259" i="28"/>
  <c r="T48" i="62"/>
  <c r="G256" i="28"/>
  <c r="T37" i="62"/>
  <c r="G245" i="28"/>
  <c r="T54" i="62"/>
  <c r="G262" i="28"/>
  <c r="T45" i="62"/>
  <c r="G253" i="28"/>
  <c r="T50" i="62"/>
  <c r="G258" i="28"/>
  <c r="T41" i="62"/>
  <c r="G249" i="28"/>
  <c r="K58" i="63"/>
  <c r="F266" i="28"/>
  <c r="R3" i="64"/>
  <c r="Q9" i="63"/>
  <c r="N267" i="28" s="1"/>
  <c r="R5" i="63"/>
  <c r="G263" i="28" s="1"/>
  <c r="S5" i="63"/>
  <c r="H263" i="28" s="1"/>
  <c r="R21" i="63"/>
  <c r="S21" i="63"/>
  <c r="H279" i="28" s="1"/>
  <c r="R37" i="63"/>
  <c r="G295" i="28" s="1"/>
  <c r="S37" i="63"/>
  <c r="H295" i="28" s="1"/>
  <c r="R53" i="63"/>
  <c r="S53" i="63"/>
  <c r="H311" i="28" s="1"/>
  <c r="R6" i="63"/>
  <c r="G264" i="28" s="1"/>
  <c r="S6" i="63"/>
  <c r="H264" i="28" s="1"/>
  <c r="R10" i="63"/>
  <c r="S10" i="63"/>
  <c r="H268" i="28" s="1"/>
  <c r="R26" i="63"/>
  <c r="S26" i="63"/>
  <c r="H284" i="28" s="1"/>
  <c r="S42" i="63"/>
  <c r="H300" i="28" s="1"/>
  <c r="R42" i="63"/>
  <c r="S36" i="63"/>
  <c r="H294" i="28" s="1"/>
  <c r="R36" i="63"/>
  <c r="S52" i="63"/>
  <c r="H310" i="28" s="1"/>
  <c r="R52" i="63"/>
  <c r="R35" i="63"/>
  <c r="G293" i="28" s="1"/>
  <c r="S35" i="63"/>
  <c r="H293" i="28" s="1"/>
  <c r="R19" i="63"/>
  <c r="S19" i="63"/>
  <c r="H277" i="28" s="1"/>
  <c r="R9" i="63"/>
  <c r="G267" i="28" s="1"/>
  <c r="S9" i="63"/>
  <c r="H267" i="28" s="1"/>
  <c r="R25" i="63"/>
  <c r="S25" i="63"/>
  <c r="H283" i="28" s="1"/>
  <c r="R41" i="63"/>
  <c r="G299" i="28" s="1"/>
  <c r="S41" i="63"/>
  <c r="H299" i="28" s="1"/>
  <c r="S8" i="63"/>
  <c r="R8" i="63"/>
  <c r="T8" i="63" s="1"/>
  <c r="T58" i="63" s="1"/>
  <c r="S32" i="63"/>
  <c r="H290" i="28" s="1"/>
  <c r="R32" i="63"/>
  <c r="R14" i="63"/>
  <c r="S14" i="63"/>
  <c r="H272" i="28" s="1"/>
  <c r="R30" i="63"/>
  <c r="S30" i="63"/>
  <c r="H288" i="28" s="1"/>
  <c r="R46" i="63"/>
  <c r="S46" i="63"/>
  <c r="H304" i="28" s="1"/>
  <c r="S20" i="63"/>
  <c r="H278" i="28" s="1"/>
  <c r="R20" i="63"/>
  <c r="R51" i="63"/>
  <c r="S51" i="63"/>
  <c r="H309" i="28" s="1"/>
  <c r="U57" i="63"/>
  <c r="R13" i="63"/>
  <c r="S13" i="63"/>
  <c r="H271" i="28" s="1"/>
  <c r="R29" i="63"/>
  <c r="S29" i="63"/>
  <c r="H287" i="28" s="1"/>
  <c r="R45" i="63"/>
  <c r="S45" i="63"/>
  <c r="H303" i="28" s="1"/>
  <c r="S16" i="63"/>
  <c r="H274" i="28" s="1"/>
  <c r="R16" i="63"/>
  <c r="G274" i="28" s="1"/>
  <c r="S40" i="63"/>
  <c r="H298" i="28" s="1"/>
  <c r="R40" i="63"/>
  <c r="R18" i="63"/>
  <c r="S18" i="63"/>
  <c r="H276" i="28" s="1"/>
  <c r="R34" i="63"/>
  <c r="S34" i="63"/>
  <c r="H292" i="28" s="1"/>
  <c r="R50" i="63"/>
  <c r="S50" i="63"/>
  <c r="H308" i="28" s="1"/>
  <c r="S44" i="63"/>
  <c r="H302" i="28" s="1"/>
  <c r="R44" i="63"/>
  <c r="R7" i="63"/>
  <c r="S7" i="63"/>
  <c r="H265" i="28" s="1"/>
  <c r="R17" i="63"/>
  <c r="S17" i="63"/>
  <c r="H275" i="28" s="1"/>
  <c r="R33" i="63"/>
  <c r="S33" i="63"/>
  <c r="H291" i="28" s="1"/>
  <c r="R49" i="63"/>
  <c r="S49" i="63"/>
  <c r="H307" i="28" s="1"/>
  <c r="S24" i="63"/>
  <c r="H282" i="28" s="1"/>
  <c r="R24" i="63"/>
  <c r="S48" i="63"/>
  <c r="H306" i="28" s="1"/>
  <c r="R48" i="63"/>
  <c r="R22" i="63"/>
  <c r="S22" i="63"/>
  <c r="H280" i="28" s="1"/>
  <c r="R38" i="63"/>
  <c r="S38" i="63"/>
  <c r="H296" i="28" s="1"/>
  <c r="R54" i="63"/>
  <c r="S54" i="63"/>
  <c r="H312" i="28" s="1"/>
  <c r="S28" i="63"/>
  <c r="H286" i="28" s="1"/>
  <c r="R28" i="63"/>
  <c r="S12" i="63"/>
  <c r="H270" i="28" s="1"/>
  <c r="R12" i="63"/>
  <c r="G270" i="28" s="1"/>
  <c r="R43" i="63"/>
  <c r="S43" i="63"/>
  <c r="H301" i="28" s="1"/>
  <c r="R39" i="63"/>
  <c r="S39" i="63"/>
  <c r="H297" i="28" s="1"/>
  <c r="Q5" i="63"/>
  <c r="K57" i="63"/>
  <c r="P10" i="63"/>
  <c r="P17" i="63"/>
  <c r="P16" i="63"/>
  <c r="P6" i="63"/>
  <c r="P32" i="63"/>
  <c r="P48" i="63"/>
  <c r="P12" i="63"/>
  <c r="P13" i="63"/>
  <c r="P14" i="63"/>
  <c r="P15" i="63"/>
  <c r="P22" i="63"/>
  <c r="P38" i="63"/>
  <c r="P54" i="63"/>
  <c r="V11" i="63"/>
  <c r="P24" i="63"/>
  <c r="P30" i="63"/>
  <c r="P40" i="63"/>
  <c r="P46" i="63"/>
  <c r="P8" i="63"/>
  <c r="P20" i="63"/>
  <c r="P28" i="63"/>
  <c r="P36" i="63"/>
  <c r="P44" i="63"/>
  <c r="P52" i="63"/>
  <c r="V7" i="63"/>
  <c r="P18" i="63"/>
  <c r="P26" i="63"/>
  <c r="P34" i="63"/>
  <c r="P42" i="63"/>
  <c r="P50" i="63"/>
  <c r="T11" i="63"/>
  <c r="U3" i="63"/>
  <c r="G9" i="51" s="1"/>
  <c r="D29" i="26" s="1"/>
  <c r="P19" i="63"/>
  <c r="Q19" i="63" s="1"/>
  <c r="N277" i="28" s="1"/>
  <c r="P21" i="63"/>
  <c r="P23" i="63"/>
  <c r="P25" i="63"/>
  <c r="P27" i="63"/>
  <c r="P29" i="63"/>
  <c r="P31" i="63"/>
  <c r="P33" i="63"/>
  <c r="P35" i="63"/>
  <c r="P37" i="63"/>
  <c r="P39" i="63"/>
  <c r="P41" i="63"/>
  <c r="P43" i="63"/>
  <c r="P45" i="63"/>
  <c r="P47" i="63"/>
  <c r="P49" i="63"/>
  <c r="P51" i="63"/>
  <c r="P53" i="63"/>
  <c r="T23" i="63"/>
  <c r="T27" i="63"/>
  <c r="T31" i="63"/>
  <c r="T47" i="63"/>
  <c r="P10" i="62"/>
  <c r="V26" i="62"/>
  <c r="V9" i="62"/>
  <c r="T33" i="62"/>
  <c r="V34" i="62"/>
  <c r="V36" i="62"/>
  <c r="P35" i="62"/>
  <c r="V28" i="62"/>
  <c r="P33" i="62"/>
  <c r="T35" i="62"/>
  <c r="V6" i="62"/>
  <c r="P17" i="62"/>
  <c r="P21" i="62"/>
  <c r="P27" i="62"/>
  <c r="P29" i="62"/>
  <c r="P37" i="62"/>
  <c r="P39" i="62"/>
  <c r="P41" i="62"/>
  <c r="P43" i="62"/>
  <c r="P45" i="62"/>
  <c r="P47" i="62"/>
  <c r="P49" i="62"/>
  <c r="P51" i="62"/>
  <c r="P53" i="62"/>
  <c r="U3" i="62"/>
  <c r="G8" i="51" s="1"/>
  <c r="D28" i="26" s="1"/>
  <c r="V14" i="62"/>
  <c r="P19" i="62"/>
  <c r="P23" i="62"/>
  <c r="P25" i="62"/>
  <c r="V7" i="62"/>
  <c r="V11" i="62"/>
  <c r="P12" i="62"/>
  <c r="T17" i="62"/>
  <c r="T19" i="62"/>
  <c r="T21" i="62"/>
  <c r="T23" i="62"/>
  <c r="T25" i="62"/>
  <c r="T27" i="62"/>
  <c r="T29" i="62"/>
  <c r="P31" i="62"/>
  <c r="V8" i="62"/>
  <c r="T31" i="62"/>
  <c r="V5" i="62"/>
  <c r="V16" i="62"/>
  <c r="V18" i="62"/>
  <c r="V20" i="62"/>
  <c r="T9" i="62"/>
  <c r="T11" i="62"/>
  <c r="P13" i="62"/>
  <c r="P15" i="62"/>
  <c r="P22" i="62"/>
  <c r="P24" i="62"/>
  <c r="P30" i="62"/>
  <c r="P32" i="62"/>
  <c r="T13" i="62"/>
  <c r="T15" i="62"/>
  <c r="P38" i="62"/>
  <c r="P40" i="62"/>
  <c r="P42" i="62"/>
  <c r="P44" i="62"/>
  <c r="P46" i="62"/>
  <c r="P48" i="62"/>
  <c r="P50" i="62"/>
  <c r="P52" i="62"/>
  <c r="P54" i="62"/>
  <c r="T14" i="62"/>
  <c r="T16" i="62"/>
  <c r="T18" i="62"/>
  <c r="T20" i="62"/>
  <c r="T22" i="62"/>
  <c r="T24" i="62"/>
  <c r="T26" i="62"/>
  <c r="T28" i="62"/>
  <c r="T30" i="62"/>
  <c r="T32" i="62"/>
  <c r="T34" i="62"/>
  <c r="T36" i="62"/>
  <c r="T37" i="63" l="1"/>
  <c r="T6" i="63"/>
  <c r="T9" i="63"/>
  <c r="T16" i="63"/>
  <c r="T35" i="63"/>
  <c r="T12" i="63"/>
  <c r="T41" i="63"/>
  <c r="V9" i="63"/>
  <c r="T22" i="63"/>
  <c r="G280" i="28"/>
  <c r="T33" i="63"/>
  <c r="G291" i="28"/>
  <c r="T18" i="63"/>
  <c r="G276" i="28"/>
  <c r="T52" i="63"/>
  <c r="G310" i="28"/>
  <c r="T28" i="63"/>
  <c r="G286" i="28"/>
  <c r="T48" i="63"/>
  <c r="G306" i="28"/>
  <c r="T44" i="63"/>
  <c r="G302" i="28"/>
  <c r="T40" i="63"/>
  <c r="G298" i="28"/>
  <c r="T51" i="63"/>
  <c r="G309" i="28"/>
  <c r="T46" i="63"/>
  <c r="G304" i="28"/>
  <c r="T14" i="63"/>
  <c r="G272" i="28"/>
  <c r="T25" i="63"/>
  <c r="G283" i="28"/>
  <c r="T19" i="63"/>
  <c r="G277" i="28"/>
  <c r="T10" i="63"/>
  <c r="G268" i="28"/>
  <c r="T53" i="63"/>
  <c r="G311" i="28"/>
  <c r="T21" i="63"/>
  <c r="G279" i="28"/>
  <c r="T39" i="63"/>
  <c r="G297" i="28"/>
  <c r="T54" i="63"/>
  <c r="G312" i="28"/>
  <c r="T42" i="63"/>
  <c r="G300" i="28"/>
  <c r="T43" i="63"/>
  <c r="G301" i="28"/>
  <c r="T38" i="63"/>
  <c r="G296" i="28"/>
  <c r="T49" i="63"/>
  <c r="G307" i="28"/>
  <c r="T17" i="63"/>
  <c r="G275" i="28"/>
  <c r="T34" i="63"/>
  <c r="G292" i="28"/>
  <c r="T45" i="63"/>
  <c r="G303" i="28"/>
  <c r="T13" i="63"/>
  <c r="G271" i="28"/>
  <c r="T20" i="63"/>
  <c r="G278" i="28"/>
  <c r="T32" i="63"/>
  <c r="G290" i="28"/>
  <c r="T36" i="63"/>
  <c r="G294" i="28"/>
  <c r="T50" i="63"/>
  <c r="G308" i="28"/>
  <c r="T29" i="63"/>
  <c r="G287" i="28"/>
  <c r="T24" i="63"/>
  <c r="G282" i="28"/>
  <c r="T30" i="63"/>
  <c r="G288" i="28"/>
  <c r="T26" i="63"/>
  <c r="G284" i="28"/>
  <c r="T7" i="63"/>
  <c r="W7" i="63" s="1"/>
  <c r="G265" i="28"/>
  <c r="R58" i="63"/>
  <c r="G266" i="28"/>
  <c r="S58" i="63"/>
  <c r="H266" i="28"/>
  <c r="V5" i="63"/>
  <c r="N263" i="28"/>
  <c r="S3" i="63"/>
  <c r="E9" i="51" s="1"/>
  <c r="D17" i="26" s="1"/>
  <c r="S57" i="63"/>
  <c r="R3" i="63"/>
  <c r="D9" i="51" s="1"/>
  <c r="C17" i="26" s="1"/>
  <c r="R57" i="63"/>
  <c r="Q50" i="62"/>
  <c r="Q19" i="62"/>
  <c r="Q35" i="62"/>
  <c r="Q49" i="63"/>
  <c r="Q33" i="63"/>
  <c r="Q21" i="63"/>
  <c r="Q44" i="63"/>
  <c r="Q28" i="63"/>
  <c r="Q46" i="63"/>
  <c r="Q54" i="63"/>
  <c r="Q15" i="63"/>
  <c r="Q48" i="63"/>
  <c r="Q51" i="62"/>
  <c r="Q41" i="63"/>
  <c r="Q25" i="63"/>
  <c r="Q48" i="62"/>
  <c r="Q32" i="62"/>
  <c r="Q41" i="62"/>
  <c r="Q27" i="62"/>
  <c r="Q50" i="63"/>
  <c r="Q26" i="63"/>
  <c r="Q40" i="63"/>
  <c r="Q38" i="63"/>
  <c r="Q14" i="63"/>
  <c r="Q17" i="63"/>
  <c r="Q42" i="62"/>
  <c r="Q29" i="62"/>
  <c r="Q53" i="63"/>
  <c r="Q37" i="63"/>
  <c r="Q29" i="63"/>
  <c r="Q40" i="62"/>
  <c r="Q15" i="62"/>
  <c r="Q49" i="62"/>
  <c r="Q54" i="62"/>
  <c r="Q46" i="62"/>
  <c r="Q38" i="62"/>
  <c r="Q30" i="62"/>
  <c r="Q13" i="62"/>
  <c r="Q25" i="62"/>
  <c r="Q47" i="62"/>
  <c r="Q39" i="62"/>
  <c r="Q21" i="62"/>
  <c r="Q33" i="62"/>
  <c r="Q10" i="62"/>
  <c r="N218" i="28" s="1"/>
  <c r="Q51" i="63"/>
  <c r="Q47" i="63"/>
  <c r="Q43" i="63"/>
  <c r="Q39" i="63"/>
  <c r="Q35" i="63"/>
  <c r="Q31" i="63"/>
  <c r="Q27" i="63"/>
  <c r="Q23" i="63"/>
  <c r="Q42" i="63"/>
  <c r="Q52" i="63"/>
  <c r="Q36" i="63"/>
  <c r="Q20" i="63"/>
  <c r="Q30" i="63"/>
  <c r="Q22" i="63"/>
  <c r="Q13" i="63"/>
  <c r="Q32" i="63"/>
  <c r="Q10" i="63"/>
  <c r="Q22" i="62"/>
  <c r="Q43" i="62"/>
  <c r="Q45" i="63"/>
  <c r="Q52" i="62"/>
  <c r="Q44" i="62"/>
  <c r="Q24" i="62"/>
  <c r="Q31" i="62"/>
  <c r="Q12" i="62"/>
  <c r="Q23" i="62"/>
  <c r="Q53" i="62"/>
  <c r="Q45" i="62"/>
  <c r="Q37" i="62"/>
  <c r="Q17" i="62"/>
  <c r="Q34" i="63"/>
  <c r="Q18" i="63"/>
  <c r="Q8" i="63"/>
  <c r="N266" i="28" s="1"/>
  <c r="Q24" i="63"/>
  <c r="Q12" i="63"/>
  <c r="Q6" i="63"/>
  <c r="N264" i="28" s="1"/>
  <c r="Q16" i="63"/>
  <c r="W11" i="63"/>
  <c r="W28" i="62"/>
  <c r="T5" i="63"/>
  <c r="V19" i="63"/>
  <c r="W36" i="62"/>
  <c r="W26" i="62"/>
  <c r="W9" i="62"/>
  <c r="W11" i="62"/>
  <c r="W34" i="62"/>
  <c r="W14" i="62"/>
  <c r="W16" i="62"/>
  <c r="W20" i="62"/>
  <c r="W18" i="62"/>
  <c r="W9" i="63" l="1"/>
  <c r="W19" i="63"/>
  <c r="T3" i="63"/>
  <c r="F9" i="51" s="1"/>
  <c r="C29" i="26" s="1"/>
  <c r="V45" i="62"/>
  <c r="W45" i="62" s="1"/>
  <c r="N253" i="28"/>
  <c r="V32" i="63"/>
  <c r="W32" i="63" s="1"/>
  <c r="N290" i="28"/>
  <c r="V23" i="63"/>
  <c r="W23" i="63" s="1"/>
  <c r="N281" i="28"/>
  <c r="V47" i="62"/>
  <c r="W47" i="62" s="1"/>
  <c r="N255" i="28"/>
  <c r="V15" i="62"/>
  <c r="W15" i="62" s="1"/>
  <c r="N223" i="28"/>
  <c r="V14" i="63"/>
  <c r="W14" i="63" s="1"/>
  <c r="N272" i="28"/>
  <c r="V48" i="62"/>
  <c r="W48" i="62" s="1"/>
  <c r="N256" i="28"/>
  <c r="V28" i="63"/>
  <c r="W28" i="63" s="1"/>
  <c r="N286" i="28"/>
  <c r="V49" i="63"/>
  <c r="W49" i="63" s="1"/>
  <c r="N307" i="28"/>
  <c r="V12" i="63"/>
  <c r="W12" i="63" s="1"/>
  <c r="N270" i="28"/>
  <c r="V34" i="63"/>
  <c r="W34" i="63" s="1"/>
  <c r="N292" i="28"/>
  <c r="V53" i="62"/>
  <c r="W53" i="62" s="1"/>
  <c r="N261" i="28"/>
  <c r="V24" i="62"/>
  <c r="W24" i="62" s="1"/>
  <c r="N232" i="28"/>
  <c r="V43" i="62"/>
  <c r="W43" i="62" s="1"/>
  <c r="N251" i="28"/>
  <c r="V13" i="63"/>
  <c r="W13" i="63" s="1"/>
  <c r="N271" i="28"/>
  <c r="V36" i="63"/>
  <c r="W36" i="63" s="1"/>
  <c r="N294" i="28"/>
  <c r="V27" i="63"/>
  <c r="W27" i="63" s="1"/>
  <c r="N285" i="28"/>
  <c r="V43" i="63"/>
  <c r="W43" i="63" s="1"/>
  <c r="N301" i="28"/>
  <c r="V33" i="62"/>
  <c r="W33" i="62" s="1"/>
  <c r="N241" i="28"/>
  <c r="V25" i="62"/>
  <c r="W25" i="62" s="1"/>
  <c r="N233" i="28"/>
  <c r="V46" i="62"/>
  <c r="W46" i="62" s="1"/>
  <c r="N254" i="28"/>
  <c r="V40" i="62"/>
  <c r="W40" i="62" s="1"/>
  <c r="N248" i="28"/>
  <c r="V29" i="62"/>
  <c r="W29" i="62" s="1"/>
  <c r="N237" i="28"/>
  <c r="V38" i="63"/>
  <c r="W38" i="63" s="1"/>
  <c r="N296" i="28"/>
  <c r="V27" i="62"/>
  <c r="W27" i="62" s="1"/>
  <c r="N235" i="28"/>
  <c r="V25" i="63"/>
  <c r="W25" i="63" s="1"/>
  <c r="N283" i="28"/>
  <c r="V15" i="63"/>
  <c r="W15" i="63" s="1"/>
  <c r="N273" i="28"/>
  <c r="V44" i="63"/>
  <c r="W44" i="63" s="1"/>
  <c r="N302" i="28"/>
  <c r="V35" i="62"/>
  <c r="W35" i="62" s="1"/>
  <c r="N243" i="28"/>
  <c r="V18" i="63"/>
  <c r="W18" i="63" s="1"/>
  <c r="N276" i="28"/>
  <c r="V45" i="63"/>
  <c r="W45" i="63" s="1"/>
  <c r="N303" i="28"/>
  <c r="V20" i="63"/>
  <c r="W20" i="63" s="1"/>
  <c r="N278" i="28"/>
  <c r="V38" i="62"/>
  <c r="W38" i="62" s="1"/>
  <c r="N246" i="28"/>
  <c r="V53" i="63"/>
  <c r="W53" i="63" s="1"/>
  <c r="N311" i="28"/>
  <c r="V50" i="63"/>
  <c r="W50" i="63" s="1"/>
  <c r="N308" i="28"/>
  <c r="V48" i="63"/>
  <c r="W48" i="63" s="1"/>
  <c r="N306" i="28"/>
  <c r="V24" i="63"/>
  <c r="W24" i="63" s="1"/>
  <c r="N282" i="28"/>
  <c r="V17" i="62"/>
  <c r="W17" i="62" s="1"/>
  <c r="N225" i="28"/>
  <c r="V23" i="62"/>
  <c r="W23" i="62" s="1"/>
  <c r="N231" i="28"/>
  <c r="V44" i="62"/>
  <c r="W44" i="62" s="1"/>
  <c r="N252" i="28"/>
  <c r="V22" i="62"/>
  <c r="W22" i="62" s="1"/>
  <c r="N230" i="28"/>
  <c r="V22" i="63"/>
  <c r="W22" i="63" s="1"/>
  <c r="N280" i="28"/>
  <c r="V52" i="63"/>
  <c r="W52" i="63" s="1"/>
  <c r="N310" i="28"/>
  <c r="V31" i="63"/>
  <c r="W31" i="63" s="1"/>
  <c r="N289" i="28"/>
  <c r="V47" i="63"/>
  <c r="W47" i="63" s="1"/>
  <c r="N305" i="28"/>
  <c r="V21" i="62"/>
  <c r="W21" i="62" s="1"/>
  <c r="N229" i="28"/>
  <c r="V13" i="62"/>
  <c r="W13" i="62" s="1"/>
  <c r="N221" i="28"/>
  <c r="V54" i="62"/>
  <c r="W54" i="62" s="1"/>
  <c r="N262" i="28"/>
  <c r="V29" i="63"/>
  <c r="W29" i="63" s="1"/>
  <c r="N287" i="28"/>
  <c r="V42" i="62"/>
  <c r="W42" i="62" s="1"/>
  <c r="N250" i="28"/>
  <c r="V40" i="63"/>
  <c r="W40" i="63" s="1"/>
  <c r="N298" i="28"/>
  <c r="V41" i="62"/>
  <c r="W41" i="62" s="1"/>
  <c r="N249" i="28"/>
  <c r="V41" i="63"/>
  <c r="W41" i="63" s="1"/>
  <c r="N299" i="28"/>
  <c r="V54" i="63"/>
  <c r="W54" i="63" s="1"/>
  <c r="N312" i="28"/>
  <c r="V21" i="63"/>
  <c r="W21" i="63" s="1"/>
  <c r="N279" i="28"/>
  <c r="V19" i="62"/>
  <c r="W19" i="62" s="1"/>
  <c r="N227" i="28"/>
  <c r="V31" i="62"/>
  <c r="W31" i="62" s="1"/>
  <c r="N239" i="28"/>
  <c r="V39" i="63"/>
  <c r="W39" i="63" s="1"/>
  <c r="N297" i="28"/>
  <c r="V16" i="63"/>
  <c r="W16" i="63" s="1"/>
  <c r="N274" i="28"/>
  <c r="V37" i="62"/>
  <c r="W37" i="62" s="1"/>
  <c r="N245" i="28"/>
  <c r="V12" i="62"/>
  <c r="W12" i="62" s="1"/>
  <c r="N220" i="28"/>
  <c r="V52" i="62"/>
  <c r="W52" i="62" s="1"/>
  <c r="N260" i="28"/>
  <c r="V10" i="63"/>
  <c r="W10" i="63" s="1"/>
  <c r="N268" i="28"/>
  <c r="V30" i="63"/>
  <c r="W30" i="63" s="1"/>
  <c r="N288" i="28"/>
  <c r="V42" i="63"/>
  <c r="W42" i="63" s="1"/>
  <c r="N300" i="28"/>
  <c r="V35" i="63"/>
  <c r="W35" i="63" s="1"/>
  <c r="N293" i="28"/>
  <c r="V51" i="63"/>
  <c r="W51" i="63" s="1"/>
  <c r="N309" i="28"/>
  <c r="V39" i="62"/>
  <c r="W39" i="62" s="1"/>
  <c r="N247" i="28"/>
  <c r="V30" i="62"/>
  <c r="W30" i="62" s="1"/>
  <c r="N238" i="28"/>
  <c r="V49" i="62"/>
  <c r="W49" i="62" s="1"/>
  <c r="N257" i="28"/>
  <c r="V37" i="63"/>
  <c r="W37" i="63" s="1"/>
  <c r="N295" i="28"/>
  <c r="V17" i="63"/>
  <c r="W17" i="63" s="1"/>
  <c r="N275" i="28"/>
  <c r="V26" i="63"/>
  <c r="W26" i="63" s="1"/>
  <c r="N284" i="28"/>
  <c r="V32" i="62"/>
  <c r="W32" i="62" s="1"/>
  <c r="N240" i="28"/>
  <c r="V51" i="62"/>
  <c r="W51" i="62" s="1"/>
  <c r="N259" i="28"/>
  <c r="V46" i="63"/>
  <c r="W46" i="63" s="1"/>
  <c r="N304" i="28"/>
  <c r="V33" i="63"/>
  <c r="W33" i="63" s="1"/>
  <c r="N291" i="28"/>
  <c r="V50" i="62"/>
  <c r="W50" i="62" s="1"/>
  <c r="N258" i="28"/>
  <c r="Q3" i="63"/>
  <c r="C9" i="51" s="1"/>
  <c r="I9" i="51" s="1"/>
  <c r="Q57" i="63"/>
  <c r="V8" i="63"/>
  <c r="Q58" i="63"/>
  <c r="Q3" i="62"/>
  <c r="C8" i="51" s="1"/>
  <c r="I8" i="51" s="1"/>
  <c r="T57" i="63"/>
  <c r="V10" i="62"/>
  <c r="V6" i="63"/>
  <c r="W5" i="63"/>
  <c r="V3" i="62" l="1"/>
  <c r="H8" i="51" s="1"/>
  <c r="V3" i="63"/>
  <c r="V57" i="63"/>
  <c r="W57" i="63" s="1"/>
  <c r="W8" i="63"/>
  <c r="V58" i="63"/>
  <c r="W58" i="63" s="1"/>
  <c r="W6" i="63"/>
  <c r="C12" i="26"/>
  <c r="C11" i="26"/>
  <c r="C10" i="26"/>
  <c r="W3" i="63" l="1"/>
  <c r="H9" i="51"/>
  <c r="B3" i="58"/>
  <c r="D29" i="52"/>
  <c r="D28" i="52"/>
  <c r="B4" i="58"/>
  <c r="D4" i="58"/>
  <c r="E4" i="58"/>
  <c r="B5" i="58"/>
  <c r="C5" i="58"/>
  <c r="D5" i="58"/>
  <c r="E5" i="58"/>
  <c r="F5" i="58"/>
  <c r="B6" i="58"/>
  <c r="C6" i="58"/>
  <c r="D6" i="58"/>
  <c r="E6" i="58"/>
  <c r="F6" i="58"/>
  <c r="B7" i="58"/>
  <c r="C7" i="58"/>
  <c r="D7" i="58"/>
  <c r="E7" i="58"/>
  <c r="F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H3" i="58" s="1"/>
  <c r="L7" i="22"/>
  <c r="K7" i="22"/>
  <c r="L6" i="22"/>
  <c r="K6" i="22"/>
  <c r="I3" i="58" l="1"/>
  <c r="Q249" i="22"/>
  <c r="N249" i="22"/>
  <c r="Q246" i="22"/>
  <c r="N246" i="22"/>
  <c r="Q243" i="22"/>
  <c r="N243" i="22"/>
  <c r="Q240" i="22"/>
  <c r="N240" i="22"/>
  <c r="Q237" i="22"/>
  <c r="N237" i="22"/>
  <c r="Q234" i="22"/>
  <c r="N234" i="22"/>
  <c r="Q231" i="22"/>
  <c r="N231" i="22"/>
  <c r="Q228" i="22"/>
  <c r="L11" i="22" s="1"/>
  <c r="N228" i="22"/>
  <c r="K11" i="22" s="1"/>
  <c r="T8" i="62" s="1"/>
  <c r="W8" i="62" s="1"/>
  <c r="Q225" i="22"/>
  <c r="N225" i="22"/>
  <c r="Q222" i="22"/>
  <c r="N222" i="22"/>
  <c r="Q215" i="22"/>
  <c r="N215" i="22"/>
  <c r="Q211" i="22"/>
  <c r="N211" i="22"/>
  <c r="Q207" i="22"/>
  <c r="N207" i="22"/>
  <c r="Q203" i="22"/>
  <c r="N203" i="22"/>
  <c r="Q199" i="22"/>
  <c r="N199" i="22"/>
  <c r="Q195" i="22"/>
  <c r="N195" i="22"/>
  <c r="Q191" i="22"/>
  <c r="N191" i="22"/>
  <c r="Q187" i="22"/>
  <c r="L10" i="22" s="1"/>
  <c r="N187" i="22"/>
  <c r="K10" i="22" s="1"/>
  <c r="Q183" i="22"/>
  <c r="N183" i="22"/>
  <c r="Q179" i="22"/>
  <c r="N179" i="22"/>
  <c r="S174" i="22"/>
  <c r="P174" i="22"/>
  <c r="S172" i="22"/>
  <c r="P172" i="22"/>
  <c r="S170" i="22"/>
  <c r="P170" i="22"/>
  <c r="S168" i="22"/>
  <c r="P168" i="22"/>
  <c r="S166" i="22"/>
  <c r="P166" i="22"/>
  <c r="S164" i="22"/>
  <c r="P164" i="22"/>
  <c r="S162" i="22"/>
  <c r="P162" i="22"/>
  <c r="S160" i="22"/>
  <c r="L9" i="22" s="1"/>
  <c r="P160" i="22"/>
  <c r="K9" i="22" s="1"/>
  <c r="T7" i="62" s="1"/>
  <c r="W7" i="62" s="1"/>
  <c r="S158" i="22"/>
  <c r="P158" i="22"/>
  <c r="S156" i="22"/>
  <c r="P156" i="22"/>
  <c r="N124" i="22"/>
  <c r="L124" i="22"/>
  <c r="L123" i="22"/>
  <c r="F4" i="58"/>
  <c r="H4" i="58" s="1"/>
  <c r="L122" i="22"/>
  <c r="C4" i="58" s="1"/>
  <c r="I4" i="58" s="1"/>
  <c r="T10" i="62" l="1"/>
  <c r="W10" i="62" s="1"/>
  <c r="T6" i="62"/>
  <c r="W6" i="62" s="1"/>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S3" i="62" l="1"/>
  <c r="E8" i="51" s="1"/>
  <c r="D16" i="26" s="1"/>
  <c r="T5" i="62"/>
  <c r="R3" i="62"/>
  <c r="D8" i="51" s="1"/>
  <c r="C16" i="26" s="1"/>
  <c r="F15" i="55"/>
  <c r="J15" i="55"/>
  <c r="K15" i="55" s="1"/>
  <c r="F27" i="55"/>
  <c r="J27" i="55"/>
  <c r="K27" i="55" s="1"/>
  <c r="O12" i="55"/>
  <c r="J12" i="55"/>
  <c r="K12" i="55" s="1"/>
  <c r="M28" i="55"/>
  <c r="J28" i="55"/>
  <c r="K28" i="55" s="1"/>
  <c r="M32" i="55"/>
  <c r="J32" i="55"/>
  <c r="K32" i="55" s="1"/>
  <c r="F19" i="55"/>
  <c r="J19" i="55"/>
  <c r="K19" i="55" s="1"/>
  <c r="F35" i="55"/>
  <c r="J35" i="55"/>
  <c r="K35" i="55" s="1"/>
  <c r="M8" i="55"/>
  <c r="J8" i="55"/>
  <c r="K8" i="55" s="1"/>
  <c r="O20" i="55"/>
  <c r="J20" i="55"/>
  <c r="K20" i="55" s="1"/>
  <c r="J9" i="55"/>
  <c r="K9" i="55" s="1"/>
  <c r="J13" i="55"/>
  <c r="K13" i="55" s="1"/>
  <c r="O17" i="55"/>
  <c r="J17" i="55"/>
  <c r="K17" i="55" s="1"/>
  <c r="O21" i="55"/>
  <c r="J21" i="55"/>
  <c r="K21" i="55" s="1"/>
  <c r="O25" i="55"/>
  <c r="J25" i="55"/>
  <c r="K25" i="55" s="1"/>
  <c r="O29" i="55"/>
  <c r="J29" i="55"/>
  <c r="K29" i="55" s="1"/>
  <c r="O33" i="55"/>
  <c r="J33" i="55"/>
  <c r="K33" i="55" s="1"/>
  <c r="F11" i="55"/>
  <c r="J11" i="55"/>
  <c r="K11" i="55" s="1"/>
  <c r="F23" i="55"/>
  <c r="J23" i="55"/>
  <c r="K23" i="55" s="1"/>
  <c r="F31" i="55"/>
  <c r="J31" i="55"/>
  <c r="K31" i="55" s="1"/>
  <c r="O16" i="55"/>
  <c r="J16" i="55"/>
  <c r="K16" i="55" s="1"/>
  <c r="M24" i="55"/>
  <c r="J24" i="55"/>
  <c r="K24" i="55" s="1"/>
  <c r="F10" i="55"/>
  <c r="J10" i="55"/>
  <c r="K10" i="55" s="1"/>
  <c r="F14" i="55"/>
  <c r="J14" i="55"/>
  <c r="K14" i="55" s="1"/>
  <c r="F18" i="55"/>
  <c r="J18" i="55"/>
  <c r="K18" i="55" s="1"/>
  <c r="F22" i="55"/>
  <c r="J22" i="55"/>
  <c r="K22" i="55" s="1"/>
  <c r="F26" i="55"/>
  <c r="J26" i="55"/>
  <c r="K26" i="55" s="1"/>
  <c r="F30" i="55"/>
  <c r="J30" i="55"/>
  <c r="K30" i="55" s="1"/>
  <c r="F34" i="55"/>
  <c r="J34" i="55"/>
  <c r="K34" i="55" s="1"/>
  <c r="O7" i="55"/>
  <c r="J7" i="55"/>
  <c r="K7" i="55" s="1"/>
  <c r="L18" i="55"/>
  <c r="N18" i="55" s="1"/>
  <c r="O8" i="55"/>
  <c r="M13" i="55"/>
  <c r="L13" i="55"/>
  <c r="N13" i="55" s="1"/>
  <c r="M21" i="55"/>
  <c r="M9" i="55"/>
  <c r="O18" i="55"/>
  <c r="O14" i="55"/>
  <c r="F21" i="55"/>
  <c r="F13" i="55"/>
  <c r="O26" i="55"/>
  <c r="M29" i="55"/>
  <c r="L14" i="55"/>
  <c r="N14" i="55" s="1"/>
  <c r="F29" i="55"/>
  <c r="F33" i="55"/>
  <c r="L10" i="55"/>
  <c r="N10" i="55" s="1"/>
  <c r="L22" i="55"/>
  <c r="N22" i="55" s="1"/>
  <c r="L25" i="55"/>
  <c r="N25" i="55" s="1"/>
  <c r="O28" i="55"/>
  <c r="L30" i="55"/>
  <c r="N30" i="55" s="1"/>
  <c r="L33" i="55"/>
  <c r="N33" i="55" s="1"/>
  <c r="F17" i="55"/>
  <c r="O10" i="55"/>
  <c r="L17" i="55"/>
  <c r="N17" i="55" s="1"/>
  <c r="O22" i="55"/>
  <c r="M25" i="55"/>
  <c r="O30" i="55"/>
  <c r="M33" i="55"/>
  <c r="M17" i="55"/>
  <c r="F25" i="55"/>
  <c r="F9" i="55"/>
  <c r="L9" i="55"/>
  <c r="N9" i="55" s="1"/>
  <c r="L21" i="55"/>
  <c r="N21" i="55" s="1"/>
  <c r="O24" i="55"/>
  <c r="L26" i="55"/>
  <c r="N26" i="55" s="1"/>
  <c r="L29" i="55"/>
  <c r="N29" i="55" s="1"/>
  <c r="O32" i="55"/>
  <c r="O34" i="55"/>
  <c r="F7" i="55"/>
  <c r="L34" i="55"/>
  <c r="N34" i="55" s="1"/>
  <c r="F8" i="55"/>
  <c r="O9" i="55"/>
  <c r="M10" i="55"/>
  <c r="F12" i="55"/>
  <c r="O13" i="55"/>
  <c r="M14" i="55"/>
  <c r="F16" i="55"/>
  <c r="M18" i="55"/>
  <c r="F20" i="55"/>
  <c r="M22" i="55"/>
  <c r="F24" i="55"/>
  <c r="M26" i="55"/>
  <c r="F28" i="55"/>
  <c r="M30" i="55"/>
  <c r="F32" i="55"/>
  <c r="M34" i="55"/>
  <c r="L7" i="55"/>
  <c r="N7" i="55" s="1"/>
  <c r="L11" i="55"/>
  <c r="N11" i="55" s="1"/>
  <c r="L15" i="55"/>
  <c r="N15" i="55" s="1"/>
  <c r="L19" i="55"/>
  <c r="N19" i="55" s="1"/>
  <c r="L23" i="55"/>
  <c r="N23" i="55" s="1"/>
  <c r="L27" i="55"/>
  <c r="N27" i="55" s="1"/>
  <c r="L31" i="55"/>
  <c r="N31" i="55" s="1"/>
  <c r="L35" i="55"/>
  <c r="N35" i="55" s="1"/>
  <c r="M23" i="55"/>
  <c r="M27" i="55"/>
  <c r="M35" i="55"/>
  <c r="M7" i="55"/>
  <c r="M11" i="55"/>
  <c r="M15" i="55"/>
  <c r="L8" i="55"/>
  <c r="N8" i="55" s="1"/>
  <c r="M19" i="55"/>
  <c r="M31" i="55"/>
  <c r="L12" i="55"/>
  <c r="N12" i="55" s="1"/>
  <c r="L16" i="55"/>
  <c r="N16" i="55" s="1"/>
  <c r="L20" i="55"/>
  <c r="N20" i="55" s="1"/>
  <c r="L24" i="55"/>
  <c r="N24" i="55" s="1"/>
  <c r="L28" i="55"/>
  <c r="N28" i="55" s="1"/>
  <c r="L32" i="55"/>
  <c r="N32" i="55" s="1"/>
  <c r="O11" i="55"/>
  <c r="M12" i="55"/>
  <c r="O15" i="55"/>
  <c r="M16" i="55"/>
  <c r="O19" i="55"/>
  <c r="M20" i="55"/>
  <c r="O23" i="55"/>
  <c r="O27" i="55"/>
  <c r="O31" i="55"/>
  <c r="O35" i="55"/>
  <c r="T3" i="62" l="1"/>
  <c r="W5" i="62"/>
  <c r="P16" i="55"/>
  <c r="Q16" i="55" s="1"/>
  <c r="P33" i="55"/>
  <c r="Q33" i="55" s="1"/>
  <c r="P25" i="55"/>
  <c r="Q25" i="55" s="1"/>
  <c r="P17" i="55"/>
  <c r="Q17" i="55" s="1"/>
  <c r="P12" i="55"/>
  <c r="Q12" i="55" s="1"/>
  <c r="P20" i="55"/>
  <c r="Q20" i="55" s="1"/>
  <c r="P8" i="55"/>
  <c r="Q8" i="55" s="1"/>
  <c r="P29" i="55"/>
  <c r="Q29" i="55" s="1"/>
  <c r="P21" i="55"/>
  <c r="Q21" i="55" s="1"/>
  <c r="P13" i="55"/>
  <c r="Q13" i="55" s="1"/>
  <c r="P28" i="55"/>
  <c r="Q28" i="55" s="1"/>
  <c r="P9" i="55"/>
  <c r="Q9" i="55" s="1"/>
  <c r="P35" i="55"/>
  <c r="Q35" i="55" s="1"/>
  <c r="P7" i="55"/>
  <c r="Q7" i="55" s="1"/>
  <c r="P19" i="55"/>
  <c r="Q19" i="55" s="1"/>
  <c r="P10" i="55"/>
  <c r="Q10" i="55" s="1"/>
  <c r="P27" i="55"/>
  <c r="Q27" i="55" s="1"/>
  <c r="P30" i="55"/>
  <c r="Q30" i="55" s="1"/>
  <c r="P18" i="55"/>
  <c r="Q18" i="55" s="1"/>
  <c r="P14" i="55"/>
  <c r="Q14" i="55" s="1"/>
  <c r="P15" i="55"/>
  <c r="Q15" i="55" s="1"/>
  <c r="P22" i="55"/>
  <c r="Q22" i="55" s="1"/>
  <c r="P24" i="55"/>
  <c r="Q24" i="55" s="1"/>
  <c r="P26" i="55"/>
  <c r="Q26" i="55" s="1"/>
  <c r="P32" i="55"/>
  <c r="Q32" i="55" s="1"/>
  <c r="P31" i="55"/>
  <c r="Q31" i="55" s="1"/>
  <c r="P34" i="55"/>
  <c r="Q34" i="55" s="1"/>
  <c r="P11" i="55"/>
  <c r="Q11" i="55" s="1"/>
  <c r="P23" i="55"/>
  <c r="Q23" i="55" s="1"/>
  <c r="W3" i="62" l="1"/>
  <c r="F8" i="51"/>
  <c r="C28" i="26" s="1"/>
  <c r="B28" i="57"/>
  <c r="B39" i="55"/>
  <c r="B38" i="46"/>
  <c r="B58" i="27"/>
  <c r="B59" i="1"/>
  <c r="B42" i="37"/>
  <c r="B33" i="61" s="1"/>
  <c r="B47" i="52"/>
  <c r="B20"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D193" i="28"/>
  <c r="D194" i="28"/>
  <c r="D195" i="28"/>
  <c r="D196" i="28"/>
  <c r="D197" i="28"/>
  <c r="D198" i="28"/>
  <c r="D199" i="28"/>
  <c r="D200" i="28"/>
  <c r="D201" i="28"/>
  <c r="D202" i="28"/>
  <c r="D203" i="28"/>
  <c r="D204" i="28"/>
  <c r="D205" i="28"/>
  <c r="D206" i="28"/>
  <c r="D207" i="28"/>
  <c r="D208" i="28"/>
  <c r="D209" i="28"/>
  <c r="D210" i="28"/>
  <c r="D211" i="28"/>
  <c r="D212" i="28"/>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31" i="26"/>
  <c r="B32" i="26"/>
  <c r="B33" i="26"/>
  <c r="B34" i="26"/>
  <c r="B30" i="26"/>
  <c r="B19" i="26"/>
  <c r="B20" i="26"/>
  <c r="B21" i="26"/>
  <c r="B22" i="26"/>
  <c r="B18" i="26"/>
  <c r="Q15" i="57"/>
  <c r="N203" i="28" s="1"/>
  <c r="R15" i="57"/>
  <c r="T15" i="57" s="1"/>
  <c r="S15" i="57"/>
  <c r="H203" i="28" s="1"/>
  <c r="U15" i="57"/>
  <c r="Q16" i="57"/>
  <c r="N204" i="28" s="1"/>
  <c r="R16" i="57"/>
  <c r="T16" i="57" s="1"/>
  <c r="S16" i="57"/>
  <c r="H204" i="28" s="1"/>
  <c r="U16" i="57"/>
  <c r="Q17" i="57"/>
  <c r="N205" i="28" s="1"/>
  <c r="R17" i="57"/>
  <c r="T17" i="57" s="1"/>
  <c r="S17" i="57"/>
  <c r="H205" i="28" s="1"/>
  <c r="U17" i="57"/>
  <c r="Q18" i="57"/>
  <c r="N206" i="28" s="1"/>
  <c r="R18" i="57"/>
  <c r="T18" i="57" s="1"/>
  <c r="S18" i="57"/>
  <c r="H206" i="28" s="1"/>
  <c r="U18" i="57"/>
  <c r="Q19" i="57"/>
  <c r="N207" i="28" s="1"/>
  <c r="R19" i="57"/>
  <c r="T19" i="57" s="1"/>
  <c r="S19" i="57"/>
  <c r="H207" i="28" s="1"/>
  <c r="U19" i="57"/>
  <c r="Q20" i="57"/>
  <c r="N208" i="28" s="1"/>
  <c r="R20" i="57"/>
  <c r="T20" i="57" s="1"/>
  <c r="S20" i="57"/>
  <c r="H208" i="28" s="1"/>
  <c r="U20" i="57"/>
  <c r="Q21" i="57"/>
  <c r="N209" i="28" s="1"/>
  <c r="R21" i="57"/>
  <c r="T21" i="57" s="1"/>
  <c r="S21" i="57"/>
  <c r="H209" i="28" s="1"/>
  <c r="U21" i="57"/>
  <c r="Q22" i="57"/>
  <c r="N210" i="28" s="1"/>
  <c r="R22" i="57"/>
  <c r="T22" i="57" s="1"/>
  <c r="S22" i="57"/>
  <c r="H210" i="28" s="1"/>
  <c r="U22" i="57"/>
  <c r="Q23" i="57"/>
  <c r="N211" i="28" s="1"/>
  <c r="R23" i="57"/>
  <c r="T23" i="57" s="1"/>
  <c r="S23" i="57"/>
  <c r="H211" i="28" s="1"/>
  <c r="U23" i="57"/>
  <c r="Q24" i="57"/>
  <c r="N212" i="28" s="1"/>
  <c r="R24" i="57"/>
  <c r="T24" i="57" s="1"/>
  <c r="S24" i="57"/>
  <c r="H212" i="28" s="1"/>
  <c r="U24" i="57"/>
  <c r="Q8" i="57"/>
  <c r="N196" i="28" s="1"/>
  <c r="Q9" i="57"/>
  <c r="N197" i="28" s="1"/>
  <c r="Q10" i="57"/>
  <c r="N198" i="28" s="1"/>
  <c r="Q11" i="57"/>
  <c r="N199" i="28" s="1"/>
  <c r="Q12" i="57"/>
  <c r="N200" i="28" s="1"/>
  <c r="Q13" i="57"/>
  <c r="N201" i="28" s="1"/>
  <c r="Q14" i="57"/>
  <c r="N202" i="28" s="1"/>
  <c r="S5" i="57"/>
  <c r="S6" i="57"/>
  <c r="H194" i="28" s="1"/>
  <c r="S7" i="57"/>
  <c r="H195" i="28" s="1"/>
  <c r="S8" i="57"/>
  <c r="H196" i="28" s="1"/>
  <c r="S9" i="57"/>
  <c r="H197" i="28" s="1"/>
  <c r="S10" i="57"/>
  <c r="H198" i="28" s="1"/>
  <c r="S11" i="57"/>
  <c r="H199" i="28" s="1"/>
  <c r="S12" i="57"/>
  <c r="H200" i="28" s="1"/>
  <c r="S13" i="57"/>
  <c r="H201" i="28" s="1"/>
  <c r="S14" i="57"/>
  <c r="H202" i="28" s="1"/>
  <c r="R5" i="57"/>
  <c r="G193" i="28" s="1"/>
  <c r="F193" i="28" s="1"/>
  <c r="R6" i="57"/>
  <c r="G194" i="28" s="1"/>
  <c r="F194" i="28" s="1"/>
  <c r="R7" i="57"/>
  <c r="G195" i="28" s="1"/>
  <c r="F195" i="28" s="1"/>
  <c r="R8" i="57"/>
  <c r="G196" i="28" s="1"/>
  <c r="F196" i="28" s="1"/>
  <c r="R9" i="57"/>
  <c r="G197" i="28" s="1"/>
  <c r="F197" i="28" s="1"/>
  <c r="R10" i="57"/>
  <c r="G198" i="28" s="1"/>
  <c r="F198" i="28" s="1"/>
  <c r="R11" i="57"/>
  <c r="G199" i="28" s="1"/>
  <c r="F199" i="28" s="1"/>
  <c r="R12" i="57"/>
  <c r="G200" i="28" s="1"/>
  <c r="F200" i="28" s="1"/>
  <c r="R13" i="57"/>
  <c r="G201" i="28" s="1"/>
  <c r="F201" i="28" s="1"/>
  <c r="R14" i="57"/>
  <c r="G202" i="28" s="1"/>
  <c r="F202" i="28" s="1"/>
  <c r="U11" i="57"/>
  <c r="U7" i="57"/>
  <c r="D141" i="28"/>
  <c r="C6"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7" i="1"/>
  <c r="R7" i="1"/>
  <c r="C8" i="1"/>
  <c r="R8" i="1"/>
  <c r="C9" i="1"/>
  <c r="R9" i="1"/>
  <c r="C10" i="1"/>
  <c r="R10" i="1"/>
  <c r="C11" i="1"/>
  <c r="R11" i="1"/>
  <c r="C12" i="1"/>
  <c r="R12" i="1"/>
  <c r="C13" i="1"/>
  <c r="R13" i="1"/>
  <c r="C14" i="1"/>
  <c r="R14" i="1"/>
  <c r="C15" i="1"/>
  <c r="R15" i="1"/>
  <c r="C16" i="1"/>
  <c r="R16" i="1"/>
  <c r="C17" i="1"/>
  <c r="R17" i="1"/>
  <c r="C18" i="1"/>
  <c r="R18" i="1"/>
  <c r="C19" i="1"/>
  <c r="R19" i="1"/>
  <c r="C20" i="1"/>
  <c r="R20" i="1"/>
  <c r="C21" i="1"/>
  <c r="R21" i="1"/>
  <c r="C22" i="1"/>
  <c r="R22" i="1"/>
  <c r="C23" i="1"/>
  <c r="R23" i="1"/>
  <c r="C24" i="1"/>
  <c r="R24" i="1"/>
  <c r="C25" i="1"/>
  <c r="R25" i="1"/>
  <c r="C26" i="1"/>
  <c r="R26" i="1"/>
  <c r="C27" i="1"/>
  <c r="R27" i="1"/>
  <c r="C28" i="1"/>
  <c r="R28" i="1"/>
  <c r="C29" i="1"/>
  <c r="R29" i="1"/>
  <c r="C30" i="1"/>
  <c r="R30" i="1"/>
  <c r="C31" i="1"/>
  <c r="R31" i="1"/>
  <c r="C32" i="1"/>
  <c r="R32" i="1"/>
  <c r="C33" i="1"/>
  <c r="R33" i="1"/>
  <c r="C34" i="1"/>
  <c r="R34" i="1"/>
  <c r="C35" i="1"/>
  <c r="R35" i="1"/>
  <c r="C36" i="1"/>
  <c r="R36" i="1"/>
  <c r="C37" i="1"/>
  <c r="R37" i="1"/>
  <c r="C38" i="1"/>
  <c r="R38" i="1"/>
  <c r="C39" i="1"/>
  <c r="R39" i="1"/>
  <c r="C40" i="1"/>
  <c r="R40" i="1"/>
  <c r="C41" i="1"/>
  <c r="R41" i="1"/>
  <c r="C42" i="1"/>
  <c r="R42" i="1"/>
  <c r="C43" i="1"/>
  <c r="R43" i="1"/>
  <c r="C44" i="1"/>
  <c r="R44" i="1"/>
  <c r="C45" i="1"/>
  <c r="R45" i="1"/>
  <c r="C46" i="1"/>
  <c r="R46" i="1"/>
  <c r="C47" i="1"/>
  <c r="R47" i="1"/>
  <c r="C48" i="1"/>
  <c r="R48" i="1"/>
  <c r="C49" i="1"/>
  <c r="R49" i="1"/>
  <c r="C50" i="1"/>
  <c r="R50" i="1"/>
  <c r="C51" i="1"/>
  <c r="R51" i="1"/>
  <c r="C52" i="1"/>
  <c r="R52" i="1"/>
  <c r="C53" i="1"/>
  <c r="R53" i="1"/>
  <c r="C54" i="1"/>
  <c r="R54" i="1"/>
  <c r="C55" i="1"/>
  <c r="R55" i="1"/>
  <c r="R6" i="1"/>
  <c r="M7" i="1" l="1"/>
  <c r="O7" i="1"/>
  <c r="P7" i="1"/>
  <c r="P11" i="1"/>
  <c r="O11" i="1"/>
  <c r="G203" i="28"/>
  <c r="F203" i="28" s="1"/>
  <c r="M54" i="1"/>
  <c r="P54" i="1"/>
  <c r="O54" i="1"/>
  <c r="M44" i="1"/>
  <c r="O44" i="1"/>
  <c r="P44" i="1"/>
  <c r="M34" i="1"/>
  <c r="P34" i="1"/>
  <c r="O34" i="1"/>
  <c r="M28" i="1"/>
  <c r="P28" i="1"/>
  <c r="O28" i="1"/>
  <c r="M18" i="1"/>
  <c r="P18" i="1"/>
  <c r="O18" i="1"/>
  <c r="M52" i="1"/>
  <c r="O52" i="1"/>
  <c r="P52" i="1"/>
  <c r="P48" i="1"/>
  <c r="O48" i="1"/>
  <c r="M42" i="1"/>
  <c r="P42" i="1"/>
  <c r="O42" i="1"/>
  <c r="M38" i="1"/>
  <c r="P38" i="1"/>
  <c r="O38" i="1"/>
  <c r="M30" i="1"/>
  <c r="P30" i="1"/>
  <c r="O30" i="1"/>
  <c r="M24" i="1"/>
  <c r="P24" i="1"/>
  <c r="O24" i="1"/>
  <c r="M20" i="1"/>
  <c r="P20" i="1"/>
  <c r="O20" i="1"/>
  <c r="M16" i="1"/>
  <c r="P16" i="1"/>
  <c r="O16" i="1"/>
  <c r="M14" i="1"/>
  <c r="P14" i="1"/>
  <c r="O14" i="1"/>
  <c r="M17" i="1"/>
  <c r="P17" i="1"/>
  <c r="O17" i="1"/>
  <c r="M50" i="1"/>
  <c r="P50" i="1"/>
  <c r="O50" i="1"/>
  <c r="M46" i="1"/>
  <c r="P46" i="1"/>
  <c r="O46" i="1"/>
  <c r="M40" i="1"/>
  <c r="P40" i="1"/>
  <c r="O40" i="1"/>
  <c r="M36" i="1"/>
  <c r="O36" i="1"/>
  <c r="P36" i="1"/>
  <c r="M32" i="1"/>
  <c r="P32" i="1"/>
  <c r="O32" i="1"/>
  <c r="M26" i="1"/>
  <c r="P26" i="1"/>
  <c r="O26" i="1"/>
  <c r="M22" i="1"/>
  <c r="P22" i="1"/>
  <c r="O22" i="1"/>
  <c r="M55" i="1"/>
  <c r="P55" i="1"/>
  <c r="O55" i="1"/>
  <c r="M53" i="1"/>
  <c r="P53" i="1"/>
  <c r="O53" i="1"/>
  <c r="M51" i="1"/>
  <c r="P51" i="1"/>
  <c r="O51" i="1"/>
  <c r="M49" i="1"/>
  <c r="P49" i="1"/>
  <c r="O49" i="1"/>
  <c r="M47" i="1"/>
  <c r="P47" i="1"/>
  <c r="O47" i="1"/>
  <c r="M45" i="1"/>
  <c r="P45" i="1"/>
  <c r="O45" i="1"/>
  <c r="M43" i="1"/>
  <c r="P43" i="1"/>
  <c r="O43" i="1"/>
  <c r="M41" i="1"/>
  <c r="P41" i="1"/>
  <c r="O41" i="1"/>
  <c r="M39" i="1"/>
  <c r="P39" i="1"/>
  <c r="O39" i="1"/>
  <c r="M37" i="1"/>
  <c r="P37" i="1"/>
  <c r="O37" i="1"/>
  <c r="M35" i="1"/>
  <c r="P35" i="1"/>
  <c r="O35" i="1"/>
  <c r="M33" i="1"/>
  <c r="P33" i="1"/>
  <c r="O33" i="1"/>
  <c r="M31" i="1"/>
  <c r="P31" i="1"/>
  <c r="O31" i="1"/>
  <c r="M29" i="1"/>
  <c r="P29" i="1"/>
  <c r="O29" i="1"/>
  <c r="M27" i="1"/>
  <c r="P27" i="1"/>
  <c r="O27" i="1"/>
  <c r="M25" i="1"/>
  <c r="O25" i="1"/>
  <c r="P25" i="1"/>
  <c r="M23" i="1"/>
  <c r="P23" i="1"/>
  <c r="O23" i="1"/>
  <c r="M21" i="1"/>
  <c r="P21" i="1"/>
  <c r="O21" i="1"/>
  <c r="P19" i="1"/>
  <c r="O19" i="1"/>
  <c r="M15" i="1"/>
  <c r="P15" i="1"/>
  <c r="O15" i="1"/>
  <c r="M12" i="1"/>
  <c r="O12" i="1"/>
  <c r="P12" i="1"/>
  <c r="M13" i="1"/>
  <c r="O13" i="1"/>
  <c r="P13" i="1"/>
  <c r="M10" i="1"/>
  <c r="O10" i="1"/>
  <c r="P10" i="1"/>
  <c r="M9" i="1"/>
  <c r="P9" i="1"/>
  <c r="O9" i="1"/>
  <c r="M8" i="1"/>
  <c r="O8" i="1"/>
  <c r="P8" i="1"/>
  <c r="O6" i="55"/>
  <c r="J6" i="55"/>
  <c r="D45" i="28"/>
  <c r="F45" i="28" s="1"/>
  <c r="M48" i="1"/>
  <c r="D8" i="28"/>
  <c r="F8" i="28" s="1"/>
  <c r="M11" i="1"/>
  <c r="O31" i="46"/>
  <c r="J31" i="46"/>
  <c r="O27" i="46"/>
  <c r="J27" i="46"/>
  <c r="O23" i="46"/>
  <c r="J23" i="46"/>
  <c r="O19" i="46"/>
  <c r="J19" i="46"/>
  <c r="O15" i="46"/>
  <c r="J15" i="46"/>
  <c r="O11" i="46"/>
  <c r="J11" i="46"/>
  <c r="O7" i="46"/>
  <c r="J7" i="46"/>
  <c r="D16" i="28"/>
  <c r="F16" i="28" s="1"/>
  <c r="M19" i="1"/>
  <c r="H193" i="28"/>
  <c r="G211" i="28"/>
  <c r="F211" i="28" s="1"/>
  <c r="G209" i="28"/>
  <c r="F209" i="28" s="1"/>
  <c r="G212" i="28"/>
  <c r="F212" i="28" s="1"/>
  <c r="G204" i="28"/>
  <c r="F204" i="28" s="1"/>
  <c r="G205" i="28"/>
  <c r="F205" i="28" s="1"/>
  <c r="G206" i="28"/>
  <c r="F206" i="28" s="1"/>
  <c r="G210" i="28"/>
  <c r="F210" i="28" s="1"/>
  <c r="V24" i="57"/>
  <c r="W24" i="57" s="1"/>
  <c r="G207" i="28"/>
  <c r="F207" i="28" s="1"/>
  <c r="G208" i="28"/>
  <c r="F208" i="28" s="1"/>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D139" i="28"/>
  <c r="D50" i="28"/>
  <c r="F50" i="28" s="1"/>
  <c r="D40" i="28"/>
  <c r="F40" i="28" s="1"/>
  <c r="D190" i="28"/>
  <c r="D44" i="28"/>
  <c r="F44" i="28" s="1"/>
  <c r="D47" i="28"/>
  <c r="F47" i="28" s="1"/>
  <c r="D27" i="28"/>
  <c r="F27" i="28" s="1"/>
  <c r="D175" i="28"/>
  <c r="D155" i="28"/>
  <c r="D43" i="28"/>
  <c r="F43" i="28" s="1"/>
  <c r="D23" i="28"/>
  <c r="F23" i="28" s="1"/>
  <c r="D183" i="28"/>
  <c r="D48" i="28"/>
  <c r="F48" i="28" s="1"/>
  <c r="D182" i="28"/>
  <c r="D51" i="28"/>
  <c r="F51" i="28" s="1"/>
  <c r="D31" i="28"/>
  <c r="F31" i="28" s="1"/>
  <c r="D15" i="28"/>
  <c r="F15" i="28" s="1"/>
  <c r="D7" i="28"/>
  <c r="F7" i="28" s="1"/>
  <c r="D167" i="28"/>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V21" i="57"/>
  <c r="W21" i="57" s="1"/>
  <c r="V19" i="57"/>
  <c r="W19" i="57" s="1"/>
  <c r="V17" i="57"/>
  <c r="W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V20" i="57"/>
  <c r="W20" i="57" s="1"/>
  <c r="V18" i="57"/>
  <c r="W18" i="57" s="1"/>
  <c r="V16" i="57"/>
  <c r="W16" i="57" s="1"/>
  <c r="V23" i="57"/>
  <c r="W23" i="57" s="1"/>
  <c r="V22" i="57"/>
  <c r="W22" i="57" s="1"/>
  <c r="V15" i="57"/>
  <c r="W15" i="57" s="1"/>
  <c r="T5" i="57"/>
  <c r="T8" i="57"/>
  <c r="T13" i="57"/>
  <c r="T12" i="57"/>
  <c r="T9" i="57"/>
  <c r="U8" i="57"/>
  <c r="U12" i="57"/>
  <c r="T6" i="57"/>
  <c r="T10" i="57"/>
  <c r="V11" i="57"/>
  <c r="T14" i="57"/>
  <c r="U5" i="57"/>
  <c r="U9" i="57"/>
  <c r="V9" i="57" s="1"/>
  <c r="U13" i="57"/>
  <c r="T7" i="57"/>
  <c r="T11" i="57"/>
  <c r="U6" i="57"/>
  <c r="U10" i="57"/>
  <c r="U14" i="57"/>
  <c r="V14" i="57" s="1"/>
  <c r="O33" i="46"/>
  <c r="O30" i="46"/>
  <c r="O29" i="46"/>
  <c r="O14" i="46"/>
  <c r="O34" i="46"/>
  <c r="O10" i="46"/>
  <c r="O22" i="46"/>
  <c r="O17" i="46"/>
  <c r="O9" i="46"/>
  <c r="O26" i="46"/>
  <c r="O21" i="46"/>
  <c r="O6" i="46"/>
  <c r="O18" i="46"/>
  <c r="O13" i="46"/>
  <c r="O25" i="46"/>
  <c r="O32" i="46"/>
  <c r="O28" i="46"/>
  <c r="O24" i="46"/>
  <c r="O20" i="46"/>
  <c r="O16" i="46"/>
  <c r="O12" i="46"/>
  <c r="O8" i="46"/>
  <c r="K16" i="28" l="1"/>
  <c r="J8" i="28"/>
  <c r="J45" i="28"/>
  <c r="J16" i="28"/>
  <c r="G16" i="28"/>
  <c r="H16" i="28"/>
  <c r="K8" i="28"/>
  <c r="H45" i="28"/>
  <c r="G45" i="28"/>
  <c r="K45" i="28"/>
  <c r="H15" i="28"/>
  <c r="H40" i="28"/>
  <c r="K21" i="28"/>
  <c r="H21" i="28"/>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V10" i="57"/>
  <c r="W10" i="57" s="1"/>
  <c r="V13" i="57"/>
  <c r="W13" i="57" s="1"/>
  <c r="W9" i="57"/>
  <c r="W14" i="57"/>
  <c r="U3" i="57"/>
  <c r="G7" i="51" s="1"/>
  <c r="T3" i="57"/>
  <c r="F7" i="51" s="1"/>
  <c r="C34" i="26" s="1"/>
  <c r="R3" i="57"/>
  <c r="D7" i="51" s="1"/>
  <c r="C22" i="26" s="1"/>
  <c r="V12" i="57"/>
  <c r="W12" i="57" s="1"/>
  <c r="W11" i="57"/>
  <c r="V8" i="57"/>
  <c r="W8" i="57" s="1"/>
  <c r="S3" i="57"/>
  <c r="E7" i="51" s="1"/>
  <c r="D22" i="26" s="1"/>
  <c r="O4" i="55"/>
  <c r="G6" i="51" s="1"/>
  <c r="D33" i="26" s="1"/>
  <c r="D34" i="26" l="1"/>
  <c r="C19" i="33" s="1"/>
  <c r="C6" i="27"/>
  <c r="J6" i="27" s="1"/>
  <c r="C7" i="27"/>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 i="27"/>
  <c r="J5"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5" i="27"/>
  <c r="E53" i="28" s="1"/>
  <c r="M5" i="27"/>
  <c r="K5" i="27"/>
  <c r="L5" i="27"/>
  <c r="O5" i="27"/>
  <c r="O11" i="27"/>
  <c r="P11" i="27" s="1"/>
  <c r="O53" i="27"/>
  <c r="P53" i="27" s="1"/>
  <c r="O51" i="27"/>
  <c r="P51" i="27"/>
  <c r="O49" i="27"/>
  <c r="P49" i="27" s="1"/>
  <c r="O47" i="27"/>
  <c r="P47" i="27"/>
  <c r="O45" i="27"/>
  <c r="P45" i="27" s="1"/>
  <c r="O43" i="27"/>
  <c r="P43" i="27"/>
  <c r="O41" i="27"/>
  <c r="P41" i="27" s="1"/>
  <c r="O39" i="27"/>
  <c r="P39" i="27"/>
  <c r="O37" i="27"/>
  <c r="P37" i="27" s="1"/>
  <c r="O35" i="27"/>
  <c r="P35" i="27"/>
  <c r="O33" i="27"/>
  <c r="P33" i="27" s="1"/>
  <c r="O31" i="27"/>
  <c r="P31" i="27"/>
  <c r="O29" i="27"/>
  <c r="P29" i="27" s="1"/>
  <c r="O27" i="27"/>
  <c r="P27" i="27"/>
  <c r="O25" i="27"/>
  <c r="P25" i="27" s="1"/>
  <c r="O23" i="27"/>
  <c r="P23" i="27"/>
  <c r="O21" i="27"/>
  <c r="P21" i="27" s="1"/>
  <c r="O19" i="27"/>
  <c r="P19" i="27"/>
  <c r="O17" i="27"/>
  <c r="P17" i="27" s="1"/>
  <c r="O15" i="27"/>
  <c r="P15" i="27"/>
  <c r="O13" i="27"/>
  <c r="P13" i="27" s="1"/>
  <c r="O8" i="27"/>
  <c r="O10" i="27"/>
  <c r="P10" i="27"/>
  <c r="O7" i="27"/>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12" i="27"/>
  <c r="P12" i="27"/>
  <c r="O9" i="27"/>
  <c r="P9" i="27"/>
  <c r="O6" i="27"/>
  <c r="P5" i="27" l="1"/>
  <c r="B104" i="28"/>
  <c r="C104" i="28"/>
  <c r="J104" i="28"/>
  <c r="K104" i="28"/>
  <c r="M104" i="28"/>
  <c r="B105" i="28"/>
  <c r="C105" i="28"/>
  <c r="J105" i="28"/>
  <c r="K105" i="28"/>
  <c r="M105" i="28"/>
  <c r="B106" i="28"/>
  <c r="C106" i="28"/>
  <c r="J106" i="28"/>
  <c r="K106" i="28"/>
  <c r="M106" i="28"/>
  <c r="B107" i="28"/>
  <c r="C107" i="28"/>
  <c r="J107" i="28"/>
  <c r="K107" i="28"/>
  <c r="M107" i="28"/>
  <c r="B108" i="28"/>
  <c r="C108" i="28"/>
  <c r="J108" i="28"/>
  <c r="K108" i="28"/>
  <c r="M108" i="28"/>
  <c r="B109" i="28"/>
  <c r="C109" i="28"/>
  <c r="J109" i="28"/>
  <c r="K109" i="28"/>
  <c r="M109" i="28"/>
  <c r="B110" i="28"/>
  <c r="C110" i="28"/>
  <c r="J110" i="28"/>
  <c r="K110" i="28"/>
  <c r="M110" i="28"/>
  <c r="B111" i="28"/>
  <c r="C111" i="28"/>
  <c r="J111" i="28"/>
  <c r="K111" i="28"/>
  <c r="M111" i="28"/>
  <c r="B112" i="28"/>
  <c r="C112" i="28"/>
  <c r="J112" i="28"/>
  <c r="K112" i="28"/>
  <c r="M112" i="28"/>
  <c r="B113" i="28"/>
  <c r="C113" i="28"/>
  <c r="J113" i="28"/>
  <c r="K113" i="28"/>
  <c r="M113" i="28"/>
  <c r="B114" i="28"/>
  <c r="C114" i="28"/>
  <c r="J114" i="28"/>
  <c r="K114" i="28"/>
  <c r="M114" i="28"/>
  <c r="B115" i="28"/>
  <c r="C115" i="28"/>
  <c r="J115" i="28"/>
  <c r="K115" i="28"/>
  <c r="M115" i="28"/>
  <c r="B116" i="28"/>
  <c r="C116" i="28"/>
  <c r="J116" i="28"/>
  <c r="K116" i="28"/>
  <c r="M116" i="28"/>
  <c r="B117" i="28"/>
  <c r="C117" i="28"/>
  <c r="J117" i="28"/>
  <c r="K117" i="28"/>
  <c r="M117" i="28"/>
  <c r="B118" i="28"/>
  <c r="C118" i="28"/>
  <c r="J118" i="28"/>
  <c r="K118" i="28"/>
  <c r="M118" i="28"/>
  <c r="B119" i="28"/>
  <c r="C119" i="28"/>
  <c r="J119" i="28"/>
  <c r="K119" i="28"/>
  <c r="M119" i="28"/>
  <c r="B120" i="28"/>
  <c r="C120" i="28"/>
  <c r="J120" i="28"/>
  <c r="K120" i="28"/>
  <c r="M120" i="28"/>
  <c r="B121" i="28"/>
  <c r="C121" i="28"/>
  <c r="J121" i="28"/>
  <c r="K121" i="28"/>
  <c r="M121" i="28"/>
  <c r="B122" i="28"/>
  <c r="C122" i="28"/>
  <c r="J122" i="28"/>
  <c r="K122" i="28"/>
  <c r="M122" i="28"/>
  <c r="B123" i="28"/>
  <c r="C123" i="28"/>
  <c r="J123" i="28"/>
  <c r="K123" i="28"/>
  <c r="M123" i="28"/>
  <c r="B124" i="28"/>
  <c r="C124" i="28"/>
  <c r="J124" i="28"/>
  <c r="K124" i="28"/>
  <c r="M124" i="28"/>
  <c r="B125" i="28"/>
  <c r="C125" i="28"/>
  <c r="J125" i="28"/>
  <c r="K125" i="28"/>
  <c r="M125" i="28"/>
  <c r="B126" i="28"/>
  <c r="C126" i="28"/>
  <c r="J126" i="28"/>
  <c r="K126" i="28"/>
  <c r="M126" i="28"/>
  <c r="B127" i="28"/>
  <c r="C127" i="28"/>
  <c r="J127" i="28"/>
  <c r="K127" i="28"/>
  <c r="M127" i="28"/>
  <c r="B128" i="28"/>
  <c r="C128" i="28"/>
  <c r="J128" i="28"/>
  <c r="K128" i="28"/>
  <c r="M128" i="28"/>
  <c r="B129" i="28"/>
  <c r="C129" i="28"/>
  <c r="J129" i="28"/>
  <c r="K129" i="28"/>
  <c r="M129" i="28"/>
  <c r="B130" i="28"/>
  <c r="C130" i="28"/>
  <c r="J130" i="28"/>
  <c r="K130" i="28"/>
  <c r="M130" i="28"/>
  <c r="B131" i="28"/>
  <c r="C131" i="28"/>
  <c r="J131" i="28"/>
  <c r="K131" i="28"/>
  <c r="M131" i="28"/>
  <c r="B132" i="28"/>
  <c r="C132" i="28"/>
  <c r="J132" i="28"/>
  <c r="K132" i="28"/>
  <c r="M132" i="28"/>
  <c r="M103" i="28"/>
  <c r="K103" i="28"/>
  <c r="J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40" i="26" l="1"/>
  <c r="B6" i="22"/>
  <c r="Q7" i="57" l="1"/>
  <c r="N195" i="28" s="1"/>
  <c r="Q5" i="57"/>
  <c r="N193" i="28" s="1"/>
  <c r="Q6" i="57"/>
  <c r="R4" i="1"/>
  <c r="G3" i="51" s="1"/>
  <c r="D30" i="26" s="1"/>
  <c r="H53" i="28"/>
  <c r="V7" i="57" l="1"/>
  <c r="W7" i="57" s="1"/>
  <c r="O3" i="64"/>
  <c r="Q3" i="57"/>
  <c r="C7" i="51" s="1"/>
  <c r="V5" i="57"/>
  <c r="W5" i="57" s="1"/>
  <c r="N194" i="28"/>
  <c r="V6" i="57"/>
  <c r="W6" i="57" s="1"/>
  <c r="C5" i="46"/>
  <c r="J5" i="46" s="1"/>
  <c r="AN5" i="22"/>
  <c r="AN6" i="22"/>
  <c r="AN7" i="22"/>
  <c r="AN8" i="22"/>
  <c r="AN9" i="22"/>
  <c r="AN10" i="22"/>
  <c r="AN11" i="22"/>
  <c r="AN4" i="22"/>
  <c r="I7" i="51" l="1"/>
  <c r="V3" i="57"/>
  <c r="W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7" i="51" l="1"/>
  <c r="O3" i="46"/>
  <c r="G5" i="51" s="1"/>
  <c r="H103" i="28"/>
  <c r="N103" i="28"/>
  <c r="P5" i="46"/>
  <c r="N53" i="28"/>
  <c r="N5" i="27"/>
  <c r="D32" i="26" l="1"/>
  <c r="G103" i="28"/>
  <c r="N5" i="46" l="1"/>
  <c r="Q5" i="46" l="1"/>
  <c r="C6" i="1"/>
  <c r="O6" i="1" l="1"/>
  <c r="P6" i="1"/>
  <c r="M6" i="1"/>
  <c r="N6" i="1" s="1"/>
  <c r="F6" i="1"/>
  <c r="E3" i="28" s="1"/>
  <c r="S6"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Q6" i="1"/>
  <c r="T6" i="1" l="1"/>
  <c r="O3" i="27" l="1"/>
  <c r="G4" i="51" s="1"/>
  <c r="G11" i="51" s="1"/>
  <c r="D31" i="26" l="1"/>
  <c r="B19" i="33" s="1"/>
  <c r="B103" i="28"/>
  <c r="B53" i="28"/>
  <c r="B3" i="28"/>
  <c r="D37" i="26" l="1"/>
  <c r="Q5" i="27"/>
  <c r="C7" i="26" l="1"/>
  <c r="D3" i="28"/>
  <c r="K3" i="28" l="1"/>
  <c r="J3" i="28"/>
  <c r="F3" i="28"/>
  <c r="M3" i="28"/>
  <c r="H3" i="28"/>
  <c r="G3" i="28"/>
  <c r="D19" i="33" l="1"/>
  <c r="C13" i="52" l="1"/>
  <c r="F39" i="1" l="1"/>
  <c r="E36" i="28" s="1"/>
  <c r="F15" i="46"/>
  <c r="F6" i="46"/>
  <c r="F20" i="46"/>
  <c r="F17" i="46"/>
  <c r="F16" i="46"/>
  <c r="F24" i="46"/>
  <c r="F29" i="46"/>
  <c r="H5" i="28"/>
  <c r="H146" i="28" l="1"/>
  <c r="G137" i="28"/>
  <c r="L30" i="46"/>
  <c r="L32" i="46"/>
  <c r="F27" i="46"/>
  <c r="F14" i="46"/>
  <c r="F30" i="46"/>
  <c r="F11" i="46"/>
  <c r="F7" i="46"/>
  <c r="Q45" i="1"/>
  <c r="K24" i="46"/>
  <c r="F52" i="1"/>
  <c r="E49" i="28" s="1"/>
  <c r="M8" i="46"/>
  <c r="H106" i="28" s="1"/>
  <c r="N31" i="1"/>
  <c r="N28" i="1"/>
  <c r="E173" i="28"/>
  <c r="E148" i="28"/>
  <c r="F33" i="46"/>
  <c r="F19" i="46"/>
  <c r="N47" i="1"/>
  <c r="K48" i="27"/>
  <c r="N96" i="28" s="1"/>
  <c r="K19" i="46"/>
  <c r="F21" i="46"/>
  <c r="L41" i="27"/>
  <c r="K49" i="27"/>
  <c r="N97" i="28" s="1"/>
  <c r="F46" i="1"/>
  <c r="E43" i="28" s="1"/>
  <c r="K17" i="46"/>
  <c r="H6" i="28"/>
  <c r="F9" i="46"/>
  <c r="F32" i="46"/>
  <c r="H7" i="28"/>
  <c r="F13" i="46"/>
  <c r="H149" i="28"/>
  <c r="H158" i="28"/>
  <c r="H147" i="28"/>
  <c r="H134" i="28"/>
  <c r="H156" i="28"/>
  <c r="H155" i="28"/>
  <c r="H161" i="28"/>
  <c r="H139" i="28"/>
  <c r="H148" i="28"/>
  <c r="H136" i="28"/>
  <c r="H153" i="28"/>
  <c r="H142" i="28"/>
  <c r="H154" i="28"/>
  <c r="H141" i="28"/>
  <c r="H140" i="28"/>
  <c r="H145" i="28"/>
  <c r="H144" i="28"/>
  <c r="H162" i="28"/>
  <c r="H152" i="28"/>
  <c r="H138" i="28"/>
  <c r="H137" i="28"/>
  <c r="H135" i="28"/>
  <c r="H151" i="28"/>
  <c r="H143" i="28"/>
  <c r="H157" i="28"/>
  <c r="H150" i="28"/>
  <c r="H160" i="28"/>
  <c r="H159" i="28"/>
  <c r="K11" i="27"/>
  <c r="N59" i="28" s="1"/>
  <c r="H183" i="28"/>
  <c r="Q29" i="1"/>
  <c r="L10" i="46"/>
  <c r="N35" i="1"/>
  <c r="N43" i="1"/>
  <c r="F8" i="46"/>
  <c r="F28" i="46"/>
  <c r="F10" i="46"/>
  <c r="F34" i="46"/>
  <c r="F18" i="46"/>
  <c r="F22" i="46"/>
  <c r="E192" i="28"/>
  <c r="L12" i="46"/>
  <c r="N18" i="1"/>
  <c r="L45" i="27"/>
  <c r="N8" i="1"/>
  <c r="Q30" i="1"/>
  <c r="K38" i="27"/>
  <c r="N86" i="28" s="1"/>
  <c r="F25" i="46"/>
  <c r="F23" i="46"/>
  <c r="F26" i="46"/>
  <c r="F31" i="46"/>
  <c r="F12" i="46"/>
  <c r="K12" i="27"/>
  <c r="N60" i="28" s="1"/>
  <c r="Q24" i="1"/>
  <c r="K8" i="27"/>
  <c r="M33" i="27"/>
  <c r="H81" i="28" s="1"/>
  <c r="Q48" i="1"/>
  <c r="M17" i="27"/>
  <c r="H65" i="28" s="1"/>
  <c r="L27" i="46"/>
  <c r="F30" i="1"/>
  <c r="E27" i="28" s="1"/>
  <c r="E149" i="28"/>
  <c r="Q13" i="1"/>
  <c r="F48" i="27"/>
  <c r="E96" i="28" s="1"/>
  <c r="K36" i="27"/>
  <c r="N84" i="28" s="1"/>
  <c r="F21" i="27"/>
  <c r="E69" i="28" s="1"/>
  <c r="M12" i="27"/>
  <c r="H60" i="28" s="1"/>
  <c r="Q34" i="1"/>
  <c r="L46" i="27"/>
  <c r="F14" i="27"/>
  <c r="E62" i="28" s="1"/>
  <c r="L14" i="46"/>
  <c r="L40" i="27"/>
  <c r="M29" i="27"/>
  <c r="H77" i="28" s="1"/>
  <c r="Q49" i="1"/>
  <c r="K10" i="27"/>
  <c r="N58" i="28" s="1"/>
  <c r="L26" i="46"/>
  <c r="K19" i="27"/>
  <c r="N67" i="28" s="1"/>
  <c r="M6" i="27"/>
  <c r="N53" i="1"/>
  <c r="K46" i="27"/>
  <c r="N94" i="28" s="1"/>
  <c r="L31" i="46"/>
  <c r="L8" i="46"/>
  <c r="N45" i="1"/>
  <c r="K29" i="27"/>
  <c r="N77" i="28" s="1"/>
  <c r="E164" i="28"/>
  <c r="F20" i="1"/>
  <c r="E17" i="28" s="1"/>
  <c r="K22" i="46"/>
  <c r="L16" i="46"/>
  <c r="M21" i="27"/>
  <c r="H69" i="28" s="1"/>
  <c r="K25" i="27"/>
  <c r="N73" i="28" s="1"/>
  <c r="E140" i="28"/>
  <c r="Q42" i="1"/>
  <c r="K37" i="27"/>
  <c r="N85" i="28" s="1"/>
  <c r="M38" i="27"/>
  <c r="H86" i="28" s="1"/>
  <c r="E138" i="28"/>
  <c r="E184" i="28"/>
  <c r="E151" i="28"/>
  <c r="M27" i="27"/>
  <c r="H75" i="28" s="1"/>
  <c r="M11" i="46"/>
  <c r="H109" i="28" s="1"/>
  <c r="N41" i="1"/>
  <c r="M15" i="46"/>
  <c r="H113" i="28" s="1"/>
  <c r="F26" i="1"/>
  <c r="E23" i="28" s="1"/>
  <c r="Q41" i="1"/>
  <c r="M15" i="27"/>
  <c r="H63" i="28" s="1"/>
  <c r="N50" i="1"/>
  <c r="F50" i="27"/>
  <c r="E98" i="28" s="1"/>
  <c r="F45" i="27"/>
  <c r="E93" i="28" s="1"/>
  <c r="F53" i="1"/>
  <c r="E50" i="28" s="1"/>
  <c r="L33" i="46"/>
  <c r="F13" i="1"/>
  <c r="E10" i="28" s="1"/>
  <c r="F36" i="1"/>
  <c r="E33" i="28" s="1"/>
  <c r="F17" i="1"/>
  <c r="E14" i="28" s="1"/>
  <c r="M19" i="46"/>
  <c r="H117" i="28" s="1"/>
  <c r="L27" i="27"/>
  <c r="M20" i="27"/>
  <c r="H68" i="28" s="1"/>
  <c r="F15" i="1"/>
  <c r="E12" i="28" s="1"/>
  <c r="H178" i="28"/>
  <c r="M20" i="46"/>
  <c r="H118" i="28" s="1"/>
  <c r="E182" i="28"/>
  <c r="Q27" i="1"/>
  <c r="F21" i="1"/>
  <c r="E18" i="28" s="1"/>
  <c r="E144" i="28"/>
  <c r="Q23" i="1"/>
  <c r="L39" i="27"/>
  <c r="K53" i="27"/>
  <c r="N101" i="28" s="1"/>
  <c r="F9" i="27"/>
  <c r="E57" i="28" s="1"/>
  <c r="Q51" i="1"/>
  <c r="M44" i="27"/>
  <c r="H92" i="28" s="1"/>
  <c r="F43" i="1"/>
  <c r="E40" i="28" s="1"/>
  <c r="L52" i="27"/>
  <c r="F34" i="27"/>
  <c r="E82" i="28" s="1"/>
  <c r="M24" i="46"/>
  <c r="H122" i="28" s="1"/>
  <c r="K51" i="27"/>
  <c r="N99" i="28" s="1"/>
  <c r="M37" i="27"/>
  <c r="H85" i="28" s="1"/>
  <c r="M48" i="27"/>
  <c r="H96" i="28" s="1"/>
  <c r="F12" i="27"/>
  <c r="E60" i="28" s="1"/>
  <c r="M32" i="46"/>
  <c r="H130" i="28" s="1"/>
  <c r="M26" i="46"/>
  <c r="H124" i="28" s="1"/>
  <c r="L25" i="46"/>
  <c r="H181" i="28"/>
  <c r="L29" i="27"/>
  <c r="M32" i="27"/>
  <c r="H80" i="28" s="1"/>
  <c r="L34" i="46"/>
  <c r="H171" i="28"/>
  <c r="Q26" i="1"/>
  <c r="E154" i="28"/>
  <c r="K50" i="27"/>
  <c r="N98" i="28" s="1"/>
  <c r="N48" i="1"/>
  <c r="F44" i="27"/>
  <c r="E92" i="28" s="1"/>
  <c r="M31" i="27"/>
  <c r="H79" i="28" s="1"/>
  <c r="F55" i="1"/>
  <c r="E52" i="28" s="1"/>
  <c r="M34" i="46"/>
  <c r="H132" i="28" s="1"/>
  <c r="E155" i="28"/>
  <c r="E153" i="28"/>
  <c r="E150" i="28"/>
  <c r="M33" i="46"/>
  <c r="H131" i="28" s="1"/>
  <c r="F46" i="27"/>
  <c r="E94" i="28" s="1"/>
  <c r="L53" i="27"/>
  <c r="M22" i="27"/>
  <c r="H70" i="28" s="1"/>
  <c r="L48" i="27"/>
  <c r="Q22" i="1"/>
  <c r="N37" i="1"/>
  <c r="Q37" i="1"/>
  <c r="K21" i="27"/>
  <c r="N69" i="28" s="1"/>
  <c r="E158" i="28"/>
  <c r="E191" i="28"/>
  <c r="F18" i="1"/>
  <c r="E15" i="28" s="1"/>
  <c r="F50" i="1"/>
  <c r="E47" i="28" s="1"/>
  <c r="K20" i="27"/>
  <c r="N68" i="28" s="1"/>
  <c r="F32" i="1"/>
  <c r="E29" i="28" s="1"/>
  <c r="M47" i="27"/>
  <c r="H95" i="28" s="1"/>
  <c r="Q44" i="1"/>
  <c r="L20" i="27"/>
  <c r="M35" i="27"/>
  <c r="H83" i="28" s="1"/>
  <c r="H165" i="28"/>
  <c r="E156" i="28"/>
  <c r="K17" i="27"/>
  <c r="N65" i="28" s="1"/>
  <c r="F34" i="1"/>
  <c r="E31" i="28" s="1"/>
  <c r="M22" i="46"/>
  <c r="H120" i="28" s="1"/>
  <c r="M13" i="46"/>
  <c r="H111" i="28" s="1"/>
  <c r="F39" i="27"/>
  <c r="E87" i="28" s="1"/>
  <c r="L17" i="46"/>
  <c r="Q50" i="1"/>
  <c r="E139" i="28"/>
  <c r="F41" i="1"/>
  <c r="E38" i="28" s="1"/>
  <c r="L11" i="27"/>
  <c r="F16" i="27"/>
  <c r="E64" i="28" s="1"/>
  <c r="L20" i="46"/>
  <c r="E142" i="28"/>
  <c r="F6" i="27"/>
  <c r="E54" i="28" s="1"/>
  <c r="F36" i="27"/>
  <c r="E84" i="28" s="1"/>
  <c r="F42" i="27"/>
  <c r="E90" i="28" s="1"/>
  <c r="K26" i="46"/>
  <c r="Q16" i="1"/>
  <c r="H167" i="28"/>
  <c r="N30" i="1"/>
  <c r="F13" i="27"/>
  <c r="E61" i="28" s="1"/>
  <c r="Q31" i="1"/>
  <c r="F8" i="1"/>
  <c r="E5" i="28" s="1"/>
  <c r="K20" i="46"/>
  <c r="M6" i="46"/>
  <c r="L26" i="27"/>
  <c r="H166" i="28"/>
  <c r="E175" i="28"/>
  <c r="M41" i="27"/>
  <c r="H89" i="28" s="1"/>
  <c r="E137" i="28"/>
  <c r="K22" i="27"/>
  <c r="N70" i="28" s="1"/>
  <c r="E152" i="28"/>
  <c r="E160" i="28"/>
  <c r="M11" i="27"/>
  <c r="H59" i="28" s="1"/>
  <c r="M14" i="27"/>
  <c r="H62" i="28" s="1"/>
  <c r="H176" i="28"/>
  <c r="M23" i="46"/>
  <c r="H121" i="28" s="1"/>
  <c r="M14" i="46"/>
  <c r="H112" i="28" s="1"/>
  <c r="H186" i="28"/>
  <c r="K31" i="46"/>
  <c r="N40" i="1"/>
  <c r="K13" i="27"/>
  <c r="N61" i="28" s="1"/>
  <c r="L6" i="46"/>
  <c r="Q36" i="1"/>
  <c r="K27" i="46"/>
  <c r="L23" i="46"/>
  <c r="K9" i="46"/>
  <c r="E134" i="28"/>
  <c r="H170" i="28"/>
  <c r="M16" i="27"/>
  <c r="H64" i="28" s="1"/>
  <c r="M21" i="46"/>
  <c r="H119" i="28" s="1"/>
  <c r="F10" i="1"/>
  <c r="E7" i="28" s="1"/>
  <c r="K35" i="27"/>
  <c r="N83" i="28" s="1"/>
  <c r="E188" i="28"/>
  <c r="E186" i="28"/>
  <c r="N15" i="1"/>
  <c r="Q21" i="1"/>
  <c r="F7" i="1"/>
  <c r="E4" i="28" s="1"/>
  <c r="F30" i="27"/>
  <c r="E78" i="28" s="1"/>
  <c r="E185" i="28"/>
  <c r="H177" i="28"/>
  <c r="L47" i="27"/>
  <c r="K41" i="27"/>
  <c r="N89" i="28" s="1"/>
  <c r="N44" i="1"/>
  <c r="K14" i="27"/>
  <c r="N62" i="28" s="1"/>
  <c r="K44" i="27"/>
  <c r="N92" i="28" s="1"/>
  <c r="L33" i="27"/>
  <c r="K54" i="27"/>
  <c r="N102" i="28" s="1"/>
  <c r="F16" i="1"/>
  <c r="E13" i="28" s="1"/>
  <c r="H172" i="28"/>
  <c r="E143" i="28"/>
  <c r="L8" i="27"/>
  <c r="Q52" i="1"/>
  <c r="F23" i="1"/>
  <c r="E20" i="28" s="1"/>
  <c r="M39" i="27"/>
  <c r="H87" i="28" s="1"/>
  <c r="M18" i="27"/>
  <c r="H66" i="28" s="1"/>
  <c r="F43" i="27"/>
  <c r="E91" i="28" s="1"/>
  <c r="F54" i="1"/>
  <c r="E51" i="28" s="1"/>
  <c r="M53" i="27"/>
  <c r="H101" i="28" s="1"/>
  <c r="F31" i="27"/>
  <c r="E79" i="28" s="1"/>
  <c r="L43" i="27"/>
  <c r="K12" i="46"/>
  <c r="F47" i="27"/>
  <c r="E95" i="28" s="1"/>
  <c r="K47" i="27"/>
  <c r="N95" i="28" s="1"/>
  <c r="Q53" i="1"/>
  <c r="F6" i="55"/>
  <c r="E163" i="28" s="1"/>
  <c r="L21" i="27"/>
  <c r="L34" i="27"/>
  <c r="K25" i="46"/>
  <c r="K28" i="27"/>
  <c r="N76" i="28" s="1"/>
  <c r="M28" i="46"/>
  <c r="H126" i="28" s="1"/>
  <c r="F22" i="1"/>
  <c r="E19" i="28" s="1"/>
  <c r="F32" i="27"/>
  <c r="E80" i="28" s="1"/>
  <c r="L13" i="27"/>
  <c r="N36" i="1"/>
  <c r="F40" i="1"/>
  <c r="E37" i="28" s="1"/>
  <c r="N42" i="1"/>
  <c r="L23" i="27"/>
  <c r="M43" i="27"/>
  <c r="H91" i="28" s="1"/>
  <c r="Q55" i="1"/>
  <c r="F31" i="1"/>
  <c r="E28" i="28" s="1"/>
  <c r="Q32" i="1"/>
  <c r="M34" i="27"/>
  <c r="H82" i="28" s="1"/>
  <c r="M23" i="27"/>
  <c r="H71" i="28" s="1"/>
  <c r="L44" i="27"/>
  <c r="H174" i="28"/>
  <c r="H164" i="28"/>
  <c r="F54" i="27"/>
  <c r="E102" i="28" s="1"/>
  <c r="F47" i="1"/>
  <c r="E44" i="28" s="1"/>
  <c r="N14" i="1"/>
  <c r="K10" i="46"/>
  <c r="M25" i="27"/>
  <c r="H73" i="28" s="1"/>
  <c r="F17" i="27"/>
  <c r="E65" i="28" s="1"/>
  <c r="L54" i="27"/>
  <c r="L42" i="27"/>
  <c r="H190" i="28"/>
  <c r="K32" i="27"/>
  <c r="N80" i="28" s="1"/>
  <c r="E161" i="28"/>
  <c r="M13" i="27"/>
  <c r="H61" i="28" s="1"/>
  <c r="N54" i="1"/>
  <c r="E146" i="28"/>
  <c r="K40" i="27"/>
  <c r="N88" i="28" s="1"/>
  <c r="K34" i="46"/>
  <c r="F51" i="1"/>
  <c r="E48" i="28" s="1"/>
  <c r="L16" i="27"/>
  <c r="M52" i="27"/>
  <c r="H100" i="28" s="1"/>
  <c r="E174" i="28"/>
  <c r="Q43" i="1"/>
  <c r="F35" i="27"/>
  <c r="E83" i="28" s="1"/>
  <c r="L19" i="46"/>
  <c r="K18" i="46"/>
  <c r="E189" i="28"/>
  <c r="Q28" i="1"/>
  <c r="N55" i="1"/>
  <c r="L22" i="46"/>
  <c r="N17" i="1"/>
  <c r="M17" i="46"/>
  <c r="H115" i="28" s="1"/>
  <c r="F9" i="1"/>
  <c r="E6" i="28" s="1"/>
  <c r="Q54" i="1"/>
  <c r="F27" i="1"/>
  <c r="E24" i="28" s="1"/>
  <c r="Q39" i="1"/>
  <c r="F28" i="27"/>
  <c r="E76" i="28" s="1"/>
  <c r="F26" i="27"/>
  <c r="E74" i="28" s="1"/>
  <c r="H173" i="28"/>
  <c r="K43" i="27"/>
  <c r="N91" i="28" s="1"/>
  <c r="K15" i="46"/>
  <c r="M40" i="27"/>
  <c r="H88" i="28" s="1"/>
  <c r="Q46" i="1"/>
  <c r="M8" i="27"/>
  <c r="H56" i="28" s="1"/>
  <c r="F19" i="1"/>
  <c r="E16" i="28" s="1"/>
  <c r="L37" i="27"/>
  <c r="K6" i="27"/>
  <c r="P6" i="27" s="1"/>
  <c r="M9" i="27"/>
  <c r="H57" i="28" s="1"/>
  <c r="L35" i="27"/>
  <c r="M54" i="27"/>
  <c r="H102" i="28" s="1"/>
  <c r="Q40" i="1"/>
  <c r="K15" i="27"/>
  <c r="N63" i="28" s="1"/>
  <c r="N26" i="1"/>
  <c r="M29" i="46"/>
  <c r="H127" i="28" s="1"/>
  <c r="F18" i="27"/>
  <c r="E66" i="28" s="1"/>
  <c r="L21" i="46"/>
  <c r="E147" i="28"/>
  <c r="M6" i="55"/>
  <c r="N9" i="1"/>
  <c r="F25" i="1"/>
  <c r="E22" i="28" s="1"/>
  <c r="F14" i="1"/>
  <c r="E11" i="28" s="1"/>
  <c r="N22" i="1"/>
  <c r="L6" i="55"/>
  <c r="F29" i="1"/>
  <c r="E26" i="28" s="1"/>
  <c r="L15" i="27"/>
  <c r="F37" i="1"/>
  <c r="E34" i="28" s="1"/>
  <c r="E181" i="28"/>
  <c r="E190" i="28"/>
  <c r="M7" i="27"/>
  <c r="H55" i="28" s="1"/>
  <c r="M28" i="27"/>
  <c r="H76" i="28" s="1"/>
  <c r="H169" i="28"/>
  <c r="H184" i="28"/>
  <c r="L11" i="46"/>
  <c r="M30" i="46"/>
  <c r="H128" i="28" s="1"/>
  <c r="F27" i="27"/>
  <c r="E75" i="28" s="1"/>
  <c r="Q17" i="1"/>
  <c r="M31" i="46"/>
  <c r="H129" i="28" s="1"/>
  <c r="E169" i="28"/>
  <c r="E177" i="28"/>
  <c r="F11" i="27"/>
  <c r="E59" i="28" s="1"/>
  <c r="K7" i="46"/>
  <c r="L14" i="27"/>
  <c r="F49" i="27"/>
  <c r="E97" i="28" s="1"/>
  <c r="M30" i="27"/>
  <c r="H78" i="28" s="1"/>
  <c r="F24" i="27"/>
  <c r="E72" i="28" s="1"/>
  <c r="M45" i="27"/>
  <c r="H93" i="28" s="1"/>
  <c r="F38" i="1"/>
  <c r="E35" i="28" s="1"/>
  <c r="F53" i="27"/>
  <c r="E101" i="28" s="1"/>
  <c r="F12" i="1"/>
  <c r="E9" i="28" s="1"/>
  <c r="M9" i="46"/>
  <c r="H107" i="28" s="1"/>
  <c r="L12" i="27"/>
  <c r="K33" i="27"/>
  <c r="N81" i="28" s="1"/>
  <c r="E179" i="28"/>
  <c r="L15" i="46"/>
  <c r="N33" i="1"/>
  <c r="M19" i="27"/>
  <c r="H67" i="28" s="1"/>
  <c r="H182" i="28"/>
  <c r="M10" i="27"/>
  <c r="H58" i="28" s="1"/>
  <c r="F48" i="1"/>
  <c r="E45" i="28" s="1"/>
  <c r="F44" i="1"/>
  <c r="E41" i="28" s="1"/>
  <c r="Q33" i="1"/>
  <c r="K28" i="46"/>
  <c r="K9" i="27"/>
  <c r="N57" i="28" s="1"/>
  <c r="K23" i="27"/>
  <c r="N71" i="28" s="1"/>
  <c r="L51" i="27"/>
  <c r="M10" i="46"/>
  <c r="H108" i="28" s="1"/>
  <c r="K18" i="27"/>
  <c r="N66" i="28" s="1"/>
  <c r="E141" i="28"/>
  <c r="H179" i="28"/>
  <c r="L28" i="46"/>
  <c r="K45" i="27"/>
  <c r="N93" i="28" s="1"/>
  <c r="K29" i="46"/>
  <c r="N32" i="1"/>
  <c r="K39" i="27"/>
  <c r="N87" i="28" s="1"/>
  <c r="H168" i="28"/>
  <c r="K16" i="46"/>
  <c r="M24" i="27"/>
  <c r="H72" i="28" s="1"/>
  <c r="E178" i="28"/>
  <c r="Q47" i="1"/>
  <c r="L25" i="27"/>
  <c r="E171" i="28"/>
  <c r="F11" i="1"/>
  <c r="E8" i="28" s="1"/>
  <c r="M18" i="46"/>
  <c r="H116" i="28" s="1"/>
  <c r="Q35" i="1"/>
  <c r="E135" i="28"/>
  <c r="H185" i="28"/>
  <c r="N46" i="1"/>
  <c r="M16" i="46"/>
  <c r="H114" i="28" s="1"/>
  <c r="H189" i="28"/>
  <c r="H175" i="28"/>
  <c r="K6" i="46"/>
  <c r="M7" i="46"/>
  <c r="H105" i="28" s="1"/>
  <c r="N12" i="1"/>
  <c r="N23" i="1"/>
  <c r="H191" i="28"/>
  <c r="Q14" i="1"/>
  <c r="E133" i="28"/>
  <c r="E145" i="28"/>
  <c r="M46" i="27"/>
  <c r="H94" i="28" s="1"/>
  <c r="E183" i="28"/>
  <c r="E159" i="28"/>
  <c r="L19" i="27"/>
  <c r="E180" i="28"/>
  <c r="H192" i="28"/>
  <c r="N20" i="1"/>
  <c r="M27" i="46"/>
  <c r="H125" i="28" s="1"/>
  <c r="F33" i="1"/>
  <c r="E30" i="28" s="1"/>
  <c r="N51" i="1"/>
  <c r="F22" i="27"/>
  <c r="E70" i="28" s="1"/>
  <c r="M51" i="27"/>
  <c r="H99" i="28" s="1"/>
  <c r="E187" i="28"/>
  <c r="F51" i="27"/>
  <c r="E99" i="28" s="1"/>
  <c r="F23" i="27"/>
  <c r="E71" i="28" s="1"/>
  <c r="Q38" i="1"/>
  <c r="K31" i="27"/>
  <c r="N79" i="28" s="1"/>
  <c r="F37" i="27"/>
  <c r="E85" i="28" s="1"/>
  <c r="K26" i="27"/>
  <c r="N74" i="28" s="1"/>
  <c r="H188" i="28"/>
  <c r="K6" i="55"/>
  <c r="F7" i="27"/>
  <c r="E55" i="28" s="1"/>
  <c r="K16" i="27"/>
  <c r="N64" i="28" s="1"/>
  <c r="M50" i="27"/>
  <c r="H98" i="28" s="1"/>
  <c r="L31" i="27"/>
  <c r="F38" i="27"/>
  <c r="E86" i="28" s="1"/>
  <c r="H180" i="28"/>
  <c r="L7" i="46"/>
  <c r="L6" i="27"/>
  <c r="Q20" i="1"/>
  <c r="L36" i="27"/>
  <c r="E172" i="28"/>
  <c r="L10" i="27"/>
  <c r="N38" i="1"/>
  <c r="N19" i="1"/>
  <c r="N29" i="1"/>
  <c r="F49" i="1"/>
  <c r="E46" i="28" s="1"/>
  <c r="F24" i="1"/>
  <c r="E21" i="28" s="1"/>
  <c r="E165" i="28"/>
  <c r="E136" i="28"/>
  <c r="E176" i="28"/>
  <c r="M12" i="46"/>
  <c r="H110" i="28" s="1"/>
  <c r="N49" i="1"/>
  <c r="K42" i="27"/>
  <c r="N90" i="28" s="1"/>
  <c r="N16" i="1"/>
  <c r="M49" i="27"/>
  <c r="H97" i="28" s="1"/>
  <c r="N13" i="1"/>
  <c r="F19" i="27"/>
  <c r="E67" i="28" s="1"/>
  <c r="L50" i="27"/>
  <c r="N52" i="1"/>
  <c r="F42" i="1"/>
  <c r="E39" i="28" s="1"/>
  <c r="M25" i="46"/>
  <c r="H123" i="28" s="1"/>
  <c r="L28" i="27"/>
  <c r="E167" i="28"/>
  <c r="F25" i="27"/>
  <c r="E73" i="28" s="1"/>
  <c r="K8" i="46"/>
  <c r="N39" i="1"/>
  <c r="F28" i="1"/>
  <c r="E25" i="28" s="1"/>
  <c r="F10" i="27"/>
  <c r="E58" i="28" s="1"/>
  <c r="Q12" i="1"/>
  <c r="Q25" i="1"/>
  <c r="L18" i="27"/>
  <c r="E157" i="28"/>
  <c r="F40" i="27"/>
  <c r="E88" i="28" s="1"/>
  <c r="L24" i="46"/>
  <c r="K21" i="46"/>
  <c r="L49" i="27"/>
  <c r="F35" i="1"/>
  <c r="E32" i="28" s="1"/>
  <c r="F29" i="27"/>
  <c r="E77" i="28" s="1"/>
  <c r="K33" i="46"/>
  <c r="N21" i="1"/>
  <c r="L17" i="27"/>
  <c r="K24" i="27"/>
  <c r="N72" i="28" s="1"/>
  <c r="H4" i="28"/>
  <c r="E162" i="28"/>
  <c r="F52" i="27"/>
  <c r="E100" i="28" s="1"/>
  <c r="N10" i="1"/>
  <c r="F20" i="27"/>
  <c r="E68" i="28" s="1"/>
  <c r="E170" i="28"/>
  <c r="F41" i="27"/>
  <c r="E89" i="28" s="1"/>
  <c r="F45" i="1"/>
  <c r="E42" i="28" s="1"/>
  <c r="L38" i="27"/>
  <c r="L30" i="27"/>
  <c r="L29" i="46"/>
  <c r="K30" i="27"/>
  <c r="N78" i="28" s="1"/>
  <c r="M26" i="27"/>
  <c r="H74" i="28" s="1"/>
  <c r="K11" i="46"/>
  <c r="L18" i="46"/>
  <c r="F8" i="27"/>
  <c r="E56" i="28" s="1"/>
  <c r="H187" i="28"/>
  <c r="K30" i="46"/>
  <c r="L32" i="27"/>
  <c r="E166" i="28"/>
  <c r="K52" i="27"/>
  <c r="N100" i="28" s="1"/>
  <c r="G4" i="28"/>
  <c r="E168" i="28"/>
  <c r="F33" i="27"/>
  <c r="E81" i="28" s="1"/>
  <c r="K23" i="46"/>
  <c r="L13" i="46"/>
  <c r="Q15" i="1"/>
  <c r="N34" i="1"/>
  <c r="L9" i="46"/>
  <c r="K13" i="46"/>
  <c r="L22" i="27"/>
  <c r="K27" i="27"/>
  <c r="N75" i="28" s="1"/>
  <c r="L7" i="27"/>
  <c r="K34" i="27"/>
  <c r="N82" i="28" s="1"/>
  <c r="L24" i="27"/>
  <c r="N27" i="1"/>
  <c r="L9" i="27"/>
  <c r="N7" i="1"/>
  <c r="N11" i="1"/>
  <c r="M36" i="27"/>
  <c r="H84" i="28" s="1"/>
  <c r="K32" i="46"/>
  <c r="Q18" i="1"/>
  <c r="F15" i="27"/>
  <c r="E63" i="28" s="1"/>
  <c r="H8" i="28"/>
  <c r="M42" i="27"/>
  <c r="H90" i="28" s="1"/>
  <c r="Q19" i="1"/>
  <c r="N24" i="1"/>
  <c r="K14" i="46"/>
  <c r="N25" i="1"/>
  <c r="K7" i="27"/>
  <c r="Q11" i="1" l="1"/>
  <c r="G8" i="28"/>
  <c r="Q10" i="1"/>
  <c r="G7" i="28"/>
  <c r="Q9" i="1"/>
  <c r="G6" i="28"/>
  <c r="Q8" i="1"/>
  <c r="G5" i="28"/>
  <c r="N56" i="28"/>
  <c r="P8" i="27"/>
  <c r="N55" i="28"/>
  <c r="P7" i="27"/>
  <c r="P4" i="1"/>
  <c r="P13" i="46"/>
  <c r="N111" i="28"/>
  <c r="G178" i="28"/>
  <c r="G173" i="28"/>
  <c r="N137" i="28"/>
  <c r="N186" i="28"/>
  <c r="N155" i="28"/>
  <c r="G54" i="28"/>
  <c r="N6" i="27"/>
  <c r="L3" i="27"/>
  <c r="D4" i="51" s="1"/>
  <c r="C19" i="26" s="1"/>
  <c r="N153" i="28"/>
  <c r="N172" i="28"/>
  <c r="S12" i="1"/>
  <c r="T12" i="1" s="1"/>
  <c r="N9" i="28"/>
  <c r="S46" i="1"/>
  <c r="T46" i="1" s="1"/>
  <c r="N43" i="28"/>
  <c r="N184" i="28"/>
  <c r="N167" i="28"/>
  <c r="N154" i="28"/>
  <c r="G83" i="28"/>
  <c r="N35" i="27"/>
  <c r="Q35" i="27" s="1"/>
  <c r="P15" i="46"/>
  <c r="N113" i="28"/>
  <c r="N19" i="46"/>
  <c r="G117" i="28"/>
  <c r="P34" i="46"/>
  <c r="N132" i="28"/>
  <c r="S14" i="1"/>
  <c r="T14" i="1" s="1"/>
  <c r="N11" i="28"/>
  <c r="N39" i="28"/>
  <c r="S42" i="1"/>
  <c r="T42" i="1" s="1"/>
  <c r="N110" i="28"/>
  <c r="P12" i="46"/>
  <c r="G166" i="28"/>
  <c r="N118" i="28"/>
  <c r="P20" i="46"/>
  <c r="N17" i="46"/>
  <c r="G115" i="28"/>
  <c r="N34" i="28"/>
  <c r="S37" i="1"/>
  <c r="T37" i="1" s="1"/>
  <c r="N45" i="28"/>
  <c r="S48" i="1"/>
  <c r="T48" i="1" s="1"/>
  <c r="N47" i="28"/>
  <c r="S50" i="1"/>
  <c r="T50" i="1" s="1"/>
  <c r="G129" i="28"/>
  <c r="N31" i="46"/>
  <c r="G93" i="28"/>
  <c r="N45" i="27"/>
  <c r="Q45" i="27" s="1"/>
  <c r="S43" i="1"/>
  <c r="T43" i="1" s="1"/>
  <c r="N40" i="28"/>
  <c r="G156" i="28"/>
  <c r="G142" i="28"/>
  <c r="G150" i="28"/>
  <c r="G144" i="28"/>
  <c r="G184" i="28"/>
  <c r="P17" i="46"/>
  <c r="N115" i="28"/>
  <c r="P19" i="46"/>
  <c r="N117" i="28"/>
  <c r="N122" i="28"/>
  <c r="P24" i="46"/>
  <c r="N188" i="28"/>
  <c r="S10" i="1"/>
  <c r="N7" i="28"/>
  <c r="P33" i="46"/>
  <c r="N131" i="28"/>
  <c r="N143" i="28"/>
  <c r="N10" i="28"/>
  <c r="S13" i="1"/>
  <c r="T13" i="1" s="1"/>
  <c r="N152" i="28"/>
  <c r="S19" i="1"/>
  <c r="T19" i="1" s="1"/>
  <c r="N16" i="28"/>
  <c r="N7" i="46"/>
  <c r="G105" i="28"/>
  <c r="N151" i="28"/>
  <c r="N191" i="28"/>
  <c r="S32" i="1"/>
  <c r="T32" i="1" s="1"/>
  <c r="N29" i="28"/>
  <c r="N12" i="27"/>
  <c r="Q12" i="27" s="1"/>
  <c r="G60" i="28"/>
  <c r="G163" i="28"/>
  <c r="N6" i="55"/>
  <c r="L4" i="55"/>
  <c r="D6" i="51" s="1"/>
  <c r="C21" i="26" s="1"/>
  <c r="G119" i="28"/>
  <c r="N21" i="46"/>
  <c r="G183" i="28"/>
  <c r="N42" i="27"/>
  <c r="Q42" i="27" s="1"/>
  <c r="G90" i="28"/>
  <c r="N141" i="28"/>
  <c r="N123" i="28"/>
  <c r="P25" i="46"/>
  <c r="G91" i="28"/>
  <c r="N43" i="27"/>
  <c r="Q43" i="27" s="1"/>
  <c r="G189" i="28"/>
  <c r="N170" i="28"/>
  <c r="G176" i="28"/>
  <c r="N29" i="27"/>
  <c r="Q29" i="27" s="1"/>
  <c r="G77" i="28"/>
  <c r="G114" i="28"/>
  <c r="N16" i="46"/>
  <c r="N27" i="46"/>
  <c r="G125" i="28"/>
  <c r="N15" i="28"/>
  <c r="S18" i="1"/>
  <c r="T18" i="1" s="1"/>
  <c r="S35" i="1"/>
  <c r="T35" i="1" s="1"/>
  <c r="N32" i="28"/>
  <c r="G140" i="28"/>
  <c r="G151" i="28"/>
  <c r="N21" i="28"/>
  <c r="S24" i="1"/>
  <c r="T24" i="1" s="1"/>
  <c r="N149" i="28"/>
  <c r="N13" i="46"/>
  <c r="G111" i="28"/>
  <c r="S11" i="1"/>
  <c r="N8" i="28"/>
  <c r="G107" i="28"/>
  <c r="N9" i="46"/>
  <c r="G175" i="28"/>
  <c r="N32" i="27"/>
  <c r="Q32" i="27" s="1"/>
  <c r="G80" i="28"/>
  <c r="N29" i="46"/>
  <c r="G127" i="28"/>
  <c r="N176" i="28"/>
  <c r="N36" i="28"/>
  <c r="S39" i="1"/>
  <c r="T39" i="1" s="1"/>
  <c r="N49" i="28"/>
  <c r="S52" i="1"/>
  <c r="T52" i="1" s="1"/>
  <c r="G185" i="28"/>
  <c r="S38" i="1"/>
  <c r="T38" i="1" s="1"/>
  <c r="N35" i="28"/>
  <c r="K4" i="55"/>
  <c r="C6" i="51" s="1"/>
  <c r="N163" i="28"/>
  <c r="P6" i="55"/>
  <c r="N17" i="28"/>
  <c r="S20" i="1"/>
  <c r="T20" i="1" s="1"/>
  <c r="P29" i="46"/>
  <c r="N127" i="28"/>
  <c r="G99" i="28"/>
  <c r="N51" i="27"/>
  <c r="Q51" i="27" s="1"/>
  <c r="N177" i="28"/>
  <c r="N54" i="28"/>
  <c r="K3" i="27"/>
  <c r="C4" i="51" s="1"/>
  <c r="I4" i="51" s="1"/>
  <c r="S17" i="1"/>
  <c r="T17" i="1" s="1"/>
  <c r="N14" i="28"/>
  <c r="N54" i="27"/>
  <c r="Q54" i="27" s="1"/>
  <c r="G102" i="28"/>
  <c r="N150" i="28"/>
  <c r="G82" i="28"/>
  <c r="N34" i="27"/>
  <c r="Q34" i="27" s="1"/>
  <c r="N8" i="27"/>
  <c r="G56" i="28"/>
  <c r="G179" i="28"/>
  <c r="N185" i="28"/>
  <c r="P26" i="46"/>
  <c r="N124" i="28"/>
  <c r="N20" i="46"/>
  <c r="G118" i="28"/>
  <c r="N48" i="27"/>
  <c r="Q48" i="27" s="1"/>
  <c r="G96" i="28"/>
  <c r="N39" i="27"/>
  <c r="Q39" i="27" s="1"/>
  <c r="G87" i="28"/>
  <c r="N120" i="28"/>
  <c r="P22" i="46"/>
  <c r="S53" i="1"/>
  <c r="T53" i="1" s="1"/>
  <c r="N50" i="28"/>
  <c r="N40" i="27"/>
  <c r="Q40" i="27" s="1"/>
  <c r="G88" i="28"/>
  <c r="N12" i="46"/>
  <c r="G110" i="28"/>
  <c r="G134" i="28"/>
  <c r="G160" i="28"/>
  <c r="G141" i="28"/>
  <c r="G158" i="28"/>
  <c r="G148" i="28"/>
  <c r="N174" i="28"/>
  <c r="N180" i="28"/>
  <c r="N130" i="28"/>
  <c r="P32" i="46"/>
  <c r="N189" i="28"/>
  <c r="S7" i="1"/>
  <c r="N4" i="28"/>
  <c r="N4" i="1"/>
  <c r="C3" i="51" s="1"/>
  <c r="G55" i="28"/>
  <c r="N7" i="27"/>
  <c r="S34" i="1"/>
  <c r="T34" i="1" s="1"/>
  <c r="N31" i="28"/>
  <c r="N121" i="28"/>
  <c r="P23" i="46"/>
  <c r="P30" i="46"/>
  <c r="N128" i="28"/>
  <c r="N30" i="27"/>
  <c r="Q30" i="27" s="1"/>
  <c r="G78" i="28"/>
  <c r="P8" i="46"/>
  <c r="N106" i="28"/>
  <c r="N166" i="28"/>
  <c r="G58" i="28"/>
  <c r="N10" i="27"/>
  <c r="Q10" i="27" s="1"/>
  <c r="N104" i="28"/>
  <c r="K3" i="46"/>
  <c r="C5" i="51" s="1"/>
  <c r="I5" i="51" s="1"/>
  <c r="P6" i="46"/>
  <c r="N181" i="28"/>
  <c r="N158" i="28"/>
  <c r="G62" i="28"/>
  <c r="N14" i="27"/>
  <c r="Q14" i="27" s="1"/>
  <c r="G171" i="28"/>
  <c r="N19" i="28"/>
  <c r="S22" i="1"/>
  <c r="T22" i="1" s="1"/>
  <c r="N37" i="27"/>
  <c r="Q37" i="27" s="1"/>
  <c r="G85" i="28"/>
  <c r="G120" i="28"/>
  <c r="N22" i="46"/>
  <c r="N33" i="28"/>
  <c r="S36" i="1"/>
  <c r="T36" i="1" s="1"/>
  <c r="N21" i="27"/>
  <c r="Q21" i="27" s="1"/>
  <c r="G69" i="28"/>
  <c r="S44" i="1"/>
  <c r="T44" i="1" s="1"/>
  <c r="N41" i="28"/>
  <c r="N12" i="28"/>
  <c r="S15" i="1"/>
  <c r="T15" i="1" s="1"/>
  <c r="N173" i="28"/>
  <c r="N6" i="46"/>
  <c r="G104" i="28"/>
  <c r="L3" i="46"/>
  <c r="D5" i="51" s="1"/>
  <c r="C20" i="26" s="1"/>
  <c r="N159" i="28"/>
  <c r="N156" i="28"/>
  <c r="N142" i="28"/>
  <c r="G68" i="28"/>
  <c r="N20" i="27"/>
  <c r="Q20" i="27" s="1"/>
  <c r="G188" i="28"/>
  <c r="G123" i="28"/>
  <c r="N25" i="46"/>
  <c r="N165" i="28"/>
  <c r="G187" i="28"/>
  <c r="M3" i="27"/>
  <c r="E4" i="51" s="1"/>
  <c r="D19" i="26" s="1"/>
  <c r="H54" i="28"/>
  <c r="N14" i="46"/>
  <c r="G112" i="28"/>
  <c r="N10" i="46"/>
  <c r="G108" i="28"/>
  <c r="G159" i="28"/>
  <c r="G152" i="28"/>
  <c r="H133" i="28"/>
  <c r="G146" i="28"/>
  <c r="G138" i="28"/>
  <c r="G170" i="28"/>
  <c r="N133" i="28"/>
  <c r="N25" i="28"/>
  <c r="S28" i="1"/>
  <c r="T28" i="1" s="1"/>
  <c r="G130" i="28"/>
  <c r="N32" i="46"/>
  <c r="N171" i="28"/>
  <c r="N38" i="27"/>
  <c r="Q38" i="27" s="1"/>
  <c r="G86" i="28"/>
  <c r="G97" i="28"/>
  <c r="N49" i="27"/>
  <c r="Q49" i="27" s="1"/>
  <c r="N18" i="27"/>
  <c r="Q18" i="27" s="1"/>
  <c r="G66" i="28"/>
  <c r="N187" i="28"/>
  <c r="N162" i="28"/>
  <c r="N13" i="28"/>
  <c r="S16" i="1"/>
  <c r="T16" i="1" s="1"/>
  <c r="G79" i="28"/>
  <c r="N31" i="27"/>
  <c r="Q31" i="27" s="1"/>
  <c r="G169" i="28"/>
  <c r="P16" i="46"/>
  <c r="N114" i="28"/>
  <c r="P7" i="46"/>
  <c r="N105" i="28"/>
  <c r="G109" i="28"/>
  <c r="N11" i="46"/>
  <c r="N23" i="28"/>
  <c r="S26" i="1"/>
  <c r="T26" i="1" s="1"/>
  <c r="N52" i="28"/>
  <c r="S55" i="1"/>
  <c r="T55" i="1" s="1"/>
  <c r="S54" i="1"/>
  <c r="T54" i="1" s="1"/>
  <c r="N51" i="28"/>
  <c r="N13" i="27"/>
  <c r="Q13" i="27" s="1"/>
  <c r="G61" i="28"/>
  <c r="N192" i="28"/>
  <c r="G59" i="28"/>
  <c r="N11" i="27"/>
  <c r="Q11" i="27" s="1"/>
  <c r="G180" i="28"/>
  <c r="N52" i="27"/>
  <c r="Q52" i="27" s="1"/>
  <c r="G100" i="28"/>
  <c r="N33" i="46"/>
  <c r="G131" i="28"/>
  <c r="G136" i="28"/>
  <c r="G133" i="28"/>
  <c r="G168" i="28"/>
  <c r="N28" i="28"/>
  <c r="S31" i="1"/>
  <c r="T31" i="1" s="1"/>
  <c r="N30" i="46"/>
  <c r="G128" i="28"/>
  <c r="G57" i="28"/>
  <c r="N9" i="27"/>
  <c r="Q9" i="27" s="1"/>
  <c r="N168" i="28"/>
  <c r="N161" i="28"/>
  <c r="N145" i="28"/>
  <c r="G165" i="28"/>
  <c r="P21" i="46"/>
  <c r="N119" i="28"/>
  <c r="N50" i="27"/>
  <c r="Q50" i="27" s="1"/>
  <c r="G98" i="28"/>
  <c r="N134" i="28"/>
  <c r="G190" i="28"/>
  <c r="G192" i="28"/>
  <c r="N28" i="46"/>
  <c r="G126" i="28"/>
  <c r="N126" i="28"/>
  <c r="P28" i="46"/>
  <c r="N30" i="28"/>
  <c r="S33" i="1"/>
  <c r="T33" i="1" s="1"/>
  <c r="G63" i="28"/>
  <c r="N15" i="27"/>
  <c r="Q15" i="27" s="1"/>
  <c r="N144" i="28"/>
  <c r="N178" i="28"/>
  <c r="G95" i="28"/>
  <c r="N47" i="27"/>
  <c r="Q47" i="27" s="1"/>
  <c r="N107" i="28"/>
  <c r="P9" i="46"/>
  <c r="N53" i="27"/>
  <c r="Q53" i="27" s="1"/>
  <c r="G101" i="28"/>
  <c r="G186" i="28"/>
  <c r="N38" i="28"/>
  <c r="S41" i="1"/>
  <c r="T41" i="1" s="1"/>
  <c r="N26" i="46"/>
  <c r="G124" i="28"/>
  <c r="N190" i="28"/>
  <c r="G182" i="28"/>
  <c r="G145" i="28"/>
  <c r="G161" i="28"/>
  <c r="G139" i="28"/>
  <c r="G157" i="28"/>
  <c r="G153" i="28"/>
  <c r="G162" i="28"/>
  <c r="N175" i="28"/>
  <c r="S47" i="1"/>
  <c r="T47" i="1" s="1"/>
  <c r="N44" i="28"/>
  <c r="N24" i="27"/>
  <c r="Q24" i="27" s="1"/>
  <c r="G72" i="28"/>
  <c r="S25" i="1"/>
  <c r="T25" i="1" s="1"/>
  <c r="N22" i="28"/>
  <c r="N24" i="28"/>
  <c r="S27" i="1"/>
  <c r="T27" i="1" s="1"/>
  <c r="N146" i="28"/>
  <c r="O4" i="1"/>
  <c r="D3" i="51" s="1"/>
  <c r="Q7" i="1"/>
  <c r="G116" i="28"/>
  <c r="N18" i="46"/>
  <c r="N17" i="27"/>
  <c r="Q17" i="27" s="1"/>
  <c r="G65" i="28"/>
  <c r="N147" i="28"/>
  <c r="N46" i="28"/>
  <c r="S49" i="1"/>
  <c r="T49" i="1" s="1"/>
  <c r="N36" i="27"/>
  <c r="Q36" i="27" s="1"/>
  <c r="G84" i="28"/>
  <c r="G167" i="28"/>
  <c r="G113" i="28"/>
  <c r="N15" i="46"/>
  <c r="G174" i="28"/>
  <c r="S9" i="1"/>
  <c r="N6" i="28"/>
  <c r="G64" i="28"/>
  <c r="N16" i="27"/>
  <c r="Q16" i="27" s="1"/>
  <c r="G181" i="28"/>
  <c r="N183" i="28"/>
  <c r="G121" i="28"/>
  <c r="N23" i="46"/>
  <c r="N37" i="28"/>
  <c r="S40" i="1"/>
  <c r="T40" i="1" s="1"/>
  <c r="G74" i="28"/>
  <c r="N26" i="27"/>
  <c r="Q26" i="27" s="1"/>
  <c r="S30" i="1"/>
  <c r="T30" i="1" s="1"/>
  <c r="N27" i="28"/>
  <c r="N157" i="28"/>
  <c r="N169" i="28"/>
  <c r="G75" i="28"/>
  <c r="N27" i="27"/>
  <c r="Q27" i="27" s="1"/>
  <c r="S45" i="1"/>
  <c r="T45" i="1" s="1"/>
  <c r="N42" i="28"/>
  <c r="G172" i="28"/>
  <c r="G94" i="28"/>
  <c r="N46" i="27"/>
  <c r="Q46" i="27" s="1"/>
  <c r="G164" i="28"/>
  <c r="N5" i="28"/>
  <c r="S8" i="1"/>
  <c r="G147" i="28"/>
  <c r="G143" i="28"/>
  <c r="G135" i="28"/>
  <c r="N41" i="27"/>
  <c r="Q41" i="27" s="1"/>
  <c r="G89" i="28"/>
  <c r="N112" i="28"/>
  <c r="P14" i="46"/>
  <c r="N140" i="28"/>
  <c r="N22" i="27"/>
  <c r="Q22" i="27" s="1"/>
  <c r="G70" i="28"/>
  <c r="N138" i="28"/>
  <c r="N148" i="28"/>
  <c r="P11" i="46"/>
  <c r="N109" i="28"/>
  <c r="S21" i="1"/>
  <c r="T21" i="1" s="1"/>
  <c r="N18" i="28"/>
  <c r="N24" i="46"/>
  <c r="G122" i="28"/>
  <c r="G76" i="28"/>
  <c r="N28" i="27"/>
  <c r="Q28" i="27" s="1"/>
  <c r="N136" i="28"/>
  <c r="N179" i="28"/>
  <c r="S29" i="1"/>
  <c r="T29" i="1" s="1"/>
  <c r="N26" i="28"/>
  <c r="N48" i="28"/>
  <c r="S51" i="1"/>
  <c r="T51" i="1" s="1"/>
  <c r="N19" i="27"/>
  <c r="Q19" i="27" s="1"/>
  <c r="G67" i="28"/>
  <c r="N20" i="28"/>
  <c r="S23" i="1"/>
  <c r="T23" i="1" s="1"/>
  <c r="N25" i="27"/>
  <c r="Q25" i="27" s="1"/>
  <c r="G73" i="28"/>
  <c r="G191" i="28"/>
  <c r="H163" i="28"/>
  <c r="M4" i="55"/>
  <c r="E6" i="51" s="1"/>
  <c r="D21" i="26" s="1"/>
  <c r="P18" i="46"/>
  <c r="N116" i="28"/>
  <c r="N108" i="28"/>
  <c r="P10" i="46"/>
  <c r="N44" i="27"/>
  <c r="Q44" i="27" s="1"/>
  <c r="G92" i="28"/>
  <c r="G71" i="28"/>
  <c r="N23" i="27"/>
  <c r="Q23" i="27" s="1"/>
  <c r="G81" i="28"/>
  <c r="N33" i="27"/>
  <c r="Q33" i="27" s="1"/>
  <c r="P27" i="46"/>
  <c r="N125" i="28"/>
  <c r="P31" i="46"/>
  <c r="N129" i="28"/>
  <c r="M3" i="46"/>
  <c r="E5" i="51" s="1"/>
  <c r="D20" i="26" s="1"/>
  <c r="H104" i="28"/>
  <c r="N164" i="28"/>
  <c r="G177" i="28"/>
  <c r="G132" i="28"/>
  <c r="N34" i="46"/>
  <c r="N135" i="28"/>
  <c r="N8" i="46"/>
  <c r="G106" i="28"/>
  <c r="N182" i="28"/>
  <c r="G149" i="28"/>
  <c r="G155" i="28"/>
  <c r="G154" i="28"/>
  <c r="N160" i="28"/>
  <c r="N139" i="28"/>
  <c r="C11" i="51" l="1"/>
  <c r="C12" i="51"/>
  <c r="J6" i="51" s="1"/>
  <c r="I3" i="51"/>
  <c r="T10" i="1"/>
  <c r="T9" i="1"/>
  <c r="T11" i="1"/>
  <c r="T8" i="1"/>
  <c r="Q8" i="27"/>
  <c r="Q7" i="27"/>
  <c r="E3" i="51"/>
  <c r="Q4" i="1"/>
  <c r="F3" i="51" s="1"/>
  <c r="C30" i="26" s="1"/>
  <c r="Q21" i="46"/>
  <c r="Q10" i="46"/>
  <c r="Q19" i="46"/>
  <c r="Q7" i="46"/>
  <c r="Q11" i="46"/>
  <c r="Q16" i="46"/>
  <c r="Q31" i="46"/>
  <c r="Q14" i="46"/>
  <c r="Q9" i="46"/>
  <c r="Q28" i="46"/>
  <c r="Q27" i="46"/>
  <c r="Q18" i="46"/>
  <c r="Q30" i="46"/>
  <c r="Q29" i="46"/>
  <c r="Q33" i="46"/>
  <c r="C18" i="26"/>
  <c r="C24" i="26" s="1"/>
  <c r="D11" i="51"/>
  <c r="Q6" i="55"/>
  <c r="P4" i="55"/>
  <c r="N4" i="55"/>
  <c r="F6" i="51" s="1"/>
  <c r="C33" i="26" s="1"/>
  <c r="Q17" i="46"/>
  <c r="Q12" i="46"/>
  <c r="Q34" i="46"/>
  <c r="N3" i="27"/>
  <c r="Q6" i="27"/>
  <c r="Q23" i="46"/>
  <c r="T7" i="1"/>
  <c r="S4" i="1"/>
  <c r="I6" i="51"/>
  <c r="Q20" i="46"/>
  <c r="N3" i="46"/>
  <c r="F5" i="51" s="1"/>
  <c r="C32" i="26" s="1"/>
  <c r="Q25" i="46"/>
  <c r="Q24" i="46"/>
  <c r="Q22" i="46"/>
  <c r="Q15" i="46"/>
  <c r="P3" i="46"/>
  <c r="Q6" i="46"/>
  <c r="Q8" i="46"/>
  <c r="Q32" i="46"/>
  <c r="Q26" i="46"/>
  <c r="P3" i="27"/>
  <c r="H4" i="51" s="1"/>
  <c r="Q13" i="46"/>
  <c r="J4" i="51" l="1"/>
  <c r="E31" i="26" s="1"/>
  <c r="F31" i="26" s="1"/>
  <c r="J3" i="51"/>
  <c r="J7" i="51"/>
  <c r="E34" i="26" s="1"/>
  <c r="J8" i="51"/>
  <c r="E28" i="26" s="1"/>
  <c r="J5" i="51"/>
  <c r="E32" i="26" s="1"/>
  <c r="F32" i="26" s="1"/>
  <c r="G32" i="26" s="1"/>
  <c r="J9" i="51"/>
  <c r="E29" i="26" s="1"/>
  <c r="F29" i="26" s="1"/>
  <c r="G29" i="26" s="1"/>
  <c r="I226" i="28"/>
  <c r="I269" i="28"/>
  <c r="I234" i="28"/>
  <c r="I215" i="28"/>
  <c r="I214" i="28"/>
  <c r="I216" i="28"/>
  <c r="I265" i="28"/>
  <c r="I217" i="28"/>
  <c r="I224" i="28"/>
  <c r="I219" i="28"/>
  <c r="I242" i="28"/>
  <c r="I228" i="28"/>
  <c r="I236" i="28"/>
  <c r="I222" i="28"/>
  <c r="I213" i="28"/>
  <c r="I244" i="28"/>
  <c r="I277" i="28"/>
  <c r="I267" i="28"/>
  <c r="I264" i="28"/>
  <c r="I218" i="28"/>
  <c r="I266" i="28"/>
  <c r="I263" i="28"/>
  <c r="I304" i="28"/>
  <c r="I279" i="28"/>
  <c r="I230" i="28"/>
  <c r="I273" i="28"/>
  <c r="I241" i="28"/>
  <c r="I292" i="28"/>
  <c r="I281" i="28"/>
  <c r="I288" i="28"/>
  <c r="I284" i="28"/>
  <c r="I300" i="28"/>
  <c r="I312" i="28"/>
  <c r="I229" i="28"/>
  <c r="I225" i="28"/>
  <c r="I293" i="28"/>
  <c r="I282" i="28"/>
  <c r="I276" i="28"/>
  <c r="I248" i="28"/>
  <c r="I251" i="28"/>
  <c r="I272" i="28"/>
  <c r="I311" i="28"/>
  <c r="I239" i="28"/>
  <c r="I270" i="28"/>
  <c r="I223" i="28"/>
  <c r="I309" i="28"/>
  <c r="I262" i="28"/>
  <c r="I258" i="28"/>
  <c r="I278" i="28"/>
  <c r="I294" i="28"/>
  <c r="I275" i="28"/>
  <c r="I298" i="28"/>
  <c r="I231" i="28"/>
  <c r="I297" i="28"/>
  <c r="I235" i="28"/>
  <c r="I285" i="28"/>
  <c r="I307" i="28"/>
  <c r="I253" i="28"/>
  <c r="I245" i="28"/>
  <c r="I295" i="28"/>
  <c r="I268" i="28"/>
  <c r="I249" i="28"/>
  <c r="I289" i="28"/>
  <c r="I306" i="28"/>
  <c r="I299" i="28"/>
  <c r="I274" i="28"/>
  <c r="I302" i="28"/>
  <c r="I233" i="28"/>
  <c r="I261" i="28"/>
  <c r="I255" i="28"/>
  <c r="I247" i="28"/>
  <c r="I287" i="28"/>
  <c r="I308" i="28"/>
  <c r="I303" i="28"/>
  <c r="I237" i="28"/>
  <c r="I271" i="28"/>
  <c r="I256" i="28"/>
  <c r="I240" i="28"/>
  <c r="I291" i="28"/>
  <c r="I238" i="28"/>
  <c r="I220" i="28"/>
  <c r="I250" i="28"/>
  <c r="I280" i="28"/>
  <c r="I221" i="28"/>
  <c r="I283" i="28"/>
  <c r="I301" i="28"/>
  <c r="I290" i="28"/>
  <c r="I260" i="28"/>
  <c r="I305" i="28"/>
  <c r="I246" i="28"/>
  <c r="I243" i="28"/>
  <c r="I254" i="28"/>
  <c r="I232" i="28"/>
  <c r="I257" i="28"/>
  <c r="I259" i="28"/>
  <c r="I227" i="28"/>
  <c r="I252" i="28"/>
  <c r="I310" i="28"/>
  <c r="I296" i="28"/>
  <c r="I286" i="28"/>
  <c r="I193" i="28"/>
  <c r="I11" i="51"/>
  <c r="E30" i="26"/>
  <c r="D18" i="26"/>
  <c r="D24" i="26" s="1"/>
  <c r="T4" i="1"/>
  <c r="F7" i="26"/>
  <c r="F13" i="52" s="1"/>
  <c r="B3" i="33"/>
  <c r="H6" i="51"/>
  <c r="Q4" i="55"/>
  <c r="I135" i="28"/>
  <c r="H5" i="51"/>
  <c r="Q3" i="46"/>
  <c r="E11" i="51"/>
  <c r="F4" i="51"/>
  <c r="C31" i="26" s="1"/>
  <c r="C37"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E33" i="26"/>
  <c r="F33" i="26" s="1"/>
  <c r="G33" i="26" s="1"/>
  <c r="I184" i="28"/>
  <c r="I125" i="28"/>
  <c r="I121" i="28"/>
  <c r="I187" i="28"/>
  <c r="I17" i="28"/>
  <c r="I117" i="28"/>
  <c r="I106" i="28"/>
  <c r="I179" i="28"/>
  <c r="I6" i="28"/>
  <c r="I178" i="28"/>
  <c r="I142" i="28"/>
  <c r="I19" i="28"/>
  <c r="Q3" i="27"/>
  <c r="I158" i="28"/>
  <c r="I15" i="28"/>
  <c r="I13" i="28"/>
  <c r="I164" i="28"/>
  <c r="I11" i="28"/>
  <c r="I183" i="28"/>
  <c r="I131" i="28"/>
  <c r="I189" i="28"/>
  <c r="I126" i="28"/>
  <c r="I175" i="28"/>
  <c r="I149" i="28"/>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I204" i="28"/>
  <c r="I103" i="28"/>
  <c r="I203" i="28"/>
  <c r="I210" i="28"/>
  <c r="I211" i="28"/>
  <c r="I200" i="28"/>
  <c r="I212" i="28"/>
  <c r="I202" i="28"/>
  <c r="I3" i="28"/>
  <c r="I201" i="28"/>
  <c r="I205" i="28"/>
  <c r="I208" i="28"/>
  <c r="I195" i="28"/>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H11" i="51" l="1"/>
  <c r="B18" i="33"/>
  <c r="B21" i="33" s="1"/>
  <c r="F28" i="26"/>
  <c r="G28" i="26" s="1"/>
  <c r="E37" i="26"/>
  <c r="F37" i="26" s="1"/>
  <c r="G37" i="26" s="1"/>
  <c r="F30" i="26"/>
  <c r="F34" i="26"/>
  <c r="G34" i="26" s="1"/>
  <c r="C18" i="33"/>
  <c r="C20" i="33" s="1"/>
  <c r="F11" i="51"/>
  <c r="G31" i="26"/>
  <c r="J11" i="51"/>
  <c r="B20" i="33" l="1"/>
  <c r="D18" i="33"/>
  <c r="C21" i="33"/>
  <c r="D21" i="33" l="1"/>
  <c r="D20" i="33"/>
  <c r="G30" i="26"/>
  <c r="E7" i="26" l="1"/>
  <c r="E13" i="52" s="1"/>
  <c r="D7" i="26"/>
  <c r="D13" i="52" l="1"/>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9"/>
            <color indexed="81"/>
            <rFont val="Tahoma"/>
            <family val="2"/>
          </rPr>
          <t>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64B84202-DBCA-4EC3-A8AE-21B6603F10AC}">
      <text>
        <r>
          <rPr>
            <sz val="9"/>
            <color indexed="81"/>
            <rFont val="Tahoma"/>
            <family val="2"/>
          </rPr>
          <t>Add any additional or relevant notes or information for the project here that isn't captured in the previous "customer inputs" for each line item.</t>
        </r>
      </text>
    </comment>
    <comment ref="P4" authorId="0" shapeId="0" xr:uid="{BFB0FE22-47A8-4279-A14B-A5D1CAB2C782}">
      <text>
        <r>
          <rPr>
            <sz val="9"/>
            <color indexed="81"/>
            <rFont val="Tahoma"/>
            <family val="2"/>
          </rPr>
          <t xml:space="preserve">Per watt reduced from baseline energy code
</t>
        </r>
      </text>
    </comment>
    <comment ref="Q4" authorId="0" shapeId="0" xr:uid="{73B932E5-11CE-4D48-9ED4-31803BFB7F48}">
      <text>
        <r>
          <rPr>
            <sz val="9"/>
            <color indexed="81"/>
            <rFont val="Tahoma"/>
            <family val="2"/>
          </rPr>
          <t>The estimated incentive shown below does not incorporate project level incentive caps, which may reduce the total incentive paid to a project.</t>
        </r>
      </text>
    </comment>
    <comment ref="V4" authorId="0" shapeId="0" xr:uid="{4A300270-729F-415A-ADEC-E0C518A800AE}">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56F29030-EA99-4887-94CD-C5C978FA833C}">
      <text>
        <r>
          <rPr>
            <sz val="9"/>
            <color indexed="81"/>
            <rFont val="Tahoma"/>
            <family val="2"/>
          </rPr>
          <t>Add any additional or relevant notes or information for the project here that isn't captured in the previous "customer inputs" for each line item.</t>
        </r>
      </text>
    </comment>
    <comment ref="P4" authorId="0" shapeId="0" xr:uid="{BC101F45-1049-48B3-B030-3B6F86FB6F77}">
      <text>
        <r>
          <rPr>
            <sz val="9"/>
            <color indexed="81"/>
            <rFont val="Tahoma"/>
            <family val="2"/>
          </rPr>
          <t>Per watt reduced from baseline energy code</t>
        </r>
      </text>
    </comment>
    <comment ref="Q4" authorId="0" shapeId="0" xr:uid="{29454CE3-EECF-469F-9D4C-1E929F54F26C}">
      <text>
        <r>
          <rPr>
            <sz val="9"/>
            <color indexed="81"/>
            <rFont val="Tahoma"/>
            <family val="2"/>
          </rPr>
          <t>The estimated incentive shown below does not incorporate project level incentive caps, which may reduce the total incentive paid to a project.</t>
        </r>
      </text>
    </comment>
    <comment ref="V4" authorId="0" shapeId="0" xr:uid="{88D68C96-4565-4809-AEC8-A84D6E0D19E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5" authorId="0" shapeId="0" xr:uid="{8065A11A-040A-4D3C-88BD-557317A3A6AA}">
      <text>
        <r>
          <rPr>
            <b/>
            <sz val="9"/>
            <color indexed="81"/>
            <rFont val="Tahoma"/>
            <family val="2"/>
          </rPr>
          <t xml:space="preserve">HVAC Measures - Minimum Efficiency Requirements
High Eff. AC Unit 
</t>
        </r>
        <r>
          <rPr>
            <sz val="9"/>
            <color indexed="81"/>
            <rFont val="Tahoma"/>
            <family val="2"/>
          </rPr>
          <t>*AC Unit (&lt; 5.4 tons):  min 12.3 EER, 14.5 SEER;   
*AC Unit (5.4 to 11.2 tons):  min. 12.2 EER, 13.5 IEER;   
*AC Unit (11.3 to 20 tons):  min. 12.2 EER, 13.0 IEER;   
*AC Unit (20.1 to 63.3 tons):  min. 10.8 EER, 12.5 IEER;   
*AC Unit (&gt; 63.3 tons):  min. 10.4 EER, 12.0 IEER;   
*Must be AHRI Certified</t>
        </r>
        <r>
          <rPr>
            <b/>
            <sz val="9"/>
            <color indexed="81"/>
            <rFont val="Tahoma"/>
            <family val="2"/>
          </rPr>
          <t xml:space="preserve">
High Eff. Heat Pump Unit 
</t>
        </r>
        <r>
          <rPr>
            <sz val="9"/>
            <color indexed="81"/>
            <rFont val="Tahoma"/>
            <family val="2"/>
          </rPr>
          <t>*HP Unit (&lt; 5.4 tons):  min. 12.3 EER, 15.0 SEER, 8.5 HSPF;   
*HP Unit (5.4 to 11.2 tons):  min. 11.3 EER, 13.0 IEER, 12.0 HSPF;   
*HP Unit (11.3 to 20 tons):  min. 10.9 EER, 12.5 IEER, 11.5 HSPF;   
*HP Unit (&gt;20.1 tons):  min. 10.3 EER, 12.0 IEER, 11.5 HSPF;   
*Must be AHRI Certified</t>
        </r>
        <r>
          <rPr>
            <b/>
            <sz val="9"/>
            <color indexed="81"/>
            <rFont val="Tahoma"/>
            <family val="2"/>
          </rPr>
          <t xml:space="preserve"> 
High Eff. Packaged Terminal AC (PTAC) Unit 
</t>
        </r>
        <r>
          <rPr>
            <sz val="9"/>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High Eff. Packaged Terminal HP (PTHP) Unit 
</t>
        </r>
        <r>
          <rPr>
            <sz val="9"/>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9"/>
            <color indexed="81"/>
            <rFont val="Tahoma"/>
            <family val="2"/>
          </rPr>
          <t xml:space="preserve">
High Eff. Air-Cooled Chiller 
</t>
        </r>
        <r>
          <rPr>
            <sz val="9"/>
            <color indexed="81"/>
            <rFont val="Tahoma"/>
            <family val="2"/>
          </rPr>
          <t xml:space="preserve">*Air-Cooled Chiller (&lt;150 tons):  min 10.1 full-load EER, 13.7 IPLV;   
*Air-Cooled Chiller (&gt;150 tons):  min 10.1 full-load EER, 14.0 IPLV;   </t>
        </r>
        <r>
          <rPr>
            <b/>
            <sz val="9"/>
            <color indexed="81"/>
            <rFont val="Tahoma"/>
            <family val="2"/>
          </rPr>
          <t xml:space="preserve">
High Eff. Positive Displacement Water-Cooled Chiller 
</t>
        </r>
        <r>
          <rPr>
            <sz val="9"/>
            <color indexed="81"/>
            <rFont val="Tahoma"/>
            <family val="2"/>
          </rPr>
          <t xml:space="preserve">*Water-Cooled PD Chiller (&lt;75 tons):  min full-load kW/ton 0.75, IPLV kW/ton 0.6;   
*Water-Cooled PD Chiller (75 to 150 tons):  min full-load kW/ton 0.72, IPLV kW/ton 0.56;   
*Water-Cooled PD Chiller (150 to 300 tons):  min full-load kW/ton 0.66, IPLV kW/ton 0.54;   
*Water-Cooled PD Chiller (&gt;300 tons):  min full-load kW/ton 0.56, IPLV kW/ton 0.50;  </t>
        </r>
        <r>
          <rPr>
            <b/>
            <sz val="9"/>
            <color indexed="81"/>
            <rFont val="Tahoma"/>
            <family val="2"/>
          </rPr>
          <t xml:space="preserve">    
High Eff. Centrifugal Water-Cooled Chiller 
</t>
        </r>
        <r>
          <rPr>
            <sz val="9"/>
            <color indexed="81"/>
            <rFont val="Tahoma"/>
            <family val="2"/>
          </rPr>
          <t xml:space="preserve">*Water-Cooled Cent. Chiller (&lt;300 tons):  min full-load kW/ton 0.61, IPLV kW/ton 0.55;   
*Water-Cooled Cent. Chiller (300 to 600 tons):  min full-load kW/ton 0.56, IPLV kW/ton 0.50;   
*Water-Cooled Cent. Chiller (&gt;600 tons):  min full-load kW/ton 0.55, IPLV kW/ton 0.48; </t>
        </r>
      </text>
    </comment>
    <comment ref="H5" authorId="0" shapeId="0" xr:uid="{39C1FB96-5FC8-454E-959B-80C186A61424}">
      <text>
        <r>
          <rPr>
            <b/>
            <sz val="9"/>
            <color indexed="81"/>
            <rFont val="Tahoma"/>
            <family val="2"/>
          </rPr>
          <t xml:space="preserve">This input is only for the high efficiency A/C and heat pump unit measures
</t>
        </r>
        <r>
          <rPr>
            <sz val="9"/>
            <color indexed="81"/>
            <rFont val="Tahoma"/>
            <family val="2"/>
          </rPr>
          <t xml:space="preserve">
</t>
        </r>
      </text>
    </comment>
    <comment ref="I5"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J5"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N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S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K4"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4"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5"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5"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Q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V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82625AE5-9BDF-4888-9068-DD4AF2E2E602}">
      <text>
        <r>
          <rPr>
            <sz val="9"/>
            <color indexed="81"/>
            <rFont val="Tahoma"/>
            <family val="2"/>
          </rPr>
          <t>Add any additional or relevant notes or information for the project here that isn't captured in the previous "customer inputs".</t>
        </r>
      </text>
    </comment>
    <comment ref="G4" authorId="0" shapeId="0" xr:uid="{064255A8-5A6D-4405-AFC8-78169CFB8C12}">
      <text>
        <r>
          <rPr>
            <sz val="9"/>
            <color indexed="81"/>
            <rFont val="Tahoma"/>
            <family val="2"/>
          </rPr>
          <t xml:space="preserve">Copies of all output reports from the energy model (baseline and alternative) will need to be submitted as part of the application package, as well as the source and executable files for the model itself.
</t>
        </r>
      </text>
    </comment>
    <comment ref="N4" authorId="0" shapeId="0" xr:uid="{0BB7D454-E00A-4566-8AD2-E7C74AE3A4F0}">
      <text>
        <r>
          <rPr>
            <sz val="9"/>
            <color indexed="81"/>
            <rFont val="Tahoma"/>
            <family val="2"/>
          </rPr>
          <t xml:space="preserve">Internal or external costs are acceptable.
</t>
        </r>
      </text>
    </comment>
    <comment ref="O4" authorId="0" shapeId="0" xr:uid="{FD48B3C3-586F-4E88-BFD2-6543E1BBB8E7}">
      <text>
        <r>
          <rPr>
            <sz val="9"/>
            <color indexed="81"/>
            <rFont val="Tahoma"/>
            <family val="2"/>
          </rPr>
          <t xml:space="preserve">Bonus measure for utilizing Whole Building Performance is capped at $50,000, which is in addition to the custom and prescriptive incentives associated with the measures themselves.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7"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<sst xmlns="http://schemas.openxmlformats.org/spreadsheetml/2006/main" count="2000" uniqueCount="805">
  <si>
    <t>HVAC Tab</t>
  </si>
  <si>
    <t>Contains a project-level summary of all measures entered into the workbook. No data entry is required on this tab.</t>
  </si>
  <si>
    <t>Product of APTIM Environmental &amp; Infrastruction, LLC</t>
  </si>
  <si>
    <t>Project Information</t>
  </si>
  <si>
    <t>Business/Organization Name</t>
  </si>
  <si>
    <t>Customer Contact Name</t>
  </si>
  <si>
    <t>City</t>
  </si>
  <si>
    <t>State</t>
  </si>
  <si>
    <t>Small Commercial Solutions (project site demand &lt; 100kW)</t>
  </si>
  <si>
    <t>Business/Organization Classification</t>
  </si>
  <si>
    <t>Trade Ally/Contractor Information</t>
  </si>
  <si>
    <t>Business Name</t>
  </si>
  <si>
    <t>Trade Ally Contact Name</t>
  </si>
  <si>
    <t>Address</t>
  </si>
  <si>
    <t>No</t>
  </si>
  <si>
    <t>Registered Trade Ally?</t>
  </si>
  <si>
    <t>Does the customer own or rent/lease the job site location?</t>
  </si>
  <si>
    <t>Own</t>
  </si>
  <si>
    <t>Building Type</t>
  </si>
  <si>
    <t>Education: K-12</t>
  </si>
  <si>
    <t>A/C with gas heat</t>
  </si>
  <si>
    <t>Electric</t>
  </si>
  <si>
    <t>Incentive Payment Information</t>
  </si>
  <si>
    <t>Customer</t>
  </si>
  <si>
    <t>Project Role</t>
  </si>
  <si>
    <t>Make Check Payable To</t>
  </si>
  <si>
    <t>Federal Tax ID Number</t>
  </si>
  <si>
    <t>If Energy Smart has a question, we should contact:</t>
  </si>
  <si>
    <t>Tax Entity</t>
  </si>
  <si>
    <t>Search Engine</t>
  </si>
  <si>
    <t>Health Clinic</t>
  </si>
  <si>
    <t>Proposed</t>
  </si>
  <si>
    <t>Totals</t>
  </si>
  <si>
    <t>Measure Number</t>
  </si>
  <si>
    <t>Unit of Measure</t>
  </si>
  <si>
    <t>EER</t>
  </si>
  <si>
    <t>IEER/SEER</t>
  </si>
  <si>
    <t>HSPF</t>
  </si>
  <si>
    <t>Energy Savings (kWh)</t>
  </si>
  <si>
    <t>Demand Reduction (kW)</t>
  </si>
  <si>
    <t>High Eff. AC Unit</t>
  </si>
  <si>
    <t>High Eff. Heat Pump Unit</t>
  </si>
  <si>
    <t>High Eff. Air-Cooled Chiller</t>
  </si>
  <si>
    <t>High Eff. Centrifugal Water-Cooled Chiller</t>
  </si>
  <si>
    <t>ECM Motor for Freezer or Cooler</t>
  </si>
  <si>
    <t>ENERGY STAR Solid Door Freezer</t>
  </si>
  <si>
    <t>ENERGY STAR Electric Griddle</t>
  </si>
  <si>
    <t>ENERGY STAR Commercial Electric Steam Cooker</t>
  </si>
  <si>
    <t>East</t>
  </si>
  <si>
    <t>South</t>
  </si>
  <si>
    <t>West</t>
  </si>
  <si>
    <t>North</t>
  </si>
  <si>
    <t>Existing</t>
  </si>
  <si>
    <t>Measure Type</t>
  </si>
  <si>
    <t>Location</t>
  </si>
  <si>
    <t>Replacement</t>
  </si>
  <si>
    <t xml:space="preserve">New Fan Motors (Efficient) </t>
  </si>
  <si>
    <t>Gas heat w/AC</t>
  </si>
  <si>
    <t>Retrofit</t>
  </si>
  <si>
    <t xml:space="preserve">RCx of Existing BAS </t>
  </si>
  <si>
    <t>Electric resistance heat w/AC</t>
  </si>
  <si>
    <t>Air Handler Coil Cleaning</t>
  </si>
  <si>
    <t>Project Summary</t>
  </si>
  <si>
    <t>Total Gross Project Cost</t>
  </si>
  <si>
    <t>Estimated Project Incentive</t>
  </si>
  <si>
    <t>Net Project Cost</t>
  </si>
  <si>
    <t>Project Energy Savings (kWh)</t>
  </si>
  <si>
    <t>Additional Contact</t>
  </si>
  <si>
    <t>Total</t>
  </si>
  <si>
    <t>Under penalty of perjury, I certify that:</t>
  </si>
  <si>
    <t>Link to Energy Smart Program Agreement Terms and Conditions</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</si>
  <si>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</si>
  <si>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</si>
  <si>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</si>
  <si>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</si>
  <si>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</si>
  <si>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</si>
  <si>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</si>
  <si>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</si>
  <si>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</si>
  <si>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</si>
  <si>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</si>
  <si>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Table_Programs_Rates</t>
  </si>
  <si>
    <t>Value_Project_CAP</t>
  </si>
  <si>
    <t>Sort Order</t>
  </si>
  <si>
    <t>Type</t>
  </si>
  <si>
    <t>Measure Description</t>
  </si>
  <si>
    <t>Incentive - SC</t>
  </si>
  <si>
    <t>Incentive - LC</t>
  </si>
  <si>
    <t>Units</t>
  </si>
  <si>
    <t>Deemed kWh Savings</t>
  </si>
  <si>
    <t>Deemed kW Savings</t>
  </si>
  <si>
    <t>Hybrid Lookup</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</si>
  <si>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</si>
  <si>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</si>
  <si>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</si>
  <si>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</si>
  <si>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</si>
  <si>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</si>
  <si>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</si>
  <si>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</si>
  <si>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</si>
  <si>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</si>
  <si>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</si>
  <si>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</si>
  <si>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</si>
  <si>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</si>
  <si>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</si>
  <si>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</si>
  <si>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</si>
  <si>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</si>
  <si>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</si>
  <si>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</si>
  <si>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</si>
  <si>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</si>
  <si>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</si>
  <si>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</si>
  <si>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</si>
  <si>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</si>
  <si>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</si>
  <si>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</si>
  <si>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ton</t>
  </si>
  <si>
    <t xml:space="preserve">Corporation </t>
  </si>
  <si>
    <t>Individual/Sole Proprietor</t>
  </si>
  <si>
    <t>Yes</t>
  </si>
  <si>
    <t>Contractor Install</t>
  </si>
  <si>
    <t>Rent/Lease</t>
  </si>
  <si>
    <t>Leisure Dining: Bar Area</t>
  </si>
  <si>
    <t>Bill Insert</t>
  </si>
  <si>
    <t>ENERGY STAR Commercial Electric Fryer</t>
  </si>
  <si>
    <t>New Air Handling Unit</t>
  </si>
  <si>
    <t>Value_FastTrack_Limit</t>
  </si>
  <si>
    <t>Large Commercial &amp; Industrial Solutions (project site demand &gt;100 kW)</t>
  </si>
  <si>
    <t>LLC, C,S,P</t>
  </si>
  <si>
    <t>LLC</t>
  </si>
  <si>
    <t>Unknown</t>
  </si>
  <si>
    <t>Self Install</t>
  </si>
  <si>
    <t>Corridor/Hallway/Stairwell</t>
  </si>
  <si>
    <t>A/C with electric resistance heat</t>
  </si>
  <si>
    <t>Natural Gas</t>
  </si>
  <si>
    <t>Trade Ally/Contractor</t>
  </si>
  <si>
    <t>Calling Campaign</t>
  </si>
  <si>
    <t>Evaporator Fan Controller for Freezer or Cooler</t>
  </si>
  <si>
    <t xml:space="preserve">New Air-Cooled Chiller </t>
  </si>
  <si>
    <t>Heat pump heating/cooling</t>
  </si>
  <si>
    <t>Value_Cus_IncentRate</t>
  </si>
  <si>
    <t>High Eff. Packaged Terminal AC (PTAC) Unit</t>
  </si>
  <si>
    <t>Individual/Sole Proprietorship</t>
  </si>
  <si>
    <t>Corporation</t>
  </si>
  <si>
    <t>Yes-DOT Disadvantaged Business Enterprise</t>
  </si>
  <si>
    <t>Direct Install</t>
  </si>
  <si>
    <t>Education: College/University</t>
  </si>
  <si>
    <t>A/C with heat pump heat</t>
  </si>
  <si>
    <t>Oil</t>
  </si>
  <si>
    <t>Direct Mail</t>
  </si>
  <si>
    <t>ENERGY STAR Electric Convection Oven</t>
  </si>
  <si>
    <t>Low-Flow Faucet Aerators</t>
  </si>
  <si>
    <t>New Equipment</t>
  </si>
  <si>
    <t xml:space="preserve">New Water-Cooled Chiller </t>
  </si>
  <si>
    <t>Value_Max_ItoC_Ratio</t>
  </si>
  <si>
    <t>High Eff. Packaged Terminal HP (PTHP) Unit</t>
  </si>
  <si>
    <t>Partnership</t>
  </si>
  <si>
    <t>Yes-Disabled Veteran-Owned Business Enterprise (DVET)</t>
  </si>
  <si>
    <t>Other</t>
  </si>
  <si>
    <t>A/C with no heat</t>
  </si>
  <si>
    <t>Propane</t>
  </si>
  <si>
    <t>Job Site</t>
  </si>
  <si>
    <t>Energy Advisor</t>
  </si>
  <si>
    <t>Low-Flow Shower Heads</t>
  </si>
  <si>
    <t xml:space="preserve">New Packaged/Rooftop Unit </t>
  </si>
  <si>
    <t>Value_Application_Version</t>
  </si>
  <si>
    <t>unit</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</si>
  <si>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</si>
  <si>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</si>
  <si>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</si>
  <si>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</si>
  <si>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</si>
  <si>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</si>
  <si>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</si>
  <si>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</si>
  <si>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</si>
  <si>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Value_Bonus_Rate</t>
  </si>
  <si>
    <t>Non-Profit</t>
  </si>
  <si>
    <t>Exempt</t>
  </si>
  <si>
    <t>Yes-Woman-Owned Business Enterprise (WBE)</t>
  </si>
  <si>
    <t>Food Sales: 24-Hour Supermarket</t>
  </si>
  <si>
    <t>Freezer space (-10-10°F)</t>
  </si>
  <si>
    <t>ENERGY STAR Commercial Dishwasher</t>
  </si>
  <si>
    <t xml:space="preserve">New Pump Motors (Efficient) </t>
  </si>
  <si>
    <t>Yes-SBA 8(a) program</t>
  </si>
  <si>
    <t>Food Sales: Non 24-Hour Supermarket</t>
  </si>
  <si>
    <t>N/A (Unconditioned)</t>
  </si>
  <si>
    <t>Not Applicable</t>
  </si>
  <si>
    <t>SMS Text</t>
  </si>
  <si>
    <t>Pre-Rinse Spray Valves</t>
  </si>
  <si>
    <t>New Fan Coil Unit</t>
  </si>
  <si>
    <t>Yes-SMA Small Disadvantaged Business Enterprise (SDB)</t>
  </si>
  <si>
    <t>Food Service: Fast Food</t>
  </si>
  <si>
    <t>Social Media</t>
  </si>
  <si>
    <t xml:space="preserve">New Cooling Tower </t>
  </si>
  <si>
    <t>High Eff. Positive Displacement Water-Cooled Chiller</t>
  </si>
  <si>
    <t>Yes-SBA HubZone Business Enterprise (HubZone)</t>
  </si>
  <si>
    <t>Food Service: Sit-Down Restaurant</t>
  </si>
  <si>
    <t>Utility Website</t>
  </si>
  <si>
    <t>New Cooling Tower and Chiller</t>
  </si>
  <si>
    <t>Yes-LGBT-Owned Business Enterprise</t>
  </si>
  <si>
    <t>Health Care: In-Patient</t>
  </si>
  <si>
    <t xml:space="preserve">VFD for Existing Air Handling Unit </t>
  </si>
  <si>
    <t>Yes-DBE Type Not Listed</t>
  </si>
  <si>
    <t>Health Care: Nursing Home</t>
  </si>
  <si>
    <t xml:space="preserve">VFD for Existing Fan Motors </t>
  </si>
  <si>
    <t>Health Care: Out-Patient</t>
  </si>
  <si>
    <t xml:space="preserve">VFD for Existing Pump Motors </t>
  </si>
  <si>
    <t>Convenience Store (non-24 hour)</t>
  </si>
  <si>
    <t xml:space="preserve">New Air Handling Units and VFD </t>
  </si>
  <si>
    <t>Lodging (Hotel/Motel/Dorm): Common Areas</t>
  </si>
  <si>
    <t xml:space="preserve">New Pumps and VFD </t>
  </si>
  <si>
    <t>Refrigeration</t>
  </si>
  <si>
    <t>Lodging (Hotel/Motel/Dorm): Room</t>
  </si>
  <si>
    <t xml:space="preserve">Existing Chiller Control Optimization </t>
  </si>
  <si>
    <t>motor controlled</t>
  </si>
  <si>
    <t>Manufacturing</t>
  </si>
  <si>
    <t xml:space="preserve">Existing Cooling Tower Control Optimization </t>
  </si>
  <si>
    <t>Multi-family Housing: Common Areas</t>
  </si>
  <si>
    <t xml:space="preserve">Existing Cooling Tower and Chiller Control Optimization </t>
  </si>
  <si>
    <t>Non-Warehouse Storage (Generic)</t>
  </si>
  <si>
    <t>New Chiller and Controls Optimization</t>
  </si>
  <si>
    <t>Office</t>
  </si>
  <si>
    <t>New Cooling Tower and Controls Optimization</t>
  </si>
  <si>
    <t>Office (attached to other facility)</t>
  </si>
  <si>
    <t xml:space="preserve">Optimizing Process Cooling </t>
  </si>
  <si>
    <t>Parking Structure</t>
  </si>
  <si>
    <t>Optimizing Process Heating</t>
  </si>
  <si>
    <t>Public Assembly</t>
  </si>
  <si>
    <t>Process Heat Recovery</t>
  </si>
  <si>
    <t>Public Order and Safety</t>
  </si>
  <si>
    <t xml:space="preserve">Efficient Air Compressor </t>
  </si>
  <si>
    <t>Religious Gathering</t>
  </si>
  <si>
    <t xml:space="preserve">Compressed Air Optimization </t>
  </si>
  <si>
    <t>Restroom (Generic)</t>
  </si>
  <si>
    <t>Upgrading Existing BAS</t>
  </si>
  <si>
    <t>Retail: Enclosed Mall</t>
  </si>
  <si>
    <t xml:space="preserve">New BAS </t>
  </si>
  <si>
    <t>Retail: Freestanding</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</si>
  <si>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</si>
  <si>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</si>
  <si>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</si>
  <si>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</si>
  <si>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</si>
  <si>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</si>
  <si>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</si>
  <si>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</si>
  <si>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</si>
  <si>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</si>
  <si>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linear ft of width</t>
  </si>
  <si>
    <t>Other/Unknown</t>
  </si>
  <si>
    <t>HVAC Custom Measure - Other</t>
  </si>
  <si>
    <t>exhaust fan HP</t>
  </si>
  <si>
    <t>Chiller Plant Optimization</t>
  </si>
  <si>
    <t>Cool Roof</t>
  </si>
  <si>
    <t>Roof or Wall Insulation</t>
  </si>
  <si>
    <t>Window Film</t>
  </si>
  <si>
    <t>Building Envelope Custom Measure - Other</t>
  </si>
  <si>
    <t>Other - Measure Type Not Listed</t>
  </si>
  <si>
    <t>Misc</t>
  </si>
  <si>
    <t>Custom</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</si>
  <si>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</si>
  <si>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</si>
  <si>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</si>
  <si>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</si>
  <si>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</si>
  <si>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</si>
  <si>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</si>
  <si>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</si>
  <si>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</si>
  <si>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</si>
  <si>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</si>
  <si>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</si>
  <si>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</si>
  <si>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</si>
  <si>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</si>
  <si>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</si>
  <si>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</si>
  <si>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</si>
  <si>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</si>
  <si>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</si>
  <si>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</si>
  <si>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</si>
  <si>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</si>
  <si>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</si>
  <si>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</si>
  <si>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</si>
  <si>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</si>
  <si>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</si>
  <si>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</si>
  <si>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</si>
  <si>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</si>
  <si>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</si>
  <si>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</si>
  <si>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</si>
  <si>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</si>
  <si>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</si>
  <si>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</si>
  <si>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</si>
  <si>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</si>
  <si>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</si>
  <si>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</si>
  <si>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</si>
  <si>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</si>
  <si>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</si>
  <si>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</si>
  <si>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</si>
  <si>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</si>
  <si>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</si>
  <si>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</si>
  <si>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</si>
  <si>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</si>
  <si>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</si>
  <si>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</si>
  <si>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</si>
  <si>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</si>
  <si>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</si>
  <si>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</si>
  <si>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</si>
  <si>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</si>
  <si>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</si>
  <si>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</si>
  <si>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</si>
  <si>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</si>
  <si>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</si>
  <si>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</si>
  <si>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</si>
  <si>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</si>
  <si>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</si>
  <si>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</si>
  <si>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</si>
  <si>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</si>
  <si>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</si>
  <si>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</si>
  <si>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</si>
  <si>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</si>
  <si>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</si>
  <si>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</si>
  <si>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</si>
  <si>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</si>
  <si>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</si>
  <si>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</si>
  <si>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</si>
  <si>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</si>
  <si>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</si>
  <si>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</si>
  <si>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</si>
  <si>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</si>
  <si>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</si>
  <si>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</si>
  <si>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</si>
  <si>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</si>
  <si>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</si>
  <si>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</si>
  <si>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</si>
  <si>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</si>
  <si>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</si>
  <si>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</si>
  <si>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</si>
  <si>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</si>
  <si>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</si>
  <si>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</si>
  <si>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</si>
  <si>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</si>
  <si>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</si>
  <si>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</si>
  <si>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</si>
  <si>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</si>
  <si>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</si>
  <si>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</si>
  <si>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</si>
  <si>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</si>
  <si>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</si>
  <si>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</si>
  <si>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</si>
  <si>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Equipment Cost</t>
  </si>
  <si>
    <t>Labor Cost</t>
  </si>
  <si>
    <t>Calculator Version</t>
  </si>
  <si>
    <t>Uncapped Incentive</t>
  </si>
  <si>
    <t>ea.</t>
  </si>
  <si>
    <t xml:space="preserve">Contains information about the workbook, requirements for eligible equipment and application package submittal instructions. </t>
  </si>
  <si>
    <t>Guestroom Energy Management Controls</t>
  </si>
  <si>
    <t>Index</t>
  </si>
  <si>
    <t>File Version</t>
  </si>
  <si>
    <t>Change</t>
  </si>
  <si>
    <t>Person</t>
  </si>
  <si>
    <t>Spencer Kurtz</t>
  </si>
  <si>
    <t>v3.1 - 2024</t>
  </si>
  <si>
    <t>Verifying everything is in line with IECC 2021 LA state energy code; Added window replacement prescriptive measure; Removed HVAC tune-up measures; Adjusted the information in the "Intro" tab</t>
  </si>
  <si>
    <t>v3.2 - 2024</t>
  </si>
  <si>
    <t>Removed external file links</t>
  </si>
  <si>
    <t>v5.0 - 2024</t>
  </si>
  <si>
    <t>Design</t>
  </si>
  <si>
    <t>Post-Install</t>
  </si>
  <si>
    <t>Automotive facility</t>
  </si>
  <si>
    <t>Convention center</t>
  </si>
  <si>
    <t>Courthouse</t>
  </si>
  <si>
    <t>Dining: bar lounge/leisure</t>
  </si>
  <si>
    <t>Dining: cafeteria/fast food</t>
  </si>
  <si>
    <t>Dining: family</t>
  </si>
  <si>
    <t>Dormitory</t>
  </si>
  <si>
    <t>Exercise center</t>
  </si>
  <si>
    <t>Exterior</t>
  </si>
  <si>
    <t>Fire station</t>
  </si>
  <si>
    <t>Gymnasium</t>
  </si>
  <si>
    <t>Health care clinic</t>
  </si>
  <si>
    <t>Hospital</t>
  </si>
  <si>
    <t>Hotel/Motel</t>
  </si>
  <si>
    <t>Library</t>
  </si>
  <si>
    <t>Manufacturing facility</t>
  </si>
  <si>
    <t>Motion picture theater</t>
  </si>
  <si>
    <t>Multifamily</t>
  </si>
  <si>
    <t>Museum</t>
  </si>
  <si>
    <t>Parking garage</t>
  </si>
  <si>
    <t xml:space="preserve">Penitentiary </t>
  </si>
  <si>
    <t>Performing arts theater</t>
  </si>
  <si>
    <t>Police Station</t>
  </si>
  <si>
    <t>Post office</t>
  </si>
  <si>
    <t>Religious Building</t>
  </si>
  <si>
    <t>Retail - Enclosed Mall</t>
  </si>
  <si>
    <t>Retail - Freestanding</t>
  </si>
  <si>
    <t>Retail - Other</t>
  </si>
  <si>
    <t>Retail - Strip Mall</t>
  </si>
  <si>
    <t>School - K12</t>
  </si>
  <si>
    <t>School - College/University</t>
  </si>
  <si>
    <t>Sports arena</t>
  </si>
  <si>
    <t>Town hall</t>
  </si>
  <si>
    <t>Transportation</t>
  </si>
  <si>
    <t>Warehouse - Non-Refrigerated</t>
  </si>
  <si>
    <t>Warehouse - Refrigerated</t>
  </si>
  <si>
    <t>Workshop</t>
  </si>
  <si>
    <t>Common Space Types</t>
  </si>
  <si>
    <t>---Common Space Types</t>
  </si>
  <si>
    <t>Active Storage</t>
  </si>
  <si>
    <t>Atrium</t>
  </si>
  <si>
    <t>Audiences/Seating Area</t>
  </si>
  <si>
    <t xml:space="preserve">Classroom/Lecture/Training </t>
  </si>
  <si>
    <t>Corridor/Transition</t>
  </si>
  <si>
    <t>Dining Area</t>
  </si>
  <si>
    <t>Dressing/Locker/Fitting Room</t>
  </si>
  <si>
    <t>Electrical/Mechanical</t>
  </si>
  <si>
    <t>Food Preparation</t>
  </si>
  <si>
    <t>Inactive Storage</t>
  </si>
  <si>
    <t>Laboratory</t>
  </si>
  <si>
    <t>Lobby</t>
  </si>
  <si>
    <t>Lounge/Recreation</t>
  </si>
  <si>
    <t>Restrooms</t>
  </si>
  <si>
    <t>Sales Area Accent Lighting</t>
  </si>
  <si>
    <t>Stairs</t>
  </si>
  <si>
    <t>---Building-Specific Space Types---</t>
  </si>
  <si>
    <t xml:space="preserve">Gymnasium/Exercise Center </t>
  </si>
  <si>
    <t>Automotive</t>
  </si>
  <si>
    <t>Bank/Office</t>
  </si>
  <si>
    <t>Convention Center</t>
  </si>
  <si>
    <t>Courthouse/Police Station/Penitentiary</t>
  </si>
  <si>
    <t xml:space="preserve">Fire Stations
</t>
  </si>
  <si>
    <t xml:space="preserve">Library
</t>
  </si>
  <si>
    <t xml:space="preserve">Museum
</t>
  </si>
  <si>
    <t>Parking Garage</t>
  </si>
  <si>
    <t>Post Office</t>
  </si>
  <si>
    <t xml:space="preserve">Religious Building
</t>
  </si>
  <si>
    <t xml:space="preserve">Sports Arena
</t>
  </si>
  <si>
    <t>Warehouse</t>
  </si>
  <si>
    <t>Building Area Type</t>
  </si>
  <si>
    <t>AOH</t>
  </si>
  <si>
    <t>CF</t>
  </si>
  <si>
    <t>N/A</t>
  </si>
  <si>
    <t>Lighting</t>
  </si>
  <si>
    <t>Interior Lighting Power Density</t>
  </si>
  <si>
    <t>Exterior Lighting Power Density</t>
  </si>
  <si>
    <t>watt below code</t>
  </si>
  <si>
    <t>LPD (W/ft^2) - IECC 2015</t>
  </si>
  <si>
    <t xml:space="preserve">Space-by-Space Method Values
</t>
  </si>
  <si>
    <t>Note</t>
  </si>
  <si>
    <t>Space by Space SubTypes</t>
  </si>
  <si>
    <r>
      <t>LPD (W/ft</t>
    </r>
    <r>
      <rPr>
        <vertAlign val="superscript"/>
        <sz val="11"/>
        <color theme="1"/>
        <rFont val="Calibri"/>
        <family val="2"/>
        <scheme val="minor"/>
      </rPr>
      <t>2</t>
    </r>
    <r>
      <rPr>
        <sz val="10"/>
        <color theme="1"/>
        <rFont val="Calibri"/>
        <family val="2"/>
        <scheme val="minor"/>
      </rPr>
      <t>)</t>
    </r>
  </si>
  <si>
    <t>Enclosed</t>
  </si>
  <si>
    <t>Open Plan</t>
  </si>
  <si>
    <t>General Application</t>
  </si>
  <si>
    <t>For Penitentiary</t>
  </si>
  <si>
    <t>For Hotel/Motel</t>
  </si>
  <si>
    <t>For Performing Arts Center</t>
  </si>
  <si>
    <t>For Movie Theater</t>
  </si>
  <si>
    <t>For Gymnasium</t>
  </si>
  <si>
    <t>For Exercise Center</t>
  </si>
  <si>
    <t>For Convention Center</t>
  </si>
  <si>
    <t>For Religious Building</t>
  </si>
  <si>
    <t>For Sports Arena</t>
  </si>
  <si>
    <t>For Transportation</t>
  </si>
  <si>
    <t>First Three Floors</t>
  </si>
  <si>
    <t>Each Additional Floor</t>
  </si>
  <si>
    <t>For Hospital</t>
  </si>
  <si>
    <t>For Bar/Lounge</t>
  </si>
  <si>
    <t>For Family Dining</t>
  </si>
  <si>
    <t>For Manufacturing Facility</t>
  </si>
  <si>
    <t>Stairs - Active</t>
  </si>
  <si>
    <t>For Museum</t>
  </si>
  <si>
    <t>Sales Area (for accent lighting)</t>
  </si>
  <si>
    <t>Playing Area</t>
  </si>
  <si>
    <t>Exercise Area</t>
  </si>
  <si>
    <t>Courtroom</t>
  </si>
  <si>
    <t>Confinement Cells</t>
  </si>
  <si>
    <t>Judges’ Chambers</t>
  </si>
  <si>
    <t xml:space="preserve">Engine Room </t>
  </si>
  <si>
    <t>Sleeping Quarters</t>
  </si>
  <si>
    <t>Sorting Area</t>
  </si>
  <si>
    <t>Exhibit Space</t>
  </si>
  <si>
    <t xml:space="preserve">Card File and Cataloging </t>
  </si>
  <si>
    <t>Stacks</t>
  </si>
  <si>
    <t>Reading Area</t>
  </si>
  <si>
    <t>Emergency</t>
  </si>
  <si>
    <t>Recovery</t>
  </si>
  <si>
    <t>Nurses’ Station</t>
  </si>
  <si>
    <t>Exam/Treatment</t>
  </si>
  <si>
    <t>Pharmacy</t>
  </si>
  <si>
    <t>Patient Room</t>
  </si>
  <si>
    <t>Operating Room</t>
  </si>
  <si>
    <t>Nursery</t>
  </si>
  <si>
    <t>Medical Supply</t>
  </si>
  <si>
    <t>Physical Therapy</t>
  </si>
  <si>
    <t>Radiology</t>
  </si>
  <si>
    <t>Laundry - Washing</t>
  </si>
  <si>
    <t>Service/Repair</t>
  </si>
  <si>
    <t>Low Bay (&lt; 25 ft. Floor to Ceiling Height)</t>
  </si>
  <si>
    <t>High Bay (&gt; 25 ft. Floor to Ceiling Height)</t>
  </si>
  <si>
    <t>Detailed Manufacturing</t>
  </si>
  <si>
    <t xml:space="preserve">Equipment Room
</t>
  </si>
  <si>
    <t>Control Room</t>
  </si>
  <si>
    <t>Hotel/Motel Guest Rooms</t>
  </si>
  <si>
    <t>Living Quarters</t>
  </si>
  <si>
    <t xml:space="preserve">General Exhibition </t>
  </si>
  <si>
    <t>Restoration</t>
  </si>
  <si>
    <t>Banking Activity Area</t>
  </si>
  <si>
    <t xml:space="preserve">Worship Pulpit, Choir </t>
  </si>
  <si>
    <t>Fellowship Hall</t>
  </si>
  <si>
    <t>Mall Concourse</t>
  </si>
  <si>
    <t>Class I facility</t>
  </si>
  <si>
    <t>Class II facility</t>
  </si>
  <si>
    <t>Class III facility</t>
  </si>
  <si>
    <t>Class IV facility</t>
  </si>
  <si>
    <t>Fine Material Storage</t>
  </si>
  <si>
    <t>Medium/Bulky Material Storage</t>
  </si>
  <si>
    <t>Parking Garage - Garage Area</t>
  </si>
  <si>
    <t>Airport - Concourse</t>
  </si>
  <si>
    <t>Air/Train/Bus - Baggage Area</t>
  </si>
  <si>
    <t>Terminal - Ticket Counter</t>
  </si>
  <si>
    <t>Building Conditions, Cooling Conditions, Heating Type, IEFD, IEFE</t>
  </si>
  <si>
    <t>IEFd</t>
  </si>
  <si>
    <t>IEFe</t>
  </si>
  <si>
    <t>Program</t>
  </si>
  <si>
    <t>Energy Cost ($/kWh)</t>
  </si>
  <si>
    <t>Subtype</t>
  </si>
  <si>
    <t>T/NT</t>
  </si>
  <si>
    <t>W Value</t>
  </si>
  <si>
    <t>Metric</t>
  </si>
  <si>
    <t>Uncovered Parking Areas</t>
  </si>
  <si>
    <t>Parking lots &amp; drives</t>
  </si>
  <si>
    <t>Tradeable</t>
  </si>
  <si>
    <t>square feet</t>
  </si>
  <si>
    <t>Building Grounds</t>
  </si>
  <si>
    <t>Walkways &lt; 10' wide</t>
  </si>
  <si>
    <t>linear feet</t>
  </si>
  <si>
    <r>
      <t xml:space="preserve">Walkways </t>
    </r>
    <r>
      <rPr>
        <sz val="11"/>
        <color theme="1"/>
        <rFont val="Calibri"/>
        <family val="2"/>
      </rPr>
      <t>≥</t>
    </r>
    <r>
      <rPr>
        <sz val="10"/>
        <color theme="1"/>
        <rFont val="Calibri"/>
        <family val="2"/>
        <scheme val="minor"/>
      </rPr>
      <t xml:space="preserve"> 10' wide</t>
    </r>
  </si>
  <si>
    <t>Plaza areas</t>
  </si>
  <si>
    <t>Special feature areas</t>
  </si>
  <si>
    <t>Dining areas</t>
  </si>
  <si>
    <t>Stairways</t>
  </si>
  <si>
    <t>Pedestrian tunnels</t>
  </si>
  <si>
    <t>Landscaping</t>
  </si>
  <si>
    <t>Building Entrances and Exits</t>
  </si>
  <si>
    <t>Main entries</t>
  </si>
  <si>
    <t>linear feet of door</t>
  </si>
  <si>
    <t>Other doors</t>
  </si>
  <si>
    <t>Canopies and Overhangs</t>
  </si>
  <si>
    <t>Entry Canopies</t>
  </si>
  <si>
    <t>Sales Canopies (free-standing and attached)</t>
  </si>
  <si>
    <t>Outdoor Sales</t>
  </si>
  <si>
    <t>Open areas (incl. vehicle sales lots)</t>
  </si>
  <si>
    <t>Street frontage for car lots in addition to "open area" allowance</t>
  </si>
  <si>
    <t>Building Facades</t>
  </si>
  <si>
    <t>per area</t>
  </si>
  <si>
    <t>Nontradeable</t>
  </si>
  <si>
    <t>square feet of illuminated wall</t>
  </si>
  <si>
    <t>per linear foot</t>
  </si>
  <si>
    <t>linear feet of illuminated wall</t>
  </si>
  <si>
    <t>Automated Teller Machines and Night Depositories</t>
  </si>
  <si>
    <t xml:space="preserve">Location </t>
  </si>
  <si>
    <t>location</t>
  </si>
  <si>
    <t>Additional ATMs</t>
  </si>
  <si>
    <t>additional ATM</t>
  </si>
  <si>
    <t>Entrances and Gatehouse Inspection Stations at Guarded Facilities</t>
  </si>
  <si>
    <t>square feet of uncovered area</t>
  </si>
  <si>
    <t>Loading Areas for Emergency Service Vehicles</t>
  </si>
  <si>
    <t>Drive-up Windows at Fast Food Restaurants</t>
  </si>
  <si>
    <t>drive-through</t>
  </si>
  <si>
    <t>Parking Near 24-hour Retail Entrances</t>
  </si>
  <si>
    <t>main entry</t>
  </si>
  <si>
    <t>Interior LPD Methods</t>
  </si>
  <si>
    <t>Building Area Method</t>
  </si>
  <si>
    <t>Space by Space Method</t>
  </si>
  <si>
    <t>Table F2: IECC 2015 Lighting Power Allowances for Building Exteriors</t>
  </si>
  <si>
    <t xml:space="preserve">Quantity </t>
  </si>
  <si>
    <t>Named Range</t>
  </si>
  <si>
    <t xml:space="preserve">UncoveredParkingAreas
</t>
  </si>
  <si>
    <t xml:space="preserve">BuildingGrounds
</t>
  </si>
  <si>
    <t>BuildingEntrancesandExits</t>
  </si>
  <si>
    <t>CanopiesandOverhangs</t>
  </si>
  <si>
    <t xml:space="preserve">OutdoorSales
</t>
  </si>
  <si>
    <t>BuildingFacades</t>
  </si>
  <si>
    <t>AutomatedTellerMachinesandNightDepositories</t>
  </si>
  <si>
    <t>EntrancesandGatehouseInspectionStationsatGuardedFacilities</t>
  </si>
  <si>
    <t>LoadingAreasforEmergencyServiceVehicles</t>
  </si>
  <si>
    <t>DriveupWindowsatFastFoodRestaurants</t>
  </si>
  <si>
    <t xml:space="preserve">ParkingNear24hourRetailEntrances
</t>
  </si>
  <si>
    <t>Prescriptive Low-Flow Water</t>
  </si>
  <si>
    <t>Low-Flow Water</t>
  </si>
  <si>
    <t>New Construction Custom Project</t>
  </si>
  <si>
    <t>project</t>
  </si>
  <si>
    <t>Interior Lighting</t>
  </si>
  <si>
    <t>Exterior Lighting</t>
  </si>
  <si>
    <t>A/C Unit (&lt; 5.42 Tons) - Min. efficiency of 12.3 EER/14.5 SEER</t>
  </si>
  <si>
    <t>A/C Unit (5.42 - 11.24 Tons) - Min. efficiency 12.2 EER/13.5 IEER</t>
  </si>
  <si>
    <t>A/C Unit (11.25 - 19.9 Tons) - Min. efficiency 12.2 EER/13.0 IEER</t>
  </si>
  <si>
    <t>A/C Unit (20 to 63.3 Tons) - Min. efficiency 10.8 EER/12.5 IEER</t>
  </si>
  <si>
    <t>A/C Unit (&gt;63.3 tons) - Min. efficiency 10.4 EER, 12.0 IEER</t>
  </si>
  <si>
    <t>Heat Pump (&lt; 5.42 Tons) - Min. efficiency 12.3 EER/15.0 SEER/8.5 HSPF</t>
  </si>
  <si>
    <t>Heat Pump (5.42 - 11.24 Tons) - Min. efficiency 11.3 EER/13.0 IEER/12.0 HSPF</t>
  </si>
  <si>
    <t>Heat Pump (11.25 - 19.9 Tons) - Min. efficiency 10.9 EER/12.5 IEER/11.5 HSPF</t>
  </si>
  <si>
    <t>Heat Pump (&gt;= 20 Tons) - Min. efficiency 10.3 EER/12.0 IEER/11.5 HSPF</t>
  </si>
  <si>
    <t>New Construction TA Bonus</t>
  </si>
  <si>
    <t>Trade Ally Bonus for New Construction Application</t>
  </si>
  <si>
    <t>Converted the current non-lighting workbook to new construction code compliance, added TA bonus measure and Whole Building Performance</t>
  </si>
  <si>
    <t>Whole Building Performance</t>
  </si>
  <si>
    <t>Does the energy model comply with ASHRAE 90.1-2013 Appendix G?</t>
  </si>
  <si>
    <t>Brand of energy modeling software used to model the facility?</t>
  </si>
  <si>
    <t>Whole Building</t>
  </si>
  <si>
    <t xml:space="preserve">For HVAC equipment (A/C units, heat pumps, chillers) to be eligible for Energy Smart incentives, an AHRI reference number or documentation from the AHRI Manual to verify the required efficiency level for all systems is required. Minimum EER and SEER/IEER requirements are included on the Energy Smart New Construction Prescriptive Incentive list, as well as an embedded note under "HVAC Measure" in the HVAC tab. </t>
  </si>
  <si>
    <t>Ratio: Incentive / $200K Cap</t>
  </si>
  <si>
    <t>Per Watt Reduced</t>
  </si>
  <si>
    <t>Product of APTIM Environmental &amp; Infrastructure, LLC</t>
  </si>
  <si>
    <t>v5.1 - 2024</t>
  </si>
  <si>
    <t>Updated the Summary and Caps tabs so the final numbers populate correctly</t>
  </si>
  <si>
    <t>Commercial and Industrial New Construction Code Compliance workbook</t>
  </si>
  <si>
    <t>Energy Smart project application package</t>
  </si>
  <si>
    <t>Workbook data entry</t>
  </si>
  <si>
    <t>Workbook tabs</t>
  </si>
  <si>
    <t>Intro tab</t>
  </si>
  <si>
    <t>Application tab</t>
  </si>
  <si>
    <t>Signature tab</t>
  </si>
  <si>
    <t>Interior and exterior lighting tabs</t>
  </si>
  <si>
    <t>Refrigeration tab</t>
  </si>
  <si>
    <t>Com kitchen tab</t>
  </si>
  <si>
    <t>Low-flow water tab</t>
  </si>
  <si>
    <t>Custom tab</t>
  </si>
  <si>
    <t>Whole bldg perf tab</t>
  </si>
  <si>
    <t>Equipment qualifications</t>
  </si>
  <si>
    <t>Entergy New Orleans customer information</t>
  </si>
  <si>
    <t>Business/organization name</t>
  </si>
  <si>
    <r>
      <t xml:space="preserve">Provides project application.  This tab must be completed before submitting application package to the Energy Smart program. </t>
    </r>
    <r>
      <rPr>
        <sz val="10"/>
        <color rgb="FFB41E83"/>
        <rFont val="Arial"/>
        <family val="2"/>
      </rPr>
      <t>Data entry required</t>
    </r>
    <r>
      <rPr>
        <sz val="10"/>
        <color theme="1"/>
        <rFont val="Arial"/>
        <family val="2"/>
      </rPr>
      <t>.</t>
    </r>
  </si>
  <si>
    <r>
      <t xml:space="preserve">Contains the Customer Application Agreement and link to program terms and conditions. </t>
    </r>
    <r>
      <rPr>
        <sz val="10"/>
        <color rgb="FFB41E83"/>
        <rFont val="Arial"/>
        <family val="2"/>
      </rPr>
      <t>Customer's electronic signature required</t>
    </r>
    <r>
      <rPr>
        <sz val="10"/>
        <color theme="1"/>
        <rFont val="Arial"/>
        <family val="2"/>
      </rPr>
      <t xml:space="preserve">. </t>
    </r>
  </si>
  <si>
    <r>
      <t xml:space="preserve">Provides a space for entering information on prescriptive lighting measures. </t>
    </r>
    <r>
      <rPr>
        <sz val="10"/>
        <color rgb="FFB41E83"/>
        <rFont val="Arial"/>
        <family val="2"/>
      </rPr>
      <t xml:space="preserve">Data entry required if applying for prescriptive lighting measures. </t>
    </r>
  </si>
  <si>
    <r>
      <t xml:space="preserve">Provides a space for entering information on prescriptive HVAC measures. </t>
    </r>
    <r>
      <rPr>
        <sz val="10"/>
        <color rgb="FFB41E83"/>
        <rFont val="Arial"/>
        <family val="2"/>
      </rPr>
      <t xml:space="preserve">Data entry required if applying for prescriptive HVAC measures. </t>
    </r>
  </si>
  <si>
    <r>
      <t xml:space="preserve">Provides spaces for entering information on prescriptive refrigeration measures. </t>
    </r>
    <r>
      <rPr>
        <sz val="10"/>
        <color rgb="FFB41E83"/>
        <rFont val="Arial"/>
        <family val="2"/>
      </rPr>
      <t xml:space="preserve">Data entry required if applying for prescriptive refrigeration measures. </t>
    </r>
  </si>
  <si>
    <r>
      <t xml:space="preserve">Provides a space for entering information on prescriptive commercial kitchen measures. </t>
    </r>
    <r>
      <rPr>
        <sz val="10"/>
        <color rgb="FFB41E83"/>
        <rFont val="Arial"/>
        <family val="2"/>
      </rPr>
      <t xml:space="preserve">Data entry required if applying for prescriptive commercial kitchen measures. </t>
    </r>
  </si>
  <si>
    <r>
      <t xml:space="preserve">Provides a space for entering information on prescriptive low-flow water measures. </t>
    </r>
    <r>
      <rPr>
        <sz val="10"/>
        <color rgb="FFB41E83"/>
        <rFont val="Arial"/>
        <family val="2"/>
      </rPr>
      <t xml:space="preserve">Data entry required if applying for prescriptive low-flow water measures. </t>
    </r>
  </si>
  <si>
    <t>Summary tab</t>
  </si>
  <si>
    <r>
      <t>For proposed interior and exterior lighting fixtures to be eligible for Energy Smart incentives, LED lights must be currently listed under the Design Lights Consortium (DLC) database. Any proposed downlight LED kit is eligible if it is ENERGY STAR</t>
    </r>
    <r>
      <rPr>
        <vertAlign val="superscript"/>
        <sz val="10"/>
        <color theme="1"/>
        <rFont val="Arial"/>
        <family val="2"/>
      </rPr>
      <t>®</t>
    </r>
    <r>
      <rPr>
        <sz val="10"/>
        <color theme="1"/>
        <rFont val="Arial"/>
        <family val="2"/>
      </rPr>
      <t xml:space="preserve"> rated. </t>
    </r>
  </si>
  <si>
    <r>
      <t>Commercial kitchen equipment must be electrically heated and ENERGY STAR</t>
    </r>
    <r>
      <rPr>
        <vertAlign val="superscript"/>
        <sz val="10"/>
        <color theme="1"/>
        <rFont val="Arial"/>
        <family val="2"/>
      </rPr>
      <t>®</t>
    </r>
    <r>
      <rPr>
        <sz val="10"/>
        <color theme="1"/>
        <rFont val="Arial"/>
        <family val="2"/>
      </rPr>
      <t xml:space="preserve"> certified: https://www.energystar.gov/products/commercial_food_service_equipment </t>
    </r>
  </si>
  <si>
    <t>Data entry cell</t>
  </si>
  <si>
    <t>No data entry required cell</t>
  </si>
  <si>
    <r>
      <t xml:space="preserve">Before ordering equipment, submit application package to </t>
    </r>
    <r>
      <rPr>
        <b/>
        <sz val="10"/>
        <color theme="8"/>
        <rFont val="Arial"/>
        <family val="2"/>
      </rPr>
      <t>commercialapps@energysmartnola.com</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(if available). 
3. Cut sheets or manufacturer's specification sheets for all proposed equipment. 
4. Detailed project proposal/quote.
5. Detailed drawings/plans, including mechanical and electrical.
6. W9 for incentive payee. 
For custom scopes of work, include detailed energy savings calculations. </t>
    </r>
  </si>
  <si>
    <t>Project application information</t>
  </si>
  <si>
    <t>Customer contact name</t>
  </si>
  <si>
    <t>Legal street address 
(as shown on W-9)</t>
  </si>
  <si>
    <t>ZIP code</t>
  </si>
  <si>
    <t>Phone number</t>
  </si>
  <si>
    <t>Contact email address</t>
  </si>
  <si>
    <t>Business/organization classification</t>
  </si>
  <si>
    <t>Is this customer a Disadvantaged Business Enterprise (DBE)?</t>
  </si>
  <si>
    <t>Trade ally/contractor information</t>
  </si>
  <si>
    <t>Business name</t>
  </si>
  <si>
    <t>Trade ally contact name</t>
  </si>
  <si>
    <t>Email address</t>
  </si>
  <si>
    <t>Registered trade ally?</t>
  </si>
  <si>
    <t>Additional contact information (optional)</t>
  </si>
  <si>
    <t>Additional contact name</t>
  </si>
  <si>
    <t>Project role</t>
  </si>
  <si>
    <t xml:space="preserve">How did you hear about the Energy Smart program? </t>
  </si>
  <si>
    <t>Additional information</t>
  </si>
  <si>
    <t>Brief project description</t>
  </si>
  <si>
    <t>Estimated project start date</t>
  </si>
  <si>
    <t>Estimated project completion date</t>
  </si>
  <si>
    <t>Program type</t>
  </si>
  <si>
    <t>Project stage</t>
  </si>
  <si>
    <t>Job site information</t>
  </si>
  <si>
    <t>Job site business/organization name</t>
  </si>
  <si>
    <t>Job site contact name</t>
  </si>
  <si>
    <t>Entergy account number (if available)</t>
  </si>
  <si>
    <t>New account? (last 8 weeks)</t>
  </si>
  <si>
    <t>Year built</t>
  </si>
  <si>
    <t>Square footage</t>
  </si>
  <si>
    <t>Average electric rate ($/kWh)</t>
  </si>
  <si>
    <t>Building type</t>
  </si>
  <si>
    <t>Heating and cooling system</t>
  </si>
  <si>
    <t>Water heating system</t>
  </si>
  <si>
    <t>Incentive payment information</t>
  </si>
  <si>
    <t>Mail incentive check to</t>
  </si>
  <si>
    <t>Attention to (optional)</t>
  </si>
  <si>
    <t>Make check payable to</t>
  </si>
  <si>
    <t>Federal tax ID number</t>
  </si>
  <si>
    <t>Tax entity</t>
  </si>
  <si>
    <t>Project installation type</t>
  </si>
  <si>
    <r>
      <t xml:space="preserve">I have read and agreed to the provisions set forth herein and to the Terms and Conditions available at: </t>
    </r>
    <r>
      <rPr>
        <b/>
        <sz val="10"/>
        <color theme="1"/>
        <rFont val="Arial"/>
        <family val="2"/>
      </rPr>
      <t>energysmartnola.com/business/terms</t>
    </r>
    <r>
      <rPr>
        <sz val="10"/>
        <color theme="1"/>
        <rFont val="Arial"/>
        <family val="2"/>
      </rPr>
      <t>. I understand that Energy Smart may revise these Terms and Conditions at any time and I will not be notified in the event changes are made. To the best of my knowledge, all statements made on this application are complete, true and correct.</t>
    </r>
  </si>
  <si>
    <t>Electronic signature (customer)</t>
  </si>
  <si>
    <t>Energy Smart program customer agreement</t>
  </si>
  <si>
    <t>Baseline LPD (W/ft²)</t>
  </si>
  <si>
    <t>Proposed LPD (W/ft²)</t>
  </si>
  <si>
    <t>Prescriptive interior lighting measure input</t>
  </si>
  <si>
    <t>Measure number</t>
  </si>
  <si>
    <t>Location/measure notes</t>
  </si>
  <si>
    <t>LPD method (choose 1)</t>
  </si>
  <si>
    <t>Building/space type</t>
  </si>
  <si>
    <t>Space sub-type (if using space by space method)</t>
  </si>
  <si>
    <t>HVAC configuration</t>
  </si>
  <si>
    <t>Interior area (ft²)</t>
  </si>
  <si>
    <t>Expected hours of operation</t>
  </si>
  <si>
    <t>Total proposed wattage</t>
  </si>
  <si>
    <t>Total equipment cost</t>
  </si>
  <si>
    <t>Total labor cost</t>
  </si>
  <si>
    <t>Per-unit incentive</t>
  </si>
  <si>
    <t>Estimated incentive</t>
  </si>
  <si>
    <t>Energy savings (kWh)</t>
  </si>
  <si>
    <t>Demand reduction (kW)</t>
  </si>
  <si>
    <t>Cost savings</t>
  </si>
  <si>
    <t>Gross measure cost</t>
  </si>
  <si>
    <t>Net measure cost</t>
  </si>
  <si>
    <t>Simple payback (years)</t>
  </si>
  <si>
    <t>Proposed LPD (W/Unit)</t>
  </si>
  <si>
    <t>Prescriptive exterior lighting measure input</t>
  </si>
  <si>
    <t>Exterior space type</t>
  </si>
  <si>
    <t>Space sub-type</t>
  </si>
  <si>
    <t xml:space="preserve">Unit of quantity </t>
  </si>
  <si>
    <t>Allowance type</t>
  </si>
  <si>
    <t>Per-unit allowance (W)</t>
  </si>
  <si>
    <t>Total allowance (W)</t>
  </si>
  <si>
    <t>Prescriptive HVAC measure input</t>
  </si>
  <si>
    <t>HVAC measure</t>
  </si>
  <si>
    <t>Unit of measure</t>
  </si>
  <si>
    <t>Number of units</t>
  </si>
  <si>
    <t>Prescriptive refrigeration measure input</t>
  </si>
  <si>
    <t>Refrigeration measure</t>
  </si>
  <si>
    <t>Prescriptive commercial kitchen measure input</t>
  </si>
  <si>
    <t>Commercial kitchen measure</t>
  </si>
  <si>
    <t>Prescriptive low-flow water measure input</t>
  </si>
  <si>
    <t>Low-flow water measure</t>
  </si>
  <si>
    <t>Custom measure input</t>
  </si>
  <si>
    <t>Measure name</t>
  </si>
  <si>
    <t>Measure classification</t>
  </si>
  <si>
    <t>HVAC in location</t>
  </si>
  <si>
    <t>Summary of existing conditions</t>
  </si>
  <si>
    <t>Existing energy consumption (kWh/yr)</t>
  </si>
  <si>
    <t>Existing peak demand (kW)</t>
  </si>
  <si>
    <t>Summary of proposed conditions</t>
  </si>
  <si>
    <t>Proposed energy consumption (kWh/yr)</t>
  </si>
  <si>
    <t>Proposed peak demand (kW)</t>
  </si>
  <si>
    <t>Whole-building performance measure input</t>
  </si>
  <si>
    <t>Was a whole-building energy model completed for this project?</t>
  </si>
  <si>
    <t>Summary of existing conditions/baseline operations in the building energy model</t>
  </si>
  <si>
    <t>Baseline whole-building energy consumption (kWh/yr)</t>
  </si>
  <si>
    <t>Baseline building peak demand (kW)</t>
  </si>
  <si>
    <t>Summary of proposed conditions/alternative scenario in the building energy model</t>
  </si>
  <si>
    <t>Proposed whole-building energy consumption (kWh/yr)</t>
  </si>
  <si>
    <t>Proposed building peak demand (kW)</t>
  </si>
  <si>
    <t>Labor costs for developing the energy model ($)</t>
  </si>
  <si>
    <t>Estimated bonus incentive</t>
  </si>
  <si>
    <t>Project summary report</t>
  </si>
  <si>
    <r>
      <rPr>
        <sz val="10"/>
        <color theme="1"/>
        <rFont val="Arial"/>
        <family val="2"/>
      </rPr>
      <t xml:space="preserve">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</si>
  <si>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</si>
  <si>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</si>
  <si>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</si>
  <si>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</si>
  <si>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</si>
  <si>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Trade ally</t>
  </si>
  <si>
    <t>Additional contact</t>
  </si>
  <si>
    <t>Energy savings summary</t>
  </si>
  <si>
    <t>Incentive type</t>
  </si>
  <si>
    <t>kW reduction</t>
  </si>
  <si>
    <t>Financial details</t>
  </si>
  <si>
    <t>Gross project cost</t>
  </si>
  <si>
    <t xml:space="preserve">Project contacts </t>
  </si>
  <si>
    <t xml:space="preserve">Cells colored in dark gray should not be filled in and may be locked to prevent data entry. </t>
  </si>
  <si>
    <r>
      <rPr>
        <sz val="10"/>
        <color rgb="FF000000"/>
        <rFont val="Arial"/>
      </rPr>
      <t xml:space="preserve">Provides a space for entering information on the whole building performance bonus option. </t>
    </r>
    <r>
      <rPr>
        <sz val="10"/>
        <color rgb="FFB41E83"/>
        <rFont val="Arial"/>
      </rPr>
      <t xml:space="preserve">Data entry required if applying for whole building performance. </t>
    </r>
  </si>
  <si>
    <r>
      <rPr>
        <sz val="10"/>
        <color rgb="FF000000"/>
        <rFont val="Arial"/>
      </rPr>
      <t xml:space="preserve">Provides a space for entering information on custom measures. </t>
    </r>
    <r>
      <rPr>
        <sz val="10"/>
        <color rgb="FFB41E83"/>
        <rFont val="Arial"/>
      </rPr>
      <t xml:space="preserve">Data entry required if applying for custom measures. </t>
    </r>
  </si>
  <si>
    <r>
      <t xml:space="preserve">Energy Smart energy efficiency incentives are available to all commercial Entergy New Orleans customers. This workbook serves as the primary application for new construction code-compliance energy efficiency projects. The workbook provides an estimate of the energy saved as well as potential Energy Smart incentives, subject to review and approval by the program team. </t>
    </r>
    <r>
      <rPr>
        <b/>
        <sz val="10"/>
        <color theme="8"/>
        <rFont val="Arial"/>
        <family val="2"/>
      </rPr>
      <t>Pre-approval is required for all project applications prior to construction starting or equipment being purchased. Otherwise, they are ineligible to receive Energy Smart incentives</t>
    </r>
    <r>
      <rPr>
        <sz val="10"/>
        <color theme="1"/>
        <rFont val="Arial"/>
        <family val="2"/>
      </rPr>
      <t xml:space="preserve">.
</t>
    </r>
  </si>
  <si>
    <t>Is this a publicly funded organization?</t>
  </si>
  <si>
    <t>Job site address</t>
  </si>
  <si>
    <t>Line ref. no.</t>
  </si>
  <si>
    <t>Total Proposed wattage</t>
  </si>
  <si>
    <t>Cells with a green background (or light gray) are data input cells where required information is needed.  Some data entry cells will have drop-down selection that limits what data may be entered.</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</si>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</sst>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76"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0"/>
      <color rgb="FF002D56"/>
      <name val="Arial"/>
      <family val="2"/>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b/>
      <sz val="11"/>
      <color rgb="FFFA7D00"/>
      <name val="Calibri"/>
      <family val="2"/>
      <scheme val="minor"/>
    </font>
    <font>
      <vertAlign val="superscript"/>
      <sz val="11"/>
      <color theme="1"/>
      <name val="Calibri"/>
      <family val="2"/>
      <scheme val="minor"/>
    </font>
    <font>
      <sz val="11"/>
      <color theme="1"/>
      <name val="Calibri"/>
      <family val="2"/>
    </font>
    <font>
      <b/>
      <sz val="11"/>
      <color theme="0"/>
      <name val="Arial"/>
      <family val="2"/>
    </font>
    <font>
      <b/>
      <sz val="11"/>
      <color theme="1"/>
      <name val="Arial"/>
      <family val="2"/>
    </font>
    <font>
      <b/>
      <sz val="11"/>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vertAlign val="superscript"/>
      <sz val="10"/>
      <color theme="1"/>
      <name val="Arial"/>
      <family val="2"/>
    </font>
    <font>
      <b/>
      <sz val="18"/>
      <color theme="8"/>
      <name val="Arial"/>
      <family val="2"/>
    </font>
    <font>
      <sz val="10"/>
      <color theme="8"/>
      <name val="Arial"/>
      <family val="2"/>
    </font>
    <font>
      <u/>
      <sz val="10"/>
      <color theme="10"/>
      <name val="Arial"/>
      <family val="2"/>
    </font>
    <font>
      <strike/>
      <sz val="10"/>
      <color theme="1"/>
      <name val="Arial"/>
      <family val="2"/>
    </font>
    <font>
      <b/>
      <sz val="18"/>
      <color theme="0"/>
      <name val="Arial"/>
      <family val="2"/>
    </font>
    <font>
      <b/>
      <sz val="14"/>
      <color theme="0"/>
      <name val="Arial"/>
      <family val="2"/>
    </font>
    <font>
      <b/>
      <sz val="20"/>
      <color rgb="FFB41E83"/>
      <name val="Arial"/>
      <family val="2"/>
    </font>
    <font>
      <sz val="10"/>
      <color rgb="FF000000"/>
      <name val="Arial"/>
    </font>
    <font>
      <sz val="10"/>
      <color rgb="FFB41E83"/>
      <name val="Arial"/>
    </font>
  </fonts>
  <fills count="34">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darkGray">
        <bgColor theme="0" tint="-0.249977111117893"/>
      </patternFill>
    </fill>
    <fill>
      <patternFill patternType="solid">
        <fgColor theme="0"/>
        <bgColor indexed="64"/>
      </patternFill>
    </fill>
    <fill>
      <patternFill patternType="solid">
        <fgColor theme="9"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7F7F7F"/>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7F7F7F"/>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bottom style="medium">
        <color indexed="64"/>
      </bottom>
      <diagonal/>
    </border>
    <border>
      <left/>
      <right style="medium">
        <color indexed="64"/>
      </right>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style="medium">
        <color rgb="FF7F7F7F"/>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
      <left style="thin">
        <color indexed="64"/>
      </left>
      <right style="thin">
        <color indexed="64"/>
      </right>
      <top style="thin">
        <color theme="5"/>
      </top>
      <bottom style="thin">
        <color theme="5"/>
      </bottom>
      <diagonal/>
    </border>
  </borders>
  <cellStyleXfs count="42">
    <xf numFmtId="0" fontId="0" fillId="0" borderId="0"/>
    <xf numFmtId="0" fontId="38" fillId="0" borderId="0" applyNumberFormat="0" applyFill="0" applyBorder="0" applyAlignment="0" applyProtection="0"/>
    <xf numFmtId="0" fontId="34" fillId="18" borderId="1" applyNumberFormat="0">
      <alignment horizontal="left" vertical="center" wrapText="1"/>
    </xf>
    <xf numFmtId="0" fontId="36" fillId="24" borderId="1" applyNumberFormat="0">
      <alignment horizontal="left" vertical="center" wrapText="1"/>
      <protection locked="0"/>
    </xf>
    <xf numFmtId="9" fontId="8" fillId="0" borderId="0" applyFont="0" applyFill="0" applyBorder="0" applyAlignment="0" applyProtection="0"/>
    <xf numFmtId="0" fontId="39" fillId="0" borderId="0" applyNumberFormat="0" applyFill="0" applyBorder="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2" fillId="13" borderId="0" applyNumberFormat="0" applyBorder="0" applyAlignment="0" applyProtection="0"/>
    <xf numFmtId="0" fontId="9" fillId="14" borderId="5" applyNumberFormat="0" applyAlignment="0" applyProtection="0"/>
    <xf numFmtId="0" fontId="8" fillId="15" borderId="19" applyNumberFormat="0" applyFont="0" applyAlignment="0" applyProtection="0"/>
    <xf numFmtId="0" fontId="24" fillId="0" borderId="20" applyNumberFormat="0" applyFill="0" applyAlignment="0" applyProtection="0"/>
    <xf numFmtId="0" fontId="33" fillId="16" borderId="1" applyNumberFormat="0" applyAlignment="0" applyProtection="0">
      <alignment horizontal="left" vertical="center"/>
    </xf>
    <xf numFmtId="0" fontId="37" fillId="18" borderId="1" applyNumberFormat="0">
      <alignment vertical="center" wrapText="1"/>
    </xf>
    <xf numFmtId="0" fontId="15" fillId="21" borderId="1">
      <alignment horizontal="centerContinuous" vertical="center" wrapText="1"/>
    </xf>
    <xf numFmtId="0" fontId="35" fillId="10" borderId="1">
      <alignment horizontal="centerContinuous" vertical="center" wrapText="1"/>
    </xf>
    <xf numFmtId="0" fontId="15" fillId="10" borderId="1">
      <alignment horizontal="centerContinuous" vertical="center" wrapText="1"/>
    </xf>
    <xf numFmtId="0" fontId="48" fillId="21" borderId="0">
      <alignment horizontal="centerContinuous" vertical="center" wrapText="1"/>
    </xf>
    <xf numFmtId="0" fontId="15" fillId="16" borderId="1">
      <alignment horizontal="center" vertical="center" wrapText="1"/>
    </xf>
    <xf numFmtId="0" fontId="37" fillId="0" borderId="1" applyNumberFormat="0">
      <alignment horizontal="left" vertical="center" wrapText="1"/>
    </xf>
    <xf numFmtId="0" fontId="23" fillId="17" borderId="0" applyNumberFormat="0" applyAlignment="0">
      <alignment horizontal="center" vertical="center"/>
    </xf>
    <xf numFmtId="0" fontId="15" fillId="17" borderId="22">
      <alignment horizontal="left" wrapText="1"/>
    </xf>
    <xf numFmtId="0" fontId="16" fillId="0" borderId="23" applyNumberFormat="0"/>
    <xf numFmtId="0" fontId="42" fillId="5" borderId="24" applyNumberFormat="0" applyAlignment="0" applyProtection="0"/>
    <xf numFmtId="0" fontId="43" fillId="19" borderId="25"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7" fillId="20" borderId="0" applyNumberFormat="0" applyBorder="0" applyAlignment="0" applyProtection="0"/>
    <xf numFmtId="0" fontId="43" fillId="21" borderId="0">
      <alignment horizontal="centerContinuous"/>
    </xf>
    <xf numFmtId="0" fontId="33" fillId="10" borderId="1">
      <alignment horizontal="centerContinuous" vertical="center" wrapText="1"/>
    </xf>
    <xf numFmtId="0" fontId="15" fillId="22" borderId="1">
      <alignment horizontal="center" vertical="center" wrapText="1"/>
    </xf>
    <xf numFmtId="0" fontId="15" fillId="22" borderId="1">
      <alignment horizontal="center" vertical="center" wrapText="1"/>
    </xf>
    <xf numFmtId="44" fontId="16" fillId="0" borderId="0" applyFont="0" applyFill="0" applyBorder="0" applyAlignment="0" applyProtection="0"/>
    <xf numFmtId="9" fontId="6" fillId="0" borderId="0" applyFont="0" applyFill="0" applyBorder="0" applyAlignment="0" applyProtection="0"/>
    <xf numFmtId="0" fontId="5" fillId="0" borderId="0"/>
    <xf numFmtId="43" fontId="16" fillId="0" borderId="0" applyFont="0" applyFill="0" applyBorder="0" applyAlignment="0" applyProtection="0"/>
    <xf numFmtId="0" fontId="55" fillId="5" borderId="5" applyNumberFormat="0" applyAlignment="0" applyProtection="0"/>
  </cellStyleXfs>
  <cellXfs count="429">
    <xf numFmtId="0" fontId="0" fillId="0" borderId="0" xfId="0"/>
    <xf numFmtId="0" fontId="10"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10" fillId="0" borderId="0" xfId="0" applyFont="1" applyAlignment="1">
      <alignment horizontal="left"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0" fillId="0" borderId="0" xfId="0" applyAlignment="1">
      <alignment wrapText="1"/>
    </xf>
    <xf numFmtId="165" fontId="10"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20"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2"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12" fillId="2" borderId="1" xfId="4" applyFont="1" applyFill="1" applyBorder="1" applyAlignment="1">
      <alignment horizontal="center" vertical="center"/>
    </xf>
    <xf numFmtId="0" fontId="12"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4" fillId="0" borderId="0" xfId="0" applyFont="1" applyAlignment="1">
      <alignment horizontal="left" vertical="center" wrapText="1" indent="1"/>
    </xf>
    <xf numFmtId="165" fontId="0" fillId="0" borderId="0" xfId="0" applyNumberFormat="1"/>
    <xf numFmtId="0" fontId="10"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0" borderId="0" xfId="0" applyNumberFormat="1"/>
    <xf numFmtId="0" fontId="25" fillId="0" borderId="0" xfId="0" applyFont="1" applyAlignment="1">
      <alignment horizontal="left" wrapText="1"/>
    </xf>
    <xf numFmtId="14" fontId="36" fillId="24" borderId="1" xfId="3" applyNumberFormat="1">
      <alignment horizontal="left" vertical="center" wrapText="1"/>
      <protection locked="0"/>
    </xf>
    <xf numFmtId="0" fontId="15" fillId="21" borderId="1" xfId="19">
      <alignment horizontal="centerContinuous" vertical="center" wrapText="1"/>
    </xf>
    <xf numFmtId="0" fontId="37" fillId="0" borderId="0" xfId="24" applyBorder="1">
      <alignment horizontal="left" vertical="center" wrapText="1"/>
    </xf>
    <xf numFmtId="0" fontId="33" fillId="16" borderId="1" xfId="17" applyAlignment="1"/>
    <xf numFmtId="0" fontId="15" fillId="17" borderId="22" xfId="26">
      <alignment horizontal="left" wrapText="1"/>
    </xf>
    <xf numFmtId="0" fontId="15" fillId="17" borderId="22" xfId="26" applyAlignment="1">
      <alignment horizontal="left"/>
    </xf>
    <xf numFmtId="0" fontId="16" fillId="0" borderId="23" xfId="27"/>
    <xf numFmtId="0" fontId="48" fillId="21" borderId="0" xfId="22" applyAlignment="1">
      <alignment horizontal="left" vertical="center" wrapText="1"/>
    </xf>
    <xf numFmtId="0" fontId="41" fillId="0" borderId="0" xfId="0" applyFont="1"/>
    <xf numFmtId="165" fontId="16"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6"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21" fillId="3" borderId="15" xfId="0" applyFont="1" applyFill="1" applyBorder="1" applyAlignment="1">
      <alignment wrapText="1"/>
    </xf>
    <xf numFmtId="0" fontId="21" fillId="3" borderId="10" xfId="0" applyFont="1" applyFill="1" applyBorder="1" applyAlignment="1">
      <alignment wrapText="1"/>
    </xf>
    <xf numFmtId="0" fontId="21" fillId="3" borderId="8" xfId="0" applyFont="1" applyFill="1" applyBorder="1" applyAlignment="1">
      <alignment wrapText="1"/>
    </xf>
    <xf numFmtId="2" fontId="21" fillId="3" borderId="10" xfId="0" applyNumberFormat="1" applyFont="1" applyFill="1" applyBorder="1" applyAlignment="1">
      <alignment wrapText="1"/>
    </xf>
    <xf numFmtId="0" fontId="21" fillId="3" borderId="14" xfId="0" applyFont="1" applyFill="1" applyBorder="1" applyAlignment="1">
      <alignment wrapText="1"/>
    </xf>
    <xf numFmtId="0" fontId="0" fillId="6" borderId="11" xfId="0" applyFill="1" applyBorder="1"/>
    <xf numFmtId="9" fontId="0" fillId="0" borderId="0" xfId="0" applyNumberFormat="1"/>
    <xf numFmtId="0" fontId="16" fillId="0" borderId="29" xfId="27" applyBorder="1"/>
    <xf numFmtId="9" fontId="0" fillId="0" borderId="1" xfId="0" applyNumberFormat="1" applyBorder="1"/>
    <xf numFmtId="4" fontId="0" fillId="0" borderId="0" xfId="0" applyNumberFormat="1"/>
    <xf numFmtId="0" fontId="17" fillId="0" borderId="0" xfId="0" applyFont="1" applyAlignment="1">
      <alignment horizontal="center" vertical="center" wrapText="1"/>
    </xf>
    <xf numFmtId="0" fontId="0" fillId="25" borderId="9" xfId="0" applyFill="1" applyBorder="1"/>
    <xf numFmtId="0" fontId="0" fillId="25" borderId="2" xfId="0" applyFill="1" applyBorder="1"/>
    <xf numFmtId="166" fontId="0" fillId="25" borderId="4" xfId="0" applyNumberFormat="1" applyFill="1" applyBorder="1"/>
    <xf numFmtId="0" fontId="0" fillId="25" borderId="11" xfId="0" applyFill="1" applyBorder="1"/>
    <xf numFmtId="0" fontId="0" fillId="25" borderId="1" xfId="0" applyFill="1" applyBorder="1"/>
    <xf numFmtId="0" fontId="0" fillId="26" borderId="9" xfId="0" applyFill="1" applyBorder="1"/>
    <xf numFmtId="0" fontId="0" fillId="26" borderId="2" xfId="0" applyFill="1" applyBorder="1"/>
    <xf numFmtId="166" fontId="0" fillId="26" borderId="4" xfId="0" applyNumberFormat="1" applyFill="1" applyBorder="1"/>
    <xf numFmtId="0" fontId="0" fillId="26" borderId="11" xfId="0" applyFill="1" applyBorder="1"/>
    <xf numFmtId="0" fontId="0" fillId="8" borderId="9" xfId="0" applyFill="1" applyBorder="1"/>
    <xf numFmtId="0" fontId="0" fillId="8" borderId="2" xfId="0"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5" borderId="2" xfId="0" applyNumberFormat="1" applyFill="1" applyBorder="1"/>
    <xf numFmtId="169" fontId="0" fillId="26"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right"/>
    </xf>
    <xf numFmtId="0" fontId="49" fillId="0" borderId="0" xfId="0" applyFont="1" applyAlignment="1">
      <alignment vertical="center"/>
    </xf>
    <xf numFmtId="0" fontId="50" fillId="0" borderId="0" xfId="0" applyFont="1"/>
    <xf numFmtId="0" fontId="24" fillId="0" borderId="30" xfId="0" applyFont="1" applyBorder="1" applyAlignment="1">
      <alignment vertical="center" wrapText="1"/>
    </xf>
    <xf numFmtId="0" fontId="24" fillId="0" borderId="31" xfId="0" applyFont="1" applyBorder="1" applyAlignment="1">
      <alignment vertical="center" wrapText="1"/>
    </xf>
    <xf numFmtId="0" fontId="0" fillId="0" borderId="32" xfId="0" applyBorder="1" applyAlignment="1">
      <alignment vertical="center" wrapText="1"/>
    </xf>
    <xf numFmtId="3" fontId="0" fillId="0" borderId="33" xfId="0" applyNumberFormat="1" applyBorder="1" applyAlignment="1">
      <alignment vertical="center" wrapText="1"/>
    </xf>
    <xf numFmtId="0" fontId="0" fillId="0" borderId="33" xfId="0" applyBorder="1" applyAlignment="1">
      <alignment vertical="center" wrapText="1"/>
    </xf>
    <xf numFmtId="2" fontId="0" fillId="0" borderId="33" xfId="0" applyNumberFormat="1" applyBorder="1" applyAlignment="1">
      <alignment vertical="center" wrapText="1"/>
    </xf>
    <xf numFmtId="0" fontId="21" fillId="27" borderId="1" xfId="0" applyFont="1" applyFill="1" applyBorder="1" applyAlignment="1">
      <alignment horizontal="centerContinuous"/>
    </xf>
    <xf numFmtId="0" fontId="0" fillId="27" borderId="1" xfId="0" applyFill="1" applyBorder="1" applyAlignment="1">
      <alignment horizontal="centerContinuous"/>
    </xf>
    <xf numFmtId="0" fontId="21" fillId="27" borderId="1" xfId="0" applyFont="1" applyFill="1" applyBorder="1"/>
    <xf numFmtId="0" fontId="21" fillId="27" borderId="12" xfId="0" applyFont="1" applyFill="1" applyBorder="1"/>
    <xf numFmtId="0" fontId="0" fillId="0" borderId="1" xfId="0" applyBorder="1" applyAlignment="1">
      <alignment vertical="center"/>
    </xf>
    <xf numFmtId="0" fontId="50" fillId="0" borderId="1" xfId="0" applyFont="1" applyBorder="1"/>
    <xf numFmtId="166" fontId="0" fillId="0" borderId="1" xfId="0" applyNumberFormat="1" applyBorder="1"/>
    <xf numFmtId="0" fontId="52" fillId="0" borderId="30" xfId="0" applyFont="1" applyBorder="1" applyAlignment="1">
      <alignment vertical="center" wrapText="1"/>
    </xf>
    <xf numFmtId="0" fontId="52" fillId="0" borderId="31" xfId="0" applyFont="1" applyBorder="1" applyAlignment="1">
      <alignment horizontal="center" vertical="center" wrapText="1"/>
    </xf>
    <xf numFmtId="0" fontId="49" fillId="0" borderId="32" xfId="0" applyFont="1" applyBorder="1" applyAlignment="1">
      <alignment vertical="center" wrapText="1"/>
    </xf>
    <xf numFmtId="0" fontId="49" fillId="0" borderId="33"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33" xfId="0" applyFont="1" applyBorder="1" applyAlignment="1">
      <alignment horizontal="center" vertical="center" wrapText="1"/>
    </xf>
    <xf numFmtId="0" fontId="24" fillId="0" borderId="46" xfId="0" applyFont="1" applyBorder="1" applyAlignment="1">
      <alignment horizontal="center" vertical="center" wrapText="1"/>
    </xf>
    <xf numFmtId="0" fontId="0" fillId="0" borderId="47" xfId="0" applyBorder="1" applyAlignment="1">
      <alignment vertical="center" wrapText="1"/>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53" fillId="0" borderId="50" xfId="0" applyFont="1" applyBorder="1"/>
    <xf numFmtId="0" fontId="53" fillId="0" borderId="51" xfId="0" applyFont="1" applyBorder="1"/>
    <xf numFmtId="0" fontId="0" fillId="0" borderId="33"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vertical="center" wrapText="1"/>
    </xf>
    <xf numFmtId="0" fontId="50" fillId="0" borderId="52" xfId="0" applyFont="1" applyBorder="1"/>
    <xf numFmtId="0" fontId="53" fillId="0" borderId="1" xfId="0" applyFont="1" applyBorder="1"/>
    <xf numFmtId="0" fontId="53" fillId="0" borderId="53" xfId="0" applyFont="1" applyBorder="1"/>
    <xf numFmtId="0" fontId="0" fillId="0" borderId="52" xfId="0" applyBorder="1" applyAlignment="1">
      <alignment horizontal="center" vertical="center"/>
    </xf>
    <xf numFmtId="0" fontId="0" fillId="0" borderId="54" xfId="0" applyBorder="1" applyAlignment="1">
      <alignment vertical="center" wrapText="1"/>
    </xf>
    <xf numFmtId="0" fontId="0" fillId="0" borderId="55" xfId="0" applyBorder="1" applyAlignment="1">
      <alignment vertical="center"/>
    </xf>
    <xf numFmtId="0" fontId="50" fillId="0" borderId="56" xfId="0" applyFont="1" applyBorder="1"/>
    <xf numFmtId="0" fontId="50" fillId="0" borderId="57" xfId="0" applyFont="1" applyBorder="1"/>
    <xf numFmtId="0" fontId="50" fillId="0" borderId="58" xfId="0" applyFont="1" applyBorder="1"/>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vertical="center"/>
    </xf>
    <xf numFmtId="166" fontId="53" fillId="0" borderId="50" xfId="0" applyNumberFormat="1" applyFont="1" applyBorder="1"/>
    <xf numFmtId="169" fontId="53" fillId="0" borderId="51" xfId="0" applyNumberFormat="1" applyFont="1" applyBorder="1"/>
    <xf numFmtId="0" fontId="0" fillId="0" borderId="64" xfId="0" applyBorder="1" applyAlignment="1">
      <alignment vertical="center"/>
    </xf>
    <xf numFmtId="169" fontId="50" fillId="0" borderId="53" xfId="0" applyNumberFormat="1" applyFont="1" applyBorder="1"/>
    <xf numFmtId="0" fontId="0" fillId="0" borderId="32" xfId="0" applyBorder="1" applyAlignment="1">
      <alignment vertical="center"/>
    </xf>
    <xf numFmtId="166" fontId="53" fillId="0" borderId="1" xfId="0" applyNumberFormat="1" applyFont="1" applyBorder="1"/>
    <xf numFmtId="169" fontId="53" fillId="0" borderId="53" xfId="0" applyNumberFormat="1" applyFont="1" applyBorder="1"/>
    <xf numFmtId="0" fontId="0" fillId="0" borderId="6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169" fontId="50" fillId="0" borderId="58" xfId="0" applyNumberFormat="1" applyFont="1" applyBorder="1"/>
    <xf numFmtId="0" fontId="0" fillId="0" borderId="31" xfId="0" applyBorder="1" applyAlignment="1">
      <alignment vertical="center"/>
    </xf>
    <xf numFmtId="0" fontId="50" fillId="0" borderId="53" xfId="0" applyFont="1" applyBorder="1"/>
    <xf numFmtId="0" fontId="0" fillId="0" borderId="56" xfId="0" applyBorder="1" applyAlignment="1">
      <alignment horizontal="center" vertical="center"/>
    </xf>
    <xf numFmtId="0" fontId="0" fillId="0" borderId="57" xfId="0" applyBorder="1" applyAlignment="1">
      <alignment horizontal="center" vertical="center"/>
    </xf>
    <xf numFmtId="166" fontId="0" fillId="0" borderId="0" xfId="0" applyNumberFormat="1"/>
    <xf numFmtId="169" fontId="0" fillId="0" borderId="0" xfId="0" applyNumberFormat="1"/>
    <xf numFmtId="0" fontId="24" fillId="0" borderId="0" xfId="0" applyFont="1" applyAlignment="1">
      <alignment vertical="center" wrapText="1"/>
    </xf>
    <xf numFmtId="2" fontId="0" fillId="0" borderId="0" xfId="0" applyNumberFormat="1" applyAlignment="1">
      <alignment vertical="center" wrapText="1"/>
    </xf>
    <xf numFmtId="0" fontId="24" fillId="0" borderId="44" xfId="0" applyFont="1" applyBorder="1" applyAlignment="1">
      <alignment horizontal="center" vertical="center" wrapText="1"/>
    </xf>
    <xf numFmtId="0" fontId="53" fillId="0" borderId="0" xfId="0" applyFont="1"/>
    <xf numFmtId="164" fontId="37" fillId="0" borderId="1" xfId="24" applyNumberFormat="1" applyAlignment="1" applyProtection="1">
      <alignment horizontal="center" vertical="center" wrapText="1"/>
      <protection hidden="1"/>
    </xf>
    <xf numFmtId="167" fontId="37"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6" fillId="0" borderId="23" xfId="27" applyNumberFormat="1"/>
    <xf numFmtId="171" fontId="0" fillId="0" borderId="0" xfId="0" applyNumberFormat="1"/>
    <xf numFmtId="0" fontId="5" fillId="2" borderId="1" xfId="39" applyFill="1" applyBorder="1"/>
    <xf numFmtId="0" fontId="5" fillId="0" borderId="0" xfId="39"/>
    <xf numFmtId="0" fontId="5" fillId="0" borderId="1" xfId="39" applyBorder="1"/>
    <xf numFmtId="166" fontId="5" fillId="0" borderId="1" xfId="39" applyNumberFormat="1" applyBorder="1"/>
    <xf numFmtId="14" fontId="5" fillId="0" borderId="1" xfId="39" applyNumberFormat="1" applyBorder="1"/>
    <xf numFmtId="0" fontId="5" fillId="0" borderId="1" xfId="39" applyBorder="1" applyAlignment="1">
      <alignment wrapText="1"/>
    </xf>
    <xf numFmtId="166" fontId="4" fillId="0" borderId="1" xfId="39" applyNumberFormat="1" applyFont="1" applyBorder="1"/>
    <xf numFmtId="0" fontId="4" fillId="0" borderId="1" xfId="39" applyFont="1" applyBorder="1" applyAlignment="1">
      <alignment wrapText="1"/>
    </xf>
    <xf numFmtId="14" fontId="4" fillId="0" borderId="1" xfId="39" applyNumberFormat="1" applyFont="1" applyBorder="1"/>
    <xf numFmtId="0" fontId="4" fillId="0" borderId="1" xfId="39" applyFont="1" applyBorder="1"/>
    <xf numFmtId="166" fontId="3" fillId="0" borderId="1" xfId="39" applyNumberFormat="1" applyFont="1" applyBorder="1"/>
    <xf numFmtId="0" fontId="3" fillId="0" borderId="1" xfId="39" applyFont="1" applyBorder="1"/>
    <xf numFmtId="0" fontId="41" fillId="2" borderId="1" xfId="0" applyFont="1" applyFill="1" applyBorder="1"/>
    <xf numFmtId="0" fontId="41" fillId="7" borderId="1" xfId="0" quotePrefix="1" applyFont="1" applyFill="1" applyBorder="1"/>
    <xf numFmtId="0" fontId="0" fillId="0" borderId="10" xfId="0" applyBorder="1"/>
    <xf numFmtId="2" fontId="0" fillId="0" borderId="1" xfId="0" applyNumberFormat="1" applyBorder="1"/>
    <xf numFmtId="0" fontId="0" fillId="0" borderId="2" xfId="0" applyBorder="1"/>
    <xf numFmtId="0" fontId="0" fillId="0" borderId="12" xfId="0" applyBorder="1"/>
    <xf numFmtId="0" fontId="0" fillId="0" borderId="1" xfId="0" applyBorder="1" applyAlignment="1">
      <alignment wrapText="1"/>
    </xf>
    <xf numFmtId="164" fontId="0" fillId="0" borderId="1" xfId="0" applyNumberFormat="1" applyBorder="1"/>
    <xf numFmtId="0" fontId="0" fillId="0" borderId="3" xfId="0" applyBorder="1"/>
    <xf numFmtId="0" fontId="0" fillId="2" borderId="3" xfId="0" applyFill="1" applyBorder="1"/>
    <xf numFmtId="3" fontId="59" fillId="30" borderId="1" xfId="0" applyNumberFormat="1" applyFont="1" applyFill="1" applyBorder="1" applyAlignment="1" applyProtection="1">
      <alignment horizontal="center"/>
      <protection hidden="1"/>
    </xf>
    <xf numFmtId="166" fontId="60" fillId="30" borderId="1" xfId="41" applyNumberFormat="1" applyFont="1" applyFill="1" applyBorder="1" applyAlignment="1" applyProtection="1">
      <alignment horizontal="center" vertical="center" wrapText="1"/>
      <protection hidden="1"/>
    </xf>
    <xf numFmtId="167" fontId="59" fillId="30" borderId="1" xfId="0" applyNumberFormat="1" applyFont="1" applyFill="1" applyBorder="1" applyAlignment="1" applyProtection="1">
      <alignment horizontal="center"/>
      <protection hidden="1"/>
    </xf>
    <xf numFmtId="3" fontId="59" fillId="31" borderId="1" xfId="0" applyNumberFormat="1" applyFont="1" applyFill="1" applyBorder="1" applyAlignment="1" applyProtection="1">
      <alignment horizontal="center"/>
      <protection hidden="1"/>
    </xf>
    <xf numFmtId="164" fontId="59" fillId="30" borderId="1" xfId="0" applyNumberFormat="1" applyFont="1" applyFill="1" applyBorder="1" applyAlignment="1" applyProtection="1">
      <alignment horizontal="center"/>
      <protection hidden="1"/>
    </xf>
    <xf numFmtId="169" fontId="59" fillId="30" borderId="1" xfId="0" applyNumberFormat="1" applyFont="1" applyFill="1" applyBorder="1" applyAlignment="1" applyProtection="1">
      <alignment horizontal="center"/>
      <protection hidden="1"/>
    </xf>
    <xf numFmtId="0" fontId="58" fillId="29" borderId="1" xfId="0" applyFont="1" applyFill="1" applyBorder="1" applyAlignment="1" applyProtection="1">
      <alignment horizontal="right"/>
      <protection hidden="1"/>
    </xf>
    <xf numFmtId="169" fontId="0" fillId="0" borderId="1" xfId="0" applyNumberFormat="1" applyBorder="1"/>
    <xf numFmtId="0" fontId="0" fillId="0" borderId="0" xfId="0" applyNumberFormat="1"/>
    <xf numFmtId="0" fontId="0" fillId="0" borderId="0" xfId="0" applyFill="1"/>
    <xf numFmtId="165" fontId="0" fillId="0" borderId="0" xfId="4" applyNumberFormat="1" applyFont="1" applyAlignment="1">
      <alignment horizontal="center"/>
    </xf>
    <xf numFmtId="0" fontId="0" fillId="0" borderId="1" xfId="0" applyFill="1" applyBorder="1" applyAlignment="1">
      <alignment vertical="center"/>
    </xf>
    <xf numFmtId="0" fontId="50" fillId="0" borderId="1" xfId="0" applyFont="1" applyFill="1" applyBorder="1"/>
    <xf numFmtId="166" fontId="0" fillId="0" borderId="1" xfId="0" applyNumberFormat="1" applyFill="1" applyBorder="1" applyAlignment="1">
      <alignment vertical="center"/>
    </xf>
    <xf numFmtId="0" fontId="0" fillId="0" borderId="1" xfId="0" applyFill="1" applyBorder="1"/>
    <xf numFmtId="166" fontId="50" fillId="0" borderId="1" xfId="0" applyNumberFormat="1" applyFont="1" applyFill="1" applyBorder="1"/>
    <xf numFmtId="166" fontId="0" fillId="0" borderId="1" xfId="0" applyNumberFormat="1" applyFill="1" applyBorder="1"/>
    <xf numFmtId="0" fontId="2" fillId="0" borderId="1" xfId="39" applyFont="1" applyBorder="1" applyAlignment="1">
      <alignment wrapText="1"/>
    </xf>
    <xf numFmtId="0" fontId="0" fillId="7" borderId="9" xfId="0" applyFill="1" applyBorder="1"/>
    <xf numFmtId="0" fontId="0" fillId="7" borderId="2" xfId="0" applyFill="1" applyBorder="1"/>
    <xf numFmtId="169" fontId="0" fillId="7" borderId="2" xfId="0" applyNumberFormat="1" applyFill="1" applyBorder="1"/>
    <xf numFmtId="166" fontId="0" fillId="7" borderId="9" xfId="0" applyNumberFormat="1" applyFill="1" applyBorder="1"/>
    <xf numFmtId="0" fontId="0" fillId="7" borderId="11" xfId="0" applyFill="1" applyBorder="1"/>
    <xf numFmtId="164" fontId="0" fillId="7" borderId="2" xfId="0" applyNumberFormat="1" applyFill="1" applyBorder="1"/>
    <xf numFmtId="0" fontId="0" fillId="28" borderId="4" xfId="0" applyFill="1" applyBorder="1"/>
    <xf numFmtId="0" fontId="0" fillId="28" borderId="1" xfId="0" applyFill="1" applyBorder="1"/>
    <xf numFmtId="169" fontId="0" fillId="28" borderId="1" xfId="0" applyNumberFormat="1" applyFill="1" applyBorder="1"/>
    <xf numFmtId="166" fontId="0" fillId="28" borderId="4" xfId="0" applyNumberFormat="1" applyFill="1" applyBorder="1"/>
    <xf numFmtId="0" fontId="0" fillId="28" borderId="13" xfId="0" applyFill="1" applyBorder="1"/>
    <xf numFmtId="0" fontId="0" fillId="28" borderId="2" xfId="0" applyFill="1" applyBorder="1"/>
    <xf numFmtId="3" fontId="0" fillId="28" borderId="1" xfId="0" applyNumberFormat="1" applyFill="1" applyBorder="1"/>
    <xf numFmtId="167" fontId="0" fillId="9" borderId="1" xfId="0" applyNumberFormat="1" applyFill="1" applyBorder="1" applyProtection="1"/>
    <xf numFmtId="167" fontId="0" fillId="7" borderId="1" xfId="0" applyNumberFormat="1" applyFill="1" applyBorder="1" applyProtection="1"/>
    <xf numFmtId="167" fontId="0" fillId="6" borderId="2" xfId="0" applyNumberFormat="1" applyFill="1" applyBorder="1" applyProtection="1"/>
    <xf numFmtId="167" fontId="0" fillId="25" borderId="2" xfId="0" applyNumberFormat="1" applyFill="1" applyBorder="1" applyProtection="1"/>
    <xf numFmtId="167" fontId="0" fillId="26" borderId="2" xfId="0" applyNumberFormat="1" applyFill="1" applyBorder="1" applyProtection="1"/>
    <xf numFmtId="167" fontId="0" fillId="8" borderId="2" xfId="0" applyNumberFormat="1" applyFill="1" applyBorder="1" applyProtection="1"/>
    <xf numFmtId="167" fontId="0" fillId="28" borderId="1" xfId="0" applyNumberFormat="1" applyFill="1" applyBorder="1" applyProtection="1"/>
    <xf numFmtId="167" fontId="0" fillId="7" borderId="2" xfId="0" applyNumberFormat="1" applyFill="1" applyBorder="1" applyProtection="1"/>
    <xf numFmtId="164" fontId="0" fillId="9" borderId="1" xfId="0" applyNumberFormat="1" applyFill="1" applyBorder="1"/>
    <xf numFmtId="164" fontId="0" fillId="7" borderId="1" xfId="0" applyNumberFormat="1" applyFill="1" applyBorder="1"/>
    <xf numFmtId="164" fontId="0" fillId="6" borderId="2" xfId="0" applyNumberFormat="1" applyFill="1" applyBorder="1"/>
    <xf numFmtId="164" fontId="0" fillId="25" borderId="2" xfId="0" applyNumberFormat="1" applyFill="1" applyBorder="1"/>
    <xf numFmtId="164" fontId="0" fillId="26" borderId="2" xfId="0" applyNumberFormat="1" applyFill="1" applyBorder="1"/>
    <xf numFmtId="164" fontId="0" fillId="8" borderId="2" xfId="0" applyNumberFormat="1" applyFill="1" applyBorder="1"/>
    <xf numFmtId="164" fontId="0" fillId="28" borderId="12" xfId="0" applyNumberFormat="1" applyFill="1" applyBorder="1"/>
    <xf numFmtId="164" fontId="0" fillId="28" borderId="1" xfId="0" applyNumberFormat="1" applyFill="1" applyBorder="1"/>
    <xf numFmtId="164" fontId="0" fillId="9" borderId="3" xfId="0" applyNumberFormat="1" applyFill="1" applyBorder="1"/>
    <xf numFmtId="164" fontId="0" fillId="7" borderId="3" xfId="0" applyNumberFormat="1" applyFill="1" applyBorder="1"/>
    <xf numFmtId="164" fontId="0" fillId="6" borderId="7" xfId="0" applyNumberFormat="1" applyFill="1" applyBorder="1"/>
    <xf numFmtId="164" fontId="0" fillId="25" borderId="7" xfId="0" applyNumberFormat="1" applyFill="1" applyBorder="1"/>
    <xf numFmtId="164" fontId="0" fillId="26" borderId="7" xfId="0" applyNumberFormat="1" applyFill="1" applyBorder="1"/>
    <xf numFmtId="164" fontId="0" fillId="8" borderId="7" xfId="0" applyNumberFormat="1" applyFill="1" applyBorder="1"/>
    <xf numFmtId="164" fontId="0" fillId="7" borderId="1" xfId="0" applyNumberFormat="1" applyFont="1" applyFill="1" applyBorder="1"/>
    <xf numFmtId="164" fontId="0" fillId="28" borderId="66" xfId="0" applyNumberFormat="1" applyFont="1" applyFill="1" applyBorder="1"/>
    <xf numFmtId="167" fontId="0" fillId="0" borderId="0" xfId="0" applyNumberFormat="1"/>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0" fontId="10" fillId="0" borderId="0" xfId="0" applyFont="1" applyAlignment="1">
      <alignment horizontal="left"/>
    </xf>
    <xf numFmtId="0" fontId="10" fillId="0" borderId="0" xfId="0" applyFont="1" applyBorder="1" applyAlignment="1">
      <alignment horizontal="left"/>
    </xf>
    <xf numFmtId="0" fontId="10" fillId="0" borderId="14" xfId="0" applyFont="1" applyBorder="1" applyAlignment="1">
      <alignment horizontal="left" wrapText="1"/>
    </xf>
    <xf numFmtId="0" fontId="62" fillId="18" borderId="1" xfId="0" applyFont="1" applyFill="1" applyBorder="1" applyAlignment="1">
      <alignment horizontal="left" vertical="center" wrapText="1"/>
    </xf>
    <xf numFmtId="0" fontId="64" fillId="21" borderId="1" xfId="0" applyFont="1" applyFill="1" applyBorder="1" applyAlignment="1">
      <alignment horizontal="left" vertical="center" wrapText="1"/>
    </xf>
    <xf numFmtId="0" fontId="10" fillId="0" borderId="0" xfId="0" applyFont="1" applyAlignment="1">
      <alignment horizontal="left" vertical="center"/>
    </xf>
    <xf numFmtId="0" fontId="64" fillId="23" borderId="1" xfId="0" applyFont="1" applyFill="1" applyBorder="1" applyAlignment="1">
      <alignment horizontal="left" vertical="center" wrapText="1"/>
    </xf>
    <xf numFmtId="0" fontId="63" fillId="4" borderId="1" xfId="3" applyFont="1" applyFill="1" applyAlignment="1">
      <alignment horizontal="left" vertical="center" wrapText="1"/>
      <protection locked="0"/>
    </xf>
    <xf numFmtId="0" fontId="10" fillId="0" borderId="0" xfId="0" applyFont="1"/>
    <xf numFmtId="0" fontId="67" fillId="32" borderId="0" xfId="22" applyFont="1" applyFill="1" applyAlignment="1">
      <alignment vertical="center" wrapText="1"/>
    </xf>
    <xf numFmtId="0" fontId="68" fillId="32" borderId="0" xfId="0" applyFont="1" applyFill="1"/>
    <xf numFmtId="3" fontId="63" fillId="24" borderId="1" xfId="3" applyNumberFormat="1" applyFont="1">
      <alignment horizontal="left" vertical="center" wrapText="1"/>
      <protection locked="0"/>
    </xf>
    <xf numFmtId="0" fontId="63" fillId="4" borderId="1" xfId="3" applyFont="1" applyFill="1">
      <alignment horizontal="left" vertical="center" wrapText="1"/>
      <protection locked="0"/>
    </xf>
    <xf numFmtId="14" fontId="63" fillId="4" borderId="1" xfId="3" applyNumberFormat="1" applyFont="1" applyFill="1">
      <alignment horizontal="left" vertical="center" wrapText="1"/>
      <protection locked="0"/>
    </xf>
    <xf numFmtId="0" fontId="67" fillId="32" borderId="0" xfId="22" applyFont="1" applyFill="1" applyAlignment="1">
      <alignment horizontal="left" vertical="center" wrapText="1"/>
    </xf>
    <xf numFmtId="0" fontId="68" fillId="32" borderId="0" xfId="0" applyFont="1" applyFill="1" applyAlignment="1">
      <alignment horizontal="left"/>
    </xf>
    <xf numFmtId="14" fontId="63" fillId="4" borderId="1" xfId="3" applyNumberFormat="1" applyFont="1" applyFill="1" applyAlignment="1">
      <alignment horizontal="left" vertical="center" wrapText="1"/>
      <protection locked="0"/>
    </xf>
    <xf numFmtId="3" fontId="63" fillId="4" borderId="1" xfId="3" applyNumberFormat="1" applyFont="1" applyFill="1" applyAlignment="1">
      <alignment horizontal="left" vertical="center" wrapText="1"/>
      <protection locked="0"/>
    </xf>
    <xf numFmtId="164" fontId="63" fillId="4" borderId="1" xfId="3" applyNumberFormat="1" applyFont="1" applyFill="1" applyAlignment="1">
      <alignment horizontal="left" vertical="center" wrapText="1"/>
      <protection locked="0"/>
    </xf>
    <xf numFmtId="0" fontId="62" fillId="0" borderId="0" xfId="0" applyFont="1"/>
    <xf numFmtId="0" fontId="10" fillId="0" borderId="0" xfId="0" applyFont="1" applyAlignment="1">
      <alignment horizontal="left" vertical="top" wrapText="1"/>
    </xf>
    <xf numFmtId="0" fontId="69" fillId="0" borderId="0" xfId="1" applyFont="1" applyBorder="1" applyAlignment="1">
      <alignment horizontal="left" vertical="top" wrapText="1"/>
    </xf>
    <xf numFmtId="49" fontId="63" fillId="4" borderId="1" xfId="3" applyNumberFormat="1" applyFont="1" applyFill="1">
      <alignment horizontal="left" vertical="center" wrapText="1"/>
      <protection locked="0"/>
    </xf>
    <xf numFmtId="0" fontId="70" fillId="0" borderId="0" xfId="0" applyFont="1"/>
    <xf numFmtId="0" fontId="10" fillId="0" borderId="0" xfId="0" applyFont="1" applyAlignment="1">
      <alignment vertical="center"/>
    </xf>
    <xf numFmtId="0" fontId="63" fillId="0" borderId="0" xfId="3" applyFont="1" applyFill="1" applyBorder="1" applyAlignment="1" applyProtection="1">
      <alignment horizontal="center" vertical="center" wrapText="1"/>
    </xf>
    <xf numFmtId="0" fontId="64" fillId="22" borderId="1" xfId="36" applyFont="1" applyAlignment="1">
      <alignment horizontal="center" vertical="center"/>
    </xf>
    <xf numFmtId="167" fontId="61" fillId="18" borderId="1" xfId="18" applyNumberFormat="1" applyFont="1" applyAlignment="1" applyProtection="1">
      <alignment horizontal="center" vertical="center" wrapText="1"/>
      <protection hidden="1"/>
    </xf>
    <xf numFmtId="0" fontId="10" fillId="0" borderId="0" xfId="0" applyFont="1" applyAlignment="1">
      <alignment horizontal="center" vertical="center"/>
    </xf>
    <xf numFmtId="0" fontId="10" fillId="18" borderId="4" xfId="18" applyFont="1" applyBorder="1" applyAlignment="1" applyProtection="1">
      <alignment horizontal="center" vertical="center" wrapText="1"/>
      <protection hidden="1"/>
    </xf>
    <xf numFmtId="0" fontId="10" fillId="18" borderId="1" xfId="18" applyFont="1" applyAlignment="1" applyProtection="1">
      <alignment horizontal="center" vertical="center" wrapText="1"/>
      <protection hidden="1"/>
    </xf>
    <xf numFmtId="0" fontId="10" fillId="18" borderId="1" xfId="18" applyFont="1" applyAlignment="1" applyProtection="1">
      <alignment horizontal="center" vertical="center" wrapText="1"/>
      <protection locked="0"/>
    </xf>
    <xf numFmtId="167" fontId="10" fillId="18" borderId="1" xfId="40" applyNumberFormat="1" applyFont="1" applyFill="1" applyBorder="1" applyAlignment="1" applyProtection="1">
      <alignment horizontal="center" vertical="center" wrapText="1"/>
      <protection locked="0"/>
    </xf>
    <xf numFmtId="2" fontId="10" fillId="18" borderId="1" xfId="18" applyNumberFormat="1" applyFont="1" applyAlignment="1" applyProtection="1">
      <alignment horizontal="center" vertical="center" wrapText="1"/>
      <protection hidden="1"/>
    </xf>
    <xf numFmtId="3" fontId="10" fillId="18" borderId="1" xfId="18" applyNumberFormat="1" applyFont="1" applyAlignment="1" applyProtection="1">
      <alignment horizontal="center" vertical="center" wrapText="1"/>
      <protection hidden="1"/>
    </xf>
    <xf numFmtId="3" fontId="63" fillId="24" borderId="1" xfId="3" applyNumberFormat="1" applyFont="1" applyAlignment="1" applyProtection="1">
      <alignment horizontal="center" vertical="center" wrapText="1"/>
      <protection locked="0"/>
    </xf>
    <xf numFmtId="4" fontId="63" fillId="24" borderId="1" xfId="3" applyNumberFormat="1" applyFont="1" applyAlignment="1" applyProtection="1">
      <alignment horizontal="center" vertical="center" wrapText="1"/>
      <protection locked="0"/>
    </xf>
    <xf numFmtId="164" fontId="63" fillId="24" borderId="1" xfId="3" applyNumberFormat="1" applyFont="1" applyAlignment="1" applyProtection="1">
      <alignment horizontal="center" vertical="center" wrapText="1"/>
      <protection locked="0"/>
    </xf>
    <xf numFmtId="164" fontId="10" fillId="18" borderId="1" xfId="18" applyNumberFormat="1" applyFont="1" applyAlignment="1" applyProtection="1">
      <alignment horizontal="center" vertical="center" wrapText="1"/>
      <protection hidden="1"/>
    </xf>
    <xf numFmtId="167" fontId="10" fillId="18" borderId="1" xfId="18" applyNumberFormat="1" applyFont="1" applyAlignment="1" applyProtection="1">
      <alignment horizontal="center" vertical="center" wrapText="1"/>
      <protection hidden="1"/>
    </xf>
    <xf numFmtId="168" fontId="10" fillId="18" borderId="1" xfId="18" applyNumberFormat="1" applyFont="1" applyAlignment="1" applyProtection="1">
      <alignment horizontal="center" vertical="center" wrapText="1"/>
      <protection hidden="1"/>
    </xf>
    <xf numFmtId="164" fontId="61" fillId="18" borderId="4" xfId="18" applyNumberFormat="1" applyFont="1" applyBorder="1" applyAlignment="1" applyProtection="1">
      <alignment horizontal="left" vertical="center" wrapText="1"/>
      <protection hidden="1"/>
    </xf>
    <xf numFmtId="167" fontId="61" fillId="18" borderId="1" xfId="18" applyNumberFormat="1" applyFont="1" applyAlignment="1" applyProtection="1">
      <alignment horizontal="left" vertical="center" wrapText="1"/>
      <protection hidden="1"/>
    </xf>
    <xf numFmtId="168" fontId="61" fillId="18" borderId="1" xfId="18" applyNumberFormat="1" applyFont="1" applyAlignment="1" applyProtection="1">
      <alignment horizontal="left" vertical="center" wrapText="1"/>
      <protection hidden="1"/>
    </xf>
    <xf numFmtId="164" fontId="61" fillId="18" borderId="1" xfId="18" applyNumberFormat="1" applyFont="1" applyAlignment="1" applyProtection="1">
      <alignment horizontal="left" vertical="center" wrapText="1"/>
      <protection hidden="1"/>
    </xf>
    <xf numFmtId="0" fontId="64" fillId="16" borderId="10" xfId="23" applyFont="1" applyBorder="1" applyAlignment="1">
      <alignment horizontal="left" vertical="center" wrapText="1"/>
    </xf>
    <xf numFmtId="0" fontId="64" fillId="10" borderId="1" xfId="21" applyFont="1" applyAlignment="1">
      <alignment horizontal="center" vertical="center" wrapText="1"/>
    </xf>
    <xf numFmtId="0" fontId="10" fillId="0" borderId="0" xfId="0" applyFont="1" applyAlignment="1">
      <alignment horizontal="left" vertical="center" wrapText="1"/>
    </xf>
    <xf numFmtId="0" fontId="64" fillId="16" borderId="15" xfId="23" applyFont="1" applyBorder="1" applyAlignment="1">
      <alignment horizontal="left" vertical="center" wrapText="1"/>
    </xf>
    <xf numFmtId="0" fontId="64" fillId="16" borderId="10" xfId="17" applyFont="1" applyBorder="1" applyAlignment="1" applyProtection="1">
      <alignment horizontal="left" vertical="center" wrapText="1"/>
    </xf>
    <xf numFmtId="0" fontId="64" fillId="16" borderId="8" xfId="23" applyFont="1" applyBorder="1" applyAlignment="1">
      <alignment horizontal="left" vertical="center" wrapText="1"/>
    </xf>
    <xf numFmtId="0" fontId="64" fillId="10" borderId="1" xfId="21" applyFont="1" applyAlignment="1">
      <alignment horizontal="left" vertical="center" wrapText="1"/>
    </xf>
    <xf numFmtId="0" fontId="64" fillId="10" borderId="10" xfId="21" applyFont="1" applyBorder="1" applyAlignment="1">
      <alignment horizontal="left" vertical="center" wrapText="1"/>
    </xf>
    <xf numFmtId="0" fontId="63" fillId="4" borderId="3" xfId="3" applyFont="1" applyFill="1" applyBorder="1" applyProtection="1">
      <alignment horizontal="left" vertical="center" wrapText="1"/>
      <protection locked="0"/>
    </xf>
    <xf numFmtId="0" fontId="63" fillId="4" borderId="1" xfId="3" applyFont="1" applyFill="1" applyAlignment="1" applyProtection="1">
      <alignment horizontal="center" vertical="center" wrapText="1"/>
      <protection locked="0"/>
    </xf>
    <xf numFmtId="0" fontId="71" fillId="0" borderId="0" xfId="22" applyFont="1" applyFill="1" applyAlignment="1">
      <alignment vertical="center" wrapText="1"/>
    </xf>
    <xf numFmtId="3" fontId="63" fillId="24" borderId="1" xfId="3" applyNumberFormat="1" applyFont="1" applyAlignment="1">
      <alignment horizontal="center" vertical="center" wrapText="1"/>
      <protection locked="0"/>
    </xf>
    <xf numFmtId="4" fontId="63" fillId="24" borderId="1" xfId="3" applyNumberFormat="1" applyFont="1" applyAlignment="1">
      <alignment horizontal="center" vertical="center" wrapText="1"/>
      <protection locked="0"/>
    </xf>
    <xf numFmtId="165" fontId="63" fillId="24" borderId="1" xfId="3" applyNumberFormat="1" applyFont="1" applyAlignment="1">
      <alignment horizontal="center" vertical="center" wrapText="1"/>
      <protection locked="0"/>
    </xf>
    <xf numFmtId="0" fontId="10" fillId="0" borderId="1" xfId="0" applyFont="1" applyBorder="1" applyAlignment="1" applyProtection="1">
      <alignment wrapText="1"/>
      <protection hidden="1"/>
    </xf>
    <xf numFmtId="0" fontId="64" fillId="22" borderId="1" xfId="36" applyFont="1">
      <alignment horizontal="center" vertical="center" wrapText="1"/>
    </xf>
    <xf numFmtId="167" fontId="61" fillId="18" borderId="1" xfId="18" applyNumberFormat="1" applyFont="1" applyAlignment="1">
      <alignment horizontal="center" vertical="center" wrapText="1"/>
    </xf>
    <xf numFmtId="0" fontId="10" fillId="18" borderId="4" xfId="18" applyFont="1" applyBorder="1" applyAlignment="1">
      <alignment horizontal="center" vertical="center" wrapText="1"/>
    </xf>
    <xf numFmtId="0" fontId="10" fillId="18" borderId="1" xfId="18" applyFont="1" applyAlignment="1">
      <alignment horizontal="center" vertical="center" wrapText="1"/>
    </xf>
    <xf numFmtId="0" fontId="63" fillId="24" borderId="1" xfId="3" applyFont="1" applyAlignment="1">
      <alignment horizontal="center" vertical="center" wrapText="1"/>
      <protection locked="0"/>
    </xf>
    <xf numFmtId="164" fontId="10" fillId="18" borderId="1" xfId="18" applyNumberFormat="1" applyFont="1" applyAlignment="1">
      <alignment horizontal="center" vertical="center" wrapText="1"/>
    </xf>
    <xf numFmtId="167" fontId="10" fillId="18" borderId="1" xfId="18" applyNumberFormat="1" applyFont="1" applyAlignment="1">
      <alignment horizontal="center" vertical="center" wrapText="1"/>
    </xf>
    <xf numFmtId="168" fontId="10" fillId="18" borderId="1" xfId="18" applyNumberFormat="1" applyFont="1" applyAlignment="1">
      <alignment horizontal="center" vertical="center" wrapText="1"/>
    </xf>
    <xf numFmtId="164" fontId="61" fillId="18" borderId="4" xfId="18" applyNumberFormat="1" applyFont="1" applyBorder="1" applyAlignment="1">
      <alignment horizontal="left" vertical="center" wrapText="1"/>
    </xf>
    <xf numFmtId="167" fontId="61" fillId="18" borderId="1" xfId="18" applyNumberFormat="1" applyFont="1" applyAlignment="1">
      <alignment horizontal="left" vertical="center" wrapText="1"/>
    </xf>
    <xf numFmtId="168" fontId="61" fillId="18" borderId="1" xfId="18" applyNumberFormat="1" applyFont="1" applyAlignment="1">
      <alignment horizontal="left" vertical="center" wrapText="1"/>
    </xf>
    <xf numFmtId="164" fontId="61" fillId="18" borderId="1" xfId="18" applyNumberFormat="1" applyFont="1" applyAlignment="1">
      <alignment horizontal="left" vertical="center" wrapText="1"/>
    </xf>
    <xf numFmtId="0" fontId="63" fillId="4" borderId="3" xfId="3" applyFont="1" applyFill="1" applyBorder="1">
      <alignment horizontal="left" vertical="center" wrapText="1"/>
      <protection locked="0"/>
    </xf>
    <xf numFmtId="0" fontId="63" fillId="4" borderId="1" xfId="3" applyFont="1" applyFill="1" applyAlignment="1">
      <alignment horizontal="center" vertical="center" wrapText="1"/>
      <protection locked="0"/>
    </xf>
    <xf numFmtId="0" fontId="67" fillId="32" borderId="0" xfId="22" applyFont="1" applyFill="1">
      <alignment horizontal="centerContinuous" vertical="center" wrapText="1"/>
    </xf>
    <xf numFmtId="167" fontId="63" fillId="24" borderId="1" xfId="3" applyNumberFormat="1" applyFont="1" applyAlignment="1">
      <alignment horizontal="center" vertical="center" wrapText="1"/>
      <protection locked="0"/>
    </xf>
    <xf numFmtId="169" fontId="63" fillId="24" borderId="1" xfId="3" applyNumberFormat="1" applyFont="1" applyAlignment="1">
      <alignment horizontal="center" vertical="center" wrapText="1"/>
      <protection locked="0"/>
    </xf>
    <xf numFmtId="164" fontId="63" fillId="24" borderId="1" xfId="3" applyNumberFormat="1" applyFont="1" applyAlignment="1">
      <alignment horizontal="center" vertical="center" wrapText="1"/>
      <protection locked="0"/>
    </xf>
    <xf numFmtId="0" fontId="64" fillId="21" borderId="1" xfId="19" applyFont="1" applyAlignment="1">
      <alignment horizontal="left" vertical="center" wrapText="1"/>
    </xf>
    <xf numFmtId="0" fontId="62" fillId="18" borderId="1" xfId="2" applyFont="1" applyAlignment="1">
      <alignment vertical="center" wrapText="1"/>
    </xf>
    <xf numFmtId="0" fontId="62" fillId="18" borderId="9" xfId="0" applyFont="1" applyFill="1" applyBorder="1" applyAlignment="1">
      <alignment horizontal="center" vertical="center" wrapText="1"/>
    </xf>
    <xf numFmtId="167" fontId="62" fillId="0" borderId="1" xfId="0" applyNumberFormat="1" applyFont="1" applyBorder="1" applyAlignment="1" applyProtection="1">
      <alignment horizontal="center" vertical="center" wrapText="1"/>
      <protection hidden="1"/>
    </xf>
    <xf numFmtId="168" fontId="62" fillId="0" borderId="3" xfId="0" applyNumberFormat="1" applyFont="1" applyBorder="1" applyAlignment="1" applyProtection="1">
      <alignment horizontal="center" vertical="center" wrapText="1"/>
      <protection hidden="1"/>
    </xf>
    <xf numFmtId="164" fontId="10" fillId="0" borderId="1" xfId="24" applyNumberFormat="1" applyFont="1" applyAlignment="1" applyProtection="1">
      <alignment horizontal="left" vertical="center" wrapText="1"/>
      <protection hidden="1"/>
    </xf>
    <xf numFmtId="167" fontId="10" fillId="0" borderId="1" xfId="24" applyNumberFormat="1" applyFont="1" applyAlignment="1" applyProtection="1">
      <alignment horizontal="left" vertical="center" wrapText="1"/>
      <protection hidden="1"/>
    </xf>
    <xf numFmtId="164" fontId="62" fillId="18" borderId="4" xfId="2" applyNumberFormat="1" applyFont="1" applyBorder="1" applyAlignment="1">
      <alignment horizontal="left" vertical="center" wrapText="1"/>
    </xf>
    <xf numFmtId="167" fontId="10" fillId="0" borderId="1" xfId="24" applyNumberFormat="1" applyFont="1" applyFill="1" applyBorder="1" applyAlignment="1" applyProtection="1">
      <alignment horizontal="left" vertical="center" wrapText="1"/>
      <protection hidden="1"/>
    </xf>
    <xf numFmtId="168" fontId="10" fillId="0" borderId="3" xfId="24" applyNumberFormat="1" applyFont="1" applyFill="1" applyBorder="1" applyAlignment="1" applyProtection="1">
      <alignment horizontal="left" vertical="center" wrapText="1"/>
      <protection hidden="1"/>
    </xf>
    <xf numFmtId="168" fontId="10" fillId="0" borderId="3" xfId="24" applyNumberFormat="1" applyFont="1" applyBorder="1" applyAlignment="1" applyProtection="1">
      <alignment horizontal="left" vertical="center" wrapText="1"/>
      <protection hidden="1"/>
    </xf>
    <xf numFmtId="164" fontId="10" fillId="0" borderId="1" xfId="37" applyNumberFormat="1" applyFont="1" applyBorder="1" applyAlignment="1" applyProtection="1">
      <alignment horizontal="left" vertical="center" wrapText="1"/>
      <protection hidden="1"/>
    </xf>
    <xf numFmtId="167" fontId="10" fillId="0" borderId="3" xfId="24" applyNumberFormat="1" applyFont="1" applyBorder="1" applyAlignment="1" applyProtection="1">
      <alignment horizontal="left" vertical="center" wrapText="1"/>
      <protection hidden="1"/>
    </xf>
    <xf numFmtId="167" fontId="10" fillId="0" borderId="3" xfId="24" applyNumberFormat="1" applyFont="1" applyFill="1" applyBorder="1" applyAlignment="1" applyProtection="1">
      <alignment horizontal="left" vertical="center" wrapText="1"/>
      <protection hidden="1"/>
    </xf>
    <xf numFmtId="0" fontId="62" fillId="18" borderId="9" xfId="0" applyFont="1" applyFill="1" applyBorder="1" applyAlignment="1">
      <alignment horizontal="left" vertical="center" wrapText="1"/>
    </xf>
    <xf numFmtId="164" fontId="62" fillId="0" borderId="1" xfId="0" applyNumberFormat="1" applyFont="1" applyBorder="1" applyAlignment="1" applyProtection="1">
      <alignment horizontal="left" vertical="center" wrapText="1"/>
      <protection hidden="1"/>
    </xf>
    <xf numFmtId="167" fontId="62" fillId="0" borderId="3" xfId="0" applyNumberFormat="1" applyFont="1" applyBorder="1" applyAlignment="1" applyProtection="1">
      <alignment horizontal="left" vertical="center" wrapText="1"/>
      <protection hidden="1"/>
    </xf>
    <xf numFmtId="0" fontId="63" fillId="4" borderId="1" xfId="3" applyFont="1" applyFill="1" applyAlignment="1">
      <alignment horizontal="left" vertical="center" wrapText="1"/>
      <protection locked="0"/>
    </xf>
    <xf numFmtId="0" fontId="62" fillId="33" borderId="1" xfId="19" applyFont="1" applyFill="1" applyAlignment="1">
      <alignment horizontal="left" vertical="center" wrapText="1"/>
    </xf>
    <xf numFmtId="0" fontId="64" fillId="23" borderId="1" xfId="19" applyFont="1" applyFill="1" applyAlignment="1">
      <alignment horizontal="left" vertical="center" wrapText="1"/>
    </xf>
    <xf numFmtId="164" fontId="62" fillId="23" borderId="4" xfId="2" applyNumberFormat="1" applyFont="1" applyFill="1" applyBorder="1" applyAlignment="1">
      <alignment horizontal="center" vertical="center" wrapText="1"/>
    </xf>
    <xf numFmtId="167" fontId="10" fillId="23" borderId="1" xfId="24" applyNumberFormat="1" applyFont="1" applyFill="1" applyBorder="1" applyAlignment="1" applyProtection="1">
      <alignment horizontal="center" vertical="center" wrapText="1"/>
      <protection hidden="1"/>
    </xf>
    <xf numFmtId="168" fontId="10" fillId="23" borderId="3" xfId="24" applyNumberFormat="1" applyFont="1" applyFill="1" applyBorder="1" applyAlignment="1" applyProtection="1">
      <alignment horizontal="center" vertical="center" wrapText="1"/>
      <protection hidden="1"/>
    </xf>
    <xf numFmtId="164" fontId="62" fillId="23" borderId="4" xfId="2" applyNumberFormat="1" applyFont="1" applyFill="1" applyBorder="1" applyAlignment="1" applyProtection="1">
      <alignment horizontal="center" vertical="center" wrapText="1"/>
      <protection hidden="1"/>
    </xf>
    <xf numFmtId="0" fontId="10" fillId="32" borderId="1" xfId="18" applyFont="1" applyFill="1" applyAlignment="1">
      <alignment horizontal="left" vertical="center" wrapText="1"/>
    </xf>
    <xf numFmtId="0" fontId="62" fillId="32" borderId="1" xfId="2" applyFont="1" applyFill="1" applyAlignment="1">
      <alignment horizontal="left" vertical="center" wrapText="1"/>
    </xf>
    <xf numFmtId="0" fontId="63" fillId="32" borderId="3" xfId="3" applyFont="1" applyFill="1" applyBorder="1" applyProtection="1">
      <alignment horizontal="left" vertical="center" wrapText="1"/>
      <protection locked="0"/>
    </xf>
    <xf numFmtId="0" fontId="63" fillId="32" borderId="1" xfId="3" applyFont="1" applyFill="1" applyAlignment="1" applyProtection="1">
      <alignment horizontal="center" vertical="center" wrapText="1"/>
      <protection locked="0"/>
    </xf>
    <xf numFmtId="0" fontId="10" fillId="0" borderId="1" xfId="0" applyFont="1" applyBorder="1" applyAlignment="1">
      <alignment horizontal="left" vertical="center" wrapText="1"/>
    </xf>
    <xf numFmtId="0" fontId="73" fillId="0" borderId="0" xfId="0" applyFont="1" applyBorder="1" applyAlignment="1">
      <alignment horizontal="left" vertical="center"/>
    </xf>
    <xf numFmtId="0" fontId="46" fillId="0" borderId="0" xfId="0" applyFont="1" applyBorder="1" applyAlignment="1">
      <alignment horizontal="left" vertical="center"/>
    </xf>
    <xf numFmtId="0" fontId="17" fillId="10" borderId="7" xfId="17" applyFont="1" applyFill="1" applyBorder="1" applyAlignment="1">
      <alignment horizontal="left"/>
    </xf>
    <xf numFmtId="0" fontId="17" fillId="10" borderId="11" xfId="17" applyFont="1" applyFill="1" applyBorder="1" applyAlignment="1">
      <alignment horizontal="left"/>
    </xf>
    <xf numFmtId="0" fontId="17" fillId="10" borderId="9" xfId="17" applyFont="1" applyFill="1" applyBorder="1" applyAlignment="1">
      <alignment horizontal="left"/>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4" xfId="0" applyFont="1" applyBorder="1" applyAlignment="1">
      <alignment horizontal="left" vertical="center" wrapText="1"/>
    </xf>
    <xf numFmtId="0" fontId="10" fillId="0" borderId="14" xfId="0" applyFont="1" applyBorder="1" applyAlignment="1">
      <alignment horizontal="left" vertical="top" wrapText="1"/>
    </xf>
    <xf numFmtId="0" fontId="17" fillId="10" borderId="1" xfId="17" applyFont="1" applyFill="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0" fillId="0" borderId="8"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3"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left" vertical="center"/>
    </xf>
    <xf numFmtId="0" fontId="67" fillId="32" borderId="0" xfId="22" applyFont="1" applyFill="1" applyAlignment="1">
      <alignment horizontal="left" vertical="center" wrapText="1"/>
    </xf>
    <xf numFmtId="0" fontId="17" fillId="10" borderId="3" xfId="17" applyFont="1" applyFill="1" applyBorder="1" applyAlignment="1">
      <alignment horizontal="left" vertical="center" wrapText="1"/>
    </xf>
    <xf numFmtId="0" fontId="17" fillId="10" borderId="4" xfId="17" applyFont="1" applyFill="1" applyBorder="1" applyAlignment="1">
      <alignment horizontal="left" vertical="center" wrapText="1"/>
    </xf>
    <xf numFmtId="0" fontId="62" fillId="32" borderId="1" xfId="2" applyFont="1" applyFill="1" applyAlignment="1">
      <alignment horizontal="left" vertical="center" wrapText="1"/>
    </xf>
    <xf numFmtId="0" fontId="63" fillId="4" borderId="1" xfId="3" applyFont="1" applyFill="1" applyAlignment="1">
      <alignment horizontal="left" vertical="center" wrapText="1"/>
      <protection locked="0"/>
    </xf>
    <xf numFmtId="0" fontId="10" fillId="0" borderId="0" xfId="0" applyFont="1" applyAlignment="1">
      <alignment horizontal="left" vertical="top" wrapText="1"/>
    </xf>
    <xf numFmtId="0" fontId="64" fillId="10" borderId="1" xfId="21" applyFont="1" applyAlignment="1">
      <alignment horizontal="center" vertical="center" wrapText="1"/>
    </xf>
    <xf numFmtId="0" fontId="64" fillId="10" borderId="3" xfId="21" applyFont="1" applyBorder="1" applyAlignment="1">
      <alignment horizontal="center" vertical="center" wrapText="1"/>
    </xf>
    <xf numFmtId="0" fontId="64" fillId="10" borderId="13" xfId="21" applyFont="1" applyBorder="1" applyAlignment="1">
      <alignment horizontal="center" vertical="center" wrapText="1"/>
    </xf>
    <xf numFmtId="0" fontId="64" fillId="10" borderId="4" xfId="21" applyFont="1" applyBorder="1" applyAlignment="1">
      <alignment horizontal="center" vertical="center" wrapText="1"/>
    </xf>
    <xf numFmtId="0" fontId="64" fillId="21" borderId="1" xfId="19" applyFont="1" applyAlignment="1">
      <alignment horizontal="center" vertical="center" wrapText="1"/>
    </xf>
    <xf numFmtId="0" fontId="72" fillId="10" borderId="1" xfId="17" applyFont="1" applyFill="1" applyAlignment="1">
      <alignment horizontal="left" vertical="center" wrapText="1"/>
    </xf>
    <xf numFmtId="0" fontId="62" fillId="0" borderId="0" xfId="0" applyFont="1" applyAlignment="1">
      <alignment horizontal="left" wrapText="1"/>
    </xf>
    <xf numFmtId="0" fontId="17" fillId="10" borderId="14" xfId="17" applyFont="1" applyFill="1" applyBorder="1" applyAlignment="1">
      <alignment horizontal="left"/>
    </xf>
    <xf numFmtId="0" fontId="17" fillId="10" borderId="3" xfId="17" applyFont="1" applyFill="1" applyBorder="1" applyAlignment="1">
      <alignment horizontal="left" vertical="center"/>
    </xf>
    <xf numFmtId="0" fontId="17" fillId="10" borderId="13" xfId="17" applyFont="1" applyFill="1" applyBorder="1" applyAlignment="1">
      <alignment horizontal="left" vertical="center"/>
    </xf>
    <xf numFmtId="0" fontId="17" fillId="10" borderId="6" xfId="17" applyFont="1" applyFill="1" applyBorder="1" applyAlignment="1">
      <alignment horizontal="left" vertical="center"/>
    </xf>
    <xf numFmtId="0" fontId="17" fillId="10" borderId="0" xfId="17" applyFont="1" applyFill="1" applyBorder="1" applyAlignment="1">
      <alignment horizontal="left" vertical="center"/>
    </xf>
    <xf numFmtId="0" fontId="10" fillId="0" borderId="1" xfId="24" applyFont="1" applyAlignment="1" applyProtection="1">
      <alignment horizontal="left" vertical="center" wrapText="1"/>
      <protection hidden="1"/>
    </xf>
    <xf numFmtId="0" fontId="15" fillId="16" borderId="1" xfId="23" applyAlignment="1">
      <alignment horizontal="center" vertical="center" wrapText="1"/>
    </xf>
    <xf numFmtId="14" fontId="36" fillId="24" borderId="1" xfId="3" applyNumberFormat="1" applyAlignment="1">
      <alignment horizontal="left" vertical="center" wrapText="1"/>
      <protection locked="0"/>
    </xf>
    <xf numFmtId="0" fontId="37" fillId="0" borderId="1" xfId="24" applyAlignment="1" applyProtection="1">
      <alignment horizontal="left" vertical="center" wrapText="1"/>
      <protection hidden="1"/>
    </xf>
    <xf numFmtId="0" fontId="34" fillId="18" borderId="1" xfId="2" applyAlignment="1">
      <alignment vertical="center" wrapText="1"/>
    </xf>
    <xf numFmtId="0" fontId="33" fillId="16" borderId="1" xfId="17" applyAlignment="1">
      <alignment horizontal="center" vertical="center" wrapText="1"/>
    </xf>
    <xf numFmtId="49" fontId="36" fillId="24" borderId="1" xfId="3" applyNumberFormat="1" applyAlignment="1">
      <alignment horizontal="left" vertical="center" wrapText="1"/>
      <protection locked="0"/>
    </xf>
    <xf numFmtId="0" fontId="0" fillId="0" borderId="0" xfId="0" applyAlignment="1">
      <alignment horizontal="left" vertical="top" wrapText="1"/>
    </xf>
    <xf numFmtId="0" fontId="48" fillId="21" borderId="0" xfId="22" applyAlignment="1">
      <alignment horizontal="left" vertical="center" wrapText="1"/>
    </xf>
    <xf numFmtId="0" fontId="37" fillId="0" borderId="0" xfId="24" applyBorder="1" applyAlignment="1">
      <alignment horizontal="left" vertical="center" wrapText="1"/>
    </xf>
    <xf numFmtId="0" fontId="47" fillId="16" borderId="1" xfId="17" applyFont="1" applyAlignment="1">
      <alignment horizontal="center" vertical="center" wrapText="1"/>
    </xf>
    <xf numFmtId="0" fontId="33" fillId="16" borderId="1" xfId="17" applyAlignment="1">
      <alignment horizontal="center"/>
    </xf>
    <xf numFmtId="0" fontId="40" fillId="0" borderId="0" xfId="24" applyFont="1" applyBorder="1" applyAlignment="1">
      <alignment horizontal="left" vertical="center" wrapText="1"/>
    </xf>
    <xf numFmtId="0" fontId="24" fillId="0" borderId="61" xfId="0" applyFont="1" applyBorder="1" applyAlignment="1">
      <alignment vertical="center"/>
    </xf>
    <xf numFmtId="0" fontId="24" fillId="0" borderId="32" xfId="0" applyFont="1" applyBorder="1" applyAlignment="1">
      <alignment vertical="center"/>
    </xf>
    <xf numFmtId="0" fontId="24" fillId="0" borderId="62" xfId="0" applyFont="1" applyBorder="1" applyAlignment="1">
      <alignment vertical="center"/>
    </xf>
    <xf numFmtId="0" fontId="24" fillId="0" borderId="42" xfId="0" applyFont="1" applyBorder="1" applyAlignment="1">
      <alignment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63" xfId="0" applyFont="1" applyBorder="1" applyAlignment="1">
      <alignment horizontal="center" vertical="center"/>
    </xf>
    <xf numFmtId="0" fontId="24" fillId="0" borderId="31" xfId="0" applyFont="1" applyBorder="1" applyAlignment="1">
      <alignment horizontal="center" vertical="center"/>
    </xf>
    <xf numFmtId="0" fontId="24" fillId="0" borderId="43" xfId="0" applyFont="1" applyBorder="1" applyAlignment="1">
      <alignment horizontal="center" vertical="center" wrapText="1"/>
    </xf>
    <xf numFmtId="0" fontId="24" fillId="0" borderId="45" xfId="0" applyFont="1" applyBorder="1" applyAlignment="1">
      <alignment horizontal="center" vertical="center" wrapText="1"/>
    </xf>
    <xf numFmtId="0" fontId="21" fillId="27" borderId="8" xfId="0" applyFont="1" applyFill="1" applyBorder="1" applyAlignment="1">
      <alignment horizontal="center"/>
    </xf>
    <xf numFmtId="0" fontId="21" fillId="27" borderId="14" xfId="0" applyFont="1" applyFill="1" applyBorder="1" applyAlignment="1">
      <alignment horizontal="center"/>
    </xf>
    <xf numFmtId="0" fontId="21" fillId="27" borderId="15" xfId="0" applyFont="1" applyFill="1" applyBorder="1" applyAlignment="1">
      <alignment horizontal="center"/>
    </xf>
    <xf numFmtId="0" fontId="15" fillId="17" borderId="26" xfId="26" applyBorder="1" applyAlignment="1">
      <alignment wrapText="1"/>
    </xf>
    <xf numFmtId="0" fontId="15" fillId="17" borderId="27" xfId="26" applyBorder="1" applyAlignment="1">
      <alignment wrapText="1"/>
    </xf>
    <xf numFmtId="0" fontId="15" fillId="17" borderId="28" xfId="26" applyBorder="1" applyAlignment="1">
      <alignment wrapText="1"/>
    </xf>
    <xf numFmtId="0" fontId="0" fillId="0" borderId="34" xfId="0" applyBorder="1" applyAlignment="1">
      <alignment vertical="center"/>
    </xf>
    <xf numFmtId="0" fontId="0" fillId="0" borderId="41"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24" fillId="0" borderId="44" xfId="0" applyFont="1" applyBorder="1" applyAlignment="1">
      <alignment horizontal="center" vertical="center" wrapText="1"/>
    </xf>
    <xf numFmtId="0" fontId="0" fillId="0" borderId="1" xfId="0" applyBorder="1" applyAlignment="1">
      <alignment horizontal="center" vertical="center" wrapText="1"/>
    </xf>
    <xf numFmtId="0" fontId="15" fillId="17" borderId="22" xfId="26" applyAlignment="1">
      <alignment horizontal="left" wrapText="1"/>
    </xf>
  </cellXfs>
  <cellStyles count="42">
    <cellStyle name="20% - Accent1" xfId="32" builtinId="30" hidden="1"/>
    <cellStyle name="Bad" xfId="12" builtinId="27" hidden="1"/>
    <cellStyle name="Calculation" xfId="41" builtinId="22"/>
    <cellStyle name="Check Cell" xfId="29" builtinId="23" hidden="1"/>
    <cellStyle name="Comma" xfId="40" builtinId="3"/>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0A4607B1-6656-468D-940F-D836394B2CC3}"/>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302">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4" formatCode="&quot;$&quot;#,##0.00"/>
      <fill>
        <patternFill patternType="solid">
          <fgColor indexed="64"/>
          <bgColor theme="7" tint="0.79998168889431442"/>
        </patternFill>
      </fill>
      <border diagonalUp="0" diagonalDown="0" outline="0">
        <left style="thin">
          <color auto="1"/>
        </left>
        <right style="thin">
          <color indexed="64"/>
        </right>
        <top style="thin">
          <color auto="1"/>
        </top>
        <bottom/>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numFmt numFmtId="167" formatCode="#,##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dxf>
    <dxf>
      <font>
        <b/>
        <i val="0"/>
        <strike val="0"/>
        <condense val="0"/>
        <extend val="0"/>
        <outline val="0"/>
        <shadow val="0"/>
        <u val="none"/>
        <vertAlign val="baseline"/>
        <sz val="10"/>
        <color theme="1"/>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solid">
          <fgColor indexed="64"/>
          <bgColor theme="3"/>
        </patternFill>
      </fill>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3" formatCode="#,##0"/>
    </dxf>
    <dxf>
      <font>
        <outline val="0"/>
        <shadow val="0"/>
        <u val="none"/>
        <vertAlign val="baseline"/>
        <name val="Arial"/>
        <family val="2"/>
        <scheme val="none"/>
      </font>
      <numFmt numFmtId="3" formatCode="#,##0"/>
    </dxf>
    <dxf>
      <font>
        <outline val="0"/>
        <shadow val="0"/>
        <u val="none"/>
        <vertAlign val="baseline"/>
        <name val="Arial"/>
        <family val="2"/>
        <scheme val="none"/>
      </font>
      <numFmt numFmtId="3" formatCode="#,##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rgb="FFC0C0C0"/>
        </patternFill>
      </fill>
    </dxf>
    <dxf>
      <fill>
        <patternFill>
          <bgColor rgb="FFC0C0C0"/>
        </patternFill>
      </fill>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4" formatCode="#,##0.00"/>
      <alignment horizontal="center" vertical="center" textRotation="0" wrapText="1" indent="0" justifyLastLine="0" shrinkToFit="0" readingOrder="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numFmt numFmtId="0" formatCode="General"/>
      <alignment horizontal="center" vertical="center" textRotation="0" wrapText="1" indent="0" justifyLastLine="0" shrinkToFit="0" readingOrder="0"/>
      <protection locked="1" hidden="1"/>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left style="thin">
          <color indexed="64"/>
        </left>
      </border>
      <protection locked="0" hidden="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patternType="darkGray"/>
      </fill>
    </dxf>
    <dxf>
      <fill>
        <patternFill>
          <bgColor rgb="FF8DC63F"/>
        </patternFill>
      </fill>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4" formatCode="#,##0.00"/>
      <alignment horizontal="center" vertical="center" textRotation="0" wrapText="1" indent="0" justifyLastLine="0" shrinkToFit="0" readingOrder="0"/>
      <border outline="0">
        <right style="thin">
          <color indexed="64"/>
        </right>
      </border>
      <protection locked="0" hidden="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protection locked="0" hidden="0"/>
    </dxf>
    <dxf>
      <font>
        <outline val="0"/>
        <shadow val="0"/>
        <u val="none"/>
        <vertAlign val="baseline"/>
        <name val="Arial"/>
        <family val="2"/>
        <scheme val="none"/>
      </font>
      <numFmt numFmtId="3" formatCode="#,##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protection locked="0" hidden="0"/>
    </dxf>
    <dxf>
      <font>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protection locked="0" hidden="0"/>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protection locked="0" hidden="0"/>
    </dxf>
    <dxf>
      <font>
        <outline val="0"/>
        <shadow val="0"/>
        <u val="none"/>
        <vertAlign val="baseline"/>
        <name val="Arial"/>
        <family val="2"/>
        <scheme val="none"/>
      </font>
      <alignment horizontal="center" vertical="center" textRotation="0" wrapText="1" indent="0" justifyLastLine="0" shrinkToFit="0" readingOrder="0"/>
      <protection locked="0" hidden="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protection locked="1" hidden="1"/>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rgb="FF8DC63F"/>
        </patternFill>
      </fill>
    </dxf>
    <dxf>
      <fill>
        <patternFill>
          <bgColor rgb="FF8DC63F"/>
        </patternFill>
      </fill>
    </dxf>
    <dxf>
      <font>
        <strike/>
      </font>
      <fill>
        <patternFill patternType="darkGray"/>
      </fill>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301"/>
      <tableStyleElement type="firstRowStripe" dxfId="300"/>
      <tableStyleElement type="secondRowStripe" dxfId="299"/>
    </tableStyle>
    <tableStyle name="Input Cells 2" pivot="0" count="3" xr9:uid="{C2C6F8B6-F1BF-4C38-8C6C-F5810E96A7ED}">
      <tableStyleElement type="wholeTable" dxfId="298"/>
      <tableStyleElement type="firstRowStripe" dxfId="297"/>
      <tableStyleElement type="secondRowStripe" dxfId="296"/>
    </tableStyle>
    <tableStyle name="Invisible" pivot="0" table="0" count="0" xr9:uid="{608B31E0-24D9-463C-B6F1-B39AD8790504}"/>
    <tableStyle name="Lookup Table" pivot="0" count="7" xr9:uid="{7A430CEC-830A-4AC1-B89A-72EA92F001D4}">
      <tableStyleElement type="wholeTable" dxfId="295"/>
      <tableStyleElement type="headerRow" dxfId="294"/>
      <tableStyleElement type="totalRow" dxfId="293"/>
      <tableStyleElement type="firstColumn" dxfId="292"/>
      <tableStyleElement type="lastColumn" dxfId="291"/>
      <tableStyleElement type="firstRowStripe" dxfId="290"/>
      <tableStyleElement type="firstColumnStripe" dxfId="289"/>
    </tableStyle>
    <tableStyle name="No Input" pivot="0" count="3" xr9:uid="{6B172CA5-6E53-4EC8-A05C-2C0F8F85993F}">
      <tableStyleElement type="wholeTable" dxfId="288"/>
      <tableStyleElement type="firstRowStripe" dxfId="287"/>
      <tableStyleElement type="secondRowStripe" dxfId="286"/>
    </tableStyle>
  </tableStyles>
  <colors>
    <mruColors>
      <color rgb="FF8DC63F"/>
      <color rgb="FFB41E83"/>
      <color rgb="FFBFCB3F"/>
      <color rgb="FFC0C0C0"/>
      <color rgb="FF006E51"/>
      <color rgb="FFC9E4A6"/>
      <color rgb="FFFFF2CC"/>
      <color rgb="FFFFFFCC"/>
      <color rgb="FF0000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83820</xdr:rowOff>
    </xdr:from>
    <xdr:to>
      <xdr:col>2</xdr:col>
      <xdr:colOff>1101090</xdr:colOff>
      <xdr:row>1</xdr:row>
      <xdr:rowOff>72925</xdr:rowOff>
    </xdr:to>
    <xdr:pic>
      <xdr:nvPicPr>
        <xdr:cNvPr id="2" name="Picture 1">
          <a:extLst>
            <a:ext uri="{FF2B5EF4-FFF2-40B4-BE49-F238E27FC236}">
              <a16:creationId xmlns:a16="http://schemas.microsoft.com/office/drawing/2014/main" id="{9B3AB8CB-24A4-4BE5-8D0F-36603069E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83820"/>
          <a:ext cx="2103120" cy="644425"/>
        </a:xfrm>
        <a:prstGeom prst="rect">
          <a:avLst/>
        </a:prstGeom>
      </xdr:spPr>
    </xdr:pic>
    <xdr:clientData/>
  </xdr:twoCellAnchor>
  <xdr:twoCellAnchor editAs="oneCell">
    <xdr:from>
      <xdr:col>4</xdr:col>
      <xdr:colOff>2369820</xdr:colOff>
      <xdr:row>31</xdr:row>
      <xdr:rowOff>111563</xdr:rowOff>
    </xdr:from>
    <xdr:to>
      <xdr:col>4</xdr:col>
      <xdr:colOff>3417026</xdr:colOff>
      <xdr:row>33</xdr:row>
      <xdr:rowOff>39107</xdr:rowOff>
    </xdr:to>
    <xdr:pic>
      <xdr:nvPicPr>
        <xdr:cNvPr id="4" name="Picture 2">
          <a:extLst>
            <a:ext uri="{FF2B5EF4-FFF2-40B4-BE49-F238E27FC236}">
              <a16:creationId xmlns:a16="http://schemas.microsoft.com/office/drawing/2014/main" id="{78B5CA5B-5805-4483-BA63-D3F6C09FFACD}"/>
            </a:ext>
            <a:ext uri="{147F2762-F138-4A5C-976F-8EAC2B608ADB}">
              <a16:predDERef xmlns:a16="http://schemas.microsoft.com/office/drawing/2014/main" pred="{9B3AB8CB-24A4-4BE5-8D0F-36603069E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3760" y="11747303"/>
          <a:ext cx="1047206" cy="262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43</xdr:row>
      <xdr:rowOff>47706</xdr:rowOff>
    </xdr:from>
    <xdr:to>
      <xdr:col>1</xdr:col>
      <xdr:colOff>1047206</xdr:colOff>
      <xdr:row>44</xdr:row>
      <xdr:rowOff>155311</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9511746"/>
          <a:ext cx="1024346" cy="275245"/>
        </a:xfrm>
        <a:prstGeom prst="rect">
          <a:avLst/>
        </a:prstGeom>
      </xdr:spPr>
    </xdr:pic>
    <xdr:clientData/>
  </xdr:twoCellAnchor>
  <xdr:twoCellAnchor editAs="oneCell">
    <xdr:from>
      <xdr:col>1</xdr:col>
      <xdr:colOff>7620</xdr:colOff>
      <xdr:row>0</xdr:row>
      <xdr:rowOff>45720</xdr:rowOff>
    </xdr:from>
    <xdr:to>
      <xdr:col>1</xdr:col>
      <xdr:colOff>1565371</xdr:colOff>
      <xdr:row>0</xdr:row>
      <xdr:rowOff>529590</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45720"/>
          <a:ext cx="1565371"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118110</xdr:rowOff>
    </xdr:from>
    <xdr:to>
      <xdr:col>1</xdr:col>
      <xdr:colOff>1977390</xdr:colOff>
      <xdr:row>0</xdr:row>
      <xdr:rowOff>688924</xdr:rowOff>
    </xdr:to>
    <xdr:pic>
      <xdr:nvPicPr>
        <xdr:cNvPr id="2" name="Picture 1">
          <a:extLst>
            <a:ext uri="{FF2B5EF4-FFF2-40B4-BE49-F238E27FC236}">
              <a16:creationId xmlns:a16="http://schemas.microsoft.com/office/drawing/2014/main" id="{E708C688-6E51-44D5-B2EB-3A3849D32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118110"/>
          <a:ext cx="1887855" cy="570814"/>
        </a:xfrm>
        <a:prstGeom prst="rect">
          <a:avLst/>
        </a:prstGeom>
      </xdr:spPr>
    </xdr:pic>
    <xdr:clientData/>
  </xdr:twoCellAnchor>
  <xdr:twoCellAnchor editAs="oneCell">
    <xdr:from>
      <xdr:col>0</xdr:col>
      <xdr:colOff>114300</xdr:colOff>
      <xdr:row>21</xdr:row>
      <xdr:rowOff>52862</xdr:rowOff>
    </xdr:from>
    <xdr:to>
      <xdr:col>1</xdr:col>
      <xdr:colOff>961481</xdr:colOff>
      <xdr:row>22</xdr:row>
      <xdr:rowOff>155789</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4662962"/>
          <a:ext cx="976721" cy="270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58</xdr:row>
      <xdr:rowOff>167178</xdr:rowOff>
    </xdr:from>
    <xdr:to>
      <xdr:col>3</xdr:col>
      <xdr:colOff>188051</xdr:colOff>
      <xdr:row>60</xdr:row>
      <xdr:rowOff>132452</xdr:rowOff>
    </xdr:to>
    <xdr:pic>
      <xdr:nvPicPr>
        <xdr:cNvPr id="2" name="Picture 1">
          <a:extLst>
            <a:ext uri="{FF2B5EF4-FFF2-40B4-BE49-F238E27FC236}">
              <a16:creationId xmlns:a16="http://schemas.microsoft.com/office/drawing/2014/main" id="{F8A170D3-2D8C-4DC5-B496-DD8EA8782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 y="11056158"/>
          <a:ext cx="1186271" cy="300554"/>
        </a:xfrm>
        <a:prstGeom prst="rect">
          <a:avLst/>
        </a:prstGeom>
      </xdr:spPr>
    </xdr:pic>
    <xdr:clientData/>
  </xdr:twoCellAnchor>
  <xdr:twoCellAnchor editAs="oneCell">
    <xdr:from>
      <xdr:col>1</xdr:col>
      <xdr:colOff>41910</xdr:colOff>
      <xdr:row>0</xdr:row>
      <xdr:rowOff>171450</xdr:rowOff>
    </xdr:from>
    <xdr:to>
      <xdr:col>3</xdr:col>
      <xdr:colOff>647161</xdr:colOff>
      <xdr:row>0</xdr:row>
      <xdr:rowOff>647700</xdr:rowOff>
    </xdr:to>
    <xdr:pic>
      <xdr:nvPicPr>
        <xdr:cNvPr id="3" name="Picture 2">
          <a:extLst>
            <a:ext uri="{FF2B5EF4-FFF2-40B4-BE49-F238E27FC236}">
              <a16:creationId xmlns:a16="http://schemas.microsoft.com/office/drawing/2014/main" id="{C778C971-DC49-4F9E-99EC-1FA78B0B08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90" y="171450"/>
          <a:ext cx="1588231"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809625</xdr:colOff>
      <xdr:row>1</xdr:row>
      <xdr:rowOff>0</xdr:rowOff>
    </xdr:from>
    <xdr:to>
      <xdr:col>22</xdr:col>
      <xdr:colOff>681451</xdr:colOff>
      <xdr:row>2</xdr:row>
      <xdr:rowOff>0</xdr:rowOff>
    </xdr:to>
    <xdr:pic>
      <xdr:nvPicPr>
        <xdr:cNvPr id="3" name="Picture 2">
          <a:extLst>
            <a:ext uri="{FF2B5EF4-FFF2-40B4-BE49-F238E27FC236}">
              <a16:creationId xmlns:a16="http://schemas.microsoft.com/office/drawing/2014/main" id="{89306FB0-00DC-4DDC-B5E7-DF8CE300B3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11975" y="0"/>
          <a:ext cx="1572991" cy="476250"/>
        </a:xfrm>
        <a:prstGeom prst="rect">
          <a:avLst/>
        </a:prstGeom>
      </xdr:spPr>
    </xdr:pic>
    <xdr:clientData/>
  </xdr:twoCellAnchor>
  <xdr:twoCellAnchor editAs="oneCell">
    <xdr:from>
      <xdr:col>1</xdr:col>
      <xdr:colOff>15240</xdr:colOff>
      <xdr:row>58</xdr:row>
      <xdr:rowOff>129540</xdr:rowOff>
    </xdr:from>
    <xdr:to>
      <xdr:col>3</xdr:col>
      <xdr:colOff>180431</xdr:colOff>
      <xdr:row>60</xdr:row>
      <xdr:rowOff>94814</xdr:rowOff>
    </xdr:to>
    <xdr:pic>
      <xdr:nvPicPr>
        <xdr:cNvPr id="4" name="Picture 3">
          <a:extLst>
            <a:ext uri="{FF2B5EF4-FFF2-40B4-BE49-F238E27FC236}">
              <a16:creationId xmlns:a16="http://schemas.microsoft.com/office/drawing/2014/main" id="{96170E4B-B6F8-4B69-B722-61FD0912ED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11018520"/>
          <a:ext cx="1186271" cy="3005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xdr:colOff>
      <xdr:row>60</xdr:row>
      <xdr:rowOff>65021</xdr:rowOff>
    </xdr:from>
    <xdr:to>
      <xdr:col>3</xdr:col>
      <xdr:colOff>81371</xdr:colOff>
      <xdr:row>62</xdr:row>
      <xdr:rowOff>23867</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152121"/>
          <a:ext cx="1186271" cy="294126"/>
        </a:xfrm>
        <a:prstGeom prst="rect">
          <a:avLst/>
        </a:prstGeom>
      </xdr:spPr>
    </xdr:pic>
    <xdr:clientData/>
  </xdr:twoCellAnchor>
  <xdr:twoCellAnchor editAs="oneCell">
    <xdr:from>
      <xdr:col>1</xdr:col>
      <xdr:colOff>32385</xdr:colOff>
      <xdr:row>0</xdr:row>
      <xdr:rowOff>0</xdr:rowOff>
    </xdr:from>
    <xdr:to>
      <xdr:col>3</xdr:col>
      <xdr:colOff>540481</xdr:colOff>
      <xdr:row>0</xdr:row>
      <xdr:rowOff>491490</xdr:rowOff>
    </xdr:to>
    <xdr:pic>
      <xdr:nvPicPr>
        <xdr:cNvPr id="3" name="Picture 2">
          <a:extLst>
            <a:ext uri="{FF2B5EF4-FFF2-40B4-BE49-F238E27FC236}">
              <a16:creationId xmlns:a16="http://schemas.microsoft.com/office/drawing/2014/main" id="{C769A26C-175F-4CCF-A5DD-727621E434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165" y="0"/>
          <a:ext cx="1588231" cy="483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1724025</xdr:colOff>
      <xdr:row>55</xdr:row>
      <xdr:rowOff>157637</xdr:rowOff>
    </xdr:from>
    <xdr:to>
      <xdr:col>5</xdr:col>
      <xdr:colOff>1412966</xdr:colOff>
      <xdr:row>58</xdr:row>
      <xdr:rowOff>33392</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5275" y="11625737"/>
          <a:ext cx="1664426" cy="357720"/>
        </a:xfrm>
        <a:prstGeom prst="rect">
          <a:avLst/>
        </a:prstGeom>
      </xdr:spPr>
    </xdr:pic>
    <xdr:clientData/>
  </xdr:twoCellAnchor>
  <xdr:twoCellAnchor editAs="oneCell">
    <xdr:from>
      <xdr:col>1</xdr:col>
      <xdr:colOff>62865</xdr:colOff>
      <xdr:row>0</xdr:row>
      <xdr:rowOff>226695</xdr:rowOff>
    </xdr:from>
    <xdr:to>
      <xdr:col>3</xdr:col>
      <xdr:colOff>605251</xdr:colOff>
      <xdr:row>0</xdr:row>
      <xdr:rowOff>716280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 y="226695"/>
          <a:ext cx="1578706"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30479</xdr:colOff>
      <xdr:row>39</xdr:row>
      <xdr:rowOff>43916</xdr:rowOff>
    </xdr:from>
    <xdr:to>
      <xdr:col>3</xdr:col>
      <xdr:colOff>91440</xdr:colOff>
      <xdr:row>40</xdr:row>
      <xdr:rowOff>153543</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59" y="7717256"/>
          <a:ext cx="1036321" cy="277267"/>
        </a:xfrm>
        <a:prstGeom prst="rect">
          <a:avLst/>
        </a:prstGeom>
      </xdr:spPr>
    </xdr:pic>
    <xdr:clientData/>
  </xdr:twoCellAnchor>
  <xdr:twoCellAnchor editAs="oneCell">
    <xdr:from>
      <xdr:col>1</xdr:col>
      <xdr:colOff>41910</xdr:colOff>
      <xdr:row>0</xdr:row>
      <xdr:rowOff>91440</xdr:rowOff>
    </xdr:from>
    <xdr:to>
      <xdr:col>3</xdr:col>
      <xdr:colOff>628650</xdr:colOff>
      <xdr:row>0</xdr:row>
      <xdr:rowOff>566781</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90" y="91440"/>
          <a:ext cx="1531620" cy="4601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22859</xdr:colOff>
      <xdr:row>40</xdr:row>
      <xdr:rowOff>63120</xdr:rowOff>
    </xdr:from>
    <xdr:to>
      <xdr:col>3</xdr:col>
      <xdr:colOff>30480</xdr:colOff>
      <xdr:row>41</xdr:row>
      <xdr:rowOff>150265</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39" y="7911720"/>
          <a:ext cx="990601" cy="254785"/>
        </a:xfrm>
        <a:prstGeom prst="rect">
          <a:avLst/>
        </a:prstGeom>
      </xdr:spPr>
    </xdr:pic>
    <xdr:clientData/>
  </xdr:twoCellAnchor>
  <xdr:twoCellAnchor editAs="oneCell">
    <xdr:from>
      <xdr:col>1</xdr:col>
      <xdr:colOff>19050</xdr:colOff>
      <xdr:row>0</xdr:row>
      <xdr:rowOff>102870</xdr:rowOff>
    </xdr:from>
    <xdr:to>
      <xdr:col>3</xdr:col>
      <xdr:colOff>654781</xdr:colOff>
      <xdr:row>0</xdr:row>
      <xdr:rowOff>575310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830" y="102870"/>
          <a:ext cx="1584421" cy="472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36194</xdr:colOff>
      <xdr:row>29</xdr:row>
      <xdr:rowOff>116803</xdr:rowOff>
    </xdr:from>
    <xdr:to>
      <xdr:col>3</xdr:col>
      <xdr:colOff>129540</xdr:colOff>
      <xdr:row>31</xdr:row>
      <xdr:rowOff>42123</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 y="6365203"/>
          <a:ext cx="1076326" cy="260600"/>
        </a:xfrm>
        <a:prstGeom prst="rect">
          <a:avLst/>
        </a:prstGeom>
      </xdr:spPr>
    </xdr:pic>
    <xdr:clientData/>
  </xdr:twoCellAnchor>
  <xdr:twoCellAnchor editAs="oneCell">
    <xdr:from>
      <xdr:col>1</xdr:col>
      <xdr:colOff>51435</xdr:colOff>
      <xdr:row>0</xdr:row>
      <xdr:rowOff>171450</xdr:rowOff>
    </xdr:from>
    <xdr:to>
      <xdr:col>3</xdr:col>
      <xdr:colOff>650971</xdr:colOff>
      <xdr:row>0</xdr:row>
      <xdr:rowOff>651510</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171450"/>
          <a:ext cx="1559656"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160020</xdr:colOff>
      <xdr:row>9</xdr:row>
      <xdr:rowOff>46823</xdr:rowOff>
    </xdr:from>
    <xdr:to>
      <xdr:col>18</xdr:col>
      <xdr:colOff>31841</xdr:colOff>
      <xdr:row>11</xdr:row>
      <xdr:rowOff>73397</xdr:rowOff>
    </xdr:to>
    <xdr:pic>
      <xdr:nvPicPr>
        <xdr:cNvPr id="2" name="Picture 1">
          <a:extLst>
            <a:ext uri="{FF2B5EF4-FFF2-40B4-BE49-F238E27FC236}">
              <a16:creationId xmlns:a16="http://schemas.microsoft.com/office/drawing/2014/main" id="{E82AEEDB-6138-49D0-8E81-024A31EFD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39560" y="3750143"/>
          <a:ext cx="1344386" cy="346614"/>
        </a:xfrm>
        <a:prstGeom prst="rect">
          <a:avLst/>
        </a:prstGeom>
      </xdr:spPr>
    </xdr:pic>
    <xdr:clientData/>
  </xdr:twoCellAnchor>
  <xdr:twoCellAnchor editAs="oneCell">
    <xdr:from>
      <xdr:col>1</xdr:col>
      <xdr:colOff>40005</xdr:colOff>
      <xdr:row>0</xdr:row>
      <xdr:rowOff>156210</xdr:rowOff>
    </xdr:from>
    <xdr:to>
      <xdr:col>3</xdr:col>
      <xdr:colOff>652876</xdr:colOff>
      <xdr:row>0</xdr:row>
      <xdr:rowOff>615315</xdr:rowOff>
    </xdr:to>
    <xdr:pic>
      <xdr:nvPicPr>
        <xdr:cNvPr id="3" name="Picture 2">
          <a:extLst>
            <a:ext uri="{FF2B5EF4-FFF2-40B4-BE49-F238E27FC236}">
              <a16:creationId xmlns:a16="http://schemas.microsoft.com/office/drawing/2014/main" id="{A4B3C201-862B-4153-8057-874A2C89B4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785" y="156210"/>
          <a:ext cx="1571086" cy="464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62865</xdr:colOff>
      <xdr:row>0</xdr:row>
      <xdr:rowOff>137993</xdr:rowOff>
    </xdr:from>
    <xdr:to>
      <xdr:col>1</xdr:col>
      <xdr:colOff>1863090</xdr:colOff>
      <xdr:row>0</xdr:row>
      <xdr:rowOff>682181</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65" y="137993"/>
          <a:ext cx="1792605" cy="544188"/>
        </a:xfrm>
        <a:prstGeom prst="rect">
          <a:avLst/>
        </a:prstGeom>
      </xdr:spPr>
    </xdr:pic>
    <xdr:clientData/>
  </xdr:twoCellAnchor>
  <xdr:twoCellAnchor editAs="oneCell">
    <xdr:from>
      <xdr:col>1</xdr:col>
      <xdr:colOff>45720</xdr:colOff>
      <xdr:row>41</xdr:row>
      <xdr:rowOff>11465</xdr:rowOff>
    </xdr:from>
    <xdr:to>
      <xdr:col>1</xdr:col>
      <xdr:colOff>1130062</xdr:colOff>
      <xdr:row>42</xdr:row>
      <xdr:rowOff>137161</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9254525"/>
          <a:ext cx="1084342" cy="293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253</xdr:row>
      <xdr:rowOff>0</xdr:rowOff>
    </xdr:from>
    <xdr:to>
      <xdr:col>14</xdr:col>
      <xdr:colOff>955891</xdr:colOff>
      <xdr:row>299</xdr:row>
      <xdr:rowOff>32774</xdr:rowOff>
    </xdr:to>
    <xdr:pic>
      <xdr:nvPicPr>
        <xdr:cNvPr id="2" name="Picture 1">
          <a:extLst>
            <a:ext uri="{FF2B5EF4-FFF2-40B4-BE49-F238E27FC236}">
              <a16:creationId xmlns:a16="http://schemas.microsoft.com/office/drawing/2014/main" id="{9F34DD91-97EE-E1FD-09BF-C4EC43FE35CC}"/>
            </a:ext>
          </a:extLst>
        </xdr:cNvPr>
        <xdr:cNvPicPr>
          <a:picLocks noChangeAspect="1"/>
        </xdr:cNvPicPr>
      </xdr:nvPicPr>
      <xdr:blipFill>
        <a:blip xmlns:r="http://schemas.openxmlformats.org/officeDocument/2006/relationships" r:embed="rId1"/>
        <a:stretch>
          <a:fillRect/>
        </a:stretch>
      </xdr:blipFill>
      <xdr:spPr>
        <a:xfrm>
          <a:off x="15578667" y="47900167"/>
          <a:ext cx="9126224" cy="7335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ptimcorp-my.sharepoint.com/personal/spencer_kurtz_aptim_com/Documents/Desktop/ELL%20Program%20Files/Program%20Template%20Docs%20&amp;%20Calculators/2024%20Template%20Calculators%20&amp;%20Docs/ELL_New%20Construction%20Workbook_Unprotected_2024%20v3.3.xlsx" TargetMode="External"/><Relationship Id="rId2" Type="http://schemas.microsoft.com/office/2019/04/relationships/externalLinkLongPath" Target="/personal/spencer_kurtz_aptim_com/Documents/Desktop/ELL%20Program%20Files/Program%20Template%20Docs%20&amp;%20Calculators/2024%20Template%20Calculators%20&amp;%20Docs/ELL_New%20Construction%20Workbook_Unprotected_2024%20v3.3.xlsx?6138E919" TargetMode="External"/><Relationship Id="rId1" Type="http://schemas.openxmlformats.org/officeDocument/2006/relationships/externalLinkPath" Target="file:///\\6138E919\ELL_New%20Construction%20Workbook_Unprotected_2024%20v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illable Application &amp; Instruct"/>
      <sheetName val="Equipment qualifications"/>
      <sheetName val="Summary"/>
      <sheetName val="Int. LPD"/>
      <sheetName val="Ext. LPD"/>
      <sheetName val="HVAC"/>
      <sheetName val="Other"/>
      <sheetName val="Completion notice"/>
      <sheetName val="QC"/>
      <sheetName val="Printable application"/>
      <sheetName val="Lookups"/>
      <sheetName val="Savings Lookups"/>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88">
          <cell r="J188" t="str">
            <v>Program</v>
          </cell>
          <cell r="K188" t="str">
            <v>Energy Cost ($/kWh)</v>
          </cell>
        </row>
        <row r="189">
          <cell r="J189" t="str">
            <v>Small C&amp;I (&lt;100 kW average monthly peak demand)</v>
          </cell>
          <cell r="K189">
            <v>0.11</v>
          </cell>
        </row>
        <row r="190">
          <cell r="J190" t="str">
            <v>Large C&amp;I (&gt;100 kW average monthly peak demand)</v>
          </cell>
          <cell r="K190">
            <v>0.08</v>
          </cell>
        </row>
      </sheetData>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E9E5667F-A1A2-44CA-BE80-20DDF201623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D2305BB7-E0BF-4EAE-9582-0764242CD91E}"/>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F1E2F9-52E5-4FCB-8F4C-66284B5A4E3D}" name="Table_PrescriptLights_Input5" displayName="Table_PrescriptLights_Input5" ref="B4:W54" totalsRowShown="0" headerRowDxfId="281" dataDxfId="279" headerRowBorderDxfId="280" tableBorderDxfId="278" totalsRowBorderDxfId="277" headerRowCellStyle="Table Top 1" dataCellStyle="Locked Cell">
  <tableColumns count="22">
    <tableColumn id="1" xr3:uid="{1BDB05D9-2AAB-460F-80D2-2D04F869477C}" name="Line ref. no." dataDxfId="276" dataCellStyle="Locked Cell"/>
    <tableColumn id="2" xr3:uid="{8580A1CE-32F4-4BE4-828F-E2DB8AD8E1CC}" name="Measure number" dataDxfId="275" dataCellStyle="Locked Cell">
      <calculatedColumnFormula>IF(ISBLANK($E5)=TRUE,"",References!$F$12)</calculatedColumnFormula>
    </tableColumn>
    <tableColumn id="3" xr3:uid="{73D1E866-1257-4F1D-9D76-1B517F6840CD}" name="Location/measure notes" dataDxfId="274" dataCellStyle="Locked Cell"/>
    <tableColumn id="4" xr3:uid="{56294AC5-23DB-4CBA-86C1-715B719662E9}" name="LPD method (choose 1)" dataDxfId="273" dataCellStyle="Input General"/>
    <tableColumn id="5" xr3:uid="{60294B74-2727-4E19-B1F3-A1CEF5BDB158}" name="Building/space type" dataDxfId="272" dataCellStyle="Locked Cell"/>
    <tableColumn id="10" xr3:uid="{DAF3A804-BEF2-4BA4-A619-3231B7478C6F}" name="Space sub-type (if using space by space method)" dataDxfId="271" dataCellStyle="Locked Cell"/>
    <tableColumn id="11" xr3:uid="{F9CA8CCA-09CB-42DB-8246-35CD53EBD8F2}" name="HVAC configuration" dataDxfId="270" dataCellStyle="Locked Cell"/>
    <tableColumn id="12" xr3:uid="{D5B6C869-69CE-47EE-B976-39FDD7BEAECA}" name="Interior area (ft²)" dataDxfId="269" dataCellStyle="Comma"/>
    <tableColumn id="23" xr3:uid="{A230B6E2-56E0-4588-B4F6-39EB37DAEB5C}" name="Baseline LPD (W/ft²)" dataDxfId="268" dataCellStyle="Locked Cell">
      <calculatedColumnFormula array="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calculatedColumnFormula>
    </tableColumn>
    <tableColumn id="13" xr3:uid="{263FCCC3-03A5-4DDC-A964-ACD7427432A3}" name="Expected hours of operation" dataDxfId="267" dataCellStyle="Locked Cell">
      <calculatedColumnFormula>IF(Table_PrescriptLights_Input5[[#This Row],[Building/space type]]="","",VLOOKUP(Input_BldgType,References!$P$3:$S$41,3,FALSE))</calculatedColumnFormula>
    </tableColumn>
    <tableColumn id="9" xr3:uid="{6B8C322B-46F1-4871-AA37-EE1521AB8154}" name="Total proposed wattage" dataDxfId="266" dataCellStyle="Input General"/>
    <tableColumn id="8" xr3:uid="{9D885D36-7DF2-45BA-BDB5-555B4E6459B9}" name="Proposed LPD (W/ft²)" dataDxfId="265" dataCellStyle="Input General">
      <calculatedColumnFormula>IF(Table_PrescriptLights_Input5[[#This Row],[Total proposed wattage]]="","",Table_PrescriptLights_Input5[[#This Row],[Total proposed wattage]]/Table_PrescriptLights_Input5[[#This Row],[Interior area (ft²)]])</calculatedColumnFormula>
    </tableColumn>
    <tableColumn id="14" xr3:uid="{383BAD71-C0E5-41D8-94BA-D90FC30C56B5}" name="Total equipment cost" dataDxfId="264" dataCellStyle="Input General"/>
    <tableColumn id="15" xr3:uid="{B3DCDDF8-9E53-4CB2-9B26-466A6091F601}" name="Total labor cost" dataDxfId="263" dataCellStyle="Input General"/>
    <tableColumn id="16" xr3:uid="{6D3B9867-D45E-4ED2-B46B-971D1E9F5B0A}" name="Per-unit incentive" dataDxfId="262" dataCellStyle="Locked Cell">
      <calculatedColumnFormula>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calculatedColumnFormula>
    </tableColumn>
    <tableColumn id="17" xr3:uid="{D8ED54F3-20BF-4251-9BD6-ADB5889561E0}" name="Estimated incentive" dataDxfId="261" dataCellStyle="Locked Cell">
      <calculatedColumnFormula>IFERROR(Table_PrescriptLights_Input5[[#This Row],[Per-unit incentive]]*((Table_PrescriptLights_Input5[[#This Row],[Baseline LPD (W/ft²)]]*Table_PrescriptLights_Input5[[#This Row],[Interior area (ft²)]])-Table_PrescriptLights_Input5[[#This Row],[Total proposed wattage]]),"")</calculatedColumnFormula>
    </tableColumn>
    <tableColumn id="18" xr3:uid="{DF507871-1F7E-4E07-AA5A-BE9E7D711341}" name="Energy savings (kWh)" dataDxfId="260" dataCellStyle="Locked Cell">
      <calculatedColumnFormula>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calculatedColumnFormula>
    </tableColumn>
    <tableColumn id="20" xr3:uid="{543599E9-6088-42AC-8E0B-9C34F7793635}" name="Demand reduction (kW)" dataDxfId="259" dataCellStyle="Locked Cell">
      <calculatedColumnFormula>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calculatedColumnFormula>
    </tableColumn>
    <tableColumn id="19" xr3:uid="{F6D11261-2FE8-4A50-BE76-9D6A27227BCB}" name="Cost savings" dataDxfId="258" dataCellStyle="Locked Cell">
      <calculatedColumnFormula>IFERROR(Table_PrescriptLights_Input5[[#This Row],[Energy savings (kWh)]]*Input_AvgkWhRate, "")</calculatedColumnFormula>
    </tableColumn>
    <tableColumn id="25" xr3:uid="{E2F869C4-8C21-4EF3-B60C-26FD62B33CCB}" name="Gross measure cost" dataDxfId="257" dataCellStyle="Locked Cell">
      <calculatedColumnFormula>IF(Table_PrescriptLights_Input5[[#This Row],[LPD method (choose 1)]]="", "",Table_PrescriptLights_Input5[[#This Row],[Total equipment cost]]+Table_PrescriptLights_Input5[[#This Row],[Total labor cost]])</calculatedColumnFormula>
    </tableColumn>
    <tableColumn id="21" xr3:uid="{7F70A127-7D39-419E-A901-87B4DCC673A6}" name="Net measure cost" dataDxfId="256" dataCellStyle="Locked Cell">
      <calculatedColumnFormula>IFERROR(Table_PrescriptLights_Input5[[#This Row],[Gross measure cost]]-Table_PrescriptLights_Input5[[#This Row],[Estimated incentive]], "")</calculatedColumnFormula>
    </tableColumn>
    <tableColumn id="22" xr3:uid="{801E50A6-825C-4F64-AD89-84D5787E4D16}" name="Simple payback (years)" dataDxfId="255" dataCellStyle="Locked Cell">
      <calculatedColumnFormula>IFERROR($V5/$T5,"")</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48A172-CEBE-48EC-BBF0-671CFEB314C0}" name="Table_PrescriptLights_Input56" displayName="Table_PrescriptLights_Input56" ref="B4:W54" totalsRowShown="0" headerRowDxfId="251" dataDxfId="249" headerRowBorderDxfId="250" tableBorderDxfId="248" totalsRowBorderDxfId="247" headerRowCellStyle="Table Top 1" dataCellStyle="Locked Cell">
  <tableColumns count="22">
    <tableColumn id="1" xr3:uid="{5B68D9B2-8B16-4881-ABD1-2AD45274B654}" name="Line ref. no." dataDxfId="246" dataCellStyle="Locked Cell"/>
    <tableColumn id="2" xr3:uid="{D034B37A-7CCA-4E83-BE04-28C5C8B58408}" name="Measure number" dataDxfId="245" dataCellStyle="Locked Cell">
      <calculatedColumnFormula>IF(ISBLANK($E5)=TRUE,"",References!$F$13)</calculatedColumnFormula>
    </tableColumn>
    <tableColumn id="3" xr3:uid="{777CD0DC-EFEF-4DAE-A132-A1A5B1795267}" name="Location/measure notes" dataDxfId="244" dataCellStyle="Locked Cell"/>
    <tableColumn id="4" xr3:uid="{0F61D6F1-2654-4F61-A96E-7288842AED60}" name="Exterior space type" dataDxfId="243" dataCellStyle="Input General"/>
    <tableColumn id="5" xr3:uid="{84CD2A9C-5F5F-468F-B98A-93B5836908CA}" name="Space sub-type" dataDxfId="242" dataCellStyle="Locked Cell"/>
    <tableColumn id="10" xr3:uid="{A90D2FDC-0334-4ED9-9C26-897DD764E4B2}" name="Quantity " dataDxfId="241" dataCellStyle="Locked Cell"/>
    <tableColumn id="11" xr3:uid="{F5F103C8-CA83-4A04-99E7-A2B429979243}" name="Unit of quantity " dataDxfId="240" dataCellStyle="Locked Cell">
      <calculatedColumnFormula array="1">IFERROR(INDEX(References!$AA$108:$AA$130,MATCH(1,(Table_PrescriptLights_Input56[[#This Row],[Exterior space type]]=References!$W$108:$W$130)*(Table_PrescriptLights_Input56[[#This Row],[Space sub-type]]=References!$X$108:$X$130),0)),"")</calculatedColumnFormula>
    </tableColumn>
    <tableColumn id="12" xr3:uid="{C5575322-9837-4A48-A44B-EDF43D472BB0}" name="Allowance type" dataDxfId="239" dataCellStyle="Locked Cell">
      <calculatedColumnFormula array="1">IFERROR(INDEX(References!$Y$108:$Y$130,MATCH(1,(Table_PrescriptLights_Input56[[#This Row],[Exterior space type]]=References!$W$108:$W$130)*(Table_PrescriptLights_Input56[[#This Row],[Space sub-type]]=References!$X$108:$X$130),0)),"")</calculatedColumnFormula>
    </tableColumn>
    <tableColumn id="23" xr3:uid="{FEEDA8C8-6C2C-4519-8FC8-6C1CE9AF20DF}" name="Per-unit allowance (W)" dataDxfId="238" dataCellStyle="Locked Cell">
      <calculatedColumnFormula array="1">IFERROR(INDEX(References!$Z$108:$Z$130,MATCH(1,(Table_PrescriptLights_Input56[[#This Row],[Exterior space type]]=References!$W$108:$W$130)*(Table_PrescriptLights_Input56[[#This Row],[Space sub-type]]=References!$X$108:$X$130),0)),"")</calculatedColumnFormula>
    </tableColumn>
    <tableColumn id="13" xr3:uid="{EFFB53C9-C669-4EAD-ADB4-D013138752C3}" name="Total allowance (W)" dataDxfId="237" dataCellStyle="Locked Cell">
      <calculatedColumnFormula>IFERROR(Table_PrescriptLights_Input56[[#This Row],[Per-unit allowance (W)]]*Table_PrescriptLights_Input56[[#This Row],[Quantity ]],"")</calculatedColumnFormula>
    </tableColumn>
    <tableColumn id="9" xr3:uid="{CCDA30C8-AFD5-4DB1-A301-D18B90908768}" name="Total proposed wattage" dataDxfId="236" dataCellStyle="Input General"/>
    <tableColumn id="8" xr3:uid="{A49DC84F-2B5A-4AAA-B0F4-EF168C0968F4}" name="Proposed LPD (W/Unit)" dataDxfId="235" dataCellStyle="Input General">
      <calculatedColumnFormula>IFERROR(Table_PrescriptLights_Input56[[#This Row],[Total proposed wattage]]/Table_PrescriptLights_Input56[[#This Row],[Quantity ]],"")</calculatedColumnFormula>
    </tableColumn>
    <tableColumn id="14" xr3:uid="{CC858FFA-ADE6-484A-84E5-46BEA5B8741B}" name="Total equipment cost" dataDxfId="234" dataCellStyle="Input General"/>
    <tableColumn id="15" xr3:uid="{1702021A-2A12-41D9-B43E-832BB2FB965E}" name="Total labor cost" dataDxfId="233" dataCellStyle="Input General"/>
    <tableColumn id="16" xr3:uid="{9A55ECA3-DC74-4C28-BB7A-FC425C76A0D2}" name="Per-unit incentive" dataDxfId="232" dataCellStyle="Locked Cell">
      <calculatedColumnFormula>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calculatedColumnFormula>
    </tableColumn>
    <tableColumn id="17" xr3:uid="{D0DDBAF1-7F86-4886-9F1A-FA3BB6D656E8}" name="Estimated incentive" dataDxfId="231" dataCellStyle="Locked Cell">
      <calculatedColumnFormula>IFERROR(Table_PrescriptLights_Input56[[#This Row],[Per-unit incentive]]*(Table_PrescriptLights_Input56[[#This Row],[Total allowance (W)]]-Table_PrescriptLights_Input56[[#This Row],[Total proposed wattage]]),"")</calculatedColumnFormula>
    </tableColumn>
    <tableColumn id="18" xr3:uid="{429CA939-1BFB-48C9-95F6-D1941DA87F77}" name="Energy savings (kWh)" dataDxfId="230" dataCellStyle="Locked Cell">
      <calculatedColumnFormula>IFERROR((Table_PrescriptLights_Input56[[#This Row],[Total allowance (W)]]-Table_PrescriptLights_Input56[[#This Row],[Total proposed wattage]])/1000*Value_ExtLtgAOH,"")</calculatedColumnFormula>
    </tableColumn>
    <tableColumn id="20" xr3:uid="{03DD04DD-BB1D-4967-ABBF-D71A3377B1EB}" name="Demand reduction (kW)" dataDxfId="229" dataCellStyle="Locked Cell">
      <calculatedColumnFormula>IFERROR(($K5-$L5)/1000*Value_ExtLtgCF,"")</calculatedColumnFormula>
    </tableColumn>
    <tableColumn id="19" xr3:uid="{854146C4-896B-43F1-9704-DCB4AC12133D}" name="Cost savings" dataDxfId="228" dataCellStyle="Locked Cell">
      <calculatedColumnFormula>IFERROR(Table_PrescriptLights_Input56[[#This Row],[Energy savings (kWh)]]*Input_AvgkWhRate, "")</calculatedColumnFormula>
    </tableColumn>
    <tableColumn id="25" xr3:uid="{BC406298-6AE1-4507-BE1A-CBBC94985E9F}" name="Gross measure cost" dataDxfId="227" dataCellStyle="Locked Cell">
      <calculatedColumnFormula>IF(Table_PrescriptLights_Input56[[#This Row],[Exterior space type]]="", "",Table_PrescriptLights_Input56[[#This Row],[Total equipment cost]]+Table_PrescriptLights_Input56[[#This Row],[Total labor cost]])</calculatedColumnFormula>
    </tableColumn>
    <tableColumn id="21" xr3:uid="{C01990FD-323A-41C3-95EB-EFEA9B9283D8}" name="Net measure cost" dataDxfId="226" dataCellStyle="Locked Cell">
      <calculatedColumnFormula>IFERROR(Table_PrescriptLights_Input56[[#This Row],[Gross measure cost]]-Table_PrescriptLights_Input56[[#This Row],[Estimated incentive]], "")</calculatedColumnFormula>
    </tableColumn>
    <tableColumn id="22" xr3:uid="{95AC83E0-4321-414F-B7A9-B3648DED3DE8}" name="Simple payback (years)" dataDxfId="225" dataCellStyle="Locked Cell">
      <calculatedColumnFormula>IFERROR($V5/$T5,"")</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T55" totalsRowShown="0" headerRowDxfId="221" dataDxfId="219" headerRowBorderDxfId="220" tableBorderDxfId="218" totalsRowBorderDxfId="217" headerRowCellStyle="Table Top 1" dataCellStyle="Locked Cell">
  <tableColumns count="19">
    <tableColumn id="1" xr3:uid="{8F9C875C-9563-4ABB-B625-09C157533782}" name="Line ref. no." dataDxfId="216" dataCellStyle="Locked Cell"/>
    <tableColumn id="2" xr3:uid="{46C6C011-1316-4CC5-A76D-C108F8C6CA48}" name="Measure number" dataDxfId="215" dataCellStyle="Locked Cell">
      <calculatedColumnFormula>IFERROR(INDEX(Table_Prescript_Meas[Measure Number], MATCH(E6, Table_Prescript_Meas[Measure Description], 0)), "")</calculatedColumnFormula>
    </tableColumn>
    <tableColumn id="3" xr3:uid="{B3CC9771-7C6F-449B-85D9-1ECC10D7772F}" name="Location/measure notes" dataDxfId="214" dataCellStyle="Locked Cell"/>
    <tableColumn id="4" xr3:uid="{81D64D76-AD10-4279-8BB9-C983A5F9AFD2}" name="HVAC measure" dataDxfId="213" dataCellStyle="Input General"/>
    <tableColumn id="5" xr3:uid="{4C67F5B5-106B-4EE5-80F4-0928E678A73D}" name="Unit of measure" dataDxfId="212"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11" dataCellStyle="Input General"/>
    <tableColumn id="8" xr3:uid="{1F1CA8C4-3BDE-4AC5-BAA5-4B9E0FEE46DB}" name="EER" dataDxfId="210" dataCellStyle="Input General"/>
    <tableColumn id="7" xr3:uid="{7FB1A9D2-0768-42EE-8DA6-A7C20C689834}" name="IEER/SEER" dataDxfId="209" dataCellStyle="Input General"/>
    <tableColumn id="6" xr3:uid="{AF5137A2-3546-4378-82AE-0C85FBDAF122}" name="HSPF" dataDxfId="208" dataCellStyle="Input General"/>
    <tableColumn id="14" xr3:uid="{E3C62EC6-E0E5-44D8-8322-4915701CD4C7}" name="Total equipment cost" dataDxfId="207" dataCellStyle="Input General"/>
    <tableColumn id="15" xr3:uid="{73391BD7-BA9B-4655-8D59-8036683B6997}" name="Total labor cost" dataDxfId="206" dataCellStyle="Input General"/>
    <tableColumn id="16" xr3:uid="{75D6130F-A3AD-4B6C-8D4A-A9BF89230E2D}" name="Per-unit incentive" dataDxfId="205"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04" dataCellStyle="Locked Cell">
      <calculatedColumnFormula>IFERROR(Table_PrescriptLights_Input[[#This Row],[Per-unit incentive]]*Table_PrescriptLights_Input[[#This Row],[Number of units]],"")</calculatedColumnFormula>
    </tableColumn>
    <tableColumn id="18" xr3:uid="{242BB73F-FF6A-4795-8760-4BF5E54052DF}" name="Energy savings (kWh)" dataDxfId="203" dataCellStyle="Locked Cell">
      <calculatedColumnFormula>IF(OR(Table_PrescriptLights_Input[[#This Row],[HVAC measure]]=References!$G$4,Table_PrescriptLights_Input[[#This Row],[HVAC measure]]=References!$G$5),'HVAC Calcs'!$H3,IFERROR(Table_PrescriptLights_Input[[#This Row],[Number of units]]*INDEX(Table_Prescript_Meas[Deemed kWh Savings], MATCH(Table_PrescriptLights_Input[[#This Row],[Measure number]], Table_Prescript_Meas[Measure Number], 0)),"" ))</calculatedColumnFormula>
    </tableColumn>
    <tableColumn id="20" xr3:uid="{1D47EF14-5FDD-46D6-BD70-A783441979ED}" name="Demand reduction (kW)" dataDxfId="202" dataCellStyle="Locked Cell">
      <calculatedColumnFormula>IF(OR(Table_PrescriptLights_Input[[#This Row],[HVAC measure]]=References!$G$4,Table_PrescriptLights_Input[[#This Row],[HVAC measure]]=References!$G$5),'HVAC Calcs'!$I3,IFERROR(Table_PrescriptLights_Input[[#This Row],[Number of units]]*INDEX(Table_Prescript_Meas[Deemed kW Savings], MATCH(Table_PrescriptLights_Input[[#This Row],[Measure number]], Table_Prescript_Meas[Measure Number], 0)),"" ))</calculatedColumnFormula>
    </tableColumn>
    <tableColumn id="19" xr3:uid="{9353DCEE-B0B9-4D5E-99AD-C689A8C09023}" name="Cost savings" dataDxfId="201" dataCellStyle="Locked Cell">
      <calculatedColumnFormula>IFERROR(Table_PrescriptLights_Input[[#This Row],[Energy savings (kWh)]]*Input_AvgkWhRate, "")</calculatedColumnFormula>
    </tableColumn>
    <tableColumn id="25" xr3:uid="{F3721235-2AC1-4A24-BEAB-C067BFB49151}" name="Gross measure cost" dataDxfId="200"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199"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198" dataCellStyle="Locked Cell">
      <calculatedColumnFormula>IFERROR($S6/$Q6,"")</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4:Q54" totalsRowShown="0" headerRowDxfId="196" dataDxfId="194" headerRowBorderDxfId="195" tableBorderDxfId="193" headerRowCellStyle="Locked Cell Bold" dataCellStyle="Locked Cell Bold">
  <autoFilter ref="B4:Q54"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192" dataCellStyle="Locked Cell"/>
    <tableColumn id="31" xr3:uid="{9ADE8167-8016-4FEB-ACEE-8519A40B1040}" name="Measure number" dataDxfId="191"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measure notes" dataDxfId="190" dataCellStyle="Locked Cell"/>
    <tableColumn id="3" xr3:uid="{E1B28E8C-D5F2-4C23-8DD5-FA90D0E0F659}" name="Refrigeration measure" dataDxfId="189" dataCellStyle="Input General"/>
    <tableColumn id="4" xr3:uid="{4EC6AC3D-A4EB-454F-BC53-CC9E14FE8DD4}" name="Unit of measure" dataDxfId="188"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187"/>
    <tableColumn id="18" xr3:uid="{4601385C-DB97-449C-A7D4-A5EE004A1DB1}" name="Total equipment cost" dataDxfId="186">
      <calculatedColumnFormula>150*G5</calculatedColumnFormula>
    </tableColumn>
    <tableColumn id="19" xr3:uid="{0E97AF02-0588-4EA9-85F6-510763FCC56B}" name="Total labor cost" dataDxfId="185"/>
    <tableColumn id="5" xr3:uid="{EA606538-22C8-420B-A8F6-77F9AA271796}" name="Per-unit incentive" dataDxfId="184"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183" dataCellStyle="Locked Cell">
      <calculatedColumnFormula>IFERROR(Table_Custom_Input[[#This Row],[Number of units]]*Table_Custom_Input[[#This Row],[Per-unit incentive]],"")</calculatedColumnFormula>
    </tableColumn>
    <tableColumn id="20" xr3:uid="{5DB70777-8B9B-4F83-99E9-C00D72DF09FF}" name="Energy savings (kWh)" dataDxfId="182"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181"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180" dataCellStyle="Locked Cell">
      <calculatedColumnFormula>IFERROR(Table_Custom_Input[[#This Row],[Energy savings (kWh)]]*Input_AvgkWhRate, "")</calculatedColumnFormula>
    </tableColumn>
    <tableColumn id="24" xr3:uid="{EA2316D4-69EB-4F6A-910D-BDE56162E1EB}" name="Gross measure cost" dataDxfId="179"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178"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177" dataCellStyle="Locked Cell">
      <calculatedColumnFormula>IFERROR('Input Refrigeration Measures'!$P5/'Input Refrigeration Measures'!$N5, "")</calculatedColumnFormula>
    </tableColumn>
  </tableColumns>
  <tableStyleInfo name="Lookup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175" dataDxfId="173" headerRowBorderDxfId="174" tableBorderDxfId="172" totalsRowBorderDxfId="171"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170" dataCellStyle="Locked Cell"/>
    <tableColumn id="2" xr3:uid="{037C8D0B-3718-4880-9E96-D23695FA24C0}" name="Measure number" dataDxfId="169" dataCellStyle="Locked Cell">
      <calculatedColumnFormula>IFERROR(INDEX(Table_Prescript_Meas[Measure Number], MATCH(E5, Table_Prescript_Meas[Measure Description], 0)), "")</calculatedColumnFormula>
    </tableColumn>
    <tableColumn id="5" xr3:uid="{611C12EE-FBD5-490D-8389-4A99F541E3CE}" name="Location/measure notes" dataDxfId="168" dataCellStyle="Locked Cell"/>
    <tableColumn id="4" xr3:uid="{3A6C7D48-9C8E-4469-BE19-1D20709C4EEA}" name="Commercial kitchen measure" dataDxfId="167" dataCellStyle="Input General"/>
    <tableColumn id="3" xr3:uid="{E786399E-A3A2-452D-9AAA-EF5B9807A73B}" name="Unit of measure" dataDxfId="166"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165" dataCellStyle="Input General"/>
    <tableColumn id="14" xr3:uid="{AACC69F4-6890-4204-937D-36EC75225013}" name="Total equipment cost" dataDxfId="164" dataCellStyle="Input General"/>
    <tableColumn id="15" xr3:uid="{8CDB3A5A-01EC-4874-AB74-53CAD120C72C}" name="Total labor cost" dataDxfId="163" dataCellStyle="Input General"/>
    <tableColumn id="16" xr3:uid="{8407FCB0-AD56-49D0-BE27-293D6F6A17F3}" name="Per-unit incentive" dataDxfId="162"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161" dataCellStyle="Locked Cell">
      <calculatedColumnFormula>IFERROR(Table_Controls_Input[[#This Row],[Number of units]]*Table_Controls_Input[[#This Row],[Per-unit incentive]], "")</calculatedColumnFormula>
    </tableColumn>
    <tableColumn id="18" xr3:uid="{A9E6A88B-96AF-4060-99B9-A30B9C7408F0}" name="Energy savings (kWh)" dataDxfId="160"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59"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58" dataCellStyle="Locked Cell">
      <calculatedColumnFormula>IFERROR(L5*Input_AvgkWhRate, "")</calculatedColumnFormula>
    </tableColumn>
    <tableColumn id="24" xr3:uid="{583951C0-4606-42D0-810B-D55385B9D03B}" name="Gross measure cost" dataDxfId="157"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56" dataCellStyle="Locked Cell">
      <calculatedColumnFormula>IFERROR(Table_Controls_Input[[#This Row],[Gross measure cost]]-Table_Controls_Input[[#This Row],[Estimated incentive]], "")</calculatedColumnFormula>
    </tableColumn>
    <tableColumn id="22" xr3:uid="{04B74A6C-BEA7-4EFF-83FB-9212991C52CF}" name="Simple payback (years)" dataDxfId="155" dataCellStyle="Locked Cell">
      <calculatedColumnFormula>IFERROR($P5/$N5,"")</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5:Q35" totalsRowShown="0" headerRowDxfId="153" dataDxfId="151" headerRowBorderDxfId="152" tableBorderDxfId="150" totalsRowBorderDxfId="149" headerRowCellStyle="Table Top 1" dataCellStyle="Locked Cell">
  <autoFilter ref="B5:Q3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48" dataCellStyle="Locked Cell"/>
    <tableColumn id="2" xr3:uid="{0A32FCC8-00B1-45B3-82A8-916F7D1FB95E}" name="Measure number" dataDxfId="147" dataCellStyle="Locked Cell">
      <calculatedColumnFormula>IFERROR(INDEX(Table_Prescript_Meas[Measure Number], MATCH(E6, Table_Prescript_Meas[Measure Description], 0)), "")</calculatedColumnFormula>
    </tableColumn>
    <tableColumn id="5" xr3:uid="{2502B7A7-62D1-472C-BDB6-33EA6433EF46}" name="Location/measure notes" dataDxfId="146" dataCellStyle="Locked Cell"/>
    <tableColumn id="4" xr3:uid="{D73AE1F4-E5D4-4A9D-AB00-360C316941EF}" name="Low-flow water measure" dataDxfId="145" dataCellStyle="Input General"/>
    <tableColumn id="3" xr3:uid="{C8D9C5D3-6630-46B2-8B4A-7032CB445B65}" name="Unit of measure" dataDxfId="144"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43" dataCellStyle="Input General"/>
    <tableColumn id="14" xr3:uid="{338C641A-351F-47E3-B984-5944EF3D6D2B}" name="Total equipment cost" dataDxfId="142" dataCellStyle="Input General"/>
    <tableColumn id="15" xr3:uid="{41ADC273-E61A-4487-B748-D32D319E7936}" name="Total labor cost" dataDxfId="141" dataCellStyle="Input General"/>
    <tableColumn id="16" xr3:uid="{5075CE9B-C415-45EC-80A6-A015AEA0E4B9}" name="Per-unit incentive" dataDxfId="140"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39" dataCellStyle="Locked Cell">
      <calculatedColumnFormula>IFERROR(Table_Controls_Input22[[#This Row],[Number of units]]*Table_Controls_Input22[[#This Row],[Per-unit incentive]], "")</calculatedColumnFormula>
    </tableColumn>
    <tableColumn id="18" xr3:uid="{46BC862A-CE2A-42E8-93AE-6E8BAAC2E2CD}" name="Energy savings (kWh)" dataDxfId="138"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37"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36" dataCellStyle="Locked Cell">
      <calculatedColumnFormula>IFERROR(L6*Input_AvgkWhRate, "")</calculatedColumnFormula>
    </tableColumn>
    <tableColumn id="24" xr3:uid="{28AA99DF-584C-49A4-968B-E66BE6EF6D31}" name="Gross measure cost" dataDxfId="135"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34"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33" dataCellStyle="Locked Cell">
      <calculatedColumnFormula>IFERROR($P6/$N6,"")</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W24" totalsRowShown="0" headerRowDxfId="131" dataDxfId="129" headerRowBorderDxfId="130" tableBorderDxfId="128" totalsRowBorderDxfId="127" headerRowCellStyle="Table Top 1" dataCellStyle="Locked Cell">
  <autoFilter ref="B4:W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8B5577F-D1F4-44D2-BEEF-0DEE0436D77F}" name="Line ref. no." dataDxfId="126" dataCellStyle="Locked Cell"/>
    <tableColumn id="27" xr3:uid="{EDCA10BE-897A-4464-847F-37B11E35A1CF}" name="Measure number" dataDxfId="125" dataCellStyle="Locked Cell">
      <calculatedColumnFormula>IFERROR(IF(Table_Controls_Input2225[[#This Row],[Measure classification]]&lt;&gt;"",References!$F$27,""),"")</calculatedColumnFormula>
    </tableColumn>
    <tableColumn id="3" xr3:uid="{84E42968-E4E1-42BD-8FF2-C3B96E734A4C}" name="Location/measure notes" dataDxfId="124" dataCellStyle="Locked Cell"/>
    <tableColumn id="2" xr3:uid="{929277C3-9A75-4BC9-A37A-31FAE7EC6876}" name="Measure name" dataDxfId="123" dataCellStyle="Input General"/>
    <tableColumn id="5" xr3:uid="{4B676B0C-4A2B-4D8A-8EDC-70CE53B32A30}" name="Measure classification" dataDxfId="122" dataCellStyle="Input General"/>
    <tableColumn id="6" xr3:uid="{577628E1-A383-450A-B444-250954872D36}" name="Location" dataDxfId="121" dataCellStyle="Input General"/>
    <tableColumn id="7" xr3:uid="{B32B5A50-4D86-4BD6-9729-C36CD56F429F}" name="HVAC in location" dataDxfId="120" dataCellStyle="Input General"/>
    <tableColumn id="9" xr3:uid="{2CE347E4-D6FC-47BB-8650-773B3E336501}" name="Summary of existing conditions" dataDxfId="119" dataCellStyle="Input General"/>
    <tableColumn id="10" xr3:uid="{DD32D2EB-8FBC-484E-9604-339B61210ADA}" name="Existing energy consumption (kWh/yr)" dataDxfId="118" dataCellStyle="Input General"/>
    <tableColumn id="11" xr3:uid="{C09C05C5-24BD-4D65-AB55-02383995853E}" name="Existing peak demand (kW)" dataDxfId="117" dataCellStyle="Input General"/>
    <tableColumn id="12" xr3:uid="{16E2D842-612A-4331-AC4F-1F673F0F97FC}" name="Summary of proposed conditions" dataDxfId="116" dataCellStyle="Input General"/>
    <tableColumn id="13" xr3:uid="{E9B66803-1CAC-4D90-942F-0255F2189377}" name="Proposed energy consumption (kWh/yr)" dataDxfId="115" dataCellStyle="Input General"/>
    <tableColumn id="25" xr3:uid="{E2A37F28-15E1-4348-B9B7-8ABF085EAA13}" name="Proposed peak demand (kW)" dataDxfId="114" dataCellStyle="Input General"/>
    <tableColumn id="14" xr3:uid="{3D3A3108-4732-4F5C-9128-0BAFEBDA2435}" name="Total equipment cost" dataDxfId="113" dataCellStyle="Input General"/>
    <tableColumn id="15" xr3:uid="{ACB4220E-44FE-4F2D-BD65-1B95FF325B1A}" name="Total labor cost" dataDxfId="112" dataCellStyle="Input General"/>
    <tableColumn id="17" xr3:uid="{308D612D-3FBC-4973-BD21-ACEEEB998072}" name="Estimated incentive" dataDxfId="111"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110"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109"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108" dataCellStyle="Locked Cell">
      <calculatedColumnFormula>IFERROR(R5*Input_AvgkWhRate, "")</calculatedColumnFormula>
    </tableColumn>
    <tableColumn id="24" xr3:uid="{6C7E370C-68E0-4CD8-BB90-FCF98F7BDCE5}" name="Gross measure cost" dataDxfId="107"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106"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105" dataCellStyle="Locked Cell">
      <calculatedColumnFormula>IFERROR($V5/$T5,"")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A03394-C3E0-47C7-8E96-0EE94A4950AF}" name="Table_Controls_Input22252" displayName="Table_Controls_Input22252" ref="B4:R5" totalsRowShown="0" headerRowDxfId="103" dataDxfId="101" headerRowBorderDxfId="102" tableBorderDxfId="100" totalsRowBorderDxfId="99" headerRowCellStyle="Table Top 1" dataCellStyle="Locked Cell">
  <autoFilter ref="B4:R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2F5A63F-B8B8-432E-BC21-58C8F79C889E}" name="Line ref. no." dataDxfId="98" dataCellStyle="Locked Cell"/>
    <tableColumn id="27" xr3:uid="{55E6E16B-0B96-42EB-8A2D-C18C9332B192}" name="Measure number" dataDxfId="97" dataCellStyle="Locked Cell">
      <calculatedColumnFormula>IFERROR(IF(AND(Table_Controls_Input22252[[#This Row],[Was a whole-building energy model completed for this project?]]&lt;&gt;"",Table_Controls_Input22252[[#This Row],[Energy savings (kWh)]]&gt;0),References!$F$28,""),"")</calculatedColumnFormula>
    </tableColumn>
    <tableColumn id="3" xr3:uid="{3D7F3821-C20B-4D38-807C-34E7328906AD}" name="Location/measure notes" dataDxfId="96" dataCellStyle="Locked Cell"/>
    <tableColumn id="2" xr3:uid="{7FF252A0-0274-4F5C-A9E2-497B2CF99841}" name="Was a whole-building energy model completed for this project?" dataDxfId="95" dataCellStyle="Input General"/>
    <tableColumn id="5" xr3:uid="{8BA9B8EF-BB5F-4262-8D10-ED4CC76ED2C8}" name="Does the energy model comply with ASHRAE 90.1-2013 Appendix G?" dataDxfId="94" dataCellStyle="Input General"/>
    <tableColumn id="6" xr3:uid="{FFB4FCD3-424A-4F88-A38F-4012D817841D}" name="Brand of energy modeling software used to model the facility?" dataDxfId="93" dataCellStyle="Input General"/>
    <tableColumn id="9" xr3:uid="{8C57F8C5-9F1A-40B2-8142-1FA1D0ACBB73}" name="Summary of existing conditions/baseline operations in the building energy model" dataDxfId="92" dataCellStyle="Input General"/>
    <tableColumn id="10" xr3:uid="{5A3A5121-B6D2-4D9D-81E4-0715EF61B96D}" name="Baseline whole-building energy consumption (kWh/yr)" dataDxfId="91" dataCellStyle="Input General"/>
    <tableColumn id="11" xr3:uid="{8FC5CF5A-4A72-46E1-BBBC-226AEF14E242}" name="Baseline building peak demand (kW)" dataDxfId="90" dataCellStyle="Input General"/>
    <tableColumn id="12" xr3:uid="{865E229E-012F-4F63-916B-C5A12EFC283B}" name="Summary of proposed conditions/alternative scenario in the building energy model" dataDxfId="89" dataCellStyle="Input General"/>
    <tableColumn id="13" xr3:uid="{780D1C80-6A99-44DB-B08E-61D695881FFD}" name="Proposed whole-building energy consumption (kWh/yr)" dataDxfId="88" dataCellStyle="Input General"/>
    <tableColumn id="25" xr3:uid="{D65F0E60-A868-4F8B-B024-D34E3B65D88A}" name="Proposed building peak demand (kW)" dataDxfId="87" dataCellStyle="Input General"/>
    <tableColumn id="4" xr3:uid="{8A334773-3BA8-43FF-B82B-2B36A7BDD4F1}" name="Labor costs for developing the energy model ($)" dataDxfId="86" dataCellStyle="Input General"/>
    <tableColumn id="17" xr3:uid="{EA0458C2-2F0C-4011-99CB-CB07269FF597}" name="Estimated bonus incentive" dataDxfId="85" dataCellStyle="Locked Cell">
      <calculatedColumnFormula>IFERROR(MIN(50000,IF(Table_Controls_Input22252[[#This Row],[Energy savings (kWh)]]/Table_Controls_Input22252[[#This Row],[Baseline whole-building energy consumption (kWh/yr)]]&lt;0.2,0.08*Table_Controls_Input22252[[#This Row],[Energy savings (kWh)]],IF(Table_Controls_Input22252[[#This Row],[Energy savings (kWh)]]/Table_Controls_Input22252[[#This Row],[Baseline whole-building energy consumption (kWh/yr)]]&gt;0.3,0.12*Table_Controls_Input22252[[#This Row],[Energy savings (kWh)]],0.1*Table_Controls_Input22252[[#This Row],[Energy savings (kWh)]]))),"")</calculatedColumnFormula>
    </tableColumn>
    <tableColumn id="18" xr3:uid="{7157731E-C2D5-4FCA-ADF7-D1986DD26890}" name="Energy savings (kWh)" dataDxfId="84" dataCellStyle="Locked Cell">
      <calculatedColumnFormula>IF(Table_Controls_Input22252[[#This Row],[Was a whole-building energy model completed for this project?]]="", "", Table_Controls_Input22252[[#This Row],[Baseline whole-building energy consumption (kWh/yr)]]-Table_Controls_Input22252[[#This Row],[Proposed whole-building energy consumption (kWh/yr)]])</calculatedColumnFormula>
    </tableColumn>
    <tableColumn id="20" xr3:uid="{7A753D5D-45C4-4D8F-B770-806CC8579091}" name="Demand reduction (kW)" dataDxfId="83" dataCellStyle="Locked Cell">
      <calculatedColumnFormula>IF(Table_Controls_Input22252[[#This Row],[Was a whole-building energy model completed for this project?]]="", "", Table_Controls_Input22252[[#This Row],[Baseline building peak demand (kW)]]-Table_Controls_Input22252[[#This Row],[Proposed building peak demand (kW)]])</calculatedColumnFormula>
    </tableColumn>
    <tableColumn id="19" xr3:uid="{C8FDE47E-4CB2-4EC4-A3B1-481C503CD92C}" name="Cost savings" dataDxfId="82" dataCellStyle="Locked Cell">
      <calculatedColumnFormula>IFERROR(P5*Input_AvgkWhRate, "")</calculatedColumnFormula>
    </tableColumn>
  </tableColumns>
  <tableStyleInfo name="Lookup Tabl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5:D24" totalsRowCount="1" headerRowDxfId="81" dataDxfId="80" totalsRowDxfId="78" tableBorderDxfId="79" totalsRowBorderDxfId="77" headerRowCellStyle="Table Top 2">
  <autoFilter ref="B15:D23" xr:uid="{B3E3CD38-913D-4F45-A343-C44868F40E80}">
    <filterColumn colId="0" hiddenButton="1"/>
    <filterColumn colId="1" hiddenButton="1"/>
    <filterColumn colId="2" hiddenButton="1"/>
  </autoFilter>
  <tableColumns count="3">
    <tableColumn id="1" xr3:uid="{83B90E73-B8F8-4BE8-A365-A62775107D60}" name="Incentive type" totalsRowLabel="Total" dataDxfId="76" totalsRowDxfId="75" dataCellStyle="Locked Cell Bold">
      <calculatedColumnFormula>Caps!B3</calculatedColumnFormula>
    </tableColumn>
    <tableColumn id="2" xr3:uid="{BB580220-364F-4342-A480-3A7F0A85971E}" name="Energy savings (kWh)" totalsRowFunction="sum" dataDxfId="74" totalsRowDxfId="73" dataCellStyle="Locked Cell White"/>
    <tableColumn id="3" xr3:uid="{08D5337C-CE22-4B9F-9C93-9E240610E3CF}" name="kW reduction" totalsRowFunction="sum" dataDxfId="72" totalsRowDxfId="71" dataCellStyle="Locked Cell White">
      <calculatedColumnFormula>Caps!E3</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7:G37" totalsRowCount="1" headerRowDxfId="70" dataDxfId="69" totalsRowDxfId="67" tableBorderDxfId="68" totalsRowBorderDxfId="66" headerRowCellStyle="Table Top 2" dataCellStyle="Locked Cell White">
  <tableColumns count="6">
    <tableColumn id="1" xr3:uid="{D548A418-04DA-4B50-A62E-C275304AA5D5}" name="Incentive type" totalsRowLabel="Total" dataDxfId="65" totalsRowDxfId="64" dataCellStyle="Locked Cell Bold"/>
    <tableColumn id="2" xr3:uid="{C84C9810-0655-48B1-BBAC-7F4CE667FA2F}" name="Cost savings" totalsRowFunction="sum" dataDxfId="63" totalsRowDxfId="62"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1" totalsRowDxfId="60"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59" totalsRowDxfId="58"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custom" dataDxfId="57" totalsRowDxfId="56" dataCellStyle="Currency">
      <totalsRowFormula>Table15[[#Totals],[Gross project cost]]-Table15[[#Totals],[Estimated incentive]]</totalsRowFormula>
    </tableColumn>
    <tableColumn id="8" xr3:uid="{0947E50A-946D-4F5D-8278-1B82EC35172D}" name="Simple payback (years)" totalsRowFunction="custom" dataDxfId="55" totalsRowDxfId="54"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52"/>
    <tableColumn id="5" xr3:uid="{F18435E4-A28A-404F-9592-218A633520A0}" name="Measure Number" dataDxfId="51"/>
    <tableColumn id="1" xr3:uid="{A3E2A2E2-AD9F-4EDF-8AD1-B97F6A2E727B}" name="Measure Description"/>
    <tableColumn id="2" xr3:uid="{62C320E2-6C47-4072-836B-0FA25E2EA64A}" name="Incentive - SC" dataDxfId="50"/>
    <tableColumn id="3" xr3:uid="{9829818C-AAD4-47CD-862A-5F923ABB1CAC}" name="Incentive - LC" dataDxfId="49"/>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48"/>
    <tableColumn id="2" xr3:uid="{488C031A-DF45-4211-A4B9-CE139C7ED760}" name="Custom Incentive Rate" dataDxfId="47"/>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11" totalsRowCount="1" headerRowDxfId="46">
  <autoFilter ref="A2:J10" xr:uid="{A563531E-FBF8-4AB3-A38F-7060C6F74F42}"/>
  <tableColumns count="10">
    <tableColumn id="1" xr3:uid="{2FC0691E-AA41-4B72-B587-A8266560EB57}" name="Worksheet" totalsRowLabel="Total"/>
    <tableColumn id="10" xr3:uid="{A9369F91-9D6F-4877-91DA-479A193A41D3}" name="Measure Type" dataDxfId="45">
      <calculatedColumnFormula>'Review the Summary'!B30</calculatedColumnFormula>
    </tableColumn>
    <tableColumn id="2" xr3:uid="{D83E28AC-8A76-4C16-B98B-2F373B5D0392}" name="Estimated Raw Incentive Total" totalsRowFunction="sum" dataDxfId="44" totalsRowDxfId="43"/>
    <tableColumn id="3" xr3:uid="{A6A92779-0E26-4488-9339-91277CD00D3C}" name="Energy Savings Total (kWh)" totalsRowFunction="sum" dataDxfId="42" totalsRowDxfId="41"/>
    <tableColumn id="4" xr3:uid="{A75B0FC7-F4C9-4E23-905D-A7F086D7E388}" name="Demand Reduction Total (kW)" totalsRowFunction="sum" dataDxfId="40" totalsRowDxfId="39"/>
    <tableColumn id="5" xr3:uid="{F9FA9204-4436-47C3-AA70-EC693EF4524F}" name="Cost Savings Total" totalsRowFunction="sum" dataDxfId="38" totalsRowDxfId="37"/>
    <tableColumn id="6" xr3:uid="{A131607F-447F-4B40-BE76-6650AAE820EE}" name="Gross Measure Cost Total" totalsRowFunction="sum" dataDxfId="36" totalsRowDxfId="35"/>
    <tableColumn id="7" xr3:uid="{0C6C6173-2706-4EAD-B4A7-49D90713FBE0}" name="Net Measure Cost Total" totalsRowFunction="sum" dataDxfId="34" totalsRowDxfId="33"/>
    <tableColumn id="8" xr3:uid="{3572CC4A-960F-4F3C-B657-B59E0880F64C}" name="Raw ItoC Ratio" totalsRowFunction="custom" dataDxfId="32" totalsRowDxfId="31"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0" totalsRowDxfId="29">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8"/>
    <tableColumn id="2" xr3:uid="{C33A9D64-1008-475E-A872-2D8F666A9B33}" name="Raw Incentive Total" dataDxfId="27"/>
    <tableColumn id="3" xr3:uid="{B530129D-6CA1-490C-A4CC-5B847BFF5C7F}" name="Uncapped Bonus" dataDxfId="26"/>
    <tableColumn id="4" xr3:uid="{84BE2AB8-EAE8-4601-B451-E59BE06594F1}" name="Final Bonus" dataDxfId="25"/>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'Fill in the Application'!F30</calculatedColumnFormula>
    </tableColumn>
    <tableColumn id="16" xr3:uid="{7CA4F0D1-7754-471C-8DEB-CAEB6649B745}" name="Check Payable To" dataDxfId="22">
      <calculatedColumnFormula>'Fill in the Application'!F31</calculatedColumnFormula>
    </tableColumn>
    <tableColumn id="17" xr3:uid="{772C63A5-044F-47D7-89C5-9E60AFFC552A}" name="Federal Tax ID Number" dataDxfId="21">
      <calculatedColumnFormula>'Fill in the Application'!F32</calculatedColumnFormula>
    </tableColumn>
    <tableColumn id="18" xr3:uid="{F71E6A60-E971-4C2E-96C9-6C8A1944A1FF}" name="Tax Entity" dataDxfId="20">
      <calculatedColumnFormula>'Fill in the Application'!F33</calculatedColumnFormula>
    </tableColumn>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313" totalsRowShown="0" headerRowDxfId="17" dataDxfId="15" headerRowBorderDxfId="16" tableBorderDxfId="14" totalsRowBorderDxfId="13">
  <autoFilter ref="A1:M313"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tableColumn id="11" xr3:uid="{2AEAB220-3903-4800-985E-9696295079E6}" name="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9/04/relationships/namedSheetView" Target="../namedSheetViews/namedSheetView2.xml"/><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9/04/relationships/namedSheetView" Target="../namedSheetViews/namedSheetView3.xml"/><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1.xml"/><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810B-6197-4CAF-97D1-29C01AE7281F}">
  <sheetPr>
    <tabColor theme="2"/>
  </sheetPr>
  <dimension ref="B1:G42"/>
  <sheetViews>
    <sheetView showGridLines="0" showRowColHeaders="0" tabSelected="1" zoomScaleNormal="100" workbookViewId="0">
      <selection activeCell="B5" sqref="B5:E8"/>
    </sheetView>
  </sheetViews>
  <sheetFormatPr defaultColWidth="9.140625" defaultRowHeight="12.75" x14ac:dyDescent="0.2"/>
  <cols>
    <col min="1" max="1" width="1.7109375" style="245" customWidth="1"/>
    <col min="2" max="2" width="16" style="245" customWidth="1"/>
    <col min="3" max="3" width="39" style="245" customWidth="1"/>
    <col min="4" max="4" width="14.140625" style="245" customWidth="1"/>
    <col min="5" max="5" width="50.7109375" style="245" customWidth="1"/>
    <col min="6" max="6" width="9.140625" style="245"/>
    <col min="7" max="7" width="13.7109375" style="245" customWidth="1"/>
    <col min="8" max="16384" width="9.140625" style="245"/>
  </cols>
  <sheetData>
    <row r="1" spans="2:7" ht="52.5" customHeight="1" x14ac:dyDescent="0.2"/>
    <row r="2" spans="2:7" s="246" customFormat="1" ht="50.25" customHeight="1" x14ac:dyDescent="0.2">
      <c r="B2" s="352" t="s">
        <v>647</v>
      </c>
      <c r="C2" s="353"/>
      <c r="D2" s="353"/>
      <c r="E2" s="353"/>
      <c r="F2" s="353"/>
      <c r="G2" s="353"/>
    </row>
    <row r="3" spans="2:7" ht="79.5" customHeight="1" x14ac:dyDescent="0.2">
      <c r="B3" s="360" t="s">
        <v>798</v>
      </c>
      <c r="C3" s="360"/>
      <c r="D3" s="360"/>
      <c r="E3" s="360"/>
    </row>
    <row r="4" spans="2:7" ht="18.75" customHeight="1" x14ac:dyDescent="0.2">
      <c r="B4" s="361" t="s">
        <v>648</v>
      </c>
      <c r="C4" s="361"/>
      <c r="D4" s="361"/>
      <c r="E4" s="361"/>
    </row>
    <row r="5" spans="2:7" ht="36.75" customHeight="1" x14ac:dyDescent="0.2">
      <c r="B5" s="362" t="s">
        <v>675</v>
      </c>
      <c r="C5" s="363"/>
      <c r="D5" s="363"/>
      <c r="E5" s="364"/>
    </row>
    <row r="6" spans="2:7" ht="33" customHeight="1" x14ac:dyDescent="0.2">
      <c r="B6" s="365"/>
      <c r="C6" s="366"/>
      <c r="D6" s="366"/>
      <c r="E6" s="367"/>
    </row>
    <row r="7" spans="2:7" ht="33" customHeight="1" x14ac:dyDescent="0.2">
      <c r="B7" s="365"/>
      <c r="C7" s="366"/>
      <c r="D7" s="366"/>
      <c r="E7" s="367"/>
    </row>
    <row r="8" spans="2:7" ht="33" customHeight="1" x14ac:dyDescent="0.2">
      <c r="B8" s="368"/>
      <c r="C8" s="369"/>
      <c r="D8" s="369"/>
      <c r="E8" s="370"/>
    </row>
    <row r="9" spans="2:7" ht="12.75" customHeight="1" x14ac:dyDescent="0.2">
      <c r="B9" s="247"/>
      <c r="C9" s="247"/>
    </row>
    <row r="10" spans="2:7" ht="15.75" x14ac:dyDescent="0.2">
      <c r="B10" s="361" t="s">
        <v>649</v>
      </c>
      <c r="C10" s="361"/>
      <c r="D10" s="361"/>
      <c r="E10" s="361"/>
    </row>
    <row r="11" spans="2:7" ht="25.5" customHeight="1" x14ac:dyDescent="0.2">
      <c r="B11" s="340" t="s">
        <v>673</v>
      </c>
      <c r="C11" s="357" t="s">
        <v>803</v>
      </c>
      <c r="D11" s="358"/>
      <c r="E11" s="359"/>
    </row>
    <row r="12" spans="2:7" ht="25.5" customHeight="1" x14ac:dyDescent="0.2">
      <c r="B12" s="347" t="s">
        <v>674</v>
      </c>
      <c r="C12" s="371" t="s">
        <v>795</v>
      </c>
      <c r="D12" s="372"/>
      <c r="E12" s="373"/>
    </row>
    <row r="13" spans="2:7" ht="12.75" customHeight="1" x14ac:dyDescent="0.2"/>
    <row r="14" spans="2:7" ht="15.75" customHeight="1" x14ac:dyDescent="0.25">
      <c r="B14" s="354" t="s">
        <v>650</v>
      </c>
      <c r="C14" s="355"/>
      <c r="D14" s="355"/>
      <c r="E14" s="356"/>
    </row>
    <row r="15" spans="2:7" ht="25.5" customHeight="1" x14ac:dyDescent="0.2">
      <c r="B15" s="248" t="s">
        <v>651</v>
      </c>
      <c r="C15" s="351" t="s">
        <v>385</v>
      </c>
      <c r="D15" s="351"/>
      <c r="E15" s="351"/>
    </row>
    <row r="16" spans="2:7" ht="25.5" customHeight="1" x14ac:dyDescent="0.2">
      <c r="B16" s="249" t="s">
        <v>652</v>
      </c>
      <c r="C16" s="351" t="s">
        <v>663</v>
      </c>
      <c r="D16" s="351"/>
      <c r="E16" s="351"/>
    </row>
    <row r="17" spans="2:5" s="250" customFormat="1" ht="25.5" customHeight="1" x14ac:dyDescent="0.2">
      <c r="B17" s="249" t="s">
        <v>653</v>
      </c>
      <c r="C17" s="357" t="s">
        <v>664</v>
      </c>
      <c r="D17" s="358"/>
      <c r="E17" s="359"/>
    </row>
    <row r="18" spans="2:5" s="250" customFormat="1" ht="39.75" customHeight="1" x14ac:dyDescent="0.2">
      <c r="B18" s="251" t="s">
        <v>654</v>
      </c>
      <c r="C18" s="351" t="s">
        <v>665</v>
      </c>
      <c r="D18" s="351"/>
      <c r="E18" s="351"/>
    </row>
    <row r="19" spans="2:5" ht="25.5" customHeight="1" x14ac:dyDescent="0.2">
      <c r="B19" s="251" t="s">
        <v>0</v>
      </c>
      <c r="C19" s="351" t="s">
        <v>666</v>
      </c>
      <c r="D19" s="351"/>
      <c r="E19" s="351"/>
    </row>
    <row r="20" spans="2:5" ht="25.5" customHeight="1" x14ac:dyDescent="0.2">
      <c r="B20" s="251" t="s">
        <v>655</v>
      </c>
      <c r="C20" s="351" t="s">
        <v>667</v>
      </c>
      <c r="D20" s="351"/>
      <c r="E20" s="351"/>
    </row>
    <row r="21" spans="2:5" s="250" customFormat="1" ht="25.5" customHeight="1" x14ac:dyDescent="0.2">
      <c r="B21" s="251" t="s">
        <v>656</v>
      </c>
      <c r="C21" s="351" t="s">
        <v>668</v>
      </c>
      <c r="D21" s="351"/>
      <c r="E21" s="351"/>
    </row>
    <row r="22" spans="2:5" ht="25.5" customHeight="1" x14ac:dyDescent="0.2">
      <c r="B22" s="251" t="s">
        <v>657</v>
      </c>
      <c r="C22" s="351" t="s">
        <v>669</v>
      </c>
      <c r="D22" s="351"/>
      <c r="E22" s="351"/>
    </row>
    <row r="23" spans="2:5" ht="25.5" customHeight="1" x14ac:dyDescent="0.2">
      <c r="B23" s="251" t="s">
        <v>658</v>
      </c>
      <c r="C23" s="351" t="s">
        <v>797</v>
      </c>
      <c r="D23" s="351"/>
      <c r="E23" s="351"/>
    </row>
    <row r="24" spans="2:5" ht="30.75" customHeight="1" x14ac:dyDescent="0.2">
      <c r="B24" s="251" t="s">
        <v>659</v>
      </c>
      <c r="C24" s="351" t="s">
        <v>796</v>
      </c>
      <c r="D24" s="351"/>
      <c r="E24" s="351"/>
    </row>
    <row r="25" spans="2:5" ht="25.5" customHeight="1" x14ac:dyDescent="0.2">
      <c r="B25" s="248" t="s">
        <v>670</v>
      </c>
      <c r="C25" s="351" t="s">
        <v>1</v>
      </c>
      <c r="D25" s="351"/>
      <c r="E25" s="351"/>
    </row>
    <row r="26" spans="2:5" ht="12.75" customHeight="1" x14ac:dyDescent="0.2"/>
    <row r="27" spans="2:5" ht="15.75" customHeight="1" x14ac:dyDescent="0.25">
      <c r="B27" s="354" t="s">
        <v>660</v>
      </c>
      <c r="C27" s="355"/>
      <c r="D27" s="355"/>
      <c r="E27" s="356"/>
    </row>
    <row r="28" spans="2:5" ht="36.75" customHeight="1" x14ac:dyDescent="0.2">
      <c r="B28" s="351" t="s">
        <v>671</v>
      </c>
      <c r="C28" s="351"/>
      <c r="D28" s="351"/>
      <c r="E28" s="351"/>
    </row>
    <row r="29" spans="2:5" ht="57" customHeight="1" x14ac:dyDescent="0.2">
      <c r="B29" s="351" t="s">
        <v>641</v>
      </c>
      <c r="C29" s="351"/>
      <c r="D29" s="351"/>
      <c r="E29" s="351"/>
    </row>
    <row r="30" spans="2:5" ht="42" customHeight="1" x14ac:dyDescent="0.2">
      <c r="B30" s="351" t="s">
        <v>672</v>
      </c>
      <c r="C30" s="351"/>
      <c r="D30" s="351"/>
      <c r="E30" s="351"/>
    </row>
    <row r="32" spans="2:5" x14ac:dyDescent="0.2">
      <c r="B32" s="245" t="s">
        <v>644</v>
      </c>
    </row>
    <row r="33" spans="2:5" x14ac:dyDescent="0.2">
      <c r="B33" s="245" t="str">
        <f>'Fill in the Application'!B42</f>
        <v>Version 5.2</v>
      </c>
    </row>
    <row r="35" spans="2:5" s="250" customFormat="1" ht="108.75" customHeight="1" x14ac:dyDescent="0.2">
      <c r="B35" s="245"/>
      <c r="C35" s="245"/>
      <c r="D35" s="245"/>
      <c r="E35" s="245"/>
    </row>
    <row r="36" spans="2:5" ht="42.75" customHeight="1" x14ac:dyDescent="0.2"/>
    <row r="37" spans="2:5" ht="31.5" customHeight="1" x14ac:dyDescent="0.2"/>
    <row r="38" spans="2:5" ht="42" customHeight="1" x14ac:dyDescent="0.2"/>
    <row r="39" spans="2:5" ht="30" customHeight="1" x14ac:dyDescent="0.2"/>
    <row r="40" spans="2:5" ht="132.75" customHeight="1" x14ac:dyDescent="0.2"/>
    <row r="41" spans="2:5" ht="31.5" customHeight="1" x14ac:dyDescent="0.2"/>
    <row r="42" spans="2:5" ht="42" customHeight="1" x14ac:dyDescent="0.2"/>
  </sheetData>
  <sheetProtection algorithmName="SHA-512" hashValue="CEtnPlLHCWdIkpErj0gYs7SAzymB301pLs7A480MqlQ1WKBVXafAyy1Gd8mdW1KJGOeHSCblXIrwnhN/Jgs41g==" saltValue="Z5ot2UXtIpnEecNQoM3Ccg==" spinCount="100000" sheet="1" objects="1" scenarios="1"/>
  <mergeCells count="23">
    <mergeCell ref="C20:E20"/>
    <mergeCell ref="C21:E21"/>
    <mergeCell ref="B14:E14"/>
    <mergeCell ref="C15:E15"/>
    <mergeCell ref="C16:E16"/>
    <mergeCell ref="C17:E17"/>
    <mergeCell ref="C19:E19"/>
    <mergeCell ref="B30:E30"/>
    <mergeCell ref="B28:E28"/>
    <mergeCell ref="B2:G2"/>
    <mergeCell ref="C22:E22"/>
    <mergeCell ref="C18:E18"/>
    <mergeCell ref="C25:E25"/>
    <mergeCell ref="B27:E27"/>
    <mergeCell ref="B29:E29"/>
    <mergeCell ref="C24:E24"/>
    <mergeCell ref="C11:E11"/>
    <mergeCell ref="B3:E3"/>
    <mergeCell ref="B4:E4"/>
    <mergeCell ref="B5:E8"/>
    <mergeCell ref="B10:E10"/>
    <mergeCell ref="C23:E23"/>
    <mergeCell ref="C12:E12"/>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ColWidth="9.140625" defaultRowHeight="12.75" x14ac:dyDescent="0.2"/>
  <cols>
    <col min="1" max="1" width="2.28515625" style="245" customWidth="1"/>
    <col min="2" max="2" width="31.85546875" style="7" customWidth="1"/>
    <col min="3" max="3" width="39.140625" style="245" customWidth="1"/>
    <col min="4" max="4" width="1.7109375" style="245" customWidth="1"/>
    <col min="5" max="5" width="31.85546875" style="7" customWidth="1"/>
    <col min="6" max="6" width="39.140625" style="245" customWidth="1"/>
    <col min="7" max="7" width="9.140625" style="245"/>
    <col min="8" max="8" width="45.85546875" style="245" customWidth="1"/>
    <col min="9" max="16384" width="9.140625" style="245"/>
  </cols>
  <sheetData>
    <row r="1" spans="2:8" ht="49.5" customHeight="1" x14ac:dyDescent="0.2"/>
    <row r="2" spans="2:8" s="260" customFormat="1" ht="27" customHeight="1" x14ac:dyDescent="0.2">
      <c r="B2" s="374" t="s">
        <v>676</v>
      </c>
      <c r="C2" s="374"/>
      <c r="D2" s="374"/>
      <c r="E2" s="374"/>
      <c r="F2" s="259"/>
    </row>
    <row r="4" spans="2:8" ht="15.75" x14ac:dyDescent="0.2">
      <c r="B4" s="361" t="s">
        <v>661</v>
      </c>
      <c r="C4" s="361"/>
      <c r="E4" s="361" t="s">
        <v>3</v>
      </c>
      <c r="F4" s="361"/>
      <c r="H4" s="7"/>
    </row>
    <row r="5" spans="2:8" ht="12.75" customHeight="1" x14ac:dyDescent="0.2">
      <c r="B5" s="348" t="s">
        <v>662</v>
      </c>
      <c r="C5" s="252"/>
      <c r="E5" s="377" t="s">
        <v>694</v>
      </c>
      <c r="F5" s="378"/>
      <c r="H5" s="7"/>
    </row>
    <row r="6" spans="2:8" x14ac:dyDescent="0.2">
      <c r="B6" s="348" t="s">
        <v>677</v>
      </c>
      <c r="C6" s="252"/>
      <c r="E6" s="377"/>
      <c r="F6" s="378"/>
    </row>
    <row r="7" spans="2:8" ht="25.5" x14ac:dyDescent="0.2">
      <c r="B7" s="348" t="s">
        <v>678</v>
      </c>
      <c r="C7" s="252"/>
      <c r="E7" s="377"/>
      <c r="F7" s="378"/>
    </row>
    <row r="8" spans="2:8" x14ac:dyDescent="0.2">
      <c r="B8" s="348" t="s">
        <v>6</v>
      </c>
      <c r="C8" s="252"/>
      <c r="E8" s="377"/>
      <c r="F8" s="378"/>
    </row>
    <row r="9" spans="2:8" x14ac:dyDescent="0.2">
      <c r="B9" s="348" t="s">
        <v>7</v>
      </c>
      <c r="C9" s="252"/>
      <c r="E9" s="348" t="s">
        <v>695</v>
      </c>
      <c r="F9" s="261"/>
    </row>
    <row r="10" spans="2:8" ht="25.5" x14ac:dyDescent="0.2">
      <c r="B10" s="348" t="s">
        <v>679</v>
      </c>
      <c r="C10" s="252"/>
      <c r="E10" s="348" t="s">
        <v>696</v>
      </c>
      <c r="F10" s="261"/>
    </row>
    <row r="11" spans="2:8" x14ac:dyDescent="0.2">
      <c r="B11" s="348" t="s">
        <v>680</v>
      </c>
      <c r="C11" s="252"/>
      <c r="E11" s="348" t="s">
        <v>697</v>
      </c>
      <c r="F11" s="252"/>
    </row>
    <row r="12" spans="2:8" x14ac:dyDescent="0.2">
      <c r="B12" s="348" t="s">
        <v>681</v>
      </c>
      <c r="C12" s="252"/>
      <c r="E12" s="348" t="s">
        <v>698</v>
      </c>
      <c r="F12" s="252"/>
    </row>
    <row r="13" spans="2:8" ht="25.5" x14ac:dyDescent="0.2">
      <c r="B13" s="348" t="s">
        <v>682</v>
      </c>
      <c r="C13" s="252"/>
      <c r="E13" s="348" t="s">
        <v>716</v>
      </c>
      <c r="F13" s="252"/>
    </row>
    <row r="14" spans="2:8" ht="25.5" x14ac:dyDescent="0.2">
      <c r="B14" s="348" t="s">
        <v>799</v>
      </c>
      <c r="C14" s="252"/>
      <c r="E14" s="361" t="s">
        <v>699</v>
      </c>
      <c r="F14" s="361"/>
    </row>
    <row r="15" spans="2:8" ht="37.5" customHeight="1" x14ac:dyDescent="0.2">
      <c r="B15" s="348" t="s">
        <v>683</v>
      </c>
      <c r="C15" s="252"/>
      <c r="D15" s="1"/>
      <c r="E15" s="348" t="s">
        <v>700</v>
      </c>
      <c r="F15" s="252"/>
    </row>
    <row r="16" spans="2:8" ht="15.75" x14ac:dyDescent="0.2">
      <c r="B16" s="361" t="s">
        <v>684</v>
      </c>
      <c r="C16" s="361"/>
      <c r="D16" s="1"/>
      <c r="E16" s="348" t="s">
        <v>701</v>
      </c>
      <c r="F16" s="252"/>
    </row>
    <row r="17" spans="2:6" x14ac:dyDescent="0.2">
      <c r="B17" s="348" t="s">
        <v>685</v>
      </c>
      <c r="C17" s="252"/>
      <c r="D17" s="1"/>
      <c r="E17" s="348" t="s">
        <v>800</v>
      </c>
      <c r="F17" s="252"/>
    </row>
    <row r="18" spans="2:6" x14ac:dyDescent="0.2">
      <c r="B18" s="348" t="s">
        <v>686</v>
      </c>
      <c r="C18" s="252"/>
      <c r="D18" s="1"/>
      <c r="E18" s="348" t="s">
        <v>6</v>
      </c>
      <c r="F18" s="252"/>
    </row>
    <row r="19" spans="2:6" x14ac:dyDescent="0.2">
      <c r="B19" s="348" t="s">
        <v>13</v>
      </c>
      <c r="C19" s="252"/>
      <c r="D19" s="1"/>
      <c r="E19" s="348" t="s">
        <v>7</v>
      </c>
      <c r="F19" s="252"/>
    </row>
    <row r="20" spans="2:6" x14ac:dyDescent="0.2">
      <c r="B20" s="348" t="s">
        <v>6</v>
      </c>
      <c r="C20" s="252"/>
      <c r="D20" s="1"/>
      <c r="E20" s="348" t="s">
        <v>679</v>
      </c>
      <c r="F20" s="252"/>
    </row>
    <row r="21" spans="2:6" x14ac:dyDescent="0.2">
      <c r="B21" s="348" t="s">
        <v>7</v>
      </c>
      <c r="C21" s="252"/>
      <c r="D21" s="1"/>
      <c r="E21" s="348" t="s">
        <v>680</v>
      </c>
      <c r="F21" s="252"/>
    </row>
    <row r="22" spans="2:6" x14ac:dyDescent="0.2">
      <c r="B22" s="348" t="s">
        <v>679</v>
      </c>
      <c r="C22" s="252"/>
      <c r="D22" s="1"/>
      <c r="E22" s="348" t="s">
        <v>687</v>
      </c>
      <c r="F22" s="252"/>
    </row>
    <row r="23" spans="2:6" ht="25.5" x14ac:dyDescent="0.2">
      <c r="B23" s="348" t="s">
        <v>680</v>
      </c>
      <c r="C23" s="252"/>
      <c r="D23" s="1"/>
      <c r="E23" s="348" t="s">
        <v>702</v>
      </c>
      <c r="F23" s="252"/>
    </row>
    <row r="24" spans="2:6" x14ac:dyDescent="0.2">
      <c r="B24" s="348" t="s">
        <v>687</v>
      </c>
      <c r="C24" s="252"/>
      <c r="D24" s="1"/>
      <c r="E24" s="348" t="s">
        <v>703</v>
      </c>
      <c r="F24" s="252"/>
    </row>
    <row r="25" spans="2:6" x14ac:dyDescent="0.2">
      <c r="B25" s="348" t="s">
        <v>688</v>
      </c>
      <c r="C25" s="252"/>
      <c r="D25" s="1"/>
      <c r="E25" s="348" t="s">
        <v>704</v>
      </c>
      <c r="F25" s="252"/>
    </row>
    <row r="26" spans="2:6" ht="15.75" x14ac:dyDescent="0.2">
      <c r="B26" s="361" t="s">
        <v>689</v>
      </c>
      <c r="C26" s="361"/>
      <c r="D26" s="35"/>
      <c r="E26" s="348" t="s">
        <v>705</v>
      </c>
      <c r="F26" s="262"/>
    </row>
    <row r="27" spans="2:6" ht="25.5" x14ac:dyDescent="0.2">
      <c r="B27" s="348" t="s">
        <v>662</v>
      </c>
      <c r="C27" s="252"/>
      <c r="D27" s="35"/>
      <c r="E27" s="348" t="s">
        <v>16</v>
      </c>
      <c r="F27" s="252"/>
    </row>
    <row r="28" spans="2:6" x14ac:dyDescent="0.2">
      <c r="B28" s="348" t="s">
        <v>690</v>
      </c>
      <c r="C28" s="252"/>
      <c r="D28" s="1"/>
      <c r="E28" s="348" t="s">
        <v>706</v>
      </c>
      <c r="F28" s="263"/>
    </row>
    <row r="29" spans="2:6" x14ac:dyDescent="0.2">
      <c r="B29" s="348" t="s">
        <v>13</v>
      </c>
      <c r="C29" s="252"/>
      <c r="D29" s="1"/>
      <c r="E29" s="348" t="s">
        <v>707</v>
      </c>
      <c r="F29" s="252"/>
    </row>
    <row r="30" spans="2:6" x14ac:dyDescent="0.2">
      <c r="B30" s="348" t="s">
        <v>6</v>
      </c>
      <c r="C30" s="252"/>
      <c r="D30" s="35"/>
      <c r="E30" s="348" t="s">
        <v>708</v>
      </c>
      <c r="F30" s="252"/>
    </row>
    <row r="31" spans="2:6" x14ac:dyDescent="0.2">
      <c r="B31" s="348" t="s">
        <v>7</v>
      </c>
      <c r="C31" s="252"/>
      <c r="D31" s="35"/>
      <c r="E31" s="348" t="s">
        <v>709</v>
      </c>
      <c r="F31" s="252"/>
    </row>
    <row r="32" spans="2:6" ht="15.75" x14ac:dyDescent="0.2">
      <c r="B32" s="348" t="s">
        <v>679</v>
      </c>
      <c r="C32" s="252"/>
      <c r="D32" s="35"/>
      <c r="E32" s="375" t="s">
        <v>710</v>
      </c>
      <c r="F32" s="376"/>
    </row>
    <row r="33" spans="2:6" x14ac:dyDescent="0.2">
      <c r="B33" s="348" t="s">
        <v>680</v>
      </c>
      <c r="C33" s="252"/>
      <c r="D33" s="35"/>
      <c r="E33" s="348" t="s">
        <v>711</v>
      </c>
      <c r="F33" s="252"/>
    </row>
    <row r="34" spans="2:6" x14ac:dyDescent="0.2">
      <c r="B34" s="348" t="s">
        <v>687</v>
      </c>
      <c r="C34" s="252"/>
      <c r="D34" s="35"/>
      <c r="E34" s="348" t="s">
        <v>712</v>
      </c>
      <c r="F34" s="252"/>
    </row>
    <row r="35" spans="2:6" x14ac:dyDescent="0.2">
      <c r="B35" s="348" t="s">
        <v>691</v>
      </c>
      <c r="C35" s="252"/>
      <c r="D35" s="1"/>
      <c r="E35" s="348" t="s">
        <v>713</v>
      </c>
      <c r="F35" s="252"/>
    </row>
    <row r="36" spans="2:6" ht="15.75" x14ac:dyDescent="0.2">
      <c r="B36" s="375" t="s">
        <v>693</v>
      </c>
      <c r="C36" s="376"/>
      <c r="D36" s="1"/>
      <c r="E36" s="348" t="s">
        <v>714</v>
      </c>
      <c r="F36" s="252"/>
    </row>
    <row r="37" spans="2:6" ht="25.5" x14ac:dyDescent="0.2">
      <c r="B37" s="348" t="s">
        <v>27</v>
      </c>
      <c r="C37" s="252"/>
      <c r="D37" s="1"/>
      <c r="E37" s="348" t="s">
        <v>715</v>
      </c>
      <c r="F37" s="252"/>
    </row>
    <row r="38" spans="2:6" ht="25.5" x14ac:dyDescent="0.2">
      <c r="B38" s="348" t="s">
        <v>692</v>
      </c>
      <c r="C38" s="252"/>
      <c r="D38" s="1"/>
    </row>
    <row r="39" spans="2:6" x14ac:dyDescent="0.2">
      <c r="D39" s="1"/>
    </row>
    <row r="40" spans="2:6" x14ac:dyDescent="0.2">
      <c r="B40" s="245"/>
      <c r="E40" s="245"/>
    </row>
    <row r="41" spans="2:6" x14ac:dyDescent="0.2">
      <c r="B41" s="245" t="s">
        <v>644</v>
      </c>
      <c r="E41" s="245"/>
    </row>
    <row r="42" spans="2:6" x14ac:dyDescent="0.2">
      <c r="B42" s="245" t="str">
        <f>Value_Application_Version</f>
        <v>Version 5.2</v>
      </c>
      <c r="E42" s="245"/>
    </row>
    <row r="43" spans="2:6" x14ac:dyDescent="0.2">
      <c r="B43" s="245"/>
      <c r="E43" s="245"/>
    </row>
    <row r="48" spans="2:6" x14ac:dyDescent="0.2">
      <c r="D48" s="1"/>
    </row>
    <row r="49" spans="4:6" x14ac:dyDescent="0.2">
      <c r="D49" s="1"/>
    </row>
    <row r="50" spans="4:6" x14ac:dyDescent="0.2">
      <c r="D50" s="1"/>
    </row>
    <row r="51" spans="4:6" x14ac:dyDescent="0.2">
      <c r="D51" s="1"/>
    </row>
    <row r="52" spans="4:6" x14ac:dyDescent="0.2">
      <c r="D52" s="1"/>
    </row>
    <row r="55" spans="4:6" x14ac:dyDescent="0.2">
      <c r="E55" s="41"/>
      <c r="F55" s="33"/>
    </row>
  </sheetData>
  <sheetProtection algorithmName="SHA-512" hashValue="1LtREWHe8Tq0KMsCDUHw04XgdWGAE50UdnCyMtVWyuwqDsKtqY7lfJh4B03a2tM8sI122o3CWAFezRVXBKDcpw==" saltValue="DXTbqJlXsPVYQ1h7oIng7Q=="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1">
    <dataValidation type="list" allowBlank="1" showInputMessage="1" showErrorMessage="1" sqref="F29" xr:uid="{00000000-0002-0000-0000-000002000000}">
      <formula1>List_BuildingAreaMethod</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F27</xm:sqref>
        </x14:dataValidation>
        <x14:dataValidation type="list" allowBlank="1" showInputMessage="1" showErrorMessage="1" xr:uid="{8DBB6B1A-EC45-4445-AADC-6C9B4FC7FE62}">
          <x14:formula1>
            <xm:f>References!$AC$4:$AC$5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6" sqref="B16"/>
    </sheetView>
  </sheetViews>
  <sheetFormatPr defaultColWidth="9.140625" defaultRowHeight="12.75" x14ac:dyDescent="0.2"/>
  <cols>
    <col min="1" max="1" width="1.85546875" style="253" customWidth="1"/>
    <col min="2" max="2" width="60.7109375" style="253" customWidth="1"/>
    <col min="3" max="3" width="6.140625" style="253" customWidth="1"/>
    <col min="4" max="4" width="20.42578125" style="253" customWidth="1"/>
    <col min="5" max="5" width="29.42578125" style="253" customWidth="1"/>
    <col min="6" max="16384" width="9.140625" style="253"/>
  </cols>
  <sheetData>
    <row r="1" spans="2:5" ht="65.25" customHeight="1" x14ac:dyDescent="0.2"/>
    <row r="2" spans="2:5" s="255" customFormat="1" ht="36" customHeight="1" x14ac:dyDescent="0.2">
      <c r="B2" s="374" t="s">
        <v>719</v>
      </c>
      <c r="C2" s="374"/>
      <c r="D2" s="374"/>
      <c r="E2" s="374"/>
    </row>
    <row r="3" spans="2:5" ht="12.75" customHeight="1" x14ac:dyDescent="0.2"/>
    <row r="5" spans="2:5" x14ac:dyDescent="0.2">
      <c r="B5" s="264" t="s">
        <v>69</v>
      </c>
    </row>
    <row r="7" spans="2:5" x14ac:dyDescent="0.2">
      <c r="B7" s="379" t="s">
        <v>717</v>
      </c>
      <c r="C7" s="379"/>
      <c r="D7" s="379"/>
      <c r="E7" s="379"/>
    </row>
    <row r="8" spans="2:5" x14ac:dyDescent="0.2">
      <c r="B8" s="379"/>
      <c r="C8" s="379"/>
      <c r="D8" s="379"/>
      <c r="E8" s="379"/>
    </row>
    <row r="9" spans="2:5" x14ac:dyDescent="0.2">
      <c r="B9" s="379"/>
      <c r="C9" s="379"/>
      <c r="D9" s="379"/>
      <c r="E9" s="379"/>
    </row>
    <row r="10" spans="2:5" ht="26.25" customHeight="1" x14ac:dyDescent="0.2">
      <c r="B10" s="379"/>
      <c r="C10" s="379"/>
      <c r="D10" s="379"/>
      <c r="E10" s="379"/>
    </row>
    <row r="11" spans="2:5" x14ac:dyDescent="0.2">
      <c r="B11" s="265"/>
      <c r="C11" s="265"/>
      <c r="D11" s="265"/>
      <c r="E11" s="265"/>
    </row>
    <row r="12" spans="2:5" x14ac:dyDescent="0.2">
      <c r="B12" s="266" t="s">
        <v>70</v>
      </c>
      <c r="C12" s="265"/>
      <c r="D12" s="265"/>
      <c r="E12" s="265"/>
    </row>
    <row r="13" spans="2:5" x14ac:dyDescent="0.2">
      <c r="B13" s="265"/>
      <c r="C13" s="265"/>
      <c r="D13" s="265"/>
      <c r="E13" s="265"/>
    </row>
    <row r="14" spans="2:5" x14ac:dyDescent="0.2">
      <c r="B14" s="265"/>
      <c r="C14" s="265"/>
      <c r="D14" s="265"/>
      <c r="E14" s="265"/>
    </row>
    <row r="15" spans="2:5" x14ac:dyDescent="0.2">
      <c r="B15" s="264" t="s">
        <v>718</v>
      </c>
      <c r="D15" s="264" t="s">
        <v>72</v>
      </c>
    </row>
    <row r="16" spans="2:5" x14ac:dyDescent="0.2">
      <c r="B16" s="267"/>
      <c r="D16" s="258"/>
    </row>
    <row r="17" spans="2:2" ht="12.75" customHeight="1" x14ac:dyDescent="0.2"/>
    <row r="19" spans="2:2" x14ac:dyDescent="0.2">
      <c r="B19" s="253" t="s">
        <v>644</v>
      </c>
    </row>
    <row r="20" spans="2:2" x14ac:dyDescent="0.2">
      <c r="B20" s="253" t="str">
        <f>Value_Application_Version</f>
        <v>Version 5.2</v>
      </c>
    </row>
  </sheetData>
  <sheetProtection algorithmName="SHA-512" hashValue="1maWSUNADNGD9m6LsGdY2MhcT0FyTb9hzPYtjOtFR06qBIiup+J5NlibQDb/TNxGEYey5UxujKu74yvLFcBq6A==" saltValue="dCUNRbb0fHA1v9iUlxn5Uw==" spinCount="100000" sheet="1" objects="1" scenarios="1"/>
  <mergeCells count="2">
    <mergeCell ref="B2:E2"/>
    <mergeCell ref="B7:E10"/>
  </mergeCells>
  <hyperlinks>
    <hyperlink ref="B12" r:id="rId1" xr:uid="{31F080B0-8E2C-43C0-A77C-93D14170E888}"/>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7E7B-B52B-49C5-9E4D-ABD9F6EE6A47}">
  <sheetPr>
    <tabColor theme="3"/>
  </sheetPr>
  <dimension ref="A1:AY204"/>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42578125" style="253" customWidth="1"/>
    <col min="4" max="4" width="17.140625" style="253" customWidth="1"/>
    <col min="5" max="5" width="29.85546875" style="253" customWidth="1"/>
    <col min="6" max="11" width="19.7109375" style="268" customWidth="1"/>
    <col min="12" max="13" width="11.85546875" style="253" customWidth="1"/>
    <col min="14" max="14" width="17.5703125" style="253" customWidth="1"/>
    <col min="15" max="15" width="17.28515625" style="253" customWidth="1"/>
    <col min="16" max="16" width="10" style="253" customWidth="1"/>
    <col min="17" max="17" width="11" style="253" customWidth="1"/>
    <col min="18" max="18" width="12" style="253" customWidth="1"/>
    <col min="19" max="19" width="11.85546875" style="253" customWidth="1"/>
    <col min="20" max="20" width="10.28515625" style="253" customWidth="1"/>
    <col min="21" max="21" width="12.28515625" style="253" customWidth="1"/>
    <col min="22" max="22" width="13.42578125" style="253" customWidth="1"/>
    <col min="23" max="23" width="9.5703125" style="253" customWidth="1"/>
    <col min="24" max="16384" width="9.140625" style="253"/>
  </cols>
  <sheetData>
    <row r="1" spans="1:51" ht="57.75" customHeight="1" x14ac:dyDescent="0.2"/>
    <row r="2" spans="1:51" s="255" customFormat="1" ht="34.5" customHeight="1" x14ac:dyDescent="0.2">
      <c r="B2" s="374" t="s">
        <v>722</v>
      </c>
      <c r="C2" s="374"/>
      <c r="D2" s="374"/>
      <c r="E2" s="374"/>
      <c r="F2" s="374"/>
      <c r="G2" s="374"/>
      <c r="H2" s="374"/>
      <c r="I2" s="374"/>
      <c r="J2" s="374"/>
      <c r="K2" s="374"/>
      <c r="L2" s="374"/>
      <c r="M2" s="374"/>
      <c r="N2" s="374"/>
      <c r="O2" s="374"/>
      <c r="P2" s="374"/>
      <c r="Q2" s="374"/>
      <c r="R2" s="374"/>
      <c r="S2" s="374"/>
      <c r="T2" s="374"/>
      <c r="U2" s="254"/>
      <c r="V2" s="254"/>
      <c r="W2" s="254"/>
    </row>
    <row r="3" spans="1:51" x14ac:dyDescent="0.2">
      <c r="A3" s="269"/>
      <c r="D3" s="264"/>
      <c r="E3" s="270"/>
      <c r="L3" s="380" t="s">
        <v>31</v>
      </c>
      <c r="M3" s="380"/>
      <c r="N3" s="380"/>
      <c r="O3" s="380"/>
      <c r="P3" s="271" t="s">
        <v>32</v>
      </c>
      <c r="Q3" s="286">
        <f>SUM(Q$5:Q$54)</f>
        <v>0</v>
      </c>
      <c r="R3" s="287">
        <f>SUM(R$5:R$54)</f>
        <v>0</v>
      </c>
      <c r="S3" s="288">
        <f>SUM(S$5:S$54)</f>
        <v>0</v>
      </c>
      <c r="T3" s="289">
        <f>SUM(T$5:T$54)</f>
        <v>0</v>
      </c>
      <c r="U3" s="289">
        <f>SUM(Table_PrescriptLights_Input5[Gross measure cost])</f>
        <v>0</v>
      </c>
      <c r="V3" s="289">
        <f>SUM(V$5:V$54)</f>
        <v>0</v>
      </c>
      <c r="W3" s="287" t="str">
        <f>IFERROR(V3/T3,"")</f>
        <v/>
      </c>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s="245" customFormat="1" ht="38.25" x14ac:dyDescent="0.2">
      <c r="A4" s="292"/>
      <c r="B4" s="293" t="s">
        <v>801</v>
      </c>
      <c r="C4" s="294" t="s">
        <v>723</v>
      </c>
      <c r="D4" s="295" t="s">
        <v>724</v>
      </c>
      <c r="E4" s="294" t="s">
        <v>725</v>
      </c>
      <c r="F4" s="290" t="s">
        <v>726</v>
      </c>
      <c r="G4" s="290" t="s">
        <v>727</v>
      </c>
      <c r="H4" s="290" t="s">
        <v>728</v>
      </c>
      <c r="I4" s="290" t="s">
        <v>729</v>
      </c>
      <c r="J4" s="290" t="s">
        <v>720</v>
      </c>
      <c r="K4" s="290" t="s">
        <v>730</v>
      </c>
      <c r="L4" s="296" t="s">
        <v>731</v>
      </c>
      <c r="M4" s="296" t="s">
        <v>721</v>
      </c>
      <c r="N4" s="297" t="s">
        <v>732</v>
      </c>
      <c r="O4" s="297" t="s">
        <v>733</v>
      </c>
      <c r="P4" s="290" t="s">
        <v>734</v>
      </c>
      <c r="Q4" s="290" t="s">
        <v>735</v>
      </c>
      <c r="R4" s="290" t="s">
        <v>736</v>
      </c>
      <c r="S4" s="290" t="s">
        <v>737</v>
      </c>
      <c r="T4" s="290" t="s">
        <v>738</v>
      </c>
      <c r="U4" s="290" t="s">
        <v>739</v>
      </c>
      <c r="V4" s="290" t="s">
        <v>740</v>
      </c>
      <c r="W4" s="290" t="s">
        <v>741</v>
      </c>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row>
    <row r="5" spans="1:51" x14ac:dyDescent="0.2">
      <c r="A5" s="273"/>
      <c r="B5" s="274">
        <v>1</v>
      </c>
      <c r="C5" s="275" t="str">
        <f>IF(ISBLANK($E5)=TRUE,"",References!$F$12)</f>
        <v/>
      </c>
      <c r="D5" s="298"/>
      <c r="E5" s="299"/>
      <c r="F5" s="276"/>
      <c r="G5" s="276"/>
      <c r="H5" s="276"/>
      <c r="I5" s="277"/>
      <c r="J5" s="278" t="str" cm="1">
        <f t="array" ref="J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 s="279" t="str">
        <f>IF(Table_PrescriptLights_Input5[[#This Row],[Building/space type]]="","",VLOOKUP(Input_BldgType,References!$P$3:$S$41,3,FALSE))</f>
        <v/>
      </c>
      <c r="L5" s="280"/>
      <c r="M5" s="281"/>
      <c r="N5" s="282"/>
      <c r="O5" s="282"/>
      <c r="P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 s="283" t="str">
        <f>IFERROR(Table_PrescriptLights_Input5[[#This Row],[Per-unit incentive]]*((Table_PrescriptLights_Input5[[#This Row],[Baseline LPD (W/ft²)]]*Table_PrescriptLights_Input5[[#This Row],[Interior area (ft²)]])-Table_PrescriptLights_Input5[[#This Row],[Total proposed wattage]]),"")</f>
        <v/>
      </c>
      <c r="R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 s="283" t="str">
        <f>IFERROR(Table_PrescriptLights_Input5[[#This Row],[Energy savings (kWh)]]*Input_AvgkWhRate, "")</f>
        <v/>
      </c>
      <c r="U5" s="283" t="str">
        <f>IF(Table_PrescriptLights_Input5[[#This Row],[LPD method (choose 1)]]="", "",Table_PrescriptLights_Input5[[#This Row],[Total equipment cost]]+Table_PrescriptLights_Input5[[#This Row],[Total labor cost]])</f>
        <v/>
      </c>
      <c r="V5" s="283" t="str">
        <f>IFERROR(Table_PrescriptLights_Input5[[#This Row],[Gross measure cost]]-Table_PrescriptLights_Input5[[#This Row],[Estimated incentive]], "")</f>
        <v/>
      </c>
      <c r="W5" s="284" t="str">
        <f t="shared" ref="W5:W54" si="0">IFERROR($V5/$T5,"")</f>
        <v/>
      </c>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row>
    <row r="6" spans="1:51" x14ac:dyDescent="0.2">
      <c r="A6" s="273"/>
      <c r="B6" s="274">
        <v>2</v>
      </c>
      <c r="C6" s="275" t="str">
        <f>IF(ISBLANK($E6)=TRUE,"",References!$F$12)</f>
        <v/>
      </c>
      <c r="D6" s="298"/>
      <c r="E6" s="299"/>
      <c r="F6" s="276"/>
      <c r="G6" s="276"/>
      <c r="H6" s="276"/>
      <c r="I6" s="277"/>
      <c r="J6" s="278" t="str" cm="1">
        <f t="array" ref="J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6" s="279" t="str">
        <f>IF(Table_PrescriptLights_Input5[[#This Row],[Building/space type]]="","",VLOOKUP(Input_BldgType,References!$P$3:$S$41,3,FALSE))</f>
        <v/>
      </c>
      <c r="L6" s="280"/>
      <c r="M6" s="281"/>
      <c r="N6" s="282"/>
      <c r="O6" s="282"/>
      <c r="P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6" s="283" t="str">
        <f>IFERROR(Table_PrescriptLights_Input5[[#This Row],[Per-unit incentive]]*((Table_PrescriptLights_Input5[[#This Row],[Baseline LPD (W/ft²)]]*Table_PrescriptLights_Input5[[#This Row],[Interior area (ft²)]])-Table_PrescriptLights_Input5[[#This Row],[Total proposed wattage]]),"")</f>
        <v/>
      </c>
      <c r="R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6" s="283" t="str">
        <f>IFERROR(Table_PrescriptLights_Input5[[#This Row],[Energy savings (kWh)]]*Input_AvgkWhRate, "")</f>
        <v/>
      </c>
      <c r="U6" s="283" t="str">
        <f>IF(Table_PrescriptLights_Input5[[#This Row],[LPD method (choose 1)]]="", "",Table_PrescriptLights_Input5[[#This Row],[Total equipment cost]]+Table_PrescriptLights_Input5[[#This Row],[Total labor cost]])</f>
        <v/>
      </c>
      <c r="V6" s="283" t="str">
        <f>IFERROR(Table_PrescriptLights_Input5[[#This Row],[Gross measure cost]]-Table_PrescriptLights_Input5[[#This Row],[Estimated incentive]], "")</f>
        <v/>
      </c>
      <c r="W6" s="284" t="str">
        <f t="shared" si="0"/>
        <v/>
      </c>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1" x14ac:dyDescent="0.2">
      <c r="A7" s="273"/>
      <c r="B7" s="274">
        <v>3</v>
      </c>
      <c r="C7" s="275" t="str">
        <f>IF(ISBLANK($E7)=TRUE,"",References!$F$12)</f>
        <v/>
      </c>
      <c r="D7" s="298"/>
      <c r="E7" s="299"/>
      <c r="F7" s="276"/>
      <c r="G7" s="276"/>
      <c r="H7" s="276"/>
      <c r="I7" s="277"/>
      <c r="J7" s="278" t="str" cm="1">
        <f t="array" ref="J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7" s="279" t="str">
        <f>IF(Table_PrescriptLights_Input5[[#This Row],[Building/space type]]="","",VLOOKUP(Input_BldgType,References!$P$3:$S$41,3,FALSE))</f>
        <v/>
      </c>
      <c r="L7" s="280"/>
      <c r="M7" s="281"/>
      <c r="N7" s="282"/>
      <c r="O7" s="282"/>
      <c r="P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7" s="283" t="str">
        <f>IFERROR(Table_PrescriptLights_Input5[[#This Row],[Per-unit incentive]]*((Table_PrescriptLights_Input5[[#This Row],[Baseline LPD (W/ft²)]]*Table_PrescriptLights_Input5[[#This Row],[Interior area (ft²)]])-Table_PrescriptLights_Input5[[#This Row],[Total proposed wattage]]),"")</f>
        <v/>
      </c>
      <c r="R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7" s="283" t="str">
        <f>IFERROR(Table_PrescriptLights_Input5[[#This Row],[Energy savings (kWh)]]*Input_AvgkWhRate, "")</f>
        <v/>
      </c>
      <c r="U7" s="283" t="str">
        <f>IF(Table_PrescriptLights_Input5[[#This Row],[LPD method (choose 1)]]="", "",Table_PrescriptLights_Input5[[#This Row],[Total equipment cost]]+Table_PrescriptLights_Input5[[#This Row],[Total labor cost]])</f>
        <v/>
      </c>
      <c r="V7" s="283" t="str">
        <f>IFERROR(Table_PrescriptLights_Input5[[#This Row],[Gross measure cost]]-Table_PrescriptLights_Input5[[#This Row],[Estimated incentive]], "")</f>
        <v/>
      </c>
      <c r="W7" s="284" t="str">
        <f t="shared" si="0"/>
        <v/>
      </c>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row>
    <row r="8" spans="1:51" x14ac:dyDescent="0.2">
      <c r="A8" s="273"/>
      <c r="B8" s="274">
        <v>4</v>
      </c>
      <c r="C8" s="275" t="str">
        <f>IF(ISBLANK($E8)=TRUE,"",References!$F$12)</f>
        <v/>
      </c>
      <c r="D8" s="298"/>
      <c r="E8" s="299"/>
      <c r="F8" s="276"/>
      <c r="G8" s="276"/>
      <c r="H8" s="276"/>
      <c r="I8" s="277"/>
      <c r="J8" s="278" t="str" cm="1">
        <f t="array" ref="J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8" s="279" t="str">
        <f>IF(Table_PrescriptLights_Input5[[#This Row],[Building/space type]]="","",VLOOKUP(Input_BldgType,References!$P$3:$S$41,3,FALSE))</f>
        <v/>
      </c>
      <c r="L8" s="280"/>
      <c r="M8" s="281"/>
      <c r="N8" s="282"/>
      <c r="O8" s="282"/>
      <c r="P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8" s="283" t="str">
        <f>IFERROR(Table_PrescriptLights_Input5[[#This Row],[Per-unit incentive]]*((Table_PrescriptLights_Input5[[#This Row],[Baseline LPD (W/ft²)]]*Table_PrescriptLights_Input5[[#This Row],[Interior area (ft²)]])-Table_PrescriptLights_Input5[[#This Row],[Total proposed wattage]]),"")</f>
        <v/>
      </c>
      <c r="R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8" s="283" t="str">
        <f>IFERROR(Table_PrescriptLights_Input5[[#This Row],[Energy savings (kWh)]]*Input_AvgkWhRate, "")</f>
        <v/>
      </c>
      <c r="U8" s="283" t="str">
        <f>IF(Table_PrescriptLights_Input5[[#This Row],[LPD method (choose 1)]]="", "",Table_PrescriptLights_Input5[[#This Row],[Total equipment cost]]+Table_PrescriptLights_Input5[[#This Row],[Total labor cost]])</f>
        <v/>
      </c>
      <c r="V8" s="283" t="str">
        <f>IFERROR(Table_PrescriptLights_Input5[[#This Row],[Gross measure cost]]-Table_PrescriptLights_Input5[[#This Row],[Estimated incentive]], "")</f>
        <v/>
      </c>
      <c r="W8" s="284" t="str">
        <f t="shared" si="0"/>
        <v/>
      </c>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row>
    <row r="9" spans="1:51" x14ac:dyDescent="0.2">
      <c r="A9" s="273"/>
      <c r="B9" s="274">
        <v>5</v>
      </c>
      <c r="C9" s="275" t="str">
        <f>IF(ISBLANK($E9)=TRUE,"",References!$F$12)</f>
        <v/>
      </c>
      <c r="D9" s="298"/>
      <c r="E9" s="299"/>
      <c r="F9" s="276"/>
      <c r="G9" s="276"/>
      <c r="H9" s="276"/>
      <c r="I9" s="277"/>
      <c r="J9" s="278" t="str" cm="1">
        <f t="array" ref="J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9" s="279" t="str">
        <f>IF(Table_PrescriptLights_Input5[[#This Row],[Building/space type]]="","",VLOOKUP(Input_BldgType,References!$P$3:$S$41,3,FALSE))</f>
        <v/>
      </c>
      <c r="L9" s="280"/>
      <c r="M9" s="281"/>
      <c r="N9" s="282"/>
      <c r="O9" s="282"/>
      <c r="P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9" s="283" t="str">
        <f>IFERROR(Table_PrescriptLights_Input5[[#This Row],[Per-unit incentive]]*((Table_PrescriptLights_Input5[[#This Row],[Baseline LPD (W/ft²)]]*Table_PrescriptLights_Input5[[#This Row],[Interior area (ft²)]])-Table_PrescriptLights_Input5[[#This Row],[Total proposed wattage]]),"")</f>
        <v/>
      </c>
      <c r="R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9" s="283" t="str">
        <f>IFERROR(Table_PrescriptLights_Input5[[#This Row],[Energy savings (kWh)]]*Input_AvgkWhRate, "")</f>
        <v/>
      </c>
      <c r="U9" s="283" t="str">
        <f>IF(Table_PrescriptLights_Input5[[#This Row],[LPD method (choose 1)]]="", "",Table_PrescriptLights_Input5[[#This Row],[Total equipment cost]]+Table_PrescriptLights_Input5[[#This Row],[Total labor cost]])</f>
        <v/>
      </c>
      <c r="V9" s="283" t="str">
        <f>IFERROR(Table_PrescriptLights_Input5[[#This Row],[Gross measure cost]]-Table_PrescriptLights_Input5[[#This Row],[Estimated incentive]], "")</f>
        <v/>
      </c>
      <c r="W9" s="284" t="str">
        <f t="shared" si="0"/>
        <v/>
      </c>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row>
    <row r="10" spans="1:51" x14ac:dyDescent="0.2">
      <c r="A10" s="273"/>
      <c r="B10" s="274">
        <v>6</v>
      </c>
      <c r="C10" s="275" t="str">
        <f>IF(ISBLANK($E10)=TRUE,"",References!$F$12)</f>
        <v/>
      </c>
      <c r="D10" s="298"/>
      <c r="E10" s="299"/>
      <c r="F10" s="276"/>
      <c r="G10" s="276"/>
      <c r="H10" s="276"/>
      <c r="I10" s="277"/>
      <c r="J10" s="278" t="str" cm="1">
        <f t="array" ref="J1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0" s="279" t="str">
        <f>IF(Table_PrescriptLights_Input5[[#This Row],[Building/space type]]="","",VLOOKUP(Input_BldgType,References!$P$3:$S$41,3,FALSE))</f>
        <v/>
      </c>
      <c r="L10" s="280"/>
      <c r="M10" s="281"/>
      <c r="N10" s="282"/>
      <c r="O10" s="282"/>
      <c r="P1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0" s="283" t="str">
        <f>IFERROR(Table_PrescriptLights_Input5[[#This Row],[Per-unit incentive]]*((Table_PrescriptLights_Input5[[#This Row],[Baseline LPD (W/ft²)]]*Table_PrescriptLights_Input5[[#This Row],[Interior area (ft²)]])-Table_PrescriptLights_Input5[[#This Row],[Total proposed wattage]]),"")</f>
        <v/>
      </c>
      <c r="R1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0" s="283" t="str">
        <f>IFERROR(Table_PrescriptLights_Input5[[#This Row],[Energy savings (kWh)]]*Input_AvgkWhRate, "")</f>
        <v/>
      </c>
      <c r="U10" s="283" t="str">
        <f>IF(Table_PrescriptLights_Input5[[#This Row],[LPD method (choose 1)]]="", "",Table_PrescriptLights_Input5[[#This Row],[Total equipment cost]]+Table_PrescriptLights_Input5[[#This Row],[Total labor cost]])</f>
        <v/>
      </c>
      <c r="V10" s="283" t="str">
        <f>IFERROR(Table_PrescriptLights_Input5[[#This Row],[Gross measure cost]]-Table_PrescriptLights_Input5[[#This Row],[Estimated incentive]], "")</f>
        <v/>
      </c>
      <c r="W10" s="284" t="str">
        <f t="shared" si="0"/>
        <v/>
      </c>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1:51" x14ac:dyDescent="0.2">
      <c r="A11" s="273"/>
      <c r="B11" s="274">
        <v>7</v>
      </c>
      <c r="C11" s="275" t="str">
        <f>IF(ISBLANK($E11)=TRUE,"",References!$F$12)</f>
        <v/>
      </c>
      <c r="D11" s="298"/>
      <c r="E11" s="299"/>
      <c r="F11" s="276"/>
      <c r="G11" s="276"/>
      <c r="H11" s="276"/>
      <c r="I11" s="277"/>
      <c r="J11" s="278" t="str" cm="1">
        <f t="array" ref="J1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1" s="279" t="str">
        <f>IF(Table_PrescriptLights_Input5[[#This Row],[Building/space type]]="","",VLOOKUP(Input_BldgType,References!$P$3:$S$41,3,FALSE))</f>
        <v/>
      </c>
      <c r="L11" s="280"/>
      <c r="M11" s="281"/>
      <c r="N11" s="282"/>
      <c r="O11" s="282"/>
      <c r="P1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1" s="283" t="str">
        <f>IFERROR(Table_PrescriptLights_Input5[[#This Row],[Per-unit incentive]]*((Table_PrescriptLights_Input5[[#This Row],[Baseline LPD (W/ft²)]]*Table_PrescriptLights_Input5[[#This Row],[Interior area (ft²)]])-Table_PrescriptLights_Input5[[#This Row],[Total proposed wattage]]),"")</f>
        <v/>
      </c>
      <c r="R1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1" s="283" t="str">
        <f>IFERROR(Table_PrescriptLights_Input5[[#This Row],[Energy savings (kWh)]]*Input_AvgkWhRate, "")</f>
        <v/>
      </c>
      <c r="U11" s="283" t="str">
        <f>IF(Table_PrescriptLights_Input5[[#This Row],[LPD method (choose 1)]]="", "",Table_PrescriptLights_Input5[[#This Row],[Total equipment cost]]+Table_PrescriptLights_Input5[[#This Row],[Total labor cost]])</f>
        <v/>
      </c>
      <c r="V11" s="283" t="str">
        <f>IFERROR(Table_PrescriptLights_Input5[[#This Row],[Gross measure cost]]-Table_PrescriptLights_Input5[[#This Row],[Estimated incentive]], "")</f>
        <v/>
      </c>
      <c r="W11" s="284" t="str">
        <f t="shared" si="0"/>
        <v/>
      </c>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row>
    <row r="12" spans="1:51" x14ac:dyDescent="0.2">
      <c r="A12" s="273"/>
      <c r="B12" s="274">
        <v>8</v>
      </c>
      <c r="C12" s="275" t="str">
        <f>IF(ISBLANK($E12)=TRUE,"",References!$F$12)</f>
        <v/>
      </c>
      <c r="D12" s="298"/>
      <c r="E12" s="299"/>
      <c r="F12" s="276"/>
      <c r="G12" s="276"/>
      <c r="H12" s="276"/>
      <c r="I12" s="277"/>
      <c r="J12" s="278" t="str" cm="1">
        <f t="array" ref="J1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2" s="279" t="str">
        <f>IF(Table_PrescriptLights_Input5[[#This Row],[Building/space type]]="","",VLOOKUP(Input_BldgType,References!$P$3:$S$41,3,FALSE))</f>
        <v/>
      </c>
      <c r="L12" s="280"/>
      <c r="M12" s="281" t="str">
        <f>IF(Table_PrescriptLights_Input5[[#This Row],[Total proposed wattage]]="","",Table_PrescriptLights_Input5[[#This Row],[Total proposed wattage]]/Table_PrescriptLights_Input5[[#This Row],[Interior area (ft²)]])</f>
        <v/>
      </c>
      <c r="N12" s="282"/>
      <c r="O12" s="282"/>
      <c r="P1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2" s="283" t="str">
        <f>IFERROR(Table_PrescriptLights_Input5[[#This Row],[Per-unit incentive]]*((Table_PrescriptLights_Input5[[#This Row],[Baseline LPD (W/ft²)]]*Table_PrescriptLights_Input5[[#This Row],[Interior area (ft²)]])-Table_PrescriptLights_Input5[[#This Row],[Total proposed wattage]]),"")</f>
        <v/>
      </c>
      <c r="R1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2" s="283" t="str">
        <f>IFERROR(Table_PrescriptLights_Input5[[#This Row],[Energy savings (kWh)]]*Input_AvgkWhRate, "")</f>
        <v/>
      </c>
      <c r="U12" s="283" t="str">
        <f>IF(Table_PrescriptLights_Input5[[#This Row],[LPD method (choose 1)]]="", "",Table_PrescriptLights_Input5[[#This Row],[Total equipment cost]]+Table_PrescriptLights_Input5[[#This Row],[Total labor cost]])</f>
        <v/>
      </c>
      <c r="V12" s="283" t="str">
        <f>IFERROR(Table_PrescriptLights_Input5[[#This Row],[Gross measure cost]]-Table_PrescriptLights_Input5[[#This Row],[Estimated incentive]], "")</f>
        <v/>
      </c>
      <c r="W12" s="284" t="str">
        <f t="shared" si="0"/>
        <v/>
      </c>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row>
    <row r="13" spans="1:51" x14ac:dyDescent="0.2">
      <c r="A13" s="273"/>
      <c r="B13" s="274">
        <v>9</v>
      </c>
      <c r="C13" s="275" t="str">
        <f>IF(ISBLANK($E13)=TRUE,"",References!$F$12)</f>
        <v/>
      </c>
      <c r="D13" s="298"/>
      <c r="E13" s="299"/>
      <c r="F13" s="276"/>
      <c r="G13" s="276"/>
      <c r="H13" s="276"/>
      <c r="I13" s="277"/>
      <c r="J13" s="278" t="str" cm="1">
        <f t="array" ref="J1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3" s="279" t="str">
        <f>IF(Table_PrescriptLights_Input5[[#This Row],[Building/space type]]="","",VLOOKUP(Input_BldgType,References!$P$3:$S$41,3,FALSE))</f>
        <v/>
      </c>
      <c r="L13" s="280"/>
      <c r="M13" s="281" t="str">
        <f>IF(Table_PrescriptLights_Input5[[#This Row],[Total proposed wattage]]="","",Table_PrescriptLights_Input5[[#This Row],[Total proposed wattage]]/Table_PrescriptLights_Input5[[#This Row],[Interior area (ft²)]])</f>
        <v/>
      </c>
      <c r="N13" s="282"/>
      <c r="O13" s="282"/>
      <c r="P1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3" s="283" t="str">
        <f>IFERROR(Table_PrescriptLights_Input5[[#This Row],[Per-unit incentive]]*((Table_PrescriptLights_Input5[[#This Row],[Baseline LPD (W/ft²)]]*Table_PrescriptLights_Input5[[#This Row],[Interior area (ft²)]])-Table_PrescriptLights_Input5[[#This Row],[Total proposed wattage]]),"")</f>
        <v/>
      </c>
      <c r="R1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3" s="283" t="str">
        <f>IFERROR(Table_PrescriptLights_Input5[[#This Row],[Energy savings (kWh)]]*Input_AvgkWhRate, "")</f>
        <v/>
      </c>
      <c r="U13" s="283" t="str">
        <f>IF(Table_PrescriptLights_Input5[[#This Row],[LPD method (choose 1)]]="", "",Table_PrescriptLights_Input5[[#This Row],[Total equipment cost]]+Table_PrescriptLights_Input5[[#This Row],[Total labor cost]])</f>
        <v/>
      </c>
      <c r="V13" s="283" t="str">
        <f>IFERROR(Table_PrescriptLights_Input5[[#This Row],[Gross measure cost]]-Table_PrescriptLights_Input5[[#This Row],[Estimated incentive]], "")</f>
        <v/>
      </c>
      <c r="W13" s="284" t="str">
        <f t="shared" si="0"/>
        <v/>
      </c>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row>
    <row r="14" spans="1:51" x14ac:dyDescent="0.2">
      <c r="A14" s="273"/>
      <c r="B14" s="274">
        <v>10</v>
      </c>
      <c r="C14" s="275" t="str">
        <f>IF(ISBLANK($E14)=TRUE,"",References!$F$12)</f>
        <v/>
      </c>
      <c r="D14" s="298"/>
      <c r="E14" s="299"/>
      <c r="F14" s="276"/>
      <c r="G14" s="276"/>
      <c r="H14" s="276"/>
      <c r="I14" s="277"/>
      <c r="J14" s="278" t="str" cm="1">
        <f t="array" ref="J1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4" s="279" t="str">
        <f>IF(Table_PrescriptLights_Input5[[#This Row],[Building/space type]]="","",VLOOKUP(Input_BldgType,References!$P$3:$S$41,3,FALSE))</f>
        <v/>
      </c>
      <c r="L14" s="280"/>
      <c r="M14" s="281" t="str">
        <f>IF(Table_PrescriptLights_Input5[[#This Row],[Total proposed wattage]]="","",Table_PrescriptLights_Input5[[#This Row],[Total proposed wattage]]/Table_PrescriptLights_Input5[[#This Row],[Interior area (ft²)]])</f>
        <v/>
      </c>
      <c r="N14" s="282"/>
      <c r="O14" s="282"/>
      <c r="P1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4" s="283" t="str">
        <f>IFERROR(Table_PrescriptLights_Input5[[#This Row],[Per-unit incentive]]*((Table_PrescriptLights_Input5[[#This Row],[Baseline LPD (W/ft²)]]*Table_PrescriptLights_Input5[[#This Row],[Interior area (ft²)]])-Table_PrescriptLights_Input5[[#This Row],[Total proposed wattage]]),"")</f>
        <v/>
      </c>
      <c r="R1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4" s="283" t="str">
        <f>IFERROR(Table_PrescriptLights_Input5[[#This Row],[Energy savings (kWh)]]*Input_AvgkWhRate, "")</f>
        <v/>
      </c>
      <c r="U14" s="283" t="str">
        <f>IF(Table_PrescriptLights_Input5[[#This Row],[LPD method (choose 1)]]="", "",Table_PrescriptLights_Input5[[#This Row],[Total equipment cost]]+Table_PrescriptLights_Input5[[#This Row],[Total labor cost]])</f>
        <v/>
      </c>
      <c r="V14" s="283" t="str">
        <f>IFERROR(Table_PrescriptLights_Input5[[#This Row],[Gross measure cost]]-Table_PrescriptLights_Input5[[#This Row],[Estimated incentive]], "")</f>
        <v/>
      </c>
      <c r="W14" s="284" t="str">
        <f t="shared" si="0"/>
        <v/>
      </c>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row>
    <row r="15" spans="1:51" x14ac:dyDescent="0.2">
      <c r="A15" s="273"/>
      <c r="B15" s="274">
        <v>11</v>
      </c>
      <c r="C15" s="275" t="str">
        <f>IF(ISBLANK($E15)=TRUE,"",References!$F$12)</f>
        <v/>
      </c>
      <c r="D15" s="298"/>
      <c r="E15" s="299"/>
      <c r="F15" s="276"/>
      <c r="G15" s="276"/>
      <c r="H15" s="276"/>
      <c r="I15" s="277"/>
      <c r="J15" s="278" t="str" cm="1">
        <f t="array" ref="J1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5" s="279" t="str">
        <f>IF(Table_PrescriptLights_Input5[[#This Row],[Building/space type]]="","",VLOOKUP(Input_BldgType,References!$P$3:$S$41,3,FALSE))</f>
        <v/>
      </c>
      <c r="L15" s="280"/>
      <c r="M15" s="281" t="str">
        <f>IF(Table_PrescriptLights_Input5[[#This Row],[Total proposed wattage]]="","",Table_PrescriptLights_Input5[[#This Row],[Total proposed wattage]]/Table_PrescriptLights_Input5[[#This Row],[Interior area (ft²)]])</f>
        <v/>
      </c>
      <c r="N15" s="282"/>
      <c r="O15" s="282"/>
      <c r="P1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5" s="283" t="str">
        <f>IFERROR(Table_PrescriptLights_Input5[[#This Row],[Per-unit incentive]]*((Table_PrescriptLights_Input5[[#This Row],[Baseline LPD (W/ft²)]]*Table_PrescriptLights_Input5[[#This Row],[Interior area (ft²)]])-Table_PrescriptLights_Input5[[#This Row],[Total proposed wattage]]),"")</f>
        <v/>
      </c>
      <c r="R1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5" s="283" t="str">
        <f>IFERROR(Table_PrescriptLights_Input5[[#This Row],[Energy savings (kWh)]]*Input_AvgkWhRate, "")</f>
        <v/>
      </c>
      <c r="U15" s="283" t="str">
        <f>IF(Table_PrescriptLights_Input5[[#This Row],[LPD method (choose 1)]]="", "",Table_PrescriptLights_Input5[[#This Row],[Total equipment cost]]+Table_PrescriptLights_Input5[[#This Row],[Total labor cost]])</f>
        <v/>
      </c>
      <c r="V15" s="283" t="str">
        <f>IFERROR(Table_PrescriptLights_Input5[[#This Row],[Gross measure cost]]-Table_PrescriptLights_Input5[[#This Row],[Estimated incentive]], "")</f>
        <v/>
      </c>
      <c r="W15" s="284" t="str">
        <f t="shared" si="0"/>
        <v/>
      </c>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row>
    <row r="16" spans="1:51" x14ac:dyDescent="0.2">
      <c r="A16" s="273"/>
      <c r="B16" s="274">
        <v>12</v>
      </c>
      <c r="C16" s="275" t="str">
        <f>IF(ISBLANK($E16)=TRUE,"",References!$F$12)</f>
        <v/>
      </c>
      <c r="D16" s="298"/>
      <c r="E16" s="299"/>
      <c r="F16" s="276"/>
      <c r="G16" s="276"/>
      <c r="H16" s="276"/>
      <c r="I16" s="277"/>
      <c r="J16" s="278" t="str" cm="1">
        <f t="array" ref="J1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6" s="279" t="str">
        <f>IF(Table_PrescriptLights_Input5[[#This Row],[Building/space type]]="","",VLOOKUP(Input_BldgType,References!$P$3:$S$41,3,FALSE))</f>
        <v/>
      </c>
      <c r="L16" s="280"/>
      <c r="M16" s="281" t="str">
        <f>IF(Table_PrescriptLights_Input5[[#This Row],[Total proposed wattage]]="","",Table_PrescriptLights_Input5[[#This Row],[Total proposed wattage]]/Table_PrescriptLights_Input5[[#This Row],[Interior area (ft²)]])</f>
        <v/>
      </c>
      <c r="N16" s="282"/>
      <c r="O16" s="282"/>
      <c r="P1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6" s="283" t="str">
        <f>IFERROR(Table_PrescriptLights_Input5[[#This Row],[Per-unit incentive]]*((Table_PrescriptLights_Input5[[#This Row],[Baseline LPD (W/ft²)]]*Table_PrescriptLights_Input5[[#This Row],[Interior area (ft²)]])-Table_PrescriptLights_Input5[[#This Row],[Total proposed wattage]]),"")</f>
        <v/>
      </c>
      <c r="R1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6" s="283" t="str">
        <f>IFERROR(Table_PrescriptLights_Input5[[#This Row],[Energy savings (kWh)]]*Input_AvgkWhRate, "")</f>
        <v/>
      </c>
      <c r="U16" s="283" t="str">
        <f>IF(Table_PrescriptLights_Input5[[#This Row],[LPD method (choose 1)]]="", "",Table_PrescriptLights_Input5[[#This Row],[Total equipment cost]]+Table_PrescriptLights_Input5[[#This Row],[Total labor cost]])</f>
        <v/>
      </c>
      <c r="V16" s="283" t="str">
        <f>IFERROR(Table_PrescriptLights_Input5[[#This Row],[Gross measure cost]]-Table_PrescriptLights_Input5[[#This Row],[Estimated incentive]], "")</f>
        <v/>
      </c>
      <c r="W16" s="284" t="str">
        <f t="shared" si="0"/>
        <v/>
      </c>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row>
    <row r="17" spans="1:51" x14ac:dyDescent="0.2">
      <c r="A17" s="273"/>
      <c r="B17" s="274">
        <v>13</v>
      </c>
      <c r="C17" s="275" t="str">
        <f>IF(ISBLANK($E17)=TRUE,"",References!$F$12)</f>
        <v/>
      </c>
      <c r="D17" s="298"/>
      <c r="E17" s="299"/>
      <c r="F17" s="276"/>
      <c r="G17" s="276"/>
      <c r="H17" s="276"/>
      <c r="I17" s="277"/>
      <c r="J17" s="278" t="str" cm="1">
        <f t="array" ref="J1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7" s="279" t="str">
        <f>IF(Table_PrescriptLights_Input5[[#This Row],[Building/space type]]="","",VLOOKUP(Input_BldgType,References!$P$3:$S$41,3,FALSE))</f>
        <v/>
      </c>
      <c r="L17" s="280"/>
      <c r="M17" s="281" t="str">
        <f>IF(Table_PrescriptLights_Input5[[#This Row],[Total proposed wattage]]="","",Table_PrescriptLights_Input5[[#This Row],[Total proposed wattage]]/Table_PrescriptLights_Input5[[#This Row],[Interior area (ft²)]])</f>
        <v/>
      </c>
      <c r="N17" s="282"/>
      <c r="O17" s="282"/>
      <c r="P1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7" s="283" t="str">
        <f>IFERROR(Table_PrescriptLights_Input5[[#This Row],[Per-unit incentive]]*((Table_PrescriptLights_Input5[[#This Row],[Baseline LPD (W/ft²)]]*Table_PrescriptLights_Input5[[#This Row],[Interior area (ft²)]])-Table_PrescriptLights_Input5[[#This Row],[Total proposed wattage]]),"")</f>
        <v/>
      </c>
      <c r="R1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7" s="283" t="str">
        <f>IFERROR(Table_PrescriptLights_Input5[[#This Row],[Energy savings (kWh)]]*Input_AvgkWhRate, "")</f>
        <v/>
      </c>
      <c r="U17" s="283" t="str">
        <f>IF(Table_PrescriptLights_Input5[[#This Row],[LPD method (choose 1)]]="", "",Table_PrescriptLights_Input5[[#This Row],[Total equipment cost]]+Table_PrescriptLights_Input5[[#This Row],[Total labor cost]])</f>
        <v/>
      </c>
      <c r="V17" s="283" t="str">
        <f>IFERROR(Table_PrescriptLights_Input5[[#This Row],[Gross measure cost]]-Table_PrescriptLights_Input5[[#This Row],[Estimated incentive]], "")</f>
        <v/>
      </c>
      <c r="W17" s="284" t="str">
        <f t="shared" si="0"/>
        <v/>
      </c>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row>
    <row r="18" spans="1:51" x14ac:dyDescent="0.2">
      <c r="A18" s="273"/>
      <c r="B18" s="274">
        <v>14</v>
      </c>
      <c r="C18" s="275" t="str">
        <f>IF(ISBLANK($E18)=TRUE,"",References!$F$12)</f>
        <v/>
      </c>
      <c r="D18" s="298"/>
      <c r="E18" s="299"/>
      <c r="F18" s="276"/>
      <c r="G18" s="276"/>
      <c r="H18" s="276"/>
      <c r="I18" s="277"/>
      <c r="J18" s="278" t="str" cm="1">
        <f t="array" ref="J1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8" s="279" t="str">
        <f>IF(Table_PrescriptLights_Input5[[#This Row],[Building/space type]]="","",VLOOKUP(Input_BldgType,References!$P$3:$S$41,3,FALSE))</f>
        <v/>
      </c>
      <c r="L18" s="280"/>
      <c r="M18" s="281" t="str">
        <f>IF(Table_PrescriptLights_Input5[[#This Row],[Total proposed wattage]]="","",Table_PrescriptLights_Input5[[#This Row],[Total proposed wattage]]/Table_PrescriptLights_Input5[[#This Row],[Interior area (ft²)]])</f>
        <v/>
      </c>
      <c r="N18" s="282"/>
      <c r="O18" s="282"/>
      <c r="P1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8" s="283" t="str">
        <f>IFERROR(Table_PrescriptLights_Input5[[#This Row],[Per-unit incentive]]*((Table_PrescriptLights_Input5[[#This Row],[Baseline LPD (W/ft²)]]*Table_PrescriptLights_Input5[[#This Row],[Interior area (ft²)]])-Table_PrescriptLights_Input5[[#This Row],[Total proposed wattage]]),"")</f>
        <v/>
      </c>
      <c r="R1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8" s="283" t="str">
        <f>IFERROR(Table_PrescriptLights_Input5[[#This Row],[Energy savings (kWh)]]*Input_AvgkWhRate, "")</f>
        <v/>
      </c>
      <c r="U18" s="283" t="str">
        <f>IF(Table_PrescriptLights_Input5[[#This Row],[LPD method (choose 1)]]="", "",Table_PrescriptLights_Input5[[#This Row],[Total equipment cost]]+Table_PrescriptLights_Input5[[#This Row],[Total labor cost]])</f>
        <v/>
      </c>
      <c r="V18" s="283" t="str">
        <f>IFERROR(Table_PrescriptLights_Input5[[#This Row],[Gross measure cost]]-Table_PrescriptLights_Input5[[#This Row],[Estimated incentive]], "")</f>
        <v/>
      </c>
      <c r="W18" s="284" t="str">
        <f t="shared" si="0"/>
        <v/>
      </c>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row>
    <row r="19" spans="1:51" x14ac:dyDescent="0.2">
      <c r="A19" s="273"/>
      <c r="B19" s="274">
        <v>15</v>
      </c>
      <c r="C19" s="275" t="str">
        <f>IF(ISBLANK($E19)=TRUE,"",References!$F$12)</f>
        <v/>
      </c>
      <c r="D19" s="298"/>
      <c r="E19" s="299"/>
      <c r="F19" s="276"/>
      <c r="G19" s="276"/>
      <c r="H19" s="276"/>
      <c r="I19" s="277"/>
      <c r="J19" s="278" t="str" cm="1">
        <f t="array" ref="J1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19" s="279" t="str">
        <f>IF(Table_PrescriptLights_Input5[[#This Row],[Building/space type]]="","",VLOOKUP(Input_BldgType,References!$P$3:$S$41,3,FALSE))</f>
        <v/>
      </c>
      <c r="L19" s="280"/>
      <c r="M19" s="281" t="str">
        <f>IF(Table_PrescriptLights_Input5[[#This Row],[Total proposed wattage]]="","",Table_PrescriptLights_Input5[[#This Row],[Total proposed wattage]]/Table_PrescriptLights_Input5[[#This Row],[Interior area (ft²)]])</f>
        <v/>
      </c>
      <c r="N19" s="282"/>
      <c r="O19" s="282"/>
      <c r="P1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19" s="283" t="str">
        <f>IFERROR(Table_PrescriptLights_Input5[[#This Row],[Per-unit incentive]]*((Table_PrescriptLights_Input5[[#This Row],[Baseline LPD (W/ft²)]]*Table_PrescriptLights_Input5[[#This Row],[Interior area (ft²)]])-Table_PrescriptLights_Input5[[#This Row],[Total proposed wattage]]),"")</f>
        <v/>
      </c>
      <c r="R1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1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19" s="283" t="str">
        <f>IFERROR(Table_PrescriptLights_Input5[[#This Row],[Energy savings (kWh)]]*Input_AvgkWhRate, "")</f>
        <v/>
      </c>
      <c r="U19" s="283" t="str">
        <f>IF(Table_PrescriptLights_Input5[[#This Row],[LPD method (choose 1)]]="", "",Table_PrescriptLights_Input5[[#This Row],[Total equipment cost]]+Table_PrescriptLights_Input5[[#This Row],[Total labor cost]])</f>
        <v/>
      </c>
      <c r="V19" s="283" t="str">
        <f>IFERROR(Table_PrescriptLights_Input5[[#This Row],[Gross measure cost]]-Table_PrescriptLights_Input5[[#This Row],[Estimated incentive]], "")</f>
        <v/>
      </c>
      <c r="W19" s="284" t="str">
        <f t="shared" si="0"/>
        <v/>
      </c>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row>
    <row r="20" spans="1:51" x14ac:dyDescent="0.2">
      <c r="A20" s="273"/>
      <c r="B20" s="274">
        <v>16</v>
      </c>
      <c r="C20" s="275" t="str">
        <f>IF(ISBLANK($E20)=TRUE,"",References!$F$12)</f>
        <v/>
      </c>
      <c r="D20" s="298"/>
      <c r="E20" s="299"/>
      <c r="F20" s="276"/>
      <c r="G20" s="276"/>
      <c r="H20" s="276"/>
      <c r="I20" s="277"/>
      <c r="J20" s="278" t="str" cm="1">
        <f t="array" ref="J2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0" s="279" t="str">
        <f>IF(Table_PrescriptLights_Input5[[#This Row],[Building/space type]]="","",VLOOKUP(Input_BldgType,References!$P$3:$S$41,3,FALSE))</f>
        <v/>
      </c>
      <c r="L20" s="280"/>
      <c r="M20" s="281" t="str">
        <f>IF(Table_PrescriptLights_Input5[[#This Row],[Total proposed wattage]]="","",Table_PrescriptLights_Input5[[#This Row],[Total proposed wattage]]/Table_PrescriptLights_Input5[[#This Row],[Interior area (ft²)]])</f>
        <v/>
      </c>
      <c r="N20" s="282"/>
      <c r="O20" s="282"/>
      <c r="P2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0" s="283" t="str">
        <f>IFERROR(Table_PrescriptLights_Input5[[#This Row],[Per-unit incentive]]*((Table_PrescriptLights_Input5[[#This Row],[Baseline LPD (W/ft²)]]*Table_PrescriptLights_Input5[[#This Row],[Interior area (ft²)]])-Table_PrescriptLights_Input5[[#This Row],[Total proposed wattage]]),"")</f>
        <v/>
      </c>
      <c r="R2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0" s="283" t="str">
        <f>IFERROR(Table_PrescriptLights_Input5[[#This Row],[Energy savings (kWh)]]*Input_AvgkWhRate, "")</f>
        <v/>
      </c>
      <c r="U20" s="283" t="str">
        <f>IF(Table_PrescriptLights_Input5[[#This Row],[LPD method (choose 1)]]="", "",Table_PrescriptLights_Input5[[#This Row],[Total equipment cost]]+Table_PrescriptLights_Input5[[#This Row],[Total labor cost]])</f>
        <v/>
      </c>
      <c r="V20" s="283" t="str">
        <f>IFERROR(Table_PrescriptLights_Input5[[#This Row],[Gross measure cost]]-Table_PrescriptLights_Input5[[#This Row],[Estimated incentive]], "")</f>
        <v/>
      </c>
      <c r="W20" s="284" t="str">
        <f t="shared" si="0"/>
        <v/>
      </c>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row>
    <row r="21" spans="1:51" x14ac:dyDescent="0.2">
      <c r="A21" s="273"/>
      <c r="B21" s="274">
        <v>17</v>
      </c>
      <c r="C21" s="275" t="str">
        <f>IF(ISBLANK($E21)=TRUE,"",References!$F$12)</f>
        <v/>
      </c>
      <c r="D21" s="298"/>
      <c r="E21" s="299"/>
      <c r="F21" s="276"/>
      <c r="G21" s="276"/>
      <c r="H21" s="276"/>
      <c r="I21" s="277"/>
      <c r="J21" s="278" t="str" cm="1">
        <f t="array" ref="J2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1" s="279" t="str">
        <f>IF(Table_PrescriptLights_Input5[[#This Row],[Building/space type]]="","",VLOOKUP(Input_BldgType,References!$P$3:$S$41,3,FALSE))</f>
        <v/>
      </c>
      <c r="L21" s="280"/>
      <c r="M21" s="281" t="str">
        <f>IF(Table_PrescriptLights_Input5[[#This Row],[Total proposed wattage]]="","",Table_PrescriptLights_Input5[[#This Row],[Total proposed wattage]]/Table_PrescriptLights_Input5[[#This Row],[Interior area (ft²)]])</f>
        <v/>
      </c>
      <c r="N21" s="282"/>
      <c r="O21" s="282"/>
      <c r="P2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1" s="283" t="str">
        <f>IFERROR(Table_PrescriptLights_Input5[[#This Row],[Per-unit incentive]]*((Table_PrescriptLights_Input5[[#This Row],[Baseline LPD (W/ft²)]]*Table_PrescriptLights_Input5[[#This Row],[Interior area (ft²)]])-Table_PrescriptLights_Input5[[#This Row],[Total proposed wattage]]),"")</f>
        <v/>
      </c>
      <c r="R2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1" s="283" t="str">
        <f>IFERROR(Table_PrescriptLights_Input5[[#This Row],[Energy savings (kWh)]]*Input_AvgkWhRate, "")</f>
        <v/>
      </c>
      <c r="U21" s="283" t="str">
        <f>IF(Table_PrescriptLights_Input5[[#This Row],[LPD method (choose 1)]]="", "",Table_PrescriptLights_Input5[[#This Row],[Total equipment cost]]+Table_PrescriptLights_Input5[[#This Row],[Total labor cost]])</f>
        <v/>
      </c>
      <c r="V21" s="283" t="str">
        <f>IFERROR(Table_PrescriptLights_Input5[[#This Row],[Gross measure cost]]-Table_PrescriptLights_Input5[[#This Row],[Estimated incentive]], "")</f>
        <v/>
      </c>
      <c r="W21" s="284" t="str">
        <f t="shared" si="0"/>
        <v/>
      </c>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row>
    <row r="22" spans="1:51" x14ac:dyDescent="0.2">
      <c r="A22" s="273"/>
      <c r="B22" s="274">
        <v>18</v>
      </c>
      <c r="C22" s="275" t="str">
        <f>IF(ISBLANK($E22)=TRUE,"",References!$F$12)</f>
        <v/>
      </c>
      <c r="D22" s="298"/>
      <c r="E22" s="299"/>
      <c r="F22" s="276"/>
      <c r="G22" s="276"/>
      <c r="H22" s="276"/>
      <c r="I22" s="277"/>
      <c r="J22" s="278" t="str" cm="1">
        <f t="array" ref="J2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2" s="279" t="str">
        <f>IF(Table_PrescriptLights_Input5[[#This Row],[Building/space type]]="","",VLOOKUP(Input_BldgType,References!$P$3:$S$41,3,FALSE))</f>
        <v/>
      </c>
      <c r="L22" s="280"/>
      <c r="M22" s="281" t="str">
        <f>IF(Table_PrescriptLights_Input5[[#This Row],[Total proposed wattage]]="","",Table_PrescriptLights_Input5[[#This Row],[Total proposed wattage]]/Table_PrescriptLights_Input5[[#This Row],[Interior area (ft²)]])</f>
        <v/>
      </c>
      <c r="N22" s="282"/>
      <c r="O22" s="282"/>
      <c r="P2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2" s="283" t="str">
        <f>IFERROR(Table_PrescriptLights_Input5[[#This Row],[Per-unit incentive]]*((Table_PrescriptLights_Input5[[#This Row],[Baseline LPD (W/ft²)]]*Table_PrescriptLights_Input5[[#This Row],[Interior area (ft²)]])-Table_PrescriptLights_Input5[[#This Row],[Total proposed wattage]]),"")</f>
        <v/>
      </c>
      <c r="R2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2" s="283" t="str">
        <f>IFERROR(Table_PrescriptLights_Input5[[#This Row],[Energy savings (kWh)]]*Input_AvgkWhRate, "")</f>
        <v/>
      </c>
      <c r="U22" s="283" t="str">
        <f>IF(Table_PrescriptLights_Input5[[#This Row],[LPD method (choose 1)]]="", "",Table_PrescriptLights_Input5[[#This Row],[Total equipment cost]]+Table_PrescriptLights_Input5[[#This Row],[Total labor cost]])</f>
        <v/>
      </c>
      <c r="V22" s="283" t="str">
        <f>IFERROR(Table_PrescriptLights_Input5[[#This Row],[Gross measure cost]]-Table_PrescriptLights_Input5[[#This Row],[Estimated incentive]], "")</f>
        <v/>
      </c>
      <c r="W22" s="284" t="str">
        <f t="shared" si="0"/>
        <v/>
      </c>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row>
    <row r="23" spans="1:51" x14ac:dyDescent="0.2">
      <c r="A23" s="273"/>
      <c r="B23" s="274">
        <v>19</v>
      </c>
      <c r="C23" s="275" t="str">
        <f>IF(ISBLANK($E23)=TRUE,"",References!$F$12)</f>
        <v/>
      </c>
      <c r="D23" s="298"/>
      <c r="E23" s="299"/>
      <c r="F23" s="276"/>
      <c r="G23" s="276"/>
      <c r="H23" s="276"/>
      <c r="I23" s="277"/>
      <c r="J23" s="278" t="str" cm="1">
        <f t="array" ref="J2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3" s="279" t="str">
        <f>IF(Table_PrescriptLights_Input5[[#This Row],[Building/space type]]="","",VLOOKUP(Input_BldgType,References!$P$3:$S$41,3,FALSE))</f>
        <v/>
      </c>
      <c r="L23" s="280"/>
      <c r="M23" s="281" t="str">
        <f>IF(Table_PrescriptLights_Input5[[#This Row],[Total proposed wattage]]="","",Table_PrescriptLights_Input5[[#This Row],[Total proposed wattage]]/Table_PrescriptLights_Input5[[#This Row],[Interior area (ft²)]])</f>
        <v/>
      </c>
      <c r="N23" s="282"/>
      <c r="O23" s="282"/>
      <c r="P2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3" s="283" t="str">
        <f>IFERROR(Table_PrescriptLights_Input5[[#This Row],[Per-unit incentive]]*((Table_PrescriptLights_Input5[[#This Row],[Baseline LPD (W/ft²)]]*Table_PrescriptLights_Input5[[#This Row],[Interior area (ft²)]])-Table_PrescriptLights_Input5[[#This Row],[Total proposed wattage]]),"")</f>
        <v/>
      </c>
      <c r="R2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3" s="283" t="str">
        <f>IFERROR(Table_PrescriptLights_Input5[[#This Row],[Energy savings (kWh)]]*Input_AvgkWhRate, "")</f>
        <v/>
      </c>
      <c r="U23" s="283" t="str">
        <f>IF(Table_PrescriptLights_Input5[[#This Row],[LPD method (choose 1)]]="", "",Table_PrescriptLights_Input5[[#This Row],[Total equipment cost]]+Table_PrescriptLights_Input5[[#This Row],[Total labor cost]])</f>
        <v/>
      </c>
      <c r="V23" s="283" t="str">
        <f>IFERROR(Table_PrescriptLights_Input5[[#This Row],[Gross measure cost]]-Table_PrescriptLights_Input5[[#This Row],[Estimated incentive]], "")</f>
        <v/>
      </c>
      <c r="W23" s="284" t="str">
        <f t="shared" si="0"/>
        <v/>
      </c>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row>
    <row r="24" spans="1:51" x14ac:dyDescent="0.2">
      <c r="A24" s="273"/>
      <c r="B24" s="274">
        <v>20</v>
      </c>
      <c r="C24" s="275" t="str">
        <f>IF(ISBLANK($E24)=TRUE,"",References!$F$12)</f>
        <v/>
      </c>
      <c r="D24" s="298"/>
      <c r="E24" s="299"/>
      <c r="F24" s="276"/>
      <c r="G24" s="276"/>
      <c r="H24" s="276"/>
      <c r="I24" s="277"/>
      <c r="J24" s="278" t="str" cm="1">
        <f t="array" ref="J2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4" s="279" t="str">
        <f>IF(Table_PrescriptLights_Input5[[#This Row],[Building/space type]]="","",VLOOKUP(Input_BldgType,References!$P$3:$S$41,3,FALSE))</f>
        <v/>
      </c>
      <c r="L24" s="280"/>
      <c r="M24" s="281" t="str">
        <f>IF(Table_PrescriptLights_Input5[[#This Row],[Total proposed wattage]]="","",Table_PrescriptLights_Input5[[#This Row],[Total proposed wattage]]/Table_PrescriptLights_Input5[[#This Row],[Interior area (ft²)]])</f>
        <v/>
      </c>
      <c r="N24" s="282"/>
      <c r="O24" s="282"/>
      <c r="P2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4" s="283" t="str">
        <f>IFERROR(Table_PrescriptLights_Input5[[#This Row],[Per-unit incentive]]*((Table_PrescriptLights_Input5[[#This Row],[Baseline LPD (W/ft²)]]*Table_PrescriptLights_Input5[[#This Row],[Interior area (ft²)]])-Table_PrescriptLights_Input5[[#This Row],[Total proposed wattage]]),"")</f>
        <v/>
      </c>
      <c r="R2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4" s="283" t="str">
        <f>IFERROR(Table_PrescriptLights_Input5[[#This Row],[Energy savings (kWh)]]*Input_AvgkWhRate, "")</f>
        <v/>
      </c>
      <c r="U24" s="283" t="str">
        <f>IF(Table_PrescriptLights_Input5[[#This Row],[LPD method (choose 1)]]="", "",Table_PrescriptLights_Input5[[#This Row],[Total equipment cost]]+Table_PrescriptLights_Input5[[#This Row],[Total labor cost]])</f>
        <v/>
      </c>
      <c r="V24" s="283" t="str">
        <f>IFERROR(Table_PrescriptLights_Input5[[#This Row],[Gross measure cost]]-Table_PrescriptLights_Input5[[#This Row],[Estimated incentive]], "")</f>
        <v/>
      </c>
      <c r="W24" s="284" t="str">
        <f t="shared" si="0"/>
        <v/>
      </c>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row>
    <row r="25" spans="1:51" x14ac:dyDescent="0.2">
      <c r="A25" s="273"/>
      <c r="B25" s="274">
        <v>21</v>
      </c>
      <c r="C25" s="275" t="str">
        <f>IF(ISBLANK($E25)=TRUE,"",References!$F$12)</f>
        <v/>
      </c>
      <c r="D25" s="298"/>
      <c r="E25" s="299"/>
      <c r="F25" s="276"/>
      <c r="G25" s="276"/>
      <c r="H25" s="276"/>
      <c r="I25" s="277"/>
      <c r="J25" s="278" t="str" cm="1">
        <f t="array" ref="J2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5" s="279" t="str">
        <f>IF(Table_PrescriptLights_Input5[[#This Row],[Building/space type]]="","",VLOOKUP(Input_BldgType,References!$P$3:$S$41,3,FALSE))</f>
        <v/>
      </c>
      <c r="L25" s="280"/>
      <c r="M25" s="281" t="str">
        <f>IF(Table_PrescriptLights_Input5[[#This Row],[Total proposed wattage]]="","",Table_PrescriptLights_Input5[[#This Row],[Total proposed wattage]]/Table_PrescriptLights_Input5[[#This Row],[Interior area (ft²)]])</f>
        <v/>
      </c>
      <c r="N25" s="282"/>
      <c r="O25" s="282"/>
      <c r="P2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5" s="283" t="str">
        <f>IFERROR(Table_PrescriptLights_Input5[[#This Row],[Per-unit incentive]]*((Table_PrescriptLights_Input5[[#This Row],[Baseline LPD (W/ft²)]]*Table_PrescriptLights_Input5[[#This Row],[Interior area (ft²)]])-Table_PrescriptLights_Input5[[#This Row],[Total proposed wattage]]),"")</f>
        <v/>
      </c>
      <c r="R2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5" s="283" t="str">
        <f>IFERROR(Table_PrescriptLights_Input5[[#This Row],[Energy savings (kWh)]]*Input_AvgkWhRate, "")</f>
        <v/>
      </c>
      <c r="U25" s="283" t="str">
        <f>IF(Table_PrescriptLights_Input5[[#This Row],[LPD method (choose 1)]]="", "",Table_PrescriptLights_Input5[[#This Row],[Total equipment cost]]+Table_PrescriptLights_Input5[[#This Row],[Total labor cost]])</f>
        <v/>
      </c>
      <c r="V25" s="283" t="str">
        <f>IFERROR(Table_PrescriptLights_Input5[[#This Row],[Gross measure cost]]-Table_PrescriptLights_Input5[[#This Row],[Estimated incentive]], "")</f>
        <v/>
      </c>
      <c r="W25" s="284" t="str">
        <f t="shared" si="0"/>
        <v/>
      </c>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row>
    <row r="26" spans="1:51" x14ac:dyDescent="0.2">
      <c r="A26" s="273"/>
      <c r="B26" s="274">
        <v>22</v>
      </c>
      <c r="C26" s="275" t="str">
        <f>IF(ISBLANK($E26)=TRUE,"",References!$F$12)</f>
        <v/>
      </c>
      <c r="D26" s="298"/>
      <c r="E26" s="299"/>
      <c r="F26" s="276"/>
      <c r="G26" s="276"/>
      <c r="H26" s="276"/>
      <c r="I26" s="277"/>
      <c r="J26" s="278" t="str" cm="1">
        <f t="array" ref="J2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6" s="279" t="str">
        <f>IF(Table_PrescriptLights_Input5[[#This Row],[Building/space type]]="","",VLOOKUP(Input_BldgType,References!$P$3:$S$41,3,FALSE))</f>
        <v/>
      </c>
      <c r="L26" s="280"/>
      <c r="M26" s="281" t="str">
        <f>IF(Table_PrescriptLights_Input5[[#This Row],[Total proposed wattage]]="","",Table_PrescriptLights_Input5[[#This Row],[Total proposed wattage]]/Table_PrescriptLights_Input5[[#This Row],[Interior area (ft²)]])</f>
        <v/>
      </c>
      <c r="N26" s="282"/>
      <c r="O26" s="282"/>
      <c r="P2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6" s="283" t="str">
        <f>IFERROR(Table_PrescriptLights_Input5[[#This Row],[Per-unit incentive]]*((Table_PrescriptLights_Input5[[#This Row],[Baseline LPD (W/ft²)]]*Table_PrescriptLights_Input5[[#This Row],[Interior area (ft²)]])-Table_PrescriptLights_Input5[[#This Row],[Total proposed wattage]]),"")</f>
        <v/>
      </c>
      <c r="R2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6" s="283" t="str">
        <f>IFERROR(Table_PrescriptLights_Input5[[#This Row],[Energy savings (kWh)]]*Input_AvgkWhRate, "")</f>
        <v/>
      </c>
      <c r="U26" s="283" t="str">
        <f>IF(Table_PrescriptLights_Input5[[#This Row],[LPD method (choose 1)]]="", "",Table_PrescriptLights_Input5[[#This Row],[Total equipment cost]]+Table_PrescriptLights_Input5[[#This Row],[Total labor cost]])</f>
        <v/>
      </c>
      <c r="V26" s="283" t="str">
        <f>IFERROR(Table_PrescriptLights_Input5[[#This Row],[Gross measure cost]]-Table_PrescriptLights_Input5[[#This Row],[Estimated incentive]], "")</f>
        <v/>
      </c>
      <c r="W26" s="284" t="str">
        <f t="shared" si="0"/>
        <v/>
      </c>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row>
    <row r="27" spans="1:51" x14ac:dyDescent="0.2">
      <c r="A27" s="273"/>
      <c r="B27" s="274">
        <v>23</v>
      </c>
      <c r="C27" s="275" t="str">
        <f>IF(ISBLANK($E27)=TRUE,"",References!$F$12)</f>
        <v/>
      </c>
      <c r="D27" s="298"/>
      <c r="E27" s="299"/>
      <c r="F27" s="276"/>
      <c r="G27" s="276"/>
      <c r="H27" s="276"/>
      <c r="I27" s="277"/>
      <c r="J27" s="278" t="str" cm="1">
        <f t="array" ref="J2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7" s="279" t="str">
        <f>IF(Table_PrescriptLights_Input5[[#This Row],[Building/space type]]="","",VLOOKUP(Input_BldgType,References!$P$3:$S$41,3,FALSE))</f>
        <v/>
      </c>
      <c r="L27" s="280"/>
      <c r="M27" s="281" t="str">
        <f>IF(Table_PrescriptLights_Input5[[#This Row],[Total proposed wattage]]="","",Table_PrescriptLights_Input5[[#This Row],[Total proposed wattage]]/Table_PrescriptLights_Input5[[#This Row],[Interior area (ft²)]])</f>
        <v/>
      </c>
      <c r="N27" s="282"/>
      <c r="O27" s="282"/>
      <c r="P2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7" s="283" t="str">
        <f>IFERROR(Table_PrescriptLights_Input5[[#This Row],[Per-unit incentive]]*((Table_PrescriptLights_Input5[[#This Row],[Baseline LPD (W/ft²)]]*Table_PrescriptLights_Input5[[#This Row],[Interior area (ft²)]])-Table_PrescriptLights_Input5[[#This Row],[Total proposed wattage]]),"")</f>
        <v/>
      </c>
      <c r="R2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7" s="283" t="str">
        <f>IFERROR(Table_PrescriptLights_Input5[[#This Row],[Energy savings (kWh)]]*Input_AvgkWhRate, "")</f>
        <v/>
      </c>
      <c r="U27" s="283" t="str">
        <f>IF(Table_PrescriptLights_Input5[[#This Row],[LPD method (choose 1)]]="", "",Table_PrescriptLights_Input5[[#This Row],[Total equipment cost]]+Table_PrescriptLights_Input5[[#This Row],[Total labor cost]])</f>
        <v/>
      </c>
      <c r="V27" s="283" t="str">
        <f>IFERROR(Table_PrescriptLights_Input5[[#This Row],[Gross measure cost]]-Table_PrescriptLights_Input5[[#This Row],[Estimated incentive]], "")</f>
        <v/>
      </c>
      <c r="W27" s="284" t="str">
        <f t="shared" si="0"/>
        <v/>
      </c>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row>
    <row r="28" spans="1:51" x14ac:dyDescent="0.2">
      <c r="A28" s="273"/>
      <c r="B28" s="274">
        <v>24</v>
      </c>
      <c r="C28" s="275" t="str">
        <f>IF(ISBLANK($E28)=TRUE,"",References!$F$12)</f>
        <v/>
      </c>
      <c r="D28" s="298"/>
      <c r="E28" s="299"/>
      <c r="F28" s="276"/>
      <c r="G28" s="276"/>
      <c r="H28" s="276"/>
      <c r="I28" s="277"/>
      <c r="J28" s="278" t="str" cm="1">
        <f t="array" ref="J2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8" s="279" t="str">
        <f>IF(Table_PrescriptLights_Input5[[#This Row],[Building/space type]]="","",VLOOKUP(Input_BldgType,References!$P$3:$S$41,3,FALSE))</f>
        <v/>
      </c>
      <c r="L28" s="280"/>
      <c r="M28" s="281" t="str">
        <f>IF(Table_PrescriptLights_Input5[[#This Row],[Total proposed wattage]]="","",Table_PrescriptLights_Input5[[#This Row],[Total proposed wattage]]/Table_PrescriptLights_Input5[[#This Row],[Interior area (ft²)]])</f>
        <v/>
      </c>
      <c r="N28" s="282"/>
      <c r="O28" s="282"/>
      <c r="P2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8" s="283" t="str">
        <f>IFERROR(Table_PrescriptLights_Input5[[#This Row],[Per-unit incentive]]*((Table_PrescriptLights_Input5[[#This Row],[Baseline LPD (W/ft²)]]*Table_PrescriptLights_Input5[[#This Row],[Interior area (ft²)]])-Table_PrescriptLights_Input5[[#This Row],[Total proposed wattage]]),"")</f>
        <v/>
      </c>
      <c r="R2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8" s="283" t="str">
        <f>IFERROR(Table_PrescriptLights_Input5[[#This Row],[Energy savings (kWh)]]*Input_AvgkWhRate, "")</f>
        <v/>
      </c>
      <c r="U28" s="283" t="str">
        <f>IF(Table_PrescriptLights_Input5[[#This Row],[LPD method (choose 1)]]="", "",Table_PrescriptLights_Input5[[#This Row],[Total equipment cost]]+Table_PrescriptLights_Input5[[#This Row],[Total labor cost]])</f>
        <v/>
      </c>
      <c r="V28" s="283" t="str">
        <f>IFERROR(Table_PrescriptLights_Input5[[#This Row],[Gross measure cost]]-Table_PrescriptLights_Input5[[#This Row],[Estimated incentive]], "")</f>
        <v/>
      </c>
      <c r="W28" s="284" t="str">
        <f t="shared" si="0"/>
        <v/>
      </c>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row>
    <row r="29" spans="1:51" x14ac:dyDescent="0.2">
      <c r="A29" s="273"/>
      <c r="B29" s="274">
        <v>25</v>
      </c>
      <c r="C29" s="275" t="str">
        <f>IF(ISBLANK($E29)=TRUE,"",References!$F$12)</f>
        <v/>
      </c>
      <c r="D29" s="298"/>
      <c r="E29" s="299"/>
      <c r="F29" s="276"/>
      <c r="G29" s="276"/>
      <c r="H29" s="276"/>
      <c r="I29" s="277"/>
      <c r="J29" s="278" t="str" cm="1">
        <f t="array" ref="J2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29" s="279" t="str">
        <f>IF(Table_PrescriptLights_Input5[[#This Row],[Building/space type]]="","",VLOOKUP(Input_BldgType,References!$P$3:$S$41,3,FALSE))</f>
        <v/>
      </c>
      <c r="L29" s="280"/>
      <c r="M29" s="281" t="str">
        <f>IF(Table_PrescriptLights_Input5[[#This Row],[Total proposed wattage]]="","",Table_PrescriptLights_Input5[[#This Row],[Total proposed wattage]]/Table_PrescriptLights_Input5[[#This Row],[Interior area (ft²)]])</f>
        <v/>
      </c>
      <c r="N29" s="282"/>
      <c r="O29" s="282"/>
      <c r="P2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29" s="283" t="str">
        <f>IFERROR(Table_PrescriptLights_Input5[[#This Row],[Per-unit incentive]]*((Table_PrescriptLights_Input5[[#This Row],[Baseline LPD (W/ft²)]]*Table_PrescriptLights_Input5[[#This Row],[Interior area (ft²)]])-Table_PrescriptLights_Input5[[#This Row],[Total proposed wattage]]),"")</f>
        <v/>
      </c>
      <c r="R2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2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29" s="283" t="str">
        <f>IFERROR(Table_PrescriptLights_Input5[[#This Row],[Energy savings (kWh)]]*Input_AvgkWhRate, "")</f>
        <v/>
      </c>
      <c r="U29" s="283" t="str">
        <f>IF(Table_PrescriptLights_Input5[[#This Row],[LPD method (choose 1)]]="", "",Table_PrescriptLights_Input5[[#This Row],[Total equipment cost]]+Table_PrescriptLights_Input5[[#This Row],[Total labor cost]])</f>
        <v/>
      </c>
      <c r="V29" s="283" t="str">
        <f>IFERROR(Table_PrescriptLights_Input5[[#This Row],[Gross measure cost]]-Table_PrescriptLights_Input5[[#This Row],[Estimated incentive]], "")</f>
        <v/>
      </c>
      <c r="W29" s="284" t="str">
        <f t="shared" si="0"/>
        <v/>
      </c>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row>
    <row r="30" spans="1:51" x14ac:dyDescent="0.2">
      <c r="A30" s="273"/>
      <c r="B30" s="274">
        <v>26</v>
      </c>
      <c r="C30" s="275" t="str">
        <f>IF(ISBLANK($E30)=TRUE,"",References!$F$12)</f>
        <v/>
      </c>
      <c r="D30" s="298"/>
      <c r="E30" s="299"/>
      <c r="F30" s="276"/>
      <c r="G30" s="276"/>
      <c r="H30" s="276"/>
      <c r="I30" s="277"/>
      <c r="J30" s="278" t="str" cm="1">
        <f t="array" ref="J3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0" s="279" t="str">
        <f>IF(Table_PrescriptLights_Input5[[#This Row],[Building/space type]]="","",VLOOKUP(Input_BldgType,References!$P$3:$S$41,3,FALSE))</f>
        <v/>
      </c>
      <c r="L30" s="280"/>
      <c r="M30" s="281" t="str">
        <f>IF(Table_PrescriptLights_Input5[[#This Row],[Total proposed wattage]]="","",Table_PrescriptLights_Input5[[#This Row],[Total proposed wattage]]/Table_PrescriptLights_Input5[[#This Row],[Interior area (ft²)]])</f>
        <v/>
      </c>
      <c r="N30" s="282"/>
      <c r="O30" s="282"/>
      <c r="P3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0" s="283" t="str">
        <f>IFERROR(Table_PrescriptLights_Input5[[#This Row],[Per-unit incentive]]*((Table_PrescriptLights_Input5[[#This Row],[Baseline LPD (W/ft²)]]*Table_PrescriptLights_Input5[[#This Row],[Interior area (ft²)]])-Table_PrescriptLights_Input5[[#This Row],[Total proposed wattage]]),"")</f>
        <v/>
      </c>
      <c r="R3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0" s="283" t="str">
        <f>IFERROR(Table_PrescriptLights_Input5[[#This Row],[Energy savings (kWh)]]*Input_AvgkWhRate, "")</f>
        <v/>
      </c>
      <c r="U30" s="283" t="str">
        <f>IF(Table_PrescriptLights_Input5[[#This Row],[LPD method (choose 1)]]="", "",Table_PrescriptLights_Input5[[#This Row],[Total equipment cost]]+Table_PrescriptLights_Input5[[#This Row],[Total labor cost]])</f>
        <v/>
      </c>
      <c r="V30" s="283" t="str">
        <f>IFERROR(Table_PrescriptLights_Input5[[#This Row],[Gross measure cost]]-Table_PrescriptLights_Input5[[#This Row],[Estimated incentive]], "")</f>
        <v/>
      </c>
      <c r="W30" s="284" t="str">
        <f t="shared" si="0"/>
        <v/>
      </c>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row>
    <row r="31" spans="1:51" x14ac:dyDescent="0.2">
      <c r="A31" s="269"/>
      <c r="B31" s="274">
        <v>27</v>
      </c>
      <c r="C31" s="275" t="str">
        <f>IF(ISBLANK($E31)=TRUE,"",References!$F$12)</f>
        <v/>
      </c>
      <c r="D31" s="298"/>
      <c r="E31" s="299"/>
      <c r="F31" s="276"/>
      <c r="G31" s="276"/>
      <c r="H31" s="276"/>
      <c r="I31" s="277"/>
      <c r="J31" s="278" t="str" cm="1">
        <f t="array" ref="J3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1" s="279" t="str">
        <f>IF(Table_PrescriptLights_Input5[[#This Row],[Building/space type]]="","",VLOOKUP(Input_BldgType,References!$P$3:$S$41,3,FALSE))</f>
        <v/>
      </c>
      <c r="L31" s="280"/>
      <c r="M31" s="281" t="str">
        <f>IF(Table_PrescriptLights_Input5[[#This Row],[Total proposed wattage]]="","",Table_PrescriptLights_Input5[[#This Row],[Total proposed wattage]]/Table_PrescriptLights_Input5[[#This Row],[Interior area (ft²)]])</f>
        <v/>
      </c>
      <c r="N31" s="282"/>
      <c r="O31" s="282"/>
      <c r="P3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1" s="283" t="str">
        <f>IFERROR(Table_PrescriptLights_Input5[[#This Row],[Per-unit incentive]]*((Table_PrescriptLights_Input5[[#This Row],[Baseline LPD (W/ft²)]]*Table_PrescriptLights_Input5[[#This Row],[Interior area (ft²)]])-Table_PrescriptLights_Input5[[#This Row],[Total proposed wattage]]),"")</f>
        <v/>
      </c>
      <c r="R3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1" s="283" t="str">
        <f>IFERROR(Table_PrescriptLights_Input5[[#This Row],[Energy savings (kWh)]]*Input_AvgkWhRate, "")</f>
        <v/>
      </c>
      <c r="U31" s="283" t="str">
        <f>IF(Table_PrescriptLights_Input5[[#This Row],[LPD method (choose 1)]]="", "",Table_PrescriptLights_Input5[[#This Row],[Total equipment cost]]+Table_PrescriptLights_Input5[[#This Row],[Total labor cost]])</f>
        <v/>
      </c>
      <c r="V31" s="283" t="str">
        <f>IFERROR(Table_PrescriptLights_Input5[[#This Row],[Gross measure cost]]-Table_PrescriptLights_Input5[[#This Row],[Estimated incentive]], "")</f>
        <v/>
      </c>
      <c r="W31" s="284" t="str">
        <f t="shared" si="0"/>
        <v/>
      </c>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row>
    <row r="32" spans="1:51" x14ac:dyDescent="0.2">
      <c r="A32" s="269"/>
      <c r="B32" s="274">
        <v>28</v>
      </c>
      <c r="C32" s="275" t="str">
        <f>IF(ISBLANK($E32)=TRUE,"",References!$F$12)</f>
        <v/>
      </c>
      <c r="D32" s="298"/>
      <c r="E32" s="299"/>
      <c r="F32" s="276"/>
      <c r="G32" s="276"/>
      <c r="H32" s="276"/>
      <c r="I32" s="277"/>
      <c r="J32" s="278" t="str" cm="1">
        <f t="array" ref="J3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2" s="279" t="str">
        <f>IF(Table_PrescriptLights_Input5[[#This Row],[Building/space type]]="","",VLOOKUP(Input_BldgType,References!$P$3:$S$41,3,FALSE))</f>
        <v/>
      </c>
      <c r="L32" s="280"/>
      <c r="M32" s="281" t="str">
        <f>IF(Table_PrescriptLights_Input5[[#This Row],[Total proposed wattage]]="","",Table_PrescriptLights_Input5[[#This Row],[Total proposed wattage]]/Table_PrescriptLights_Input5[[#This Row],[Interior area (ft²)]])</f>
        <v/>
      </c>
      <c r="N32" s="282"/>
      <c r="O32" s="282"/>
      <c r="P3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2" s="283" t="str">
        <f>IFERROR(Table_PrescriptLights_Input5[[#This Row],[Per-unit incentive]]*((Table_PrescriptLights_Input5[[#This Row],[Baseline LPD (W/ft²)]]*Table_PrescriptLights_Input5[[#This Row],[Interior area (ft²)]])-Table_PrescriptLights_Input5[[#This Row],[Total proposed wattage]]),"")</f>
        <v/>
      </c>
      <c r="R3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2" s="283" t="str">
        <f>IFERROR(Table_PrescriptLights_Input5[[#This Row],[Energy savings (kWh)]]*Input_AvgkWhRate, "")</f>
        <v/>
      </c>
      <c r="U32" s="283" t="str">
        <f>IF(Table_PrescriptLights_Input5[[#This Row],[LPD method (choose 1)]]="", "",Table_PrescriptLights_Input5[[#This Row],[Total equipment cost]]+Table_PrescriptLights_Input5[[#This Row],[Total labor cost]])</f>
        <v/>
      </c>
      <c r="V32" s="283" t="str">
        <f>IFERROR(Table_PrescriptLights_Input5[[#This Row],[Gross measure cost]]-Table_PrescriptLights_Input5[[#This Row],[Estimated incentive]], "")</f>
        <v/>
      </c>
      <c r="W32" s="284" t="str">
        <f t="shared" si="0"/>
        <v/>
      </c>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row>
    <row r="33" spans="1:51" x14ac:dyDescent="0.2">
      <c r="A33" s="269"/>
      <c r="B33" s="274">
        <v>29</v>
      </c>
      <c r="C33" s="275" t="str">
        <f>IF(ISBLANK($E33)=TRUE,"",References!$F$12)</f>
        <v/>
      </c>
      <c r="D33" s="298"/>
      <c r="E33" s="299"/>
      <c r="F33" s="276"/>
      <c r="G33" s="276"/>
      <c r="H33" s="276"/>
      <c r="I33" s="277"/>
      <c r="J33" s="278" t="str" cm="1">
        <f t="array" ref="J3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3" s="279" t="str">
        <f>IF(Table_PrescriptLights_Input5[[#This Row],[Building/space type]]="","",VLOOKUP(Input_BldgType,References!$P$3:$S$41,3,FALSE))</f>
        <v/>
      </c>
      <c r="L33" s="280"/>
      <c r="M33" s="281" t="str">
        <f>IF(Table_PrescriptLights_Input5[[#This Row],[Total proposed wattage]]="","",Table_PrescriptLights_Input5[[#This Row],[Total proposed wattage]]/Table_PrescriptLights_Input5[[#This Row],[Interior area (ft²)]])</f>
        <v/>
      </c>
      <c r="N33" s="282"/>
      <c r="O33" s="282"/>
      <c r="P3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3" s="283" t="str">
        <f>IFERROR(Table_PrescriptLights_Input5[[#This Row],[Per-unit incentive]]*((Table_PrescriptLights_Input5[[#This Row],[Baseline LPD (W/ft²)]]*Table_PrescriptLights_Input5[[#This Row],[Interior area (ft²)]])-Table_PrescriptLights_Input5[[#This Row],[Total proposed wattage]]),"")</f>
        <v/>
      </c>
      <c r="R3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3" s="283" t="str">
        <f>IFERROR(Table_PrescriptLights_Input5[[#This Row],[Energy savings (kWh)]]*Input_AvgkWhRate, "")</f>
        <v/>
      </c>
      <c r="U33" s="283" t="str">
        <f>IF(Table_PrescriptLights_Input5[[#This Row],[LPD method (choose 1)]]="", "",Table_PrescriptLights_Input5[[#This Row],[Total equipment cost]]+Table_PrescriptLights_Input5[[#This Row],[Total labor cost]])</f>
        <v/>
      </c>
      <c r="V33" s="283" t="str">
        <f>IFERROR(Table_PrescriptLights_Input5[[#This Row],[Gross measure cost]]-Table_PrescriptLights_Input5[[#This Row],[Estimated incentive]], "")</f>
        <v/>
      </c>
      <c r="W33" s="284" t="str">
        <f t="shared" si="0"/>
        <v/>
      </c>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row>
    <row r="34" spans="1:51" x14ac:dyDescent="0.2">
      <c r="A34" s="269"/>
      <c r="B34" s="274">
        <v>30</v>
      </c>
      <c r="C34" s="275" t="str">
        <f>IF(ISBLANK($E34)=TRUE,"",References!$F$12)</f>
        <v/>
      </c>
      <c r="D34" s="298"/>
      <c r="E34" s="299"/>
      <c r="F34" s="276"/>
      <c r="G34" s="276"/>
      <c r="H34" s="276"/>
      <c r="I34" s="277"/>
      <c r="J34" s="278" t="str" cm="1">
        <f t="array" ref="J3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4" s="279" t="str">
        <f>IF(Table_PrescriptLights_Input5[[#This Row],[Building/space type]]="","",VLOOKUP(Input_BldgType,References!$P$3:$S$41,3,FALSE))</f>
        <v/>
      </c>
      <c r="L34" s="280"/>
      <c r="M34" s="281" t="str">
        <f>IF(Table_PrescriptLights_Input5[[#This Row],[Total proposed wattage]]="","",Table_PrescriptLights_Input5[[#This Row],[Total proposed wattage]]/Table_PrescriptLights_Input5[[#This Row],[Interior area (ft²)]])</f>
        <v/>
      </c>
      <c r="N34" s="282"/>
      <c r="O34" s="282"/>
      <c r="P3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4" s="283" t="str">
        <f>IFERROR(Table_PrescriptLights_Input5[[#This Row],[Per-unit incentive]]*((Table_PrescriptLights_Input5[[#This Row],[Baseline LPD (W/ft²)]]*Table_PrescriptLights_Input5[[#This Row],[Interior area (ft²)]])-Table_PrescriptLights_Input5[[#This Row],[Total proposed wattage]]),"")</f>
        <v/>
      </c>
      <c r="R3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4" s="283" t="str">
        <f>IFERROR(Table_PrescriptLights_Input5[[#This Row],[Energy savings (kWh)]]*Input_AvgkWhRate, "")</f>
        <v/>
      </c>
      <c r="U34" s="283" t="str">
        <f>IF(Table_PrescriptLights_Input5[[#This Row],[LPD method (choose 1)]]="", "",Table_PrescriptLights_Input5[[#This Row],[Total equipment cost]]+Table_PrescriptLights_Input5[[#This Row],[Total labor cost]])</f>
        <v/>
      </c>
      <c r="V34" s="283" t="str">
        <f>IFERROR(Table_PrescriptLights_Input5[[#This Row],[Gross measure cost]]-Table_PrescriptLights_Input5[[#This Row],[Estimated incentive]], "")</f>
        <v/>
      </c>
      <c r="W34" s="284" t="str">
        <f t="shared" si="0"/>
        <v/>
      </c>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row>
    <row r="35" spans="1:51" x14ac:dyDescent="0.2">
      <c r="A35" s="269"/>
      <c r="B35" s="274">
        <v>31</v>
      </c>
      <c r="C35" s="275" t="str">
        <f>IF(ISBLANK($E35)=TRUE,"",References!$F$12)</f>
        <v/>
      </c>
      <c r="D35" s="298"/>
      <c r="E35" s="299"/>
      <c r="F35" s="276"/>
      <c r="G35" s="276"/>
      <c r="H35" s="276"/>
      <c r="I35" s="277"/>
      <c r="J35" s="278" t="str" cm="1">
        <f t="array" ref="J3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5" s="279" t="str">
        <f>IF(Table_PrescriptLights_Input5[[#This Row],[Building/space type]]="","",VLOOKUP(Input_BldgType,References!$P$3:$S$41,3,FALSE))</f>
        <v/>
      </c>
      <c r="L35" s="280"/>
      <c r="M35" s="281" t="str">
        <f>IF(Table_PrescriptLights_Input5[[#This Row],[Total proposed wattage]]="","",Table_PrescriptLights_Input5[[#This Row],[Total proposed wattage]]/Table_PrescriptLights_Input5[[#This Row],[Interior area (ft²)]])</f>
        <v/>
      </c>
      <c r="N35" s="282"/>
      <c r="O35" s="282"/>
      <c r="P3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5" s="283" t="str">
        <f>IFERROR(Table_PrescriptLights_Input5[[#This Row],[Per-unit incentive]]*((Table_PrescriptLights_Input5[[#This Row],[Baseline LPD (W/ft²)]]*Table_PrescriptLights_Input5[[#This Row],[Interior area (ft²)]])-Table_PrescriptLights_Input5[[#This Row],[Total proposed wattage]]),"")</f>
        <v/>
      </c>
      <c r="R3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5" s="283" t="str">
        <f>IFERROR(Table_PrescriptLights_Input5[[#This Row],[Energy savings (kWh)]]*Input_AvgkWhRate, "")</f>
        <v/>
      </c>
      <c r="U35" s="283" t="str">
        <f>IF(Table_PrescriptLights_Input5[[#This Row],[LPD method (choose 1)]]="", "",Table_PrescriptLights_Input5[[#This Row],[Total equipment cost]]+Table_PrescriptLights_Input5[[#This Row],[Total labor cost]])</f>
        <v/>
      </c>
      <c r="V35" s="283" t="str">
        <f>IFERROR(Table_PrescriptLights_Input5[[#This Row],[Gross measure cost]]-Table_PrescriptLights_Input5[[#This Row],[Estimated incentive]], "")</f>
        <v/>
      </c>
      <c r="W35" s="284" t="str">
        <f t="shared" si="0"/>
        <v/>
      </c>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row>
    <row r="36" spans="1:51" x14ac:dyDescent="0.2">
      <c r="A36" s="269"/>
      <c r="B36" s="274">
        <v>32</v>
      </c>
      <c r="C36" s="275" t="str">
        <f>IF(ISBLANK($E36)=TRUE,"",References!$F$12)</f>
        <v/>
      </c>
      <c r="D36" s="298"/>
      <c r="E36" s="299"/>
      <c r="F36" s="276"/>
      <c r="G36" s="276"/>
      <c r="H36" s="276"/>
      <c r="I36" s="277"/>
      <c r="J36" s="278" t="str" cm="1">
        <f t="array" ref="J3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6" s="279" t="str">
        <f>IF(Table_PrescriptLights_Input5[[#This Row],[Building/space type]]="","",VLOOKUP(Input_BldgType,References!$P$3:$S$41,3,FALSE))</f>
        <v/>
      </c>
      <c r="L36" s="280"/>
      <c r="M36" s="281" t="str">
        <f>IF(Table_PrescriptLights_Input5[[#This Row],[Total proposed wattage]]="","",Table_PrescriptLights_Input5[[#This Row],[Total proposed wattage]]/Table_PrescriptLights_Input5[[#This Row],[Interior area (ft²)]])</f>
        <v/>
      </c>
      <c r="N36" s="282"/>
      <c r="O36" s="282"/>
      <c r="P3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6" s="283" t="str">
        <f>IFERROR(Table_PrescriptLights_Input5[[#This Row],[Per-unit incentive]]*((Table_PrescriptLights_Input5[[#This Row],[Baseline LPD (W/ft²)]]*Table_PrescriptLights_Input5[[#This Row],[Interior area (ft²)]])-Table_PrescriptLights_Input5[[#This Row],[Total proposed wattage]]),"")</f>
        <v/>
      </c>
      <c r="R3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6" s="283" t="str">
        <f>IFERROR(Table_PrescriptLights_Input5[[#This Row],[Energy savings (kWh)]]*Input_AvgkWhRate, "")</f>
        <v/>
      </c>
      <c r="U36" s="283" t="str">
        <f>IF(Table_PrescriptLights_Input5[[#This Row],[LPD method (choose 1)]]="", "",Table_PrescriptLights_Input5[[#This Row],[Total equipment cost]]+Table_PrescriptLights_Input5[[#This Row],[Total labor cost]])</f>
        <v/>
      </c>
      <c r="V36" s="283" t="str">
        <f>IFERROR(Table_PrescriptLights_Input5[[#This Row],[Gross measure cost]]-Table_PrescriptLights_Input5[[#This Row],[Estimated incentive]], "")</f>
        <v/>
      </c>
      <c r="W36" s="284" t="str">
        <f t="shared" si="0"/>
        <v/>
      </c>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x14ac:dyDescent="0.2">
      <c r="A37" s="269"/>
      <c r="B37" s="274">
        <v>33</v>
      </c>
      <c r="C37" s="275" t="str">
        <f>IF(ISBLANK($E37)=TRUE,"",References!$F$12)</f>
        <v/>
      </c>
      <c r="D37" s="298"/>
      <c r="E37" s="299"/>
      <c r="F37" s="276"/>
      <c r="G37" s="276"/>
      <c r="H37" s="276"/>
      <c r="I37" s="277"/>
      <c r="J37" s="278" t="str" cm="1">
        <f t="array" ref="J3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7" s="279" t="str">
        <f>IF(Table_PrescriptLights_Input5[[#This Row],[Building/space type]]="","",VLOOKUP(Input_BldgType,References!$P$3:$S$41,3,FALSE))</f>
        <v/>
      </c>
      <c r="L37" s="280"/>
      <c r="M37" s="281" t="str">
        <f>IF(Table_PrescriptLights_Input5[[#This Row],[Total proposed wattage]]="","",Table_PrescriptLights_Input5[[#This Row],[Total proposed wattage]]/Table_PrescriptLights_Input5[[#This Row],[Interior area (ft²)]])</f>
        <v/>
      </c>
      <c r="N37" s="282"/>
      <c r="O37" s="282"/>
      <c r="P3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7" s="283" t="str">
        <f>IFERROR(Table_PrescriptLights_Input5[[#This Row],[Per-unit incentive]]*((Table_PrescriptLights_Input5[[#This Row],[Baseline LPD (W/ft²)]]*Table_PrescriptLights_Input5[[#This Row],[Interior area (ft²)]])-Table_PrescriptLights_Input5[[#This Row],[Total proposed wattage]]),"")</f>
        <v/>
      </c>
      <c r="R3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7" s="283" t="str">
        <f>IFERROR(Table_PrescriptLights_Input5[[#This Row],[Energy savings (kWh)]]*Input_AvgkWhRate, "")</f>
        <v/>
      </c>
      <c r="U37" s="283" t="str">
        <f>IF(Table_PrescriptLights_Input5[[#This Row],[LPD method (choose 1)]]="", "",Table_PrescriptLights_Input5[[#This Row],[Total equipment cost]]+Table_PrescriptLights_Input5[[#This Row],[Total labor cost]])</f>
        <v/>
      </c>
      <c r="V37" s="283" t="str">
        <f>IFERROR(Table_PrescriptLights_Input5[[#This Row],[Gross measure cost]]-Table_PrescriptLights_Input5[[#This Row],[Estimated incentive]], "")</f>
        <v/>
      </c>
      <c r="W37" s="284" t="str">
        <f t="shared" si="0"/>
        <v/>
      </c>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x14ac:dyDescent="0.2">
      <c r="A38" s="269"/>
      <c r="B38" s="274">
        <v>34</v>
      </c>
      <c r="C38" s="275" t="str">
        <f>IF(ISBLANK($E38)=TRUE,"",References!$F$12)</f>
        <v/>
      </c>
      <c r="D38" s="298"/>
      <c r="E38" s="299"/>
      <c r="F38" s="276"/>
      <c r="G38" s="276"/>
      <c r="H38" s="276"/>
      <c r="I38" s="277"/>
      <c r="J38" s="278" t="str" cm="1">
        <f t="array" ref="J3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8" s="279" t="str">
        <f>IF(Table_PrescriptLights_Input5[[#This Row],[Building/space type]]="","",VLOOKUP(Input_BldgType,References!$P$3:$S$41,3,FALSE))</f>
        <v/>
      </c>
      <c r="L38" s="280"/>
      <c r="M38" s="281" t="str">
        <f>IF(Table_PrescriptLights_Input5[[#This Row],[Total proposed wattage]]="","",Table_PrescriptLights_Input5[[#This Row],[Total proposed wattage]]/Table_PrescriptLights_Input5[[#This Row],[Interior area (ft²)]])</f>
        <v/>
      </c>
      <c r="N38" s="282"/>
      <c r="O38" s="282"/>
      <c r="P3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8" s="283" t="str">
        <f>IFERROR(Table_PrescriptLights_Input5[[#This Row],[Per-unit incentive]]*((Table_PrescriptLights_Input5[[#This Row],[Baseline LPD (W/ft²)]]*Table_PrescriptLights_Input5[[#This Row],[Interior area (ft²)]])-Table_PrescriptLights_Input5[[#This Row],[Total proposed wattage]]),"")</f>
        <v/>
      </c>
      <c r="R3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8" s="283" t="str">
        <f>IFERROR(Table_PrescriptLights_Input5[[#This Row],[Energy savings (kWh)]]*Input_AvgkWhRate, "")</f>
        <v/>
      </c>
      <c r="U38" s="283" t="str">
        <f>IF(Table_PrescriptLights_Input5[[#This Row],[LPD method (choose 1)]]="", "",Table_PrescriptLights_Input5[[#This Row],[Total equipment cost]]+Table_PrescriptLights_Input5[[#This Row],[Total labor cost]])</f>
        <v/>
      </c>
      <c r="V38" s="283" t="str">
        <f>IFERROR(Table_PrescriptLights_Input5[[#This Row],[Gross measure cost]]-Table_PrescriptLights_Input5[[#This Row],[Estimated incentive]], "")</f>
        <v/>
      </c>
      <c r="W38" s="284" t="str">
        <f t="shared" si="0"/>
        <v/>
      </c>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row>
    <row r="39" spans="1:51" x14ac:dyDescent="0.2">
      <c r="A39" s="269"/>
      <c r="B39" s="274">
        <v>35</v>
      </c>
      <c r="C39" s="275" t="str">
        <f>IF(ISBLANK($E39)=TRUE,"",References!$F$12)</f>
        <v/>
      </c>
      <c r="D39" s="298"/>
      <c r="E39" s="299"/>
      <c r="F39" s="276"/>
      <c r="G39" s="276"/>
      <c r="H39" s="276"/>
      <c r="I39" s="277"/>
      <c r="J39" s="278" t="str" cm="1">
        <f t="array" ref="J3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39" s="279" t="str">
        <f>IF(Table_PrescriptLights_Input5[[#This Row],[Building/space type]]="","",VLOOKUP(Input_BldgType,References!$P$3:$S$41,3,FALSE))</f>
        <v/>
      </c>
      <c r="L39" s="280"/>
      <c r="M39" s="281" t="str">
        <f>IF(Table_PrescriptLights_Input5[[#This Row],[Total proposed wattage]]="","",Table_PrescriptLights_Input5[[#This Row],[Total proposed wattage]]/Table_PrescriptLights_Input5[[#This Row],[Interior area (ft²)]])</f>
        <v/>
      </c>
      <c r="N39" s="282"/>
      <c r="O39" s="282"/>
      <c r="P3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39" s="283" t="str">
        <f>IFERROR(Table_PrescriptLights_Input5[[#This Row],[Per-unit incentive]]*((Table_PrescriptLights_Input5[[#This Row],[Baseline LPD (W/ft²)]]*Table_PrescriptLights_Input5[[#This Row],[Interior area (ft²)]])-Table_PrescriptLights_Input5[[#This Row],[Total proposed wattage]]),"")</f>
        <v/>
      </c>
      <c r="R3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3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39" s="283" t="str">
        <f>IFERROR(Table_PrescriptLights_Input5[[#This Row],[Energy savings (kWh)]]*Input_AvgkWhRate, "")</f>
        <v/>
      </c>
      <c r="U39" s="283" t="str">
        <f>IF(Table_PrescriptLights_Input5[[#This Row],[LPD method (choose 1)]]="", "",Table_PrescriptLights_Input5[[#This Row],[Total equipment cost]]+Table_PrescriptLights_Input5[[#This Row],[Total labor cost]])</f>
        <v/>
      </c>
      <c r="V39" s="283" t="str">
        <f>IFERROR(Table_PrescriptLights_Input5[[#This Row],[Gross measure cost]]-Table_PrescriptLights_Input5[[#This Row],[Estimated incentive]], "")</f>
        <v/>
      </c>
      <c r="W39" s="284" t="str">
        <f t="shared" si="0"/>
        <v/>
      </c>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row>
    <row r="40" spans="1:51" x14ac:dyDescent="0.2">
      <c r="A40" s="269"/>
      <c r="B40" s="274">
        <v>36</v>
      </c>
      <c r="C40" s="275" t="str">
        <f>IF(ISBLANK($E40)=TRUE,"",References!$F$12)</f>
        <v/>
      </c>
      <c r="D40" s="298"/>
      <c r="E40" s="299"/>
      <c r="F40" s="276"/>
      <c r="G40" s="276"/>
      <c r="H40" s="276"/>
      <c r="I40" s="277"/>
      <c r="J40" s="278" t="str" cm="1">
        <f t="array" ref="J4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0" s="279" t="str">
        <f>IF(Table_PrescriptLights_Input5[[#This Row],[Building/space type]]="","",VLOOKUP(Input_BldgType,References!$P$3:$S$41,3,FALSE))</f>
        <v/>
      </c>
      <c r="L40" s="280"/>
      <c r="M40" s="281" t="str">
        <f>IF(Table_PrescriptLights_Input5[[#This Row],[Total proposed wattage]]="","",Table_PrescriptLights_Input5[[#This Row],[Total proposed wattage]]/Table_PrescriptLights_Input5[[#This Row],[Interior area (ft²)]])</f>
        <v/>
      </c>
      <c r="N40" s="282"/>
      <c r="O40" s="282"/>
      <c r="P4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0" s="283" t="str">
        <f>IFERROR(Table_PrescriptLights_Input5[[#This Row],[Per-unit incentive]]*((Table_PrescriptLights_Input5[[#This Row],[Baseline LPD (W/ft²)]]*Table_PrescriptLights_Input5[[#This Row],[Interior area (ft²)]])-Table_PrescriptLights_Input5[[#This Row],[Total proposed wattage]]),"")</f>
        <v/>
      </c>
      <c r="R4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0" s="283" t="str">
        <f>IFERROR(Table_PrescriptLights_Input5[[#This Row],[Energy savings (kWh)]]*Input_AvgkWhRate, "")</f>
        <v/>
      </c>
      <c r="U40" s="283" t="str">
        <f>IF(Table_PrescriptLights_Input5[[#This Row],[LPD method (choose 1)]]="", "",Table_PrescriptLights_Input5[[#This Row],[Total equipment cost]]+Table_PrescriptLights_Input5[[#This Row],[Total labor cost]])</f>
        <v/>
      </c>
      <c r="V40" s="283" t="str">
        <f>IFERROR(Table_PrescriptLights_Input5[[#This Row],[Gross measure cost]]-Table_PrescriptLights_Input5[[#This Row],[Estimated incentive]], "")</f>
        <v/>
      </c>
      <c r="W40" s="284" t="str">
        <f t="shared" si="0"/>
        <v/>
      </c>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row>
    <row r="41" spans="1:51" x14ac:dyDescent="0.2">
      <c r="A41" s="269"/>
      <c r="B41" s="274">
        <v>37</v>
      </c>
      <c r="C41" s="275" t="str">
        <f>IF(ISBLANK($E41)=TRUE,"",References!$F$12)</f>
        <v/>
      </c>
      <c r="D41" s="298"/>
      <c r="E41" s="299"/>
      <c r="F41" s="276"/>
      <c r="G41" s="276"/>
      <c r="H41" s="276"/>
      <c r="I41" s="277"/>
      <c r="J41" s="278" t="str" cm="1">
        <f t="array" ref="J4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1" s="279" t="str">
        <f>IF(Table_PrescriptLights_Input5[[#This Row],[Building/space type]]="","",VLOOKUP(Input_BldgType,References!$P$3:$S$41,3,FALSE))</f>
        <v/>
      </c>
      <c r="L41" s="280"/>
      <c r="M41" s="281" t="str">
        <f>IF(Table_PrescriptLights_Input5[[#This Row],[Total proposed wattage]]="","",Table_PrescriptLights_Input5[[#This Row],[Total proposed wattage]]/Table_PrescriptLights_Input5[[#This Row],[Interior area (ft²)]])</f>
        <v/>
      </c>
      <c r="N41" s="282"/>
      <c r="O41" s="282"/>
      <c r="P4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1" s="283" t="str">
        <f>IFERROR(Table_PrescriptLights_Input5[[#This Row],[Per-unit incentive]]*((Table_PrescriptLights_Input5[[#This Row],[Baseline LPD (W/ft²)]]*Table_PrescriptLights_Input5[[#This Row],[Interior area (ft²)]])-Table_PrescriptLights_Input5[[#This Row],[Total proposed wattage]]),"")</f>
        <v/>
      </c>
      <c r="R4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1" s="283" t="str">
        <f>IFERROR(Table_PrescriptLights_Input5[[#This Row],[Energy savings (kWh)]]*Input_AvgkWhRate, "")</f>
        <v/>
      </c>
      <c r="U41" s="283" t="str">
        <f>IF(Table_PrescriptLights_Input5[[#This Row],[LPD method (choose 1)]]="", "",Table_PrescriptLights_Input5[[#This Row],[Total equipment cost]]+Table_PrescriptLights_Input5[[#This Row],[Total labor cost]])</f>
        <v/>
      </c>
      <c r="V41" s="283" t="str">
        <f>IFERROR(Table_PrescriptLights_Input5[[#This Row],[Gross measure cost]]-Table_PrescriptLights_Input5[[#This Row],[Estimated incentive]], "")</f>
        <v/>
      </c>
      <c r="W41" s="284" t="str">
        <f t="shared" si="0"/>
        <v/>
      </c>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row>
    <row r="42" spans="1:51" x14ac:dyDescent="0.2">
      <c r="A42" s="269"/>
      <c r="B42" s="274">
        <v>38</v>
      </c>
      <c r="C42" s="275" t="str">
        <f>IF(ISBLANK($E42)=TRUE,"",References!$F$12)</f>
        <v/>
      </c>
      <c r="D42" s="298"/>
      <c r="E42" s="299"/>
      <c r="F42" s="276"/>
      <c r="G42" s="276"/>
      <c r="H42" s="276"/>
      <c r="I42" s="277"/>
      <c r="J42" s="278" t="str" cm="1">
        <f t="array" ref="J4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2" s="279" t="str">
        <f>IF(Table_PrescriptLights_Input5[[#This Row],[Building/space type]]="","",VLOOKUP(Input_BldgType,References!$P$3:$S$41,3,FALSE))</f>
        <v/>
      </c>
      <c r="L42" s="280"/>
      <c r="M42" s="281" t="str">
        <f>IF(Table_PrescriptLights_Input5[[#This Row],[Total proposed wattage]]="","",Table_PrescriptLights_Input5[[#This Row],[Total proposed wattage]]/Table_PrescriptLights_Input5[[#This Row],[Interior area (ft²)]])</f>
        <v/>
      </c>
      <c r="N42" s="282"/>
      <c r="O42" s="282"/>
      <c r="P4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2" s="283" t="str">
        <f>IFERROR(Table_PrescriptLights_Input5[[#This Row],[Per-unit incentive]]*((Table_PrescriptLights_Input5[[#This Row],[Baseline LPD (W/ft²)]]*Table_PrescriptLights_Input5[[#This Row],[Interior area (ft²)]])-Table_PrescriptLights_Input5[[#This Row],[Total proposed wattage]]),"")</f>
        <v/>
      </c>
      <c r="R4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2" s="283" t="str">
        <f>IFERROR(Table_PrescriptLights_Input5[[#This Row],[Energy savings (kWh)]]*Input_AvgkWhRate, "")</f>
        <v/>
      </c>
      <c r="U42" s="283" t="str">
        <f>IF(Table_PrescriptLights_Input5[[#This Row],[LPD method (choose 1)]]="", "",Table_PrescriptLights_Input5[[#This Row],[Total equipment cost]]+Table_PrescriptLights_Input5[[#This Row],[Total labor cost]])</f>
        <v/>
      </c>
      <c r="V42" s="283" t="str">
        <f>IFERROR(Table_PrescriptLights_Input5[[#This Row],[Gross measure cost]]-Table_PrescriptLights_Input5[[#This Row],[Estimated incentive]], "")</f>
        <v/>
      </c>
      <c r="W42" s="284" t="str">
        <f t="shared" si="0"/>
        <v/>
      </c>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row>
    <row r="43" spans="1:51" x14ac:dyDescent="0.2">
      <c r="A43" s="269"/>
      <c r="B43" s="274">
        <v>39</v>
      </c>
      <c r="C43" s="275" t="str">
        <f>IF(ISBLANK($E43)=TRUE,"",References!$F$12)</f>
        <v/>
      </c>
      <c r="D43" s="298"/>
      <c r="E43" s="299"/>
      <c r="F43" s="276"/>
      <c r="G43" s="276"/>
      <c r="H43" s="276"/>
      <c r="I43" s="277"/>
      <c r="J43" s="278" t="str" cm="1">
        <f t="array" ref="J4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3" s="279" t="str">
        <f>IF(Table_PrescriptLights_Input5[[#This Row],[Building/space type]]="","",VLOOKUP(Input_BldgType,References!$P$3:$S$41,3,FALSE))</f>
        <v/>
      </c>
      <c r="L43" s="280"/>
      <c r="M43" s="281" t="str">
        <f>IF(Table_PrescriptLights_Input5[[#This Row],[Total proposed wattage]]="","",Table_PrescriptLights_Input5[[#This Row],[Total proposed wattage]]/Table_PrescriptLights_Input5[[#This Row],[Interior area (ft²)]])</f>
        <v/>
      </c>
      <c r="N43" s="282"/>
      <c r="O43" s="282"/>
      <c r="P4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3" s="283" t="str">
        <f>IFERROR(Table_PrescriptLights_Input5[[#This Row],[Per-unit incentive]]*((Table_PrescriptLights_Input5[[#This Row],[Baseline LPD (W/ft²)]]*Table_PrescriptLights_Input5[[#This Row],[Interior area (ft²)]])-Table_PrescriptLights_Input5[[#This Row],[Total proposed wattage]]),"")</f>
        <v/>
      </c>
      <c r="R4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3" s="283" t="str">
        <f>IFERROR(Table_PrescriptLights_Input5[[#This Row],[Energy savings (kWh)]]*Input_AvgkWhRate, "")</f>
        <v/>
      </c>
      <c r="U43" s="283" t="str">
        <f>IF(Table_PrescriptLights_Input5[[#This Row],[LPD method (choose 1)]]="", "",Table_PrescriptLights_Input5[[#This Row],[Total equipment cost]]+Table_PrescriptLights_Input5[[#This Row],[Total labor cost]])</f>
        <v/>
      </c>
      <c r="V43" s="283" t="str">
        <f>IFERROR(Table_PrescriptLights_Input5[[#This Row],[Gross measure cost]]-Table_PrescriptLights_Input5[[#This Row],[Estimated incentive]], "")</f>
        <v/>
      </c>
      <c r="W43" s="284" t="str">
        <f t="shared" si="0"/>
        <v/>
      </c>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row>
    <row r="44" spans="1:51" x14ac:dyDescent="0.2">
      <c r="A44" s="269"/>
      <c r="B44" s="274">
        <v>40</v>
      </c>
      <c r="C44" s="275" t="str">
        <f>IF(ISBLANK($E44)=TRUE,"",References!$F$12)</f>
        <v/>
      </c>
      <c r="D44" s="298"/>
      <c r="E44" s="299"/>
      <c r="F44" s="276"/>
      <c r="G44" s="276"/>
      <c r="H44" s="276"/>
      <c r="I44" s="277"/>
      <c r="J44" s="278" t="str" cm="1">
        <f t="array" ref="J4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4" s="279" t="str">
        <f>IF(Table_PrescriptLights_Input5[[#This Row],[Building/space type]]="","",VLOOKUP(Input_BldgType,References!$P$3:$S$41,3,FALSE))</f>
        <v/>
      </c>
      <c r="L44" s="280"/>
      <c r="M44" s="281" t="str">
        <f>IF(Table_PrescriptLights_Input5[[#This Row],[Total proposed wattage]]="","",Table_PrescriptLights_Input5[[#This Row],[Total proposed wattage]]/Table_PrescriptLights_Input5[[#This Row],[Interior area (ft²)]])</f>
        <v/>
      </c>
      <c r="N44" s="282"/>
      <c r="O44" s="282"/>
      <c r="P4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4" s="283" t="str">
        <f>IFERROR(Table_PrescriptLights_Input5[[#This Row],[Per-unit incentive]]*((Table_PrescriptLights_Input5[[#This Row],[Baseline LPD (W/ft²)]]*Table_PrescriptLights_Input5[[#This Row],[Interior area (ft²)]])-Table_PrescriptLights_Input5[[#This Row],[Total proposed wattage]]),"")</f>
        <v/>
      </c>
      <c r="R4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4" s="283" t="str">
        <f>IFERROR(Table_PrescriptLights_Input5[[#This Row],[Energy savings (kWh)]]*Input_AvgkWhRate, "")</f>
        <v/>
      </c>
      <c r="U44" s="283" t="str">
        <f>IF(Table_PrescriptLights_Input5[[#This Row],[LPD method (choose 1)]]="", "",Table_PrescriptLights_Input5[[#This Row],[Total equipment cost]]+Table_PrescriptLights_Input5[[#This Row],[Total labor cost]])</f>
        <v/>
      </c>
      <c r="V44" s="283" t="str">
        <f>IFERROR(Table_PrescriptLights_Input5[[#This Row],[Gross measure cost]]-Table_PrescriptLights_Input5[[#This Row],[Estimated incentive]], "")</f>
        <v/>
      </c>
      <c r="W44" s="284" t="str">
        <f t="shared" si="0"/>
        <v/>
      </c>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row>
    <row r="45" spans="1:51" x14ac:dyDescent="0.2">
      <c r="A45" s="269"/>
      <c r="B45" s="274">
        <v>41</v>
      </c>
      <c r="C45" s="275" t="str">
        <f>IF(ISBLANK($E45)=TRUE,"",References!$F$12)</f>
        <v/>
      </c>
      <c r="D45" s="298"/>
      <c r="E45" s="299"/>
      <c r="F45" s="276"/>
      <c r="G45" s="276"/>
      <c r="H45" s="276"/>
      <c r="I45" s="277"/>
      <c r="J45" s="278" t="str" cm="1">
        <f t="array" ref="J45">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5" s="279" t="str">
        <f>IF(Table_PrescriptLights_Input5[[#This Row],[Building/space type]]="","",VLOOKUP(Input_BldgType,References!$P$3:$S$41,3,FALSE))</f>
        <v/>
      </c>
      <c r="L45" s="280"/>
      <c r="M45" s="281" t="str">
        <f>IF(Table_PrescriptLights_Input5[[#This Row],[Total proposed wattage]]="","",Table_PrescriptLights_Input5[[#This Row],[Total proposed wattage]]/Table_PrescriptLights_Input5[[#This Row],[Interior area (ft²)]])</f>
        <v/>
      </c>
      <c r="N45" s="282"/>
      <c r="O45" s="282"/>
      <c r="P45"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5" s="283" t="str">
        <f>IFERROR(Table_PrescriptLights_Input5[[#This Row],[Per-unit incentive]]*((Table_PrescriptLights_Input5[[#This Row],[Baseline LPD (W/ft²)]]*Table_PrescriptLights_Input5[[#This Row],[Interior area (ft²)]])-Table_PrescriptLights_Input5[[#This Row],[Total proposed wattage]]),"")</f>
        <v/>
      </c>
      <c r="R45"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5"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5" s="283" t="str">
        <f>IFERROR(Table_PrescriptLights_Input5[[#This Row],[Energy savings (kWh)]]*Input_AvgkWhRate, "")</f>
        <v/>
      </c>
      <c r="U45" s="283" t="str">
        <f>IF(Table_PrescriptLights_Input5[[#This Row],[LPD method (choose 1)]]="", "",Table_PrescriptLights_Input5[[#This Row],[Total equipment cost]]+Table_PrescriptLights_Input5[[#This Row],[Total labor cost]])</f>
        <v/>
      </c>
      <c r="V45" s="283" t="str">
        <f>IFERROR(Table_PrescriptLights_Input5[[#This Row],[Gross measure cost]]-Table_PrescriptLights_Input5[[#This Row],[Estimated incentive]], "")</f>
        <v/>
      </c>
      <c r="W45" s="284" t="str">
        <f t="shared" si="0"/>
        <v/>
      </c>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row>
    <row r="46" spans="1:51" x14ac:dyDescent="0.2">
      <c r="A46" s="269"/>
      <c r="B46" s="274">
        <v>42</v>
      </c>
      <c r="C46" s="275" t="str">
        <f>IF(ISBLANK($E46)=TRUE,"",References!$F$12)</f>
        <v/>
      </c>
      <c r="D46" s="298"/>
      <c r="E46" s="299"/>
      <c r="F46" s="276"/>
      <c r="G46" s="276"/>
      <c r="H46" s="276"/>
      <c r="I46" s="277"/>
      <c r="J46" s="278" t="str" cm="1">
        <f t="array" ref="J46">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6" s="279" t="str">
        <f>IF(Table_PrescriptLights_Input5[[#This Row],[Building/space type]]="","",VLOOKUP(Input_BldgType,References!$P$3:$S$41,3,FALSE))</f>
        <v/>
      </c>
      <c r="L46" s="280"/>
      <c r="M46" s="281" t="str">
        <f>IF(Table_PrescriptLights_Input5[[#This Row],[Total proposed wattage]]="","",Table_PrescriptLights_Input5[[#This Row],[Total proposed wattage]]/Table_PrescriptLights_Input5[[#This Row],[Interior area (ft²)]])</f>
        <v/>
      </c>
      <c r="N46" s="282"/>
      <c r="O46" s="282"/>
      <c r="P46"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6" s="283" t="str">
        <f>IFERROR(Table_PrescriptLights_Input5[[#This Row],[Per-unit incentive]]*((Table_PrescriptLights_Input5[[#This Row],[Baseline LPD (W/ft²)]]*Table_PrescriptLights_Input5[[#This Row],[Interior area (ft²)]])-Table_PrescriptLights_Input5[[#This Row],[Total proposed wattage]]),"")</f>
        <v/>
      </c>
      <c r="R46"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6"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6" s="283" t="str">
        <f>IFERROR(Table_PrescriptLights_Input5[[#This Row],[Energy savings (kWh)]]*Input_AvgkWhRate, "")</f>
        <v/>
      </c>
      <c r="U46" s="283" t="str">
        <f>IF(Table_PrescriptLights_Input5[[#This Row],[LPD method (choose 1)]]="", "",Table_PrescriptLights_Input5[[#This Row],[Total equipment cost]]+Table_PrescriptLights_Input5[[#This Row],[Total labor cost]])</f>
        <v/>
      </c>
      <c r="V46" s="283" t="str">
        <f>IFERROR(Table_PrescriptLights_Input5[[#This Row],[Gross measure cost]]-Table_PrescriptLights_Input5[[#This Row],[Estimated incentive]], "")</f>
        <v/>
      </c>
      <c r="W46" s="284" t="str">
        <f t="shared" si="0"/>
        <v/>
      </c>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row>
    <row r="47" spans="1:51" x14ac:dyDescent="0.2">
      <c r="A47" s="269"/>
      <c r="B47" s="274">
        <v>43</v>
      </c>
      <c r="C47" s="275" t="str">
        <f>IF(ISBLANK($E47)=TRUE,"",References!$F$12)</f>
        <v/>
      </c>
      <c r="D47" s="298"/>
      <c r="E47" s="299"/>
      <c r="F47" s="276"/>
      <c r="G47" s="276"/>
      <c r="H47" s="276"/>
      <c r="I47" s="277"/>
      <c r="J47" s="278" t="str" cm="1">
        <f t="array" ref="J47">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7" s="279" t="str">
        <f>IF(Table_PrescriptLights_Input5[[#This Row],[Building/space type]]="","",VLOOKUP(Input_BldgType,References!$P$3:$S$41,3,FALSE))</f>
        <v/>
      </c>
      <c r="L47" s="280"/>
      <c r="M47" s="281" t="str">
        <f>IF(Table_PrescriptLights_Input5[[#This Row],[Total proposed wattage]]="","",Table_PrescriptLights_Input5[[#This Row],[Total proposed wattage]]/Table_PrescriptLights_Input5[[#This Row],[Interior area (ft²)]])</f>
        <v/>
      </c>
      <c r="N47" s="282"/>
      <c r="O47" s="282"/>
      <c r="P47"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7" s="283" t="str">
        <f>IFERROR(Table_PrescriptLights_Input5[[#This Row],[Per-unit incentive]]*((Table_PrescriptLights_Input5[[#This Row],[Baseline LPD (W/ft²)]]*Table_PrescriptLights_Input5[[#This Row],[Interior area (ft²)]])-Table_PrescriptLights_Input5[[#This Row],[Total proposed wattage]]),"")</f>
        <v/>
      </c>
      <c r="R47"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7"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7" s="283" t="str">
        <f>IFERROR(Table_PrescriptLights_Input5[[#This Row],[Energy savings (kWh)]]*Input_AvgkWhRate, "")</f>
        <v/>
      </c>
      <c r="U47" s="283" t="str">
        <f>IF(Table_PrescriptLights_Input5[[#This Row],[LPD method (choose 1)]]="", "",Table_PrescriptLights_Input5[[#This Row],[Total equipment cost]]+Table_PrescriptLights_Input5[[#This Row],[Total labor cost]])</f>
        <v/>
      </c>
      <c r="V47" s="283" t="str">
        <f>IFERROR(Table_PrescriptLights_Input5[[#This Row],[Gross measure cost]]-Table_PrescriptLights_Input5[[#This Row],[Estimated incentive]], "")</f>
        <v/>
      </c>
      <c r="W47" s="284" t="str">
        <f t="shared" si="0"/>
        <v/>
      </c>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row>
    <row r="48" spans="1:51" x14ac:dyDescent="0.2">
      <c r="A48" s="269"/>
      <c r="B48" s="274">
        <v>44</v>
      </c>
      <c r="C48" s="275" t="str">
        <f>IF(ISBLANK($E48)=TRUE,"",References!$F$12)</f>
        <v/>
      </c>
      <c r="D48" s="298"/>
      <c r="E48" s="299"/>
      <c r="F48" s="276"/>
      <c r="G48" s="276"/>
      <c r="H48" s="276"/>
      <c r="I48" s="277"/>
      <c r="J48" s="278" t="str" cm="1">
        <f t="array" ref="J48">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8" s="279" t="str">
        <f>IF(Table_PrescriptLights_Input5[[#This Row],[Building/space type]]="","",VLOOKUP(Input_BldgType,References!$P$3:$S$41,3,FALSE))</f>
        <v/>
      </c>
      <c r="L48" s="280"/>
      <c r="M48" s="281" t="str">
        <f>IF(Table_PrescriptLights_Input5[[#This Row],[Total proposed wattage]]="","",Table_PrescriptLights_Input5[[#This Row],[Total proposed wattage]]/Table_PrescriptLights_Input5[[#This Row],[Interior area (ft²)]])</f>
        <v/>
      </c>
      <c r="N48" s="282"/>
      <c r="O48" s="282"/>
      <c r="P48"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8" s="283" t="str">
        <f>IFERROR(Table_PrescriptLights_Input5[[#This Row],[Per-unit incentive]]*((Table_PrescriptLights_Input5[[#This Row],[Baseline LPD (W/ft²)]]*Table_PrescriptLights_Input5[[#This Row],[Interior area (ft²)]])-Table_PrescriptLights_Input5[[#This Row],[Total proposed wattage]]),"")</f>
        <v/>
      </c>
      <c r="R48"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8"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8" s="283" t="str">
        <f>IFERROR(Table_PrescriptLights_Input5[[#This Row],[Energy savings (kWh)]]*Input_AvgkWhRate, "")</f>
        <v/>
      </c>
      <c r="U48" s="283" t="str">
        <f>IF(Table_PrescriptLights_Input5[[#This Row],[LPD method (choose 1)]]="", "",Table_PrescriptLights_Input5[[#This Row],[Total equipment cost]]+Table_PrescriptLights_Input5[[#This Row],[Total labor cost]])</f>
        <v/>
      </c>
      <c r="V48" s="283" t="str">
        <f>IFERROR(Table_PrescriptLights_Input5[[#This Row],[Gross measure cost]]-Table_PrescriptLights_Input5[[#This Row],[Estimated incentive]], "")</f>
        <v/>
      </c>
      <c r="W48" s="284" t="str">
        <f t="shared" si="0"/>
        <v/>
      </c>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row>
    <row r="49" spans="1:51" x14ac:dyDescent="0.2">
      <c r="A49" s="269"/>
      <c r="B49" s="274">
        <v>45</v>
      </c>
      <c r="C49" s="275" t="str">
        <f>IF(ISBLANK($E49)=TRUE,"",References!$F$12)</f>
        <v/>
      </c>
      <c r="D49" s="298"/>
      <c r="E49" s="299"/>
      <c r="F49" s="276"/>
      <c r="G49" s="276"/>
      <c r="H49" s="276"/>
      <c r="I49" s="277"/>
      <c r="J49" s="278" t="str" cm="1">
        <f t="array" ref="J49">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49" s="279" t="str">
        <f>IF(Table_PrescriptLights_Input5[[#This Row],[Building/space type]]="","",VLOOKUP(Input_BldgType,References!$P$3:$S$41,3,FALSE))</f>
        <v/>
      </c>
      <c r="L49" s="280"/>
      <c r="M49" s="281" t="str">
        <f>IF(Table_PrescriptLights_Input5[[#This Row],[Total proposed wattage]]="","",Table_PrescriptLights_Input5[[#This Row],[Total proposed wattage]]/Table_PrescriptLights_Input5[[#This Row],[Interior area (ft²)]])</f>
        <v/>
      </c>
      <c r="N49" s="282"/>
      <c r="O49" s="282"/>
      <c r="P49"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49" s="283" t="str">
        <f>IFERROR(Table_PrescriptLights_Input5[[#This Row],[Per-unit incentive]]*((Table_PrescriptLights_Input5[[#This Row],[Baseline LPD (W/ft²)]]*Table_PrescriptLights_Input5[[#This Row],[Interior area (ft²)]])-Table_PrescriptLights_Input5[[#This Row],[Total proposed wattage]]),"")</f>
        <v/>
      </c>
      <c r="R49"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49"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49" s="283" t="str">
        <f>IFERROR(Table_PrescriptLights_Input5[[#This Row],[Energy savings (kWh)]]*Input_AvgkWhRate, "")</f>
        <v/>
      </c>
      <c r="U49" s="283" t="str">
        <f>IF(Table_PrescriptLights_Input5[[#This Row],[LPD method (choose 1)]]="", "",Table_PrescriptLights_Input5[[#This Row],[Total equipment cost]]+Table_PrescriptLights_Input5[[#This Row],[Total labor cost]])</f>
        <v/>
      </c>
      <c r="V49" s="283" t="str">
        <f>IFERROR(Table_PrescriptLights_Input5[[#This Row],[Gross measure cost]]-Table_PrescriptLights_Input5[[#This Row],[Estimated incentive]], "")</f>
        <v/>
      </c>
      <c r="W49" s="284" t="str">
        <f t="shared" si="0"/>
        <v/>
      </c>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row>
    <row r="50" spans="1:51" x14ac:dyDescent="0.2">
      <c r="A50" s="269"/>
      <c r="B50" s="274">
        <v>46</v>
      </c>
      <c r="C50" s="275" t="str">
        <f>IF(ISBLANK($E50)=TRUE,"",References!$F$12)</f>
        <v/>
      </c>
      <c r="D50" s="298"/>
      <c r="E50" s="299"/>
      <c r="F50" s="276"/>
      <c r="G50" s="276"/>
      <c r="H50" s="276"/>
      <c r="I50" s="277"/>
      <c r="J50" s="278" t="str" cm="1">
        <f t="array" ref="J50">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0" s="279" t="str">
        <f>IF(Table_PrescriptLights_Input5[[#This Row],[Building/space type]]="","",VLOOKUP(Input_BldgType,References!$P$3:$S$41,3,FALSE))</f>
        <v/>
      </c>
      <c r="L50" s="280"/>
      <c r="M50" s="281" t="str">
        <f>IF(Table_PrescriptLights_Input5[[#This Row],[Total proposed wattage]]="","",Table_PrescriptLights_Input5[[#This Row],[Total proposed wattage]]/Table_PrescriptLights_Input5[[#This Row],[Interior area (ft²)]])</f>
        <v/>
      </c>
      <c r="N50" s="282"/>
      <c r="O50" s="282"/>
      <c r="P50"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0" s="283" t="str">
        <f>IFERROR(Table_PrescriptLights_Input5[[#This Row],[Per-unit incentive]]*((Table_PrescriptLights_Input5[[#This Row],[Baseline LPD (W/ft²)]]*Table_PrescriptLights_Input5[[#This Row],[Interior area (ft²)]])-Table_PrescriptLights_Input5[[#This Row],[Total proposed wattage]]),"")</f>
        <v/>
      </c>
      <c r="R50"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0"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0" s="283" t="str">
        <f>IFERROR(Table_PrescriptLights_Input5[[#This Row],[Energy savings (kWh)]]*Input_AvgkWhRate, "")</f>
        <v/>
      </c>
      <c r="U50" s="283" t="str">
        <f>IF(Table_PrescriptLights_Input5[[#This Row],[LPD method (choose 1)]]="", "",Table_PrescriptLights_Input5[[#This Row],[Total equipment cost]]+Table_PrescriptLights_Input5[[#This Row],[Total labor cost]])</f>
        <v/>
      </c>
      <c r="V50" s="283" t="str">
        <f>IFERROR(Table_PrescriptLights_Input5[[#This Row],[Gross measure cost]]-Table_PrescriptLights_Input5[[#This Row],[Estimated incentive]], "")</f>
        <v/>
      </c>
      <c r="W50" s="284" t="str">
        <f t="shared" si="0"/>
        <v/>
      </c>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row>
    <row r="51" spans="1:51" x14ac:dyDescent="0.2">
      <c r="A51" s="269"/>
      <c r="B51" s="274">
        <v>47</v>
      </c>
      <c r="C51" s="275" t="str">
        <f>IF(ISBLANK($E51)=TRUE,"",References!$F$12)</f>
        <v/>
      </c>
      <c r="D51" s="298"/>
      <c r="E51" s="299"/>
      <c r="F51" s="276"/>
      <c r="G51" s="276"/>
      <c r="H51" s="276"/>
      <c r="I51" s="277"/>
      <c r="J51" s="278" t="str" cm="1">
        <f t="array" ref="J51">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1" s="279" t="str">
        <f>IF(Table_PrescriptLights_Input5[[#This Row],[Building/space type]]="","",VLOOKUP(Input_BldgType,References!$P$3:$S$41,3,FALSE))</f>
        <v/>
      </c>
      <c r="L51" s="280"/>
      <c r="M51" s="281" t="str">
        <f>IF(Table_PrescriptLights_Input5[[#This Row],[Total proposed wattage]]="","",Table_PrescriptLights_Input5[[#This Row],[Total proposed wattage]]/Table_PrescriptLights_Input5[[#This Row],[Interior area (ft²)]])</f>
        <v/>
      </c>
      <c r="N51" s="282"/>
      <c r="O51" s="282"/>
      <c r="P51"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1" s="283" t="str">
        <f>IFERROR(Table_PrescriptLights_Input5[[#This Row],[Per-unit incentive]]*((Table_PrescriptLights_Input5[[#This Row],[Baseline LPD (W/ft²)]]*Table_PrescriptLights_Input5[[#This Row],[Interior area (ft²)]])-Table_PrescriptLights_Input5[[#This Row],[Total proposed wattage]]),"")</f>
        <v/>
      </c>
      <c r="R51"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1"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1" s="283" t="str">
        <f>IFERROR(Table_PrescriptLights_Input5[[#This Row],[Energy savings (kWh)]]*Input_AvgkWhRate, "")</f>
        <v/>
      </c>
      <c r="U51" s="283" t="str">
        <f>IF(Table_PrescriptLights_Input5[[#This Row],[LPD method (choose 1)]]="", "",Table_PrescriptLights_Input5[[#This Row],[Total equipment cost]]+Table_PrescriptLights_Input5[[#This Row],[Total labor cost]])</f>
        <v/>
      </c>
      <c r="V51" s="283" t="str">
        <f>IFERROR(Table_PrescriptLights_Input5[[#This Row],[Gross measure cost]]-Table_PrescriptLights_Input5[[#This Row],[Estimated incentive]], "")</f>
        <v/>
      </c>
      <c r="W51" s="284" t="str">
        <f t="shared" si="0"/>
        <v/>
      </c>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row>
    <row r="52" spans="1:51" x14ac:dyDescent="0.2">
      <c r="A52" s="269"/>
      <c r="B52" s="274">
        <v>48</v>
      </c>
      <c r="C52" s="275" t="str">
        <f>IF(ISBLANK($E52)=TRUE,"",References!$F$12)</f>
        <v/>
      </c>
      <c r="D52" s="298"/>
      <c r="E52" s="299"/>
      <c r="F52" s="276"/>
      <c r="G52" s="276"/>
      <c r="H52" s="276"/>
      <c r="I52" s="277"/>
      <c r="J52" s="278" t="str" cm="1">
        <f t="array" ref="J52">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2" s="279" t="str">
        <f>IF(Table_PrescriptLights_Input5[[#This Row],[Building/space type]]="","",VLOOKUP(Input_BldgType,References!$P$3:$S$41,3,FALSE))</f>
        <v/>
      </c>
      <c r="L52" s="280"/>
      <c r="M52" s="281" t="str">
        <f>IF(Table_PrescriptLights_Input5[[#This Row],[Total proposed wattage]]="","",Table_PrescriptLights_Input5[[#This Row],[Total proposed wattage]]/Table_PrescriptLights_Input5[[#This Row],[Interior area (ft²)]])</f>
        <v/>
      </c>
      <c r="N52" s="282"/>
      <c r="O52" s="282"/>
      <c r="P52"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2" s="283" t="str">
        <f>IFERROR(Table_PrescriptLights_Input5[[#This Row],[Per-unit incentive]]*((Table_PrescriptLights_Input5[[#This Row],[Baseline LPD (W/ft²)]]*Table_PrescriptLights_Input5[[#This Row],[Interior area (ft²)]])-Table_PrescriptLights_Input5[[#This Row],[Total proposed wattage]]),"")</f>
        <v/>
      </c>
      <c r="R52"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2"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2" s="283" t="str">
        <f>IFERROR(Table_PrescriptLights_Input5[[#This Row],[Energy savings (kWh)]]*Input_AvgkWhRate, "")</f>
        <v/>
      </c>
      <c r="U52" s="283" t="str">
        <f>IF(Table_PrescriptLights_Input5[[#This Row],[LPD method (choose 1)]]="", "",Table_PrescriptLights_Input5[[#This Row],[Total equipment cost]]+Table_PrescriptLights_Input5[[#This Row],[Total labor cost]])</f>
        <v/>
      </c>
      <c r="V52" s="283" t="str">
        <f>IFERROR(Table_PrescriptLights_Input5[[#This Row],[Gross measure cost]]-Table_PrescriptLights_Input5[[#This Row],[Estimated incentive]], "")</f>
        <v/>
      </c>
      <c r="W52" s="284" t="str">
        <f t="shared" si="0"/>
        <v/>
      </c>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row>
    <row r="53" spans="1:51" x14ac:dyDescent="0.2">
      <c r="A53" s="269"/>
      <c r="B53" s="274">
        <v>49</v>
      </c>
      <c r="C53" s="275" t="str">
        <f>IF(ISBLANK($E53)=TRUE,"",References!$F$12)</f>
        <v/>
      </c>
      <c r="D53" s="298"/>
      <c r="E53" s="299"/>
      <c r="F53" s="276"/>
      <c r="G53" s="276"/>
      <c r="H53" s="276"/>
      <c r="I53" s="277"/>
      <c r="J53" s="278" t="str" cm="1">
        <f t="array" ref="J53">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3" s="279" t="str">
        <f>IF(Table_PrescriptLights_Input5[[#This Row],[Building/space type]]="","",VLOOKUP(Input_BldgType,References!$P$3:$S$41,3,FALSE))</f>
        <v/>
      </c>
      <c r="L53" s="280"/>
      <c r="M53" s="281" t="str">
        <f>IF(Table_PrescriptLights_Input5[[#This Row],[Total proposed wattage]]="","",Table_PrescriptLights_Input5[[#This Row],[Total proposed wattage]]/Table_PrescriptLights_Input5[[#This Row],[Interior area (ft²)]])</f>
        <v/>
      </c>
      <c r="N53" s="282"/>
      <c r="O53" s="282"/>
      <c r="P53"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3" s="283" t="str">
        <f>IFERROR(Table_PrescriptLights_Input5[[#This Row],[Per-unit incentive]]*((Table_PrescriptLights_Input5[[#This Row],[Baseline LPD (W/ft²)]]*Table_PrescriptLights_Input5[[#This Row],[Interior area (ft²)]])-Table_PrescriptLights_Input5[[#This Row],[Total proposed wattage]]),"")</f>
        <v/>
      </c>
      <c r="R53"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3"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3" s="283" t="str">
        <f>IFERROR(Table_PrescriptLights_Input5[[#This Row],[Energy savings (kWh)]]*Input_AvgkWhRate, "")</f>
        <v/>
      </c>
      <c r="U53" s="283" t="str">
        <f>IF(Table_PrescriptLights_Input5[[#This Row],[LPD method (choose 1)]]="", "",Table_PrescriptLights_Input5[[#This Row],[Total equipment cost]]+Table_PrescriptLights_Input5[[#This Row],[Total labor cost]])</f>
        <v/>
      </c>
      <c r="V53" s="283" t="str">
        <f>IFERROR(Table_PrescriptLights_Input5[[#This Row],[Gross measure cost]]-Table_PrescriptLights_Input5[[#This Row],[Estimated incentive]], "")</f>
        <v/>
      </c>
      <c r="W53" s="284" t="str">
        <f t="shared" si="0"/>
        <v/>
      </c>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row>
    <row r="54" spans="1:51" x14ac:dyDescent="0.2">
      <c r="A54" s="269"/>
      <c r="B54" s="274">
        <v>50</v>
      </c>
      <c r="C54" s="275" t="str">
        <f>IF(ISBLANK($E54)=TRUE,"",References!$F$12)</f>
        <v/>
      </c>
      <c r="D54" s="349"/>
      <c r="E54" s="350"/>
      <c r="F54" s="276"/>
      <c r="G54" s="276"/>
      <c r="H54" s="276"/>
      <c r="I54" s="277"/>
      <c r="J54" s="278" t="str" cm="1">
        <f t="array" ref="J54">IF(Table_PrescriptLights_Input5[[#This Row],[Building/space type]]="","",IFERROR(IF(Table_PrescriptLights_Input5[[#This Row],[LPD method (choose 1)]]=References!$P$53,VLOOKUP(Table_PrescriptLights_Input5[[#This Row],[Building/space type]],References!$P$3:$S$41,2,FALSE),IF(Table_PrescriptLights_Input5[[#This Row],[LPD method (choose 1)]]=References!$P$54,INDEX(References!$Y$14:$Y$104,MATCH(1,(Table_PrescriptLights_Input5[[#This Row],[Building/space type]]=References!$W$14:$W$104)*(Table_PrescriptLights_Input5[[#This Row],[Space sub-type (if using space by space method)]]=References!$X$14:$X$104),0)))),"Invalid"))</f>
        <v/>
      </c>
      <c r="K54" s="279" t="str">
        <f>IF(Table_PrescriptLights_Input5[[#This Row],[Building/space type]]="","",VLOOKUP(Input_BldgType,References!$P$3:$S$41,3,FALSE))</f>
        <v/>
      </c>
      <c r="L54" s="280"/>
      <c r="M54" s="281" t="str">
        <f>IF(Table_PrescriptLights_Input5[[#This Row],[Total proposed wattage]]="","",Table_PrescriptLights_Input5[[#This Row],[Total proposed wattage]]/Table_PrescriptLights_Input5[[#This Row],[Interior area (ft²)]])</f>
        <v/>
      </c>
      <c r="N54" s="282"/>
      <c r="O54" s="282"/>
      <c r="P54" s="283" t="str">
        <f>IFERROR(IF(Input_ProgramType=References!$W$4, INDEX(Table_Prescript_Meas[Incentive - SC], MATCH(Table_PrescriptLights_Input5[[#This Row],[Measure number]], Table_Prescript_Meas[Measure Number], 0)), INDEX(Table_Prescript_Meas[Incentive - LC], MATCH(Table_PrescriptLights_Input5[[#This Row],[Measure number]], Table_Prescript_Meas[Measure Number], 0))), "")</f>
        <v/>
      </c>
      <c r="Q54" s="283" t="str">
        <f>IFERROR(Table_PrescriptLights_Input5[[#This Row],[Per-unit incentive]]*((Table_PrescriptLights_Input5[[#This Row],[Baseline LPD (W/ft²)]]*Table_PrescriptLights_Input5[[#This Row],[Interior area (ft²)]])-Table_PrescriptLights_Input5[[#This Row],[Total proposed wattage]]),"")</f>
        <v/>
      </c>
      <c r="R54" s="284" t="str">
        <f>IFERROR((Table_PrescriptLights_Input5[[#This Row],[Baseline LPD (W/ft²)]]-Table_PrescriptLights_Input5[[#This Row],[Proposed LPD (W/ft²)]])/1000*Table_PrescriptLights_Input5[[#This Row],[Interior area (ft²)]]*Table_PrescriptLights_Input5[[#This Row],[Expected hours of operation]]*VLOOKUP(Table_PrescriptLights_Input5[[#This Row],[HVAC configuration]],References!$Q$44:$S$50,3,FALSE),"")</f>
        <v/>
      </c>
      <c r="S54" s="285" t="str">
        <f>IFERROR((Table_PrescriptLights_Input5[[#This Row],[Baseline LPD (W/ft²)]]-Table_PrescriptLights_Input5[[#This Row],[Proposed LPD (W/ft²)]])/1000*Table_PrescriptLights_Input5[[#This Row],[Interior area (ft²)]]*VLOOKUP(Table_PrescriptLights_Input5[[#This Row],[HVAC configuration]],References!$Q$44:$S$50,2,FALSE)*VLOOKUP(Input_BldgType,References!$P$3:$S$41,4,FALSE),"")</f>
        <v/>
      </c>
      <c r="T54" s="283" t="str">
        <f>IFERROR(Table_PrescriptLights_Input5[[#This Row],[Energy savings (kWh)]]*Input_AvgkWhRate, "")</f>
        <v/>
      </c>
      <c r="U54" s="283" t="str">
        <f>IF(Table_PrescriptLights_Input5[[#This Row],[LPD method (choose 1)]]="", "",Table_PrescriptLights_Input5[[#This Row],[Total equipment cost]]+Table_PrescriptLights_Input5[[#This Row],[Total labor cost]])</f>
        <v/>
      </c>
      <c r="V54" s="283" t="str">
        <f>IFERROR(Table_PrescriptLights_Input5[[#This Row],[Gross measure cost]]-Table_PrescriptLights_Input5[[#This Row],[Estimated incentive]], "")</f>
        <v/>
      </c>
      <c r="W54" s="284" t="str">
        <f t="shared" si="0"/>
        <v/>
      </c>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row>
    <row r="55" spans="1:51" x14ac:dyDescent="0.2">
      <c r="A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row>
    <row r="56" spans="1:51" x14ac:dyDescent="0.2">
      <c r="F56" s="253"/>
      <c r="G56" s="253"/>
      <c r="H56" s="253"/>
      <c r="I56" s="253"/>
      <c r="J56" s="253"/>
      <c r="K56" s="253"/>
    </row>
    <row r="57" spans="1:51" x14ac:dyDescent="0.2">
      <c r="B57" s="253" t="s">
        <v>644</v>
      </c>
      <c r="F57" s="253"/>
      <c r="G57" s="253"/>
      <c r="H57" s="253"/>
      <c r="I57" s="253"/>
      <c r="J57" s="253"/>
      <c r="K57" s="253"/>
    </row>
    <row r="58" spans="1:51" x14ac:dyDescent="0.2">
      <c r="B58" s="253" t="str">
        <f>Value_Application_Version</f>
        <v>Version 5.2</v>
      </c>
      <c r="F58" s="253"/>
      <c r="G58" s="253"/>
      <c r="H58" s="253"/>
      <c r="I58" s="253"/>
      <c r="J58" s="253"/>
      <c r="K58" s="253"/>
    </row>
    <row r="59" spans="1:51" x14ac:dyDescent="0.2">
      <c r="F59" s="253"/>
      <c r="G59" s="253"/>
      <c r="H59" s="253"/>
      <c r="I59" s="253"/>
      <c r="J59" s="253"/>
      <c r="K59" s="253"/>
    </row>
    <row r="60" spans="1:51" x14ac:dyDescent="0.2">
      <c r="A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row>
    <row r="61" spans="1:51" x14ac:dyDescent="0.2">
      <c r="A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row>
    <row r="62" spans="1:51" x14ac:dyDescent="0.2">
      <c r="A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row>
    <row r="63" spans="1:51" x14ac:dyDescent="0.2">
      <c r="A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row>
    <row r="64" spans="1:51" x14ac:dyDescent="0.2">
      <c r="A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row>
    <row r="65" spans="1:51" x14ac:dyDescent="0.2">
      <c r="A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row>
    <row r="66" spans="1:51" x14ac:dyDescent="0.2">
      <c r="A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row>
    <row r="67" spans="1:51" x14ac:dyDescent="0.2">
      <c r="A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row>
    <row r="68" spans="1:51" x14ac:dyDescent="0.2">
      <c r="A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row>
    <row r="69" spans="1:51" x14ac:dyDescent="0.2">
      <c r="A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row>
    <row r="70" spans="1:51" x14ac:dyDescent="0.2">
      <c r="A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row>
    <row r="71" spans="1:51" x14ac:dyDescent="0.2">
      <c r="A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row>
    <row r="72" spans="1:51" x14ac:dyDescent="0.2">
      <c r="A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row>
    <row r="73" spans="1:51" x14ac:dyDescent="0.2">
      <c r="A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row>
    <row r="74" spans="1:51" x14ac:dyDescent="0.2">
      <c r="A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row>
    <row r="75" spans="1:51" x14ac:dyDescent="0.2">
      <c r="A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row>
    <row r="76" spans="1:51" x14ac:dyDescent="0.2">
      <c r="A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row>
    <row r="77" spans="1:51" x14ac:dyDescent="0.2">
      <c r="A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row>
    <row r="78" spans="1:51" x14ac:dyDescent="0.2">
      <c r="A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row>
    <row r="79" spans="1:51" x14ac:dyDescent="0.2">
      <c r="A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row>
    <row r="80" spans="1:51" x14ac:dyDescent="0.2">
      <c r="A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row>
    <row r="81" spans="1:51" x14ac:dyDescent="0.2">
      <c r="A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row>
    <row r="82" spans="1:51" x14ac:dyDescent="0.2">
      <c r="A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row>
    <row r="83" spans="1:51" x14ac:dyDescent="0.2">
      <c r="A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row>
    <row r="84" spans="1:51" x14ac:dyDescent="0.2">
      <c r="A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row>
    <row r="85" spans="1:51" x14ac:dyDescent="0.2">
      <c r="A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row>
    <row r="86" spans="1:51" x14ac:dyDescent="0.2">
      <c r="A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row>
    <row r="87" spans="1:51" x14ac:dyDescent="0.2">
      <c r="A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row>
    <row r="88" spans="1:51" x14ac:dyDescent="0.2">
      <c r="A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row>
    <row r="89" spans="1:51" x14ac:dyDescent="0.2">
      <c r="A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row>
    <row r="90" spans="1:51" x14ac:dyDescent="0.2">
      <c r="A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row>
    <row r="91" spans="1:51" x14ac:dyDescent="0.2">
      <c r="A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row>
    <row r="92" spans="1:51" x14ac:dyDescent="0.2">
      <c r="A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row>
    <row r="93" spans="1:51" x14ac:dyDescent="0.2">
      <c r="A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row>
    <row r="94" spans="1:51" x14ac:dyDescent="0.2">
      <c r="A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row>
    <row r="95" spans="1:51" x14ac:dyDescent="0.2">
      <c r="A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row>
    <row r="96" spans="1:51" x14ac:dyDescent="0.2">
      <c r="A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row>
    <row r="97" spans="1:51" x14ac:dyDescent="0.2">
      <c r="A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row>
    <row r="98" spans="1:51" x14ac:dyDescent="0.2">
      <c r="A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row>
    <row r="99" spans="1:51" x14ac:dyDescent="0.2">
      <c r="A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row>
    <row r="100" spans="1:51" x14ac:dyDescent="0.2">
      <c r="A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row>
    <row r="101" spans="1:51" x14ac:dyDescent="0.2">
      <c r="A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row>
    <row r="102" spans="1:51" x14ac:dyDescent="0.2">
      <c r="A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row>
    <row r="103" spans="1:51" x14ac:dyDescent="0.2">
      <c r="A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row>
    <row r="104" spans="1:51" x14ac:dyDescent="0.2">
      <c r="A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row>
    <row r="105" spans="1:51" x14ac:dyDescent="0.2">
      <c r="A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row>
    <row r="106" spans="1:51" x14ac:dyDescent="0.2">
      <c r="A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row>
    <row r="107" spans="1:51" x14ac:dyDescent="0.2">
      <c r="A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row>
    <row r="108" spans="1:51" x14ac:dyDescent="0.2">
      <c r="A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row>
    <row r="109" spans="1:51" x14ac:dyDescent="0.2">
      <c r="A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row>
    <row r="110" spans="1:51" x14ac:dyDescent="0.2">
      <c r="A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row>
    <row r="111" spans="1:51" x14ac:dyDescent="0.2">
      <c r="A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row>
    <row r="112" spans="1:51" x14ac:dyDescent="0.2">
      <c r="A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row>
    <row r="113" spans="1:51" x14ac:dyDescent="0.2">
      <c r="A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row>
    <row r="114" spans="1:51" x14ac:dyDescent="0.2">
      <c r="A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row>
    <row r="115" spans="1:51" x14ac:dyDescent="0.2">
      <c r="A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row>
    <row r="116" spans="1:51" x14ac:dyDescent="0.2">
      <c r="A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row>
    <row r="117" spans="1:51" x14ac:dyDescent="0.2">
      <c r="A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row>
    <row r="118" spans="1:51" x14ac:dyDescent="0.2">
      <c r="A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row>
    <row r="119" spans="1:51" x14ac:dyDescent="0.2">
      <c r="A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row>
    <row r="120" spans="1:51" x14ac:dyDescent="0.2">
      <c r="A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row>
    <row r="121" spans="1:51" x14ac:dyDescent="0.2">
      <c r="A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row>
    <row r="122" spans="1:51" x14ac:dyDescent="0.2">
      <c r="A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row>
    <row r="123" spans="1:51" x14ac:dyDescent="0.2">
      <c r="A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row>
    <row r="124" spans="1:51" x14ac:dyDescent="0.2">
      <c r="A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row>
    <row r="125" spans="1:51" x14ac:dyDescent="0.2">
      <c r="A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row>
    <row r="126" spans="1:51" x14ac:dyDescent="0.2">
      <c r="A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row>
    <row r="127" spans="1:51" x14ac:dyDescent="0.2">
      <c r="A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row>
    <row r="128" spans="1:51" x14ac:dyDescent="0.2">
      <c r="A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row>
    <row r="129" spans="1:51" x14ac:dyDescent="0.2">
      <c r="A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row>
    <row r="130" spans="1:51" x14ac:dyDescent="0.2">
      <c r="A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row>
    <row r="131" spans="1:51" x14ac:dyDescent="0.2">
      <c r="A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row>
    <row r="132" spans="1:51" x14ac:dyDescent="0.2">
      <c r="A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row>
    <row r="133" spans="1:51" x14ac:dyDescent="0.2">
      <c r="A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row>
    <row r="134" spans="1:51" x14ac:dyDescent="0.2">
      <c r="A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row>
    <row r="135" spans="1:51" x14ac:dyDescent="0.2">
      <c r="A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row>
    <row r="136" spans="1:51" x14ac:dyDescent="0.2">
      <c r="A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row>
    <row r="137" spans="1:51" x14ac:dyDescent="0.2">
      <c r="A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row>
    <row r="138" spans="1:51" x14ac:dyDescent="0.2">
      <c r="A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row>
    <row r="139" spans="1:51" x14ac:dyDescent="0.2">
      <c r="A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row>
    <row r="140" spans="1:51" x14ac:dyDescent="0.2">
      <c r="A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row>
    <row r="141" spans="1:51" x14ac:dyDescent="0.2">
      <c r="A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row>
    <row r="142" spans="1:51" x14ac:dyDescent="0.2">
      <c r="A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row>
    <row r="143" spans="1:51" x14ac:dyDescent="0.2">
      <c r="A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row>
    <row r="144" spans="1:51" x14ac:dyDescent="0.2">
      <c r="A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row>
    <row r="145" spans="1:51" x14ac:dyDescent="0.2">
      <c r="A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row>
    <row r="146" spans="1:51" x14ac:dyDescent="0.2">
      <c r="A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row>
    <row r="147" spans="1:51" x14ac:dyDescent="0.2">
      <c r="A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row>
    <row r="148" spans="1:51" x14ac:dyDescent="0.2">
      <c r="A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row>
    <row r="149" spans="1:51" x14ac:dyDescent="0.2">
      <c r="A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row>
    <row r="150" spans="1:51" x14ac:dyDescent="0.2">
      <c r="A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row>
    <row r="151" spans="1:51" x14ac:dyDescent="0.2">
      <c r="A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row>
    <row r="152" spans="1:51" x14ac:dyDescent="0.2">
      <c r="A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row>
    <row r="153" spans="1:51" x14ac:dyDescent="0.2">
      <c r="A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row>
    <row r="154" spans="1:51" x14ac:dyDescent="0.2">
      <c r="A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row>
    <row r="155" spans="1:51" x14ac:dyDescent="0.2">
      <c r="A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row>
    <row r="156" spans="1:51" x14ac:dyDescent="0.2">
      <c r="A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row>
    <row r="157" spans="1:51" x14ac:dyDescent="0.2">
      <c r="A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row>
    <row r="158" spans="1:51" x14ac:dyDescent="0.2">
      <c r="A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row>
    <row r="159" spans="1:51" x14ac:dyDescent="0.2">
      <c r="A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row>
    <row r="160" spans="1:51" x14ac:dyDescent="0.2">
      <c r="A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row>
    <row r="161" spans="1:51" x14ac:dyDescent="0.2">
      <c r="A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row>
    <row r="162" spans="1:51" x14ac:dyDescent="0.2">
      <c r="A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row>
    <row r="163" spans="1:51" x14ac:dyDescent="0.2">
      <c r="A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row>
    <row r="164" spans="1:51" x14ac:dyDescent="0.2">
      <c r="A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row>
    <row r="165" spans="1:51" x14ac:dyDescent="0.2">
      <c r="A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row>
    <row r="166" spans="1:51" x14ac:dyDescent="0.2">
      <c r="A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row>
    <row r="167" spans="1:51" x14ac:dyDescent="0.2">
      <c r="A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row>
    <row r="168" spans="1:51" x14ac:dyDescent="0.2">
      <c r="A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row>
    <row r="169" spans="1:51" x14ac:dyDescent="0.2">
      <c r="A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row>
    <row r="170" spans="1:51" x14ac:dyDescent="0.2">
      <c r="A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row>
    <row r="171" spans="1:51" x14ac:dyDescent="0.2">
      <c r="A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row>
    <row r="172" spans="1:51" x14ac:dyDescent="0.2">
      <c r="A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row>
    <row r="173" spans="1:51" x14ac:dyDescent="0.2">
      <c r="A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row>
    <row r="174" spans="1:51" x14ac:dyDescent="0.2">
      <c r="A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row>
    <row r="175" spans="1:51" x14ac:dyDescent="0.2">
      <c r="A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row>
    <row r="176" spans="1:51" x14ac:dyDescent="0.2">
      <c r="A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row>
    <row r="177" spans="1:51" x14ac:dyDescent="0.2">
      <c r="A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row>
    <row r="178" spans="1:51" x14ac:dyDescent="0.2">
      <c r="A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row>
    <row r="179" spans="1:51" x14ac:dyDescent="0.2">
      <c r="A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row>
    <row r="180" spans="1:51" x14ac:dyDescent="0.2">
      <c r="A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row>
    <row r="181" spans="1:51" x14ac:dyDescent="0.2">
      <c r="A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row>
    <row r="182" spans="1:51" x14ac:dyDescent="0.2">
      <c r="A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row>
    <row r="183" spans="1:51" x14ac:dyDescent="0.2">
      <c r="A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row>
    <row r="184" spans="1:51" x14ac:dyDescent="0.2">
      <c r="A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row>
    <row r="185" spans="1:51" x14ac:dyDescent="0.2">
      <c r="A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row>
    <row r="186" spans="1:51" x14ac:dyDescent="0.2">
      <c r="A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row>
    <row r="187" spans="1:51" x14ac:dyDescent="0.2">
      <c r="A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row>
    <row r="188" spans="1:51" x14ac:dyDescent="0.2">
      <c r="A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row>
    <row r="189" spans="1:51" x14ac:dyDescent="0.2">
      <c r="A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row>
    <row r="190" spans="1:51" x14ac:dyDescent="0.2">
      <c r="A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row>
    <row r="191" spans="1:51" x14ac:dyDescent="0.2">
      <c r="A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row>
    <row r="192" spans="1:51" x14ac:dyDescent="0.2">
      <c r="A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row>
    <row r="193" spans="1:51" x14ac:dyDescent="0.2">
      <c r="A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row>
    <row r="194" spans="1:51" x14ac:dyDescent="0.2">
      <c r="A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row>
    <row r="195" spans="1:51" x14ac:dyDescent="0.2">
      <c r="A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row>
    <row r="196" spans="1:51" x14ac:dyDescent="0.2">
      <c r="A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row>
    <row r="197" spans="1:51" x14ac:dyDescent="0.2">
      <c r="A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row>
    <row r="198" spans="1:51" x14ac:dyDescent="0.2">
      <c r="A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row>
    <row r="199" spans="1:51" x14ac:dyDescent="0.2">
      <c r="A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row>
    <row r="200" spans="1:51" x14ac:dyDescent="0.2">
      <c r="A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row>
    <row r="201" spans="1:51" x14ac:dyDescent="0.2">
      <c r="A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row>
    <row r="202" spans="1:51" x14ac:dyDescent="0.2">
      <c r="A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row>
    <row r="203" spans="1:51" x14ac:dyDescent="0.2">
      <c r="A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row>
    <row r="204" spans="1:51" x14ac:dyDescent="0.2">
      <c r="A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row>
  </sheetData>
  <sheetProtection algorithmName="SHA-512" hashValue="vvlQOAcsOBGJIRvHyLZmPzSAXnFun86D/AKHKJS/Hxe5qR+cDjwx+q33ynxOZCgDyoEUjswZHW4AR5joh53cFg==" saltValue="XCa/gavNHIaWiQNU6TTcyQ==" spinCount="100000" sheet="1" selectLockedCells="1"/>
  <mergeCells count="2">
    <mergeCell ref="B2:T2"/>
    <mergeCell ref="L3:O3"/>
  </mergeCells>
  <conditionalFormatting sqref="L5:O54">
    <cfRule type="expression" dxfId="285" priority="7">
      <formula>OR($E5="", $F5=0)</formula>
    </cfRule>
  </conditionalFormatting>
  <conditionalFormatting sqref="E6:W54">
    <cfRule type="expression" dxfId="284" priority="3">
      <formula>IF($E$5="Building Area Method",1,)</formula>
    </cfRule>
  </conditionalFormatting>
  <conditionalFormatting sqref="F5:F54 H5:I54 L5:O54">
    <cfRule type="expression" dxfId="283" priority="1">
      <formula>IF($E5&lt;&gt;"",1,)</formula>
    </cfRule>
  </conditionalFormatting>
  <conditionalFormatting sqref="G5:G54">
    <cfRule type="expression" dxfId="282" priority="2">
      <formula>IF(E5="Space By Space Method",1,)</formula>
    </cfRule>
  </conditionalFormatting>
  <dataValidations count="2">
    <dataValidation type="list" showInputMessage="1" showErrorMessage="1" sqref="G5:G54" xr:uid="{244F8586-2DFE-483F-A414-C8B3D310A971}">
      <formula1>INDIRECT(SUBSTITUTE(SUBSTITUTE(F5," ",""),"/",""))</formula1>
    </dataValidation>
    <dataValidation type="list" showInputMessage="1" showErrorMessage="1" sqref="F5:F54" xr:uid="{901D9504-0B80-44B9-86CF-8CC745F15720}">
      <formula1>INDIRECT(_xlfn.CONCAT("List_",SUBSTITUTE(E5," ","")))</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909C915E-E3A5-4A54-8005-D42C2ABF76AD}">
          <x14:formula1>
            <xm:f>References!$P$53:$P$54</xm:f>
          </x14:formula1>
          <xm:sqref>E5:E54</xm:sqref>
        </x14:dataValidation>
        <x14:dataValidation type="list" allowBlank="1" showInputMessage="1" showErrorMessage="1" xr:uid="{8C177CF8-E798-4566-99D5-1710C4EED5A7}">
          <x14:formula1>
            <xm:f>References!$Q$44:$Q$50</xm:f>
          </x14:formula1>
          <xm:sqref>H5:H54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663D-9A17-438A-A9BC-702C816A7FEA}">
  <sheetPr>
    <tabColor theme="3"/>
  </sheetPr>
  <dimension ref="A1:AY205"/>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5703125" style="253" customWidth="1"/>
    <col min="4" max="4" width="17.140625" style="253" customWidth="1"/>
    <col min="5" max="5" width="29.85546875" style="253" customWidth="1"/>
    <col min="6" max="11" width="19.7109375" style="268" customWidth="1"/>
    <col min="12" max="12" width="13.28515625" style="253" customWidth="1"/>
    <col min="13" max="13" width="11.85546875" style="253" customWidth="1"/>
    <col min="14" max="14" width="13.5703125" style="253" customWidth="1"/>
    <col min="15" max="15" width="11.28515625" style="253" bestFit="1" customWidth="1"/>
    <col min="16" max="16" width="10" style="253" customWidth="1"/>
    <col min="17" max="17" width="11" style="253" customWidth="1"/>
    <col min="18" max="18" width="12" style="253" customWidth="1"/>
    <col min="19" max="19" width="13.140625" style="253" customWidth="1"/>
    <col min="20" max="20" width="10.28515625" style="253" customWidth="1"/>
    <col min="21" max="21" width="12.28515625" style="253" customWidth="1"/>
    <col min="22" max="22" width="13.42578125" style="253" customWidth="1"/>
    <col min="23" max="23" width="14.140625" style="253" customWidth="1"/>
    <col min="24" max="16384" width="9.140625" style="253"/>
  </cols>
  <sheetData>
    <row r="1" spans="1:51" ht="38.25" customHeight="1" x14ac:dyDescent="0.2"/>
    <row r="2" spans="1:51" ht="37.5" customHeight="1" x14ac:dyDescent="0.2">
      <c r="B2" s="374" t="s">
        <v>743</v>
      </c>
      <c r="C2" s="374"/>
      <c r="D2" s="374"/>
      <c r="E2" s="374"/>
      <c r="F2" s="374"/>
      <c r="G2" s="374"/>
      <c r="H2" s="374"/>
      <c r="I2" s="374"/>
      <c r="J2" s="374"/>
      <c r="K2" s="374"/>
      <c r="L2" s="374"/>
      <c r="M2" s="374"/>
      <c r="N2" s="374"/>
      <c r="O2" s="374"/>
      <c r="P2" s="374"/>
      <c r="Q2" s="374"/>
      <c r="R2" s="374"/>
      <c r="S2" s="374"/>
      <c r="T2" s="374"/>
      <c r="U2" s="300"/>
      <c r="V2" s="300"/>
      <c r="W2" s="300"/>
    </row>
    <row r="3" spans="1:51" x14ac:dyDescent="0.2">
      <c r="A3" s="269"/>
      <c r="D3" s="264"/>
      <c r="E3" s="270"/>
      <c r="L3" s="380" t="s">
        <v>31</v>
      </c>
      <c r="M3" s="380"/>
      <c r="N3" s="380"/>
      <c r="O3" s="380"/>
      <c r="P3" s="271" t="s">
        <v>32</v>
      </c>
      <c r="Q3" s="286">
        <f>SUM(Q$5:Q$54)</f>
        <v>0</v>
      </c>
      <c r="R3" s="287">
        <f>SUM(R$5:R$54)</f>
        <v>0</v>
      </c>
      <c r="S3" s="288">
        <f>SUM(S$5:S$54)</f>
        <v>0</v>
      </c>
      <c r="T3" s="289">
        <f>SUM(T$5:T$54)</f>
        <v>0</v>
      </c>
      <c r="U3" s="289">
        <f>SUM(Table_PrescriptLights_Input56[Gross measure cost])</f>
        <v>0</v>
      </c>
      <c r="V3" s="289">
        <f>SUM(V$5:V$54)</f>
        <v>0</v>
      </c>
      <c r="W3" s="272" t="str">
        <f>IFERROR(V3/T3,"")</f>
        <v/>
      </c>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s="245" customFormat="1" ht="38.25" x14ac:dyDescent="0.2">
      <c r="A4" s="292"/>
      <c r="B4" s="293" t="s">
        <v>801</v>
      </c>
      <c r="C4" s="294" t="s">
        <v>723</v>
      </c>
      <c r="D4" s="295" t="s">
        <v>724</v>
      </c>
      <c r="E4" s="294" t="s">
        <v>744</v>
      </c>
      <c r="F4" s="290" t="s">
        <v>745</v>
      </c>
      <c r="G4" s="290" t="s">
        <v>606</v>
      </c>
      <c r="H4" s="290" t="s">
        <v>746</v>
      </c>
      <c r="I4" s="290" t="s">
        <v>747</v>
      </c>
      <c r="J4" s="290" t="s">
        <v>748</v>
      </c>
      <c r="K4" s="290" t="s">
        <v>749</v>
      </c>
      <c r="L4" s="296" t="s">
        <v>731</v>
      </c>
      <c r="M4" s="296" t="s">
        <v>742</v>
      </c>
      <c r="N4" s="297" t="s">
        <v>732</v>
      </c>
      <c r="O4" s="297" t="s">
        <v>733</v>
      </c>
      <c r="P4" s="290" t="s">
        <v>734</v>
      </c>
      <c r="Q4" s="290" t="s">
        <v>735</v>
      </c>
      <c r="R4" s="290" t="s">
        <v>736</v>
      </c>
      <c r="S4" s="290" t="s">
        <v>737</v>
      </c>
      <c r="T4" s="290" t="s">
        <v>738</v>
      </c>
      <c r="U4" s="290" t="s">
        <v>739</v>
      </c>
      <c r="V4" s="290" t="s">
        <v>740</v>
      </c>
      <c r="W4" s="290" t="s">
        <v>741</v>
      </c>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row>
    <row r="5" spans="1:51" x14ac:dyDescent="0.2">
      <c r="A5" s="273"/>
      <c r="B5" s="274">
        <v>1</v>
      </c>
      <c r="C5" s="275" t="str">
        <f>IF(ISBLANK($E5)=TRUE,"",References!$F$13)</f>
        <v/>
      </c>
      <c r="D5" s="298"/>
      <c r="E5" s="299"/>
      <c r="F5" s="276"/>
      <c r="G5" s="276"/>
      <c r="H5" s="275" t="str" cm="1">
        <f t="array" ref="H5">IFERROR(INDEX(References!$AA$108:$AA$130,MATCH(1,(Table_PrescriptLights_Input56[[#This Row],[Exterior space type]]=References!$W$108:$W$130)*(Table_PrescriptLights_Input56[[#This Row],[Space sub-type]]=References!$X$108:$X$130),0)),"")</f>
        <v/>
      </c>
      <c r="I5" s="275" t="str" cm="1">
        <f t="array" ref="I5">IFERROR(INDEX(References!$Y$108:$Y$130,MATCH(1,(Table_PrescriptLights_Input56[[#This Row],[Exterior space type]]=References!$W$108:$W$130)*(Table_PrescriptLights_Input56[[#This Row],[Space sub-type]]=References!$X$108:$X$130),0)),"")</f>
        <v/>
      </c>
      <c r="J5" s="275" t="str" cm="1">
        <f t="array" ref="J5">IFERROR(INDEX(References!$Z$108:$Z$130,MATCH(1,(Table_PrescriptLights_Input56[[#This Row],[Exterior space type]]=References!$W$108:$W$130)*(Table_PrescriptLights_Input56[[#This Row],[Space sub-type]]=References!$X$108:$X$130),0)),"")</f>
        <v/>
      </c>
      <c r="K5" s="275" t="str">
        <f>IFERROR(Table_PrescriptLights_Input56[[#This Row],[Per-unit allowance (W)]]*Table_PrescriptLights_Input56[[#This Row],[Quantity ]],"")</f>
        <v/>
      </c>
      <c r="L5" s="301"/>
      <c r="M5" s="302"/>
      <c r="N5" s="303"/>
      <c r="O5" s="303"/>
      <c r="P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 s="283" t="str">
        <f>IFERROR(Table_PrescriptLights_Input56[[#This Row],[Per-unit incentive]]*(Table_PrescriptLights_Input56[[#This Row],[Total allowance (W)]]-Table_PrescriptLights_Input56[[#This Row],[Total proposed wattage]]),"")</f>
        <v/>
      </c>
      <c r="R5" s="284" t="str">
        <f>IFERROR((Table_PrescriptLights_Input56[[#This Row],[Total allowance (W)]]-Table_PrescriptLights_Input56[[#This Row],[Total proposed wattage]])/1000*Value_ExtLtgAOH,"")</f>
        <v/>
      </c>
      <c r="S5" s="285" t="str">
        <f t="shared" ref="S5:S36" si="0">IFERROR(($K5-$L5)/1000*Value_ExtLtgCF,"")</f>
        <v/>
      </c>
      <c r="T5" s="283" t="str">
        <f>IFERROR(Table_PrescriptLights_Input56[[#This Row],[Energy savings (kWh)]]*Input_AvgkWhRate, "")</f>
        <v/>
      </c>
      <c r="U5" s="283" t="str">
        <f>IF(Table_PrescriptLights_Input56[[#This Row],[Exterior space type]]="", "",Table_PrescriptLights_Input56[[#This Row],[Total equipment cost]]+Table_PrescriptLights_Input56[[#This Row],[Total labor cost]])</f>
        <v/>
      </c>
      <c r="V5" s="283" t="str">
        <f>IFERROR(Table_PrescriptLights_Input56[[#This Row],[Gross measure cost]]-Table_PrescriptLights_Input56[[#This Row],[Estimated incentive]], "")</f>
        <v/>
      </c>
      <c r="W5" s="284" t="str">
        <f t="shared" ref="W5:W54" si="1">IFERROR($V5/$T5,"")</f>
        <v/>
      </c>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row>
    <row r="6" spans="1:51" x14ac:dyDescent="0.2">
      <c r="A6" s="273"/>
      <c r="B6" s="274">
        <v>2</v>
      </c>
      <c r="C6" s="275" t="str">
        <f>IF(ISBLANK($E6)=TRUE,"",References!$F$13)</f>
        <v/>
      </c>
      <c r="D6" s="298"/>
      <c r="E6" s="299"/>
      <c r="F6" s="276"/>
      <c r="G6" s="276"/>
      <c r="H6" s="275" t="str" cm="1">
        <f t="array" ref="H6">IFERROR(INDEX(References!$AA$108:$AA$130,MATCH(1,(Table_PrescriptLights_Input56[[#This Row],[Exterior space type]]=References!$W$108:$W$130)*(Table_PrescriptLights_Input56[[#This Row],[Space sub-type]]=References!$X$108:$X$130),0)),"")</f>
        <v/>
      </c>
      <c r="I6" s="275" t="str" cm="1">
        <f t="array" ref="I6">IFERROR(INDEX(References!$Y$108:$Y$130,MATCH(1,(Table_PrescriptLights_Input56[[#This Row],[Exterior space type]]=References!$W$108:$W$130)*(Table_PrescriptLights_Input56[[#This Row],[Space sub-type]]=References!$X$108:$X$130),0)),"")</f>
        <v/>
      </c>
      <c r="J6" s="275" t="str" cm="1">
        <f t="array" ref="J6">IFERROR(INDEX(References!$Z$108:$Z$130,MATCH(1,(Table_PrescriptLights_Input56[[#This Row],[Exterior space type]]=References!$W$108:$W$130)*(Table_PrescriptLights_Input56[[#This Row],[Space sub-type]]=References!$X$108:$X$130),0)),"")</f>
        <v/>
      </c>
      <c r="K6" s="275" t="str">
        <f>IFERROR(Table_PrescriptLights_Input56[[#This Row],[Per-unit allowance (W)]]*Table_PrescriptLights_Input56[[#This Row],[Quantity ]],"")</f>
        <v/>
      </c>
      <c r="L6" s="301"/>
      <c r="M6" s="302"/>
      <c r="N6" s="303"/>
      <c r="O6" s="303"/>
      <c r="P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6" s="283" t="str">
        <f>IFERROR(Table_PrescriptLights_Input56[[#This Row],[Per-unit incentive]]*(Table_PrescriptLights_Input56[[#This Row],[Total allowance (W)]]-Table_PrescriptLights_Input56[[#This Row],[Total proposed wattage]]),"")</f>
        <v/>
      </c>
      <c r="R6" s="284" t="str">
        <f>IFERROR((Table_PrescriptLights_Input56[[#This Row],[Total allowance (W)]]-Table_PrescriptLights_Input56[[#This Row],[Total proposed wattage]])/1000*Value_ExtLtgAOH,"")</f>
        <v/>
      </c>
      <c r="S6" s="285" t="str">
        <f t="shared" si="0"/>
        <v/>
      </c>
      <c r="T6" s="283" t="str">
        <f>IFERROR(Table_PrescriptLights_Input56[[#This Row],[Energy savings (kWh)]]*Input_AvgkWhRate, "")</f>
        <v/>
      </c>
      <c r="U6" s="283" t="str">
        <f>IF(Table_PrescriptLights_Input56[[#This Row],[Exterior space type]]="", "",Table_PrescriptLights_Input56[[#This Row],[Total equipment cost]]+Table_PrescriptLights_Input56[[#This Row],[Total labor cost]])</f>
        <v/>
      </c>
      <c r="V6" s="283" t="str">
        <f>IFERROR(Table_PrescriptLights_Input56[[#This Row],[Gross measure cost]]-Table_PrescriptLights_Input56[[#This Row],[Estimated incentive]], "")</f>
        <v/>
      </c>
      <c r="W6" s="284" t="str">
        <f t="shared" si="1"/>
        <v/>
      </c>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1" x14ac:dyDescent="0.2">
      <c r="A7" s="273"/>
      <c r="B7" s="274">
        <v>3</v>
      </c>
      <c r="C7" s="275" t="str">
        <f>IF(ISBLANK($E7)=TRUE,"",References!$F$13)</f>
        <v/>
      </c>
      <c r="D7" s="298"/>
      <c r="E7" s="299"/>
      <c r="F7" s="276"/>
      <c r="G7" s="276"/>
      <c r="H7" s="275" t="str" cm="1">
        <f t="array" ref="H7">IFERROR(INDEX(References!$AA$108:$AA$130,MATCH(1,(Table_PrescriptLights_Input56[[#This Row],[Exterior space type]]=References!$W$108:$W$130)*(Table_PrescriptLights_Input56[[#This Row],[Space sub-type]]=References!$X$108:$X$130),0)),"")</f>
        <v/>
      </c>
      <c r="I7" s="275" t="str" cm="1">
        <f t="array" ref="I7">IFERROR(INDEX(References!$Y$108:$Y$130,MATCH(1,(Table_PrescriptLights_Input56[[#This Row],[Exterior space type]]=References!$W$108:$W$130)*(Table_PrescriptLights_Input56[[#This Row],[Space sub-type]]=References!$X$108:$X$130),0)),"")</f>
        <v/>
      </c>
      <c r="J7" s="275" t="str" cm="1">
        <f t="array" ref="J7">IFERROR(INDEX(References!$Z$108:$Z$130,MATCH(1,(Table_PrescriptLights_Input56[[#This Row],[Exterior space type]]=References!$W$108:$W$130)*(Table_PrescriptLights_Input56[[#This Row],[Space sub-type]]=References!$X$108:$X$130),0)),"")</f>
        <v/>
      </c>
      <c r="K7" s="275" t="str">
        <f>IFERROR(Table_PrescriptLights_Input56[[#This Row],[Per-unit allowance (W)]]*Table_PrescriptLights_Input56[[#This Row],[Quantity ]],"")</f>
        <v/>
      </c>
      <c r="L7" s="301"/>
      <c r="M7" s="302"/>
      <c r="N7" s="303"/>
      <c r="O7" s="303"/>
      <c r="P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7" s="283" t="str">
        <f>IFERROR(Table_PrescriptLights_Input56[[#This Row],[Per-unit incentive]]*(Table_PrescriptLights_Input56[[#This Row],[Total allowance (W)]]-Table_PrescriptLights_Input56[[#This Row],[Total proposed wattage]]),"")</f>
        <v/>
      </c>
      <c r="R7" s="284" t="str">
        <f>IFERROR((Table_PrescriptLights_Input56[[#This Row],[Total allowance (W)]]-Table_PrescriptLights_Input56[[#This Row],[Total proposed wattage]])/1000*Value_ExtLtgAOH,"")</f>
        <v/>
      </c>
      <c r="S7" s="285" t="str">
        <f t="shared" si="0"/>
        <v/>
      </c>
      <c r="T7" s="283" t="str">
        <f>IFERROR(Table_PrescriptLights_Input56[[#This Row],[Energy savings (kWh)]]*Input_AvgkWhRate, "")</f>
        <v/>
      </c>
      <c r="U7" s="283" t="str">
        <f>IF(Table_PrescriptLights_Input56[[#This Row],[Exterior space type]]="", "",Table_PrescriptLights_Input56[[#This Row],[Total equipment cost]]+Table_PrescriptLights_Input56[[#This Row],[Total labor cost]])</f>
        <v/>
      </c>
      <c r="V7" s="283" t="str">
        <f>IFERROR(Table_PrescriptLights_Input56[[#This Row],[Gross measure cost]]-Table_PrescriptLights_Input56[[#This Row],[Estimated incentive]], "")</f>
        <v/>
      </c>
      <c r="W7" s="284" t="str">
        <f t="shared" si="1"/>
        <v/>
      </c>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row>
    <row r="8" spans="1:51" x14ac:dyDescent="0.2">
      <c r="A8" s="273"/>
      <c r="B8" s="274">
        <v>4</v>
      </c>
      <c r="C8" s="275" t="str">
        <f>IF(ISBLANK($E8)=TRUE,"",References!$F$13)</f>
        <v/>
      </c>
      <c r="D8" s="298"/>
      <c r="E8" s="299"/>
      <c r="F8" s="276"/>
      <c r="G8" s="276"/>
      <c r="H8" s="275" t="str" cm="1">
        <f t="array" ref="H8">IFERROR(INDEX(References!$AA$108:$AA$130,MATCH(1,(Table_PrescriptLights_Input56[[#This Row],[Exterior space type]]=References!$W$108:$W$130)*(Table_PrescriptLights_Input56[[#This Row],[Space sub-type]]=References!$X$108:$X$130),0)),"")</f>
        <v/>
      </c>
      <c r="I8" s="275" t="str" cm="1">
        <f t="array" ref="I8">IFERROR(INDEX(References!$Y$108:$Y$130,MATCH(1,(Table_PrescriptLights_Input56[[#This Row],[Exterior space type]]=References!$W$108:$W$130)*(Table_PrescriptLights_Input56[[#This Row],[Space sub-type]]=References!$X$108:$X$130),0)),"")</f>
        <v/>
      </c>
      <c r="J8" s="275" t="str" cm="1">
        <f t="array" ref="J8">IFERROR(INDEX(References!$Z$108:$Z$130,MATCH(1,(Table_PrescriptLights_Input56[[#This Row],[Exterior space type]]=References!$W$108:$W$130)*(Table_PrescriptLights_Input56[[#This Row],[Space sub-type]]=References!$X$108:$X$130),0)),"")</f>
        <v/>
      </c>
      <c r="K8" s="275" t="str">
        <f>IFERROR(Table_PrescriptLights_Input56[[#This Row],[Per-unit allowance (W)]]*Table_PrescriptLights_Input56[[#This Row],[Quantity ]],"")</f>
        <v/>
      </c>
      <c r="L8" s="301"/>
      <c r="M8" s="302"/>
      <c r="N8" s="303"/>
      <c r="O8" s="303"/>
      <c r="P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8" s="283" t="str">
        <f>IFERROR(Table_PrescriptLights_Input56[[#This Row],[Per-unit incentive]]*(Table_PrescriptLights_Input56[[#This Row],[Total allowance (W)]]-Table_PrescriptLights_Input56[[#This Row],[Total proposed wattage]]),"")</f>
        <v/>
      </c>
      <c r="R8" s="284" t="str">
        <f>IFERROR((Table_PrescriptLights_Input56[[#This Row],[Total allowance (W)]]-Table_PrescriptLights_Input56[[#This Row],[Total proposed wattage]])/1000*Value_ExtLtgAOH,"")</f>
        <v/>
      </c>
      <c r="S8" s="285" t="str">
        <f t="shared" si="0"/>
        <v/>
      </c>
      <c r="T8" s="283" t="str">
        <f>IFERROR(Table_PrescriptLights_Input56[[#This Row],[Energy savings (kWh)]]*Input_AvgkWhRate, "")</f>
        <v/>
      </c>
      <c r="U8" s="283" t="str">
        <f>IF(Table_PrescriptLights_Input56[[#This Row],[Exterior space type]]="", "",Table_PrescriptLights_Input56[[#This Row],[Total equipment cost]]+Table_PrescriptLights_Input56[[#This Row],[Total labor cost]])</f>
        <v/>
      </c>
      <c r="V8" s="283" t="str">
        <f>IFERROR(Table_PrescriptLights_Input56[[#This Row],[Gross measure cost]]-Table_PrescriptLights_Input56[[#This Row],[Estimated incentive]], "")</f>
        <v/>
      </c>
      <c r="W8" s="284" t="str">
        <f t="shared" si="1"/>
        <v/>
      </c>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row>
    <row r="9" spans="1:51" x14ac:dyDescent="0.2">
      <c r="A9" s="273"/>
      <c r="B9" s="274">
        <v>5</v>
      </c>
      <c r="C9" s="275" t="str">
        <f>IF(ISBLANK($E9)=TRUE,"",References!$F$13)</f>
        <v/>
      </c>
      <c r="D9" s="298"/>
      <c r="E9" s="299"/>
      <c r="F9" s="276"/>
      <c r="G9" s="276"/>
      <c r="H9" s="275" t="str" cm="1">
        <f t="array" ref="H9">IFERROR(INDEX(References!$AA$108:$AA$130,MATCH(1,(Table_PrescriptLights_Input56[[#This Row],[Exterior space type]]=References!$W$108:$W$130)*(Table_PrescriptLights_Input56[[#This Row],[Space sub-type]]=References!$X$108:$X$130),0)),"")</f>
        <v/>
      </c>
      <c r="I9" s="275" t="str" cm="1">
        <f t="array" ref="I9">IFERROR(INDEX(References!$Y$108:$Y$130,MATCH(1,(Table_PrescriptLights_Input56[[#This Row],[Exterior space type]]=References!$W$108:$W$130)*(Table_PrescriptLights_Input56[[#This Row],[Space sub-type]]=References!$X$108:$X$130),0)),"")</f>
        <v/>
      </c>
      <c r="J9" s="275" t="str" cm="1">
        <f t="array" ref="J9">IFERROR(INDEX(References!$Z$108:$Z$130,MATCH(1,(Table_PrescriptLights_Input56[[#This Row],[Exterior space type]]=References!$W$108:$W$130)*(Table_PrescriptLights_Input56[[#This Row],[Space sub-type]]=References!$X$108:$X$130),0)),"")</f>
        <v/>
      </c>
      <c r="K9" s="275" t="str">
        <f>IFERROR(Table_PrescriptLights_Input56[[#This Row],[Per-unit allowance (W)]]*Table_PrescriptLights_Input56[[#This Row],[Quantity ]],"")</f>
        <v/>
      </c>
      <c r="L9" s="301"/>
      <c r="M9" s="302" t="str">
        <f>IFERROR(Table_PrescriptLights_Input56[[#This Row],[Total proposed wattage]]/Table_PrescriptLights_Input56[[#This Row],[Quantity ]],"")</f>
        <v/>
      </c>
      <c r="N9" s="303"/>
      <c r="O9" s="303"/>
      <c r="P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9" s="283" t="str">
        <f>IFERROR(Table_PrescriptLights_Input56[[#This Row],[Per-unit incentive]]*(Table_PrescriptLights_Input56[[#This Row],[Total allowance (W)]]-Table_PrescriptLights_Input56[[#This Row],[Total proposed wattage]]),"")</f>
        <v/>
      </c>
      <c r="R9" s="284" t="str">
        <f>IFERROR((Table_PrescriptLights_Input56[[#This Row],[Total allowance (W)]]-Table_PrescriptLights_Input56[[#This Row],[Total proposed wattage]])/1000*Value_ExtLtgAOH,"")</f>
        <v/>
      </c>
      <c r="S9" s="285" t="str">
        <f t="shared" si="0"/>
        <v/>
      </c>
      <c r="T9" s="283" t="str">
        <f>IFERROR(Table_PrescriptLights_Input56[[#This Row],[Energy savings (kWh)]]*Input_AvgkWhRate, "")</f>
        <v/>
      </c>
      <c r="U9" s="283" t="str">
        <f>IF(Table_PrescriptLights_Input56[[#This Row],[Exterior space type]]="", "",Table_PrescriptLights_Input56[[#This Row],[Total equipment cost]]+Table_PrescriptLights_Input56[[#This Row],[Total labor cost]])</f>
        <v/>
      </c>
      <c r="V9" s="283" t="str">
        <f>IFERROR(Table_PrescriptLights_Input56[[#This Row],[Gross measure cost]]-Table_PrescriptLights_Input56[[#This Row],[Estimated incentive]], "")</f>
        <v/>
      </c>
      <c r="W9" s="284" t="str">
        <f t="shared" si="1"/>
        <v/>
      </c>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row>
    <row r="10" spans="1:51" x14ac:dyDescent="0.2">
      <c r="A10" s="273"/>
      <c r="B10" s="274">
        <v>6</v>
      </c>
      <c r="C10" s="275" t="str">
        <f>IF(ISBLANK($E10)=TRUE,"",References!$F$13)</f>
        <v/>
      </c>
      <c r="D10" s="298"/>
      <c r="E10" s="299"/>
      <c r="F10" s="276"/>
      <c r="G10" s="276"/>
      <c r="H10" s="275" t="str" cm="1">
        <f t="array" ref="H10">IFERROR(INDEX(References!$AA$108:$AA$130,MATCH(1,(Table_PrescriptLights_Input56[[#This Row],[Exterior space type]]=References!$W$108:$W$130)*(Table_PrescriptLights_Input56[[#This Row],[Space sub-type]]=References!$X$108:$X$130),0)),"")</f>
        <v/>
      </c>
      <c r="I10" s="275" t="str" cm="1">
        <f t="array" ref="I10">IFERROR(INDEX(References!$Y$108:$Y$130,MATCH(1,(Table_PrescriptLights_Input56[[#This Row],[Exterior space type]]=References!$W$108:$W$130)*(Table_PrescriptLights_Input56[[#This Row],[Space sub-type]]=References!$X$108:$X$130),0)),"")</f>
        <v/>
      </c>
      <c r="J10" s="275" t="str" cm="1">
        <f t="array" ref="J10">IFERROR(INDEX(References!$Z$108:$Z$130,MATCH(1,(Table_PrescriptLights_Input56[[#This Row],[Exterior space type]]=References!$W$108:$W$130)*(Table_PrescriptLights_Input56[[#This Row],[Space sub-type]]=References!$X$108:$X$130),0)),"")</f>
        <v/>
      </c>
      <c r="K10" s="275" t="str">
        <f>IFERROR(Table_PrescriptLights_Input56[[#This Row],[Per-unit allowance (W)]]*Table_PrescriptLights_Input56[[#This Row],[Quantity ]],"")</f>
        <v/>
      </c>
      <c r="L10" s="301"/>
      <c r="M10" s="302" t="str">
        <f>IFERROR(Table_PrescriptLights_Input56[[#This Row],[Total proposed wattage]]/Table_PrescriptLights_Input56[[#This Row],[Quantity ]],"")</f>
        <v/>
      </c>
      <c r="N10" s="303"/>
      <c r="O10" s="303"/>
      <c r="P1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0" s="283" t="str">
        <f>IFERROR(Table_PrescriptLights_Input56[[#This Row],[Per-unit incentive]]*(Table_PrescriptLights_Input56[[#This Row],[Total allowance (W)]]-Table_PrescriptLights_Input56[[#This Row],[Total proposed wattage]]),"")</f>
        <v/>
      </c>
      <c r="R10" s="284" t="str">
        <f>IFERROR((Table_PrescriptLights_Input56[[#This Row],[Total allowance (W)]]-Table_PrescriptLights_Input56[[#This Row],[Total proposed wattage]])/1000*Value_ExtLtgAOH,"")</f>
        <v/>
      </c>
      <c r="S10" s="285" t="str">
        <f t="shared" si="0"/>
        <v/>
      </c>
      <c r="T10" s="283" t="str">
        <f>IFERROR(Table_PrescriptLights_Input56[[#This Row],[Energy savings (kWh)]]*Input_AvgkWhRate, "")</f>
        <v/>
      </c>
      <c r="U10" s="283" t="str">
        <f>IF(Table_PrescriptLights_Input56[[#This Row],[Exterior space type]]="", "",Table_PrescriptLights_Input56[[#This Row],[Total equipment cost]]+Table_PrescriptLights_Input56[[#This Row],[Total labor cost]])</f>
        <v/>
      </c>
      <c r="V10" s="283" t="str">
        <f>IFERROR(Table_PrescriptLights_Input56[[#This Row],[Gross measure cost]]-Table_PrescriptLights_Input56[[#This Row],[Estimated incentive]], "")</f>
        <v/>
      </c>
      <c r="W10" s="284" t="str">
        <f t="shared" si="1"/>
        <v/>
      </c>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1:51" x14ac:dyDescent="0.2">
      <c r="A11" s="273"/>
      <c r="B11" s="274">
        <v>7</v>
      </c>
      <c r="C11" s="275" t="str">
        <f>IF(ISBLANK($E11)=TRUE,"",References!$F$13)</f>
        <v/>
      </c>
      <c r="D11" s="298"/>
      <c r="E11" s="299"/>
      <c r="F11" s="276"/>
      <c r="G11" s="276"/>
      <c r="H11" s="275" t="str" cm="1">
        <f t="array" ref="H11">IFERROR(INDEX(References!$AA$108:$AA$130,MATCH(1,(Table_PrescriptLights_Input56[[#This Row],[Exterior space type]]=References!$W$108:$W$130)*(Table_PrescriptLights_Input56[[#This Row],[Space sub-type]]=References!$X$108:$X$130),0)),"")</f>
        <v/>
      </c>
      <c r="I11" s="275" t="str" cm="1">
        <f t="array" ref="I11">IFERROR(INDEX(References!$Y$108:$Y$130,MATCH(1,(Table_PrescriptLights_Input56[[#This Row],[Exterior space type]]=References!$W$108:$W$130)*(Table_PrescriptLights_Input56[[#This Row],[Space sub-type]]=References!$X$108:$X$130),0)),"")</f>
        <v/>
      </c>
      <c r="J11" s="275" t="str" cm="1">
        <f t="array" ref="J11">IFERROR(INDEX(References!$Z$108:$Z$130,MATCH(1,(Table_PrescriptLights_Input56[[#This Row],[Exterior space type]]=References!$W$108:$W$130)*(Table_PrescriptLights_Input56[[#This Row],[Space sub-type]]=References!$X$108:$X$130),0)),"")</f>
        <v/>
      </c>
      <c r="K11" s="275" t="str">
        <f>IFERROR(Table_PrescriptLights_Input56[[#This Row],[Per-unit allowance (W)]]*Table_PrescriptLights_Input56[[#This Row],[Quantity ]],"")</f>
        <v/>
      </c>
      <c r="L11" s="301"/>
      <c r="M11" s="302" t="str">
        <f>IFERROR(Table_PrescriptLights_Input56[[#This Row],[Total proposed wattage]]/Table_PrescriptLights_Input56[[#This Row],[Quantity ]],"")</f>
        <v/>
      </c>
      <c r="N11" s="303"/>
      <c r="O11" s="303"/>
      <c r="P1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1" s="283" t="str">
        <f>IFERROR(Table_PrescriptLights_Input56[[#This Row],[Per-unit incentive]]*(Table_PrescriptLights_Input56[[#This Row],[Total allowance (W)]]-Table_PrescriptLights_Input56[[#This Row],[Total proposed wattage]]),"")</f>
        <v/>
      </c>
      <c r="R11" s="284" t="str">
        <f>IFERROR((Table_PrescriptLights_Input56[[#This Row],[Total allowance (W)]]-Table_PrescriptLights_Input56[[#This Row],[Total proposed wattage]])/1000*Value_ExtLtgAOH,"")</f>
        <v/>
      </c>
      <c r="S11" s="285" t="str">
        <f t="shared" si="0"/>
        <v/>
      </c>
      <c r="T11" s="283" t="str">
        <f>IFERROR(Table_PrescriptLights_Input56[[#This Row],[Energy savings (kWh)]]*Input_AvgkWhRate, "")</f>
        <v/>
      </c>
      <c r="U11" s="283" t="str">
        <f>IF(Table_PrescriptLights_Input56[[#This Row],[Exterior space type]]="", "",Table_PrescriptLights_Input56[[#This Row],[Total equipment cost]]+Table_PrescriptLights_Input56[[#This Row],[Total labor cost]])</f>
        <v/>
      </c>
      <c r="V11" s="283" t="str">
        <f>IFERROR(Table_PrescriptLights_Input56[[#This Row],[Gross measure cost]]-Table_PrescriptLights_Input56[[#This Row],[Estimated incentive]], "")</f>
        <v/>
      </c>
      <c r="W11" s="284" t="str">
        <f t="shared" si="1"/>
        <v/>
      </c>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row>
    <row r="12" spans="1:51" x14ac:dyDescent="0.2">
      <c r="A12" s="273"/>
      <c r="B12" s="274">
        <v>8</v>
      </c>
      <c r="C12" s="275" t="str">
        <f>IF(ISBLANK($E12)=TRUE,"",References!$F$13)</f>
        <v/>
      </c>
      <c r="D12" s="298"/>
      <c r="E12" s="299"/>
      <c r="F12" s="276"/>
      <c r="G12" s="276"/>
      <c r="H12" s="275" t="str" cm="1">
        <f t="array" ref="H12">IFERROR(INDEX(References!$AA$108:$AA$130,MATCH(1,(Table_PrescriptLights_Input56[[#This Row],[Exterior space type]]=References!$W$108:$W$130)*(Table_PrescriptLights_Input56[[#This Row],[Space sub-type]]=References!$X$108:$X$130),0)),"")</f>
        <v/>
      </c>
      <c r="I12" s="275" t="str" cm="1">
        <f t="array" ref="I12">IFERROR(INDEX(References!$Y$108:$Y$130,MATCH(1,(Table_PrescriptLights_Input56[[#This Row],[Exterior space type]]=References!$W$108:$W$130)*(Table_PrescriptLights_Input56[[#This Row],[Space sub-type]]=References!$X$108:$X$130),0)),"")</f>
        <v/>
      </c>
      <c r="J12" s="275" t="str" cm="1">
        <f t="array" ref="J12">IFERROR(INDEX(References!$Z$108:$Z$130,MATCH(1,(Table_PrescriptLights_Input56[[#This Row],[Exterior space type]]=References!$W$108:$W$130)*(Table_PrescriptLights_Input56[[#This Row],[Space sub-type]]=References!$X$108:$X$130),0)),"")</f>
        <v/>
      </c>
      <c r="K12" s="275" t="str">
        <f>IFERROR(Table_PrescriptLights_Input56[[#This Row],[Per-unit allowance (W)]]*Table_PrescriptLights_Input56[[#This Row],[Quantity ]],"")</f>
        <v/>
      </c>
      <c r="L12" s="301"/>
      <c r="M12" s="302" t="str">
        <f>IFERROR(Table_PrescriptLights_Input56[[#This Row],[Total proposed wattage]]/Table_PrescriptLights_Input56[[#This Row],[Quantity ]],"")</f>
        <v/>
      </c>
      <c r="N12" s="303"/>
      <c r="O12" s="303"/>
      <c r="P1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2" s="283" t="str">
        <f>IFERROR(Table_PrescriptLights_Input56[[#This Row],[Per-unit incentive]]*(Table_PrescriptLights_Input56[[#This Row],[Total allowance (W)]]-Table_PrescriptLights_Input56[[#This Row],[Total proposed wattage]]),"")</f>
        <v/>
      </c>
      <c r="R12" s="284" t="str">
        <f>IFERROR((Table_PrescriptLights_Input56[[#This Row],[Total allowance (W)]]-Table_PrescriptLights_Input56[[#This Row],[Total proposed wattage]])/1000*Value_ExtLtgAOH,"")</f>
        <v/>
      </c>
      <c r="S12" s="285" t="str">
        <f t="shared" si="0"/>
        <v/>
      </c>
      <c r="T12" s="283" t="str">
        <f>IFERROR(Table_PrescriptLights_Input56[[#This Row],[Energy savings (kWh)]]*Input_AvgkWhRate, "")</f>
        <v/>
      </c>
      <c r="U12" s="283" t="str">
        <f>IF(Table_PrescriptLights_Input56[[#This Row],[Exterior space type]]="", "",Table_PrescriptLights_Input56[[#This Row],[Total equipment cost]]+Table_PrescriptLights_Input56[[#This Row],[Total labor cost]])</f>
        <v/>
      </c>
      <c r="V12" s="283" t="str">
        <f>IFERROR(Table_PrescriptLights_Input56[[#This Row],[Gross measure cost]]-Table_PrescriptLights_Input56[[#This Row],[Estimated incentive]], "")</f>
        <v/>
      </c>
      <c r="W12" s="284" t="str">
        <f t="shared" si="1"/>
        <v/>
      </c>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row>
    <row r="13" spans="1:51" x14ac:dyDescent="0.2">
      <c r="A13" s="273"/>
      <c r="B13" s="274">
        <v>9</v>
      </c>
      <c r="C13" s="275" t="str">
        <f>IF(ISBLANK($E13)=TRUE,"",References!$F$13)</f>
        <v/>
      </c>
      <c r="D13" s="298"/>
      <c r="E13" s="299"/>
      <c r="F13" s="276"/>
      <c r="G13" s="276"/>
      <c r="H13" s="275" t="str" cm="1">
        <f t="array" ref="H13">IFERROR(INDEX(References!$AA$108:$AA$130,MATCH(1,(Table_PrescriptLights_Input56[[#This Row],[Exterior space type]]=References!$W$108:$W$130)*(Table_PrescriptLights_Input56[[#This Row],[Space sub-type]]=References!$X$108:$X$130),0)),"")</f>
        <v/>
      </c>
      <c r="I13" s="275" t="str" cm="1">
        <f t="array" ref="I13">IFERROR(INDEX(References!$Y$108:$Y$130,MATCH(1,(Table_PrescriptLights_Input56[[#This Row],[Exterior space type]]=References!$W$108:$W$130)*(Table_PrescriptLights_Input56[[#This Row],[Space sub-type]]=References!$X$108:$X$130),0)),"")</f>
        <v/>
      </c>
      <c r="J13" s="275" t="str" cm="1">
        <f t="array" ref="J13">IFERROR(INDEX(References!$Z$108:$Z$130,MATCH(1,(Table_PrescriptLights_Input56[[#This Row],[Exterior space type]]=References!$W$108:$W$130)*(Table_PrescriptLights_Input56[[#This Row],[Space sub-type]]=References!$X$108:$X$130),0)),"")</f>
        <v/>
      </c>
      <c r="K13" s="275" t="str">
        <f>IFERROR(Table_PrescriptLights_Input56[[#This Row],[Per-unit allowance (W)]]*Table_PrescriptLights_Input56[[#This Row],[Quantity ]],"")</f>
        <v/>
      </c>
      <c r="L13" s="301"/>
      <c r="M13" s="302" t="str">
        <f>IFERROR(Table_PrescriptLights_Input56[[#This Row],[Total proposed wattage]]/Table_PrescriptLights_Input56[[#This Row],[Quantity ]],"")</f>
        <v/>
      </c>
      <c r="N13" s="303"/>
      <c r="O13" s="303"/>
      <c r="P1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3" s="283" t="str">
        <f>IFERROR(Table_PrescriptLights_Input56[[#This Row],[Per-unit incentive]]*(Table_PrescriptLights_Input56[[#This Row],[Total allowance (W)]]-Table_PrescriptLights_Input56[[#This Row],[Total proposed wattage]]),"")</f>
        <v/>
      </c>
      <c r="R13" s="284" t="str">
        <f>IFERROR((Table_PrescriptLights_Input56[[#This Row],[Total allowance (W)]]-Table_PrescriptLights_Input56[[#This Row],[Total proposed wattage]])/1000*Value_ExtLtgAOH,"")</f>
        <v/>
      </c>
      <c r="S13" s="285" t="str">
        <f t="shared" si="0"/>
        <v/>
      </c>
      <c r="T13" s="283" t="str">
        <f>IFERROR(Table_PrescriptLights_Input56[[#This Row],[Energy savings (kWh)]]*Input_AvgkWhRate, "")</f>
        <v/>
      </c>
      <c r="U13" s="283" t="str">
        <f>IF(Table_PrescriptLights_Input56[[#This Row],[Exterior space type]]="", "",Table_PrescriptLights_Input56[[#This Row],[Total equipment cost]]+Table_PrescriptLights_Input56[[#This Row],[Total labor cost]])</f>
        <v/>
      </c>
      <c r="V13" s="283" t="str">
        <f>IFERROR(Table_PrescriptLights_Input56[[#This Row],[Gross measure cost]]-Table_PrescriptLights_Input56[[#This Row],[Estimated incentive]], "")</f>
        <v/>
      </c>
      <c r="W13" s="284" t="str">
        <f t="shared" si="1"/>
        <v/>
      </c>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row>
    <row r="14" spans="1:51" x14ac:dyDescent="0.2">
      <c r="A14" s="273"/>
      <c r="B14" s="274">
        <v>10</v>
      </c>
      <c r="C14" s="275" t="str">
        <f>IF(ISBLANK($E14)=TRUE,"",References!$F$13)</f>
        <v/>
      </c>
      <c r="D14" s="298"/>
      <c r="E14" s="299"/>
      <c r="F14" s="276"/>
      <c r="G14" s="276"/>
      <c r="H14" s="275" t="str" cm="1">
        <f t="array" ref="H14">IFERROR(INDEX(References!$AA$108:$AA$130,MATCH(1,(Table_PrescriptLights_Input56[[#This Row],[Exterior space type]]=References!$W$108:$W$130)*(Table_PrescriptLights_Input56[[#This Row],[Space sub-type]]=References!$X$108:$X$130),0)),"")</f>
        <v/>
      </c>
      <c r="I14" s="275" t="str" cm="1">
        <f t="array" ref="I14">IFERROR(INDEX(References!$Y$108:$Y$130,MATCH(1,(Table_PrescriptLights_Input56[[#This Row],[Exterior space type]]=References!$W$108:$W$130)*(Table_PrescriptLights_Input56[[#This Row],[Space sub-type]]=References!$X$108:$X$130),0)),"")</f>
        <v/>
      </c>
      <c r="J14" s="275" t="str" cm="1">
        <f t="array" ref="J14">IFERROR(INDEX(References!$Z$108:$Z$130,MATCH(1,(Table_PrescriptLights_Input56[[#This Row],[Exterior space type]]=References!$W$108:$W$130)*(Table_PrescriptLights_Input56[[#This Row],[Space sub-type]]=References!$X$108:$X$130),0)),"")</f>
        <v/>
      </c>
      <c r="K14" s="275" t="str">
        <f>IFERROR(Table_PrescriptLights_Input56[[#This Row],[Per-unit allowance (W)]]*Table_PrescriptLights_Input56[[#This Row],[Quantity ]],"")</f>
        <v/>
      </c>
      <c r="L14" s="301"/>
      <c r="M14" s="302" t="str">
        <f>IFERROR(Table_PrescriptLights_Input56[[#This Row],[Total proposed wattage]]/Table_PrescriptLights_Input56[[#This Row],[Quantity ]],"")</f>
        <v/>
      </c>
      <c r="N14" s="303"/>
      <c r="O14" s="303"/>
      <c r="P1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4" s="283" t="str">
        <f>IFERROR(Table_PrescriptLights_Input56[[#This Row],[Per-unit incentive]]*(Table_PrescriptLights_Input56[[#This Row],[Total allowance (W)]]-Table_PrescriptLights_Input56[[#This Row],[Total proposed wattage]]),"")</f>
        <v/>
      </c>
      <c r="R14" s="284" t="str">
        <f>IFERROR((Table_PrescriptLights_Input56[[#This Row],[Total allowance (W)]]-Table_PrescriptLights_Input56[[#This Row],[Total proposed wattage]])/1000*Value_ExtLtgAOH,"")</f>
        <v/>
      </c>
      <c r="S14" s="285" t="str">
        <f t="shared" si="0"/>
        <v/>
      </c>
      <c r="T14" s="283" t="str">
        <f>IFERROR(Table_PrescriptLights_Input56[[#This Row],[Energy savings (kWh)]]*Input_AvgkWhRate, "")</f>
        <v/>
      </c>
      <c r="U14" s="283" t="str">
        <f>IF(Table_PrescriptLights_Input56[[#This Row],[Exterior space type]]="", "",Table_PrescriptLights_Input56[[#This Row],[Total equipment cost]]+Table_PrescriptLights_Input56[[#This Row],[Total labor cost]])</f>
        <v/>
      </c>
      <c r="V14" s="283" t="str">
        <f>IFERROR(Table_PrescriptLights_Input56[[#This Row],[Gross measure cost]]-Table_PrescriptLights_Input56[[#This Row],[Estimated incentive]], "")</f>
        <v/>
      </c>
      <c r="W14" s="284" t="str">
        <f t="shared" si="1"/>
        <v/>
      </c>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row>
    <row r="15" spans="1:51" x14ac:dyDescent="0.2">
      <c r="A15" s="273"/>
      <c r="B15" s="274">
        <v>11</v>
      </c>
      <c r="C15" s="275" t="str">
        <f>IF(ISBLANK($E15)=TRUE,"",References!$F$13)</f>
        <v/>
      </c>
      <c r="D15" s="298"/>
      <c r="E15" s="299"/>
      <c r="F15" s="276"/>
      <c r="G15" s="276"/>
      <c r="H15" s="275" t="str" cm="1">
        <f t="array" ref="H15">IFERROR(INDEX(References!$AA$108:$AA$130,MATCH(1,(Table_PrescriptLights_Input56[[#This Row],[Exterior space type]]=References!$W$108:$W$130)*(Table_PrescriptLights_Input56[[#This Row],[Space sub-type]]=References!$X$108:$X$130),0)),"")</f>
        <v/>
      </c>
      <c r="I15" s="275" t="str" cm="1">
        <f t="array" ref="I15">IFERROR(INDEX(References!$Y$108:$Y$130,MATCH(1,(Table_PrescriptLights_Input56[[#This Row],[Exterior space type]]=References!$W$108:$W$130)*(Table_PrescriptLights_Input56[[#This Row],[Space sub-type]]=References!$X$108:$X$130),0)),"")</f>
        <v/>
      </c>
      <c r="J15" s="275" t="str" cm="1">
        <f t="array" ref="J15">IFERROR(INDEX(References!$Z$108:$Z$130,MATCH(1,(Table_PrescriptLights_Input56[[#This Row],[Exterior space type]]=References!$W$108:$W$130)*(Table_PrescriptLights_Input56[[#This Row],[Space sub-type]]=References!$X$108:$X$130),0)),"")</f>
        <v/>
      </c>
      <c r="K15" s="275" t="str">
        <f>IFERROR(Table_PrescriptLights_Input56[[#This Row],[Per-unit allowance (W)]]*Table_PrescriptLights_Input56[[#This Row],[Quantity ]],"")</f>
        <v/>
      </c>
      <c r="L15" s="301"/>
      <c r="M15" s="302" t="str">
        <f>IFERROR(Table_PrescriptLights_Input56[[#This Row],[Total proposed wattage]]/Table_PrescriptLights_Input56[[#This Row],[Quantity ]],"")</f>
        <v/>
      </c>
      <c r="N15" s="303"/>
      <c r="O15" s="303"/>
      <c r="P1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5" s="283" t="str">
        <f>IFERROR(Table_PrescriptLights_Input56[[#This Row],[Per-unit incentive]]*(Table_PrescriptLights_Input56[[#This Row],[Total allowance (W)]]-Table_PrescriptLights_Input56[[#This Row],[Total proposed wattage]]),"")</f>
        <v/>
      </c>
      <c r="R15" s="284" t="str">
        <f>IFERROR((Table_PrescriptLights_Input56[[#This Row],[Total allowance (W)]]-Table_PrescriptLights_Input56[[#This Row],[Total proposed wattage]])/1000*Value_ExtLtgAOH,"")</f>
        <v/>
      </c>
      <c r="S15" s="285" t="str">
        <f t="shared" si="0"/>
        <v/>
      </c>
      <c r="T15" s="283" t="str">
        <f>IFERROR(Table_PrescriptLights_Input56[[#This Row],[Energy savings (kWh)]]*Input_AvgkWhRate, "")</f>
        <v/>
      </c>
      <c r="U15" s="283" t="str">
        <f>IF(Table_PrescriptLights_Input56[[#This Row],[Exterior space type]]="", "",Table_PrescriptLights_Input56[[#This Row],[Total equipment cost]]+Table_PrescriptLights_Input56[[#This Row],[Total labor cost]])</f>
        <v/>
      </c>
      <c r="V15" s="283" t="str">
        <f>IFERROR(Table_PrescriptLights_Input56[[#This Row],[Gross measure cost]]-Table_PrescriptLights_Input56[[#This Row],[Estimated incentive]], "")</f>
        <v/>
      </c>
      <c r="W15" s="284" t="str">
        <f t="shared" si="1"/>
        <v/>
      </c>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row>
    <row r="16" spans="1:51" x14ac:dyDescent="0.2">
      <c r="A16" s="273"/>
      <c r="B16" s="274">
        <v>12</v>
      </c>
      <c r="C16" s="275" t="str">
        <f>IF(ISBLANK($E16)=TRUE,"",References!$F$13)</f>
        <v/>
      </c>
      <c r="D16" s="298"/>
      <c r="E16" s="299"/>
      <c r="F16" s="276"/>
      <c r="G16" s="276"/>
      <c r="H16" s="275" t="str" cm="1">
        <f t="array" ref="H16">IFERROR(INDEX(References!$AA$108:$AA$130,MATCH(1,(Table_PrescriptLights_Input56[[#This Row],[Exterior space type]]=References!$W$108:$W$130)*(Table_PrescriptLights_Input56[[#This Row],[Space sub-type]]=References!$X$108:$X$130),0)),"")</f>
        <v/>
      </c>
      <c r="I16" s="275" t="str" cm="1">
        <f t="array" ref="I16">IFERROR(INDEX(References!$Y$108:$Y$130,MATCH(1,(Table_PrescriptLights_Input56[[#This Row],[Exterior space type]]=References!$W$108:$W$130)*(Table_PrescriptLights_Input56[[#This Row],[Space sub-type]]=References!$X$108:$X$130),0)),"")</f>
        <v/>
      </c>
      <c r="J16" s="275" t="str" cm="1">
        <f t="array" ref="J16">IFERROR(INDEX(References!$Z$108:$Z$130,MATCH(1,(Table_PrescriptLights_Input56[[#This Row],[Exterior space type]]=References!$W$108:$W$130)*(Table_PrescriptLights_Input56[[#This Row],[Space sub-type]]=References!$X$108:$X$130),0)),"")</f>
        <v/>
      </c>
      <c r="K16" s="275" t="str">
        <f>IFERROR(Table_PrescriptLights_Input56[[#This Row],[Per-unit allowance (W)]]*Table_PrescriptLights_Input56[[#This Row],[Quantity ]],"")</f>
        <v/>
      </c>
      <c r="L16" s="301"/>
      <c r="M16" s="302" t="str">
        <f>IFERROR(Table_PrescriptLights_Input56[[#This Row],[Total proposed wattage]]/Table_PrescriptLights_Input56[[#This Row],[Quantity ]],"")</f>
        <v/>
      </c>
      <c r="N16" s="303"/>
      <c r="O16" s="303"/>
      <c r="P1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6" s="283" t="str">
        <f>IFERROR(Table_PrescriptLights_Input56[[#This Row],[Per-unit incentive]]*(Table_PrescriptLights_Input56[[#This Row],[Total allowance (W)]]-Table_PrescriptLights_Input56[[#This Row],[Total proposed wattage]]),"")</f>
        <v/>
      </c>
      <c r="R16" s="284" t="str">
        <f>IFERROR((Table_PrescriptLights_Input56[[#This Row],[Total allowance (W)]]-Table_PrescriptLights_Input56[[#This Row],[Total proposed wattage]])/1000*Value_ExtLtgAOH,"")</f>
        <v/>
      </c>
      <c r="S16" s="285" t="str">
        <f t="shared" si="0"/>
        <v/>
      </c>
      <c r="T16" s="283" t="str">
        <f>IFERROR(Table_PrescriptLights_Input56[[#This Row],[Energy savings (kWh)]]*Input_AvgkWhRate, "")</f>
        <v/>
      </c>
      <c r="U16" s="283" t="str">
        <f>IF(Table_PrescriptLights_Input56[[#This Row],[Exterior space type]]="", "",Table_PrescriptLights_Input56[[#This Row],[Total equipment cost]]+Table_PrescriptLights_Input56[[#This Row],[Total labor cost]])</f>
        <v/>
      </c>
      <c r="V16" s="283" t="str">
        <f>IFERROR(Table_PrescriptLights_Input56[[#This Row],[Gross measure cost]]-Table_PrescriptLights_Input56[[#This Row],[Estimated incentive]], "")</f>
        <v/>
      </c>
      <c r="W16" s="284" t="str">
        <f t="shared" si="1"/>
        <v/>
      </c>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row>
    <row r="17" spans="1:51" x14ac:dyDescent="0.2">
      <c r="A17" s="273"/>
      <c r="B17" s="274">
        <v>13</v>
      </c>
      <c r="C17" s="275" t="str">
        <f>IF(ISBLANK($E17)=TRUE,"",References!$F$13)</f>
        <v/>
      </c>
      <c r="D17" s="298"/>
      <c r="E17" s="299"/>
      <c r="F17" s="276"/>
      <c r="G17" s="276"/>
      <c r="H17" s="275" t="str" cm="1">
        <f t="array" ref="H17">IFERROR(INDEX(References!$AA$108:$AA$130,MATCH(1,(Table_PrescriptLights_Input56[[#This Row],[Exterior space type]]=References!$W$108:$W$130)*(Table_PrescriptLights_Input56[[#This Row],[Space sub-type]]=References!$X$108:$X$130),0)),"")</f>
        <v/>
      </c>
      <c r="I17" s="275" t="str" cm="1">
        <f t="array" ref="I17">IFERROR(INDEX(References!$Y$108:$Y$130,MATCH(1,(Table_PrescriptLights_Input56[[#This Row],[Exterior space type]]=References!$W$108:$W$130)*(Table_PrescriptLights_Input56[[#This Row],[Space sub-type]]=References!$X$108:$X$130),0)),"")</f>
        <v/>
      </c>
      <c r="J17" s="275" t="str" cm="1">
        <f t="array" ref="J17">IFERROR(INDEX(References!$Z$108:$Z$130,MATCH(1,(Table_PrescriptLights_Input56[[#This Row],[Exterior space type]]=References!$W$108:$W$130)*(Table_PrescriptLights_Input56[[#This Row],[Space sub-type]]=References!$X$108:$X$130),0)),"")</f>
        <v/>
      </c>
      <c r="K17" s="275" t="str">
        <f>IFERROR(Table_PrescriptLights_Input56[[#This Row],[Per-unit allowance (W)]]*Table_PrescriptLights_Input56[[#This Row],[Quantity ]],"")</f>
        <v/>
      </c>
      <c r="L17" s="301"/>
      <c r="M17" s="302" t="str">
        <f>IFERROR(Table_PrescriptLights_Input56[[#This Row],[Total proposed wattage]]/Table_PrescriptLights_Input56[[#This Row],[Quantity ]],"")</f>
        <v/>
      </c>
      <c r="N17" s="303"/>
      <c r="O17" s="303"/>
      <c r="P1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7" s="283" t="str">
        <f>IFERROR(Table_PrescriptLights_Input56[[#This Row],[Per-unit incentive]]*(Table_PrescriptLights_Input56[[#This Row],[Total allowance (W)]]-Table_PrescriptLights_Input56[[#This Row],[Total proposed wattage]]),"")</f>
        <v/>
      </c>
      <c r="R17" s="284" t="str">
        <f>IFERROR((Table_PrescriptLights_Input56[[#This Row],[Total allowance (W)]]-Table_PrescriptLights_Input56[[#This Row],[Total proposed wattage]])/1000*Value_ExtLtgAOH,"")</f>
        <v/>
      </c>
      <c r="S17" s="285" t="str">
        <f t="shared" si="0"/>
        <v/>
      </c>
      <c r="T17" s="283" t="str">
        <f>IFERROR(Table_PrescriptLights_Input56[[#This Row],[Energy savings (kWh)]]*Input_AvgkWhRate, "")</f>
        <v/>
      </c>
      <c r="U17" s="283" t="str">
        <f>IF(Table_PrescriptLights_Input56[[#This Row],[Exterior space type]]="", "",Table_PrescriptLights_Input56[[#This Row],[Total equipment cost]]+Table_PrescriptLights_Input56[[#This Row],[Total labor cost]])</f>
        <v/>
      </c>
      <c r="V17" s="283" t="str">
        <f>IFERROR(Table_PrescriptLights_Input56[[#This Row],[Gross measure cost]]-Table_PrescriptLights_Input56[[#This Row],[Estimated incentive]], "")</f>
        <v/>
      </c>
      <c r="W17" s="284" t="str">
        <f t="shared" si="1"/>
        <v/>
      </c>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row>
    <row r="18" spans="1:51" x14ac:dyDescent="0.2">
      <c r="A18" s="273"/>
      <c r="B18" s="274">
        <v>14</v>
      </c>
      <c r="C18" s="275" t="str">
        <f>IF(ISBLANK($E18)=TRUE,"",References!$F$13)</f>
        <v/>
      </c>
      <c r="D18" s="298"/>
      <c r="E18" s="299"/>
      <c r="F18" s="276"/>
      <c r="G18" s="276"/>
      <c r="H18" s="275" t="str" cm="1">
        <f t="array" ref="H18">IFERROR(INDEX(References!$AA$108:$AA$130,MATCH(1,(Table_PrescriptLights_Input56[[#This Row],[Exterior space type]]=References!$W$108:$W$130)*(Table_PrescriptLights_Input56[[#This Row],[Space sub-type]]=References!$X$108:$X$130),0)),"")</f>
        <v/>
      </c>
      <c r="I18" s="275" t="str" cm="1">
        <f t="array" ref="I18">IFERROR(INDEX(References!$Y$108:$Y$130,MATCH(1,(Table_PrescriptLights_Input56[[#This Row],[Exterior space type]]=References!$W$108:$W$130)*(Table_PrescriptLights_Input56[[#This Row],[Space sub-type]]=References!$X$108:$X$130),0)),"")</f>
        <v/>
      </c>
      <c r="J18" s="275" t="str" cm="1">
        <f t="array" ref="J18">IFERROR(INDEX(References!$Z$108:$Z$130,MATCH(1,(Table_PrescriptLights_Input56[[#This Row],[Exterior space type]]=References!$W$108:$W$130)*(Table_PrescriptLights_Input56[[#This Row],[Space sub-type]]=References!$X$108:$X$130),0)),"")</f>
        <v/>
      </c>
      <c r="K18" s="275" t="str">
        <f>IFERROR(Table_PrescriptLights_Input56[[#This Row],[Per-unit allowance (W)]]*Table_PrescriptLights_Input56[[#This Row],[Quantity ]],"")</f>
        <v/>
      </c>
      <c r="L18" s="301"/>
      <c r="M18" s="302" t="str">
        <f>IFERROR(Table_PrescriptLights_Input56[[#This Row],[Total proposed wattage]]/Table_PrescriptLights_Input56[[#This Row],[Quantity ]],"")</f>
        <v/>
      </c>
      <c r="N18" s="303"/>
      <c r="O18" s="303"/>
      <c r="P1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8" s="283" t="str">
        <f>IFERROR(Table_PrescriptLights_Input56[[#This Row],[Per-unit incentive]]*(Table_PrescriptLights_Input56[[#This Row],[Total allowance (W)]]-Table_PrescriptLights_Input56[[#This Row],[Total proposed wattage]]),"")</f>
        <v/>
      </c>
      <c r="R18" s="284" t="str">
        <f>IFERROR((Table_PrescriptLights_Input56[[#This Row],[Total allowance (W)]]-Table_PrescriptLights_Input56[[#This Row],[Total proposed wattage]])/1000*Value_ExtLtgAOH,"")</f>
        <v/>
      </c>
      <c r="S18" s="285" t="str">
        <f t="shared" si="0"/>
        <v/>
      </c>
      <c r="T18" s="283" t="str">
        <f>IFERROR(Table_PrescriptLights_Input56[[#This Row],[Energy savings (kWh)]]*Input_AvgkWhRate, "")</f>
        <v/>
      </c>
      <c r="U18" s="283" t="str">
        <f>IF(Table_PrescriptLights_Input56[[#This Row],[Exterior space type]]="", "",Table_PrescriptLights_Input56[[#This Row],[Total equipment cost]]+Table_PrescriptLights_Input56[[#This Row],[Total labor cost]])</f>
        <v/>
      </c>
      <c r="V18" s="283" t="str">
        <f>IFERROR(Table_PrescriptLights_Input56[[#This Row],[Gross measure cost]]-Table_PrescriptLights_Input56[[#This Row],[Estimated incentive]], "")</f>
        <v/>
      </c>
      <c r="W18" s="284" t="str">
        <f t="shared" si="1"/>
        <v/>
      </c>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row>
    <row r="19" spans="1:51" x14ac:dyDescent="0.2">
      <c r="A19" s="273"/>
      <c r="B19" s="274">
        <v>15</v>
      </c>
      <c r="C19" s="275" t="str">
        <f>IF(ISBLANK($E19)=TRUE,"",References!$F$13)</f>
        <v/>
      </c>
      <c r="D19" s="298"/>
      <c r="E19" s="299"/>
      <c r="F19" s="276"/>
      <c r="G19" s="276"/>
      <c r="H19" s="275" t="str" cm="1">
        <f t="array" ref="H19">IFERROR(INDEX(References!$AA$108:$AA$130,MATCH(1,(Table_PrescriptLights_Input56[[#This Row],[Exterior space type]]=References!$W$108:$W$130)*(Table_PrescriptLights_Input56[[#This Row],[Space sub-type]]=References!$X$108:$X$130),0)),"")</f>
        <v/>
      </c>
      <c r="I19" s="275" t="str" cm="1">
        <f t="array" ref="I19">IFERROR(INDEX(References!$Y$108:$Y$130,MATCH(1,(Table_PrescriptLights_Input56[[#This Row],[Exterior space type]]=References!$W$108:$W$130)*(Table_PrescriptLights_Input56[[#This Row],[Space sub-type]]=References!$X$108:$X$130),0)),"")</f>
        <v/>
      </c>
      <c r="J19" s="275" t="str" cm="1">
        <f t="array" ref="J19">IFERROR(INDEX(References!$Z$108:$Z$130,MATCH(1,(Table_PrescriptLights_Input56[[#This Row],[Exterior space type]]=References!$W$108:$W$130)*(Table_PrescriptLights_Input56[[#This Row],[Space sub-type]]=References!$X$108:$X$130),0)),"")</f>
        <v/>
      </c>
      <c r="K19" s="275" t="str">
        <f>IFERROR(Table_PrescriptLights_Input56[[#This Row],[Per-unit allowance (W)]]*Table_PrescriptLights_Input56[[#This Row],[Quantity ]],"")</f>
        <v/>
      </c>
      <c r="L19" s="301"/>
      <c r="M19" s="302" t="str">
        <f>IFERROR(Table_PrescriptLights_Input56[[#This Row],[Total proposed wattage]]/Table_PrescriptLights_Input56[[#This Row],[Quantity ]],"")</f>
        <v/>
      </c>
      <c r="N19" s="303"/>
      <c r="O19" s="303"/>
      <c r="P1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19" s="283" t="str">
        <f>IFERROR(Table_PrescriptLights_Input56[[#This Row],[Per-unit incentive]]*(Table_PrescriptLights_Input56[[#This Row],[Total allowance (W)]]-Table_PrescriptLights_Input56[[#This Row],[Total proposed wattage]]),"")</f>
        <v/>
      </c>
      <c r="R19" s="284" t="str">
        <f>IFERROR((Table_PrescriptLights_Input56[[#This Row],[Total allowance (W)]]-Table_PrescriptLights_Input56[[#This Row],[Total proposed wattage]])/1000*Value_ExtLtgAOH,"")</f>
        <v/>
      </c>
      <c r="S19" s="285" t="str">
        <f t="shared" si="0"/>
        <v/>
      </c>
      <c r="T19" s="283" t="str">
        <f>IFERROR(Table_PrescriptLights_Input56[[#This Row],[Energy savings (kWh)]]*Input_AvgkWhRate, "")</f>
        <v/>
      </c>
      <c r="U19" s="283" t="str">
        <f>IF(Table_PrescriptLights_Input56[[#This Row],[Exterior space type]]="", "",Table_PrescriptLights_Input56[[#This Row],[Total equipment cost]]+Table_PrescriptLights_Input56[[#This Row],[Total labor cost]])</f>
        <v/>
      </c>
      <c r="V19" s="283" t="str">
        <f>IFERROR(Table_PrescriptLights_Input56[[#This Row],[Gross measure cost]]-Table_PrescriptLights_Input56[[#This Row],[Estimated incentive]], "")</f>
        <v/>
      </c>
      <c r="W19" s="284" t="str">
        <f t="shared" si="1"/>
        <v/>
      </c>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row>
    <row r="20" spans="1:51" x14ac:dyDescent="0.2">
      <c r="A20" s="273"/>
      <c r="B20" s="274">
        <v>16</v>
      </c>
      <c r="C20" s="275" t="str">
        <f>IF(ISBLANK($E20)=TRUE,"",References!$F$13)</f>
        <v/>
      </c>
      <c r="D20" s="298"/>
      <c r="E20" s="299"/>
      <c r="F20" s="276"/>
      <c r="G20" s="276"/>
      <c r="H20" s="275" t="str" cm="1">
        <f t="array" ref="H20">IFERROR(INDEX(References!$AA$108:$AA$130,MATCH(1,(Table_PrescriptLights_Input56[[#This Row],[Exterior space type]]=References!$W$108:$W$130)*(Table_PrescriptLights_Input56[[#This Row],[Space sub-type]]=References!$X$108:$X$130),0)),"")</f>
        <v/>
      </c>
      <c r="I20" s="275" t="str" cm="1">
        <f t="array" ref="I20">IFERROR(INDEX(References!$Y$108:$Y$130,MATCH(1,(Table_PrescriptLights_Input56[[#This Row],[Exterior space type]]=References!$W$108:$W$130)*(Table_PrescriptLights_Input56[[#This Row],[Space sub-type]]=References!$X$108:$X$130),0)),"")</f>
        <v/>
      </c>
      <c r="J20" s="275" t="str" cm="1">
        <f t="array" ref="J20">IFERROR(INDEX(References!$Z$108:$Z$130,MATCH(1,(Table_PrescriptLights_Input56[[#This Row],[Exterior space type]]=References!$W$108:$W$130)*(Table_PrescriptLights_Input56[[#This Row],[Space sub-type]]=References!$X$108:$X$130),0)),"")</f>
        <v/>
      </c>
      <c r="K20" s="275" t="str">
        <f>IFERROR(Table_PrescriptLights_Input56[[#This Row],[Per-unit allowance (W)]]*Table_PrescriptLights_Input56[[#This Row],[Quantity ]],"")</f>
        <v/>
      </c>
      <c r="L20" s="301"/>
      <c r="M20" s="302" t="str">
        <f>IFERROR(Table_PrescriptLights_Input56[[#This Row],[Total proposed wattage]]/Table_PrescriptLights_Input56[[#This Row],[Quantity ]],"")</f>
        <v/>
      </c>
      <c r="N20" s="303"/>
      <c r="O20" s="303"/>
      <c r="P2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0" s="283" t="str">
        <f>IFERROR(Table_PrescriptLights_Input56[[#This Row],[Per-unit incentive]]*(Table_PrescriptLights_Input56[[#This Row],[Total allowance (W)]]-Table_PrescriptLights_Input56[[#This Row],[Total proposed wattage]]),"")</f>
        <v/>
      </c>
      <c r="R20" s="284" t="str">
        <f>IFERROR((Table_PrescriptLights_Input56[[#This Row],[Total allowance (W)]]-Table_PrescriptLights_Input56[[#This Row],[Total proposed wattage]])/1000*Value_ExtLtgAOH,"")</f>
        <v/>
      </c>
      <c r="S20" s="285" t="str">
        <f t="shared" si="0"/>
        <v/>
      </c>
      <c r="T20" s="283" t="str">
        <f>IFERROR(Table_PrescriptLights_Input56[[#This Row],[Energy savings (kWh)]]*Input_AvgkWhRate, "")</f>
        <v/>
      </c>
      <c r="U20" s="283" t="str">
        <f>IF(Table_PrescriptLights_Input56[[#This Row],[Exterior space type]]="", "",Table_PrescriptLights_Input56[[#This Row],[Total equipment cost]]+Table_PrescriptLights_Input56[[#This Row],[Total labor cost]])</f>
        <v/>
      </c>
      <c r="V20" s="283" t="str">
        <f>IFERROR(Table_PrescriptLights_Input56[[#This Row],[Gross measure cost]]-Table_PrescriptLights_Input56[[#This Row],[Estimated incentive]], "")</f>
        <v/>
      </c>
      <c r="W20" s="284" t="str">
        <f t="shared" si="1"/>
        <v/>
      </c>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row>
    <row r="21" spans="1:51" x14ac:dyDescent="0.2">
      <c r="A21" s="273"/>
      <c r="B21" s="274">
        <v>17</v>
      </c>
      <c r="C21" s="275" t="str">
        <f>IF(ISBLANK($E21)=TRUE,"",References!$F$13)</f>
        <v/>
      </c>
      <c r="D21" s="298"/>
      <c r="E21" s="299"/>
      <c r="F21" s="276"/>
      <c r="G21" s="276"/>
      <c r="H21" s="275" t="str" cm="1">
        <f t="array" ref="H21">IFERROR(INDEX(References!$AA$108:$AA$130,MATCH(1,(Table_PrescriptLights_Input56[[#This Row],[Exterior space type]]=References!$W$108:$W$130)*(Table_PrescriptLights_Input56[[#This Row],[Space sub-type]]=References!$X$108:$X$130),0)),"")</f>
        <v/>
      </c>
      <c r="I21" s="275" t="str" cm="1">
        <f t="array" ref="I21">IFERROR(INDEX(References!$Y$108:$Y$130,MATCH(1,(Table_PrescriptLights_Input56[[#This Row],[Exterior space type]]=References!$W$108:$W$130)*(Table_PrescriptLights_Input56[[#This Row],[Space sub-type]]=References!$X$108:$X$130),0)),"")</f>
        <v/>
      </c>
      <c r="J21" s="275" t="str" cm="1">
        <f t="array" ref="J21">IFERROR(INDEX(References!$Z$108:$Z$130,MATCH(1,(Table_PrescriptLights_Input56[[#This Row],[Exterior space type]]=References!$W$108:$W$130)*(Table_PrescriptLights_Input56[[#This Row],[Space sub-type]]=References!$X$108:$X$130),0)),"")</f>
        <v/>
      </c>
      <c r="K21" s="275" t="str">
        <f>IFERROR(Table_PrescriptLights_Input56[[#This Row],[Per-unit allowance (W)]]*Table_PrescriptLights_Input56[[#This Row],[Quantity ]],"")</f>
        <v/>
      </c>
      <c r="L21" s="301"/>
      <c r="M21" s="302" t="str">
        <f>IFERROR(Table_PrescriptLights_Input56[[#This Row],[Total proposed wattage]]/Table_PrescriptLights_Input56[[#This Row],[Quantity ]],"")</f>
        <v/>
      </c>
      <c r="N21" s="303"/>
      <c r="O21" s="303"/>
      <c r="P2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1" s="283" t="str">
        <f>IFERROR(Table_PrescriptLights_Input56[[#This Row],[Per-unit incentive]]*(Table_PrescriptLights_Input56[[#This Row],[Total allowance (W)]]-Table_PrescriptLights_Input56[[#This Row],[Total proposed wattage]]),"")</f>
        <v/>
      </c>
      <c r="R21" s="284" t="str">
        <f>IFERROR((Table_PrescriptLights_Input56[[#This Row],[Total allowance (W)]]-Table_PrescriptLights_Input56[[#This Row],[Total proposed wattage]])/1000*Value_ExtLtgAOH,"")</f>
        <v/>
      </c>
      <c r="S21" s="285" t="str">
        <f t="shared" si="0"/>
        <v/>
      </c>
      <c r="T21" s="283" t="str">
        <f>IFERROR(Table_PrescriptLights_Input56[[#This Row],[Energy savings (kWh)]]*Input_AvgkWhRate, "")</f>
        <v/>
      </c>
      <c r="U21" s="283" t="str">
        <f>IF(Table_PrescriptLights_Input56[[#This Row],[Exterior space type]]="", "",Table_PrescriptLights_Input56[[#This Row],[Total equipment cost]]+Table_PrescriptLights_Input56[[#This Row],[Total labor cost]])</f>
        <v/>
      </c>
      <c r="V21" s="283" t="str">
        <f>IFERROR(Table_PrescriptLights_Input56[[#This Row],[Gross measure cost]]-Table_PrescriptLights_Input56[[#This Row],[Estimated incentive]], "")</f>
        <v/>
      </c>
      <c r="W21" s="284" t="str">
        <f t="shared" si="1"/>
        <v/>
      </c>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row>
    <row r="22" spans="1:51" x14ac:dyDescent="0.2">
      <c r="A22" s="273"/>
      <c r="B22" s="274">
        <v>18</v>
      </c>
      <c r="C22" s="275" t="str">
        <f>IF(ISBLANK($E22)=TRUE,"",References!$F$13)</f>
        <v/>
      </c>
      <c r="D22" s="298"/>
      <c r="E22" s="299"/>
      <c r="F22" s="276"/>
      <c r="G22" s="276"/>
      <c r="H22" s="275" t="str" cm="1">
        <f t="array" ref="H22">IFERROR(INDEX(References!$AA$108:$AA$130,MATCH(1,(Table_PrescriptLights_Input56[[#This Row],[Exterior space type]]=References!$W$108:$W$130)*(Table_PrescriptLights_Input56[[#This Row],[Space sub-type]]=References!$X$108:$X$130),0)),"")</f>
        <v/>
      </c>
      <c r="I22" s="275" t="str" cm="1">
        <f t="array" ref="I22">IFERROR(INDEX(References!$Y$108:$Y$130,MATCH(1,(Table_PrescriptLights_Input56[[#This Row],[Exterior space type]]=References!$W$108:$W$130)*(Table_PrescriptLights_Input56[[#This Row],[Space sub-type]]=References!$X$108:$X$130),0)),"")</f>
        <v/>
      </c>
      <c r="J22" s="275" t="str" cm="1">
        <f t="array" ref="J22">IFERROR(INDEX(References!$Z$108:$Z$130,MATCH(1,(Table_PrescriptLights_Input56[[#This Row],[Exterior space type]]=References!$W$108:$W$130)*(Table_PrescriptLights_Input56[[#This Row],[Space sub-type]]=References!$X$108:$X$130),0)),"")</f>
        <v/>
      </c>
      <c r="K22" s="275" t="str">
        <f>IFERROR(Table_PrescriptLights_Input56[[#This Row],[Per-unit allowance (W)]]*Table_PrescriptLights_Input56[[#This Row],[Quantity ]],"")</f>
        <v/>
      </c>
      <c r="L22" s="301"/>
      <c r="M22" s="302" t="str">
        <f>IFERROR(Table_PrescriptLights_Input56[[#This Row],[Total proposed wattage]]/Table_PrescriptLights_Input56[[#This Row],[Quantity ]],"")</f>
        <v/>
      </c>
      <c r="N22" s="303"/>
      <c r="O22" s="303"/>
      <c r="P2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2" s="283" t="str">
        <f>IFERROR(Table_PrescriptLights_Input56[[#This Row],[Per-unit incentive]]*(Table_PrescriptLights_Input56[[#This Row],[Total allowance (W)]]-Table_PrescriptLights_Input56[[#This Row],[Total proposed wattage]]),"")</f>
        <v/>
      </c>
      <c r="R22" s="284" t="str">
        <f>IFERROR((Table_PrescriptLights_Input56[[#This Row],[Total allowance (W)]]-Table_PrescriptLights_Input56[[#This Row],[Total proposed wattage]])/1000*Value_ExtLtgAOH,"")</f>
        <v/>
      </c>
      <c r="S22" s="285" t="str">
        <f t="shared" si="0"/>
        <v/>
      </c>
      <c r="T22" s="283" t="str">
        <f>IFERROR(Table_PrescriptLights_Input56[[#This Row],[Energy savings (kWh)]]*Input_AvgkWhRate, "")</f>
        <v/>
      </c>
      <c r="U22" s="283" t="str">
        <f>IF(Table_PrescriptLights_Input56[[#This Row],[Exterior space type]]="", "",Table_PrescriptLights_Input56[[#This Row],[Total equipment cost]]+Table_PrescriptLights_Input56[[#This Row],[Total labor cost]])</f>
        <v/>
      </c>
      <c r="V22" s="283" t="str">
        <f>IFERROR(Table_PrescriptLights_Input56[[#This Row],[Gross measure cost]]-Table_PrescriptLights_Input56[[#This Row],[Estimated incentive]], "")</f>
        <v/>
      </c>
      <c r="W22" s="284" t="str">
        <f t="shared" si="1"/>
        <v/>
      </c>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row>
    <row r="23" spans="1:51" x14ac:dyDescent="0.2">
      <c r="A23" s="273"/>
      <c r="B23" s="274">
        <v>19</v>
      </c>
      <c r="C23" s="275" t="str">
        <f>IF(ISBLANK($E23)=TRUE,"",References!$F$13)</f>
        <v/>
      </c>
      <c r="D23" s="298"/>
      <c r="E23" s="299"/>
      <c r="F23" s="276"/>
      <c r="G23" s="276"/>
      <c r="H23" s="275" t="str" cm="1">
        <f t="array" ref="H23">IFERROR(INDEX(References!$AA$108:$AA$130,MATCH(1,(Table_PrescriptLights_Input56[[#This Row],[Exterior space type]]=References!$W$108:$W$130)*(Table_PrescriptLights_Input56[[#This Row],[Space sub-type]]=References!$X$108:$X$130),0)),"")</f>
        <v/>
      </c>
      <c r="I23" s="275" t="str" cm="1">
        <f t="array" ref="I23">IFERROR(INDEX(References!$Y$108:$Y$130,MATCH(1,(Table_PrescriptLights_Input56[[#This Row],[Exterior space type]]=References!$W$108:$W$130)*(Table_PrescriptLights_Input56[[#This Row],[Space sub-type]]=References!$X$108:$X$130),0)),"")</f>
        <v/>
      </c>
      <c r="J23" s="275" t="str" cm="1">
        <f t="array" ref="J23">IFERROR(INDEX(References!$Z$108:$Z$130,MATCH(1,(Table_PrescriptLights_Input56[[#This Row],[Exterior space type]]=References!$W$108:$W$130)*(Table_PrescriptLights_Input56[[#This Row],[Space sub-type]]=References!$X$108:$X$130),0)),"")</f>
        <v/>
      </c>
      <c r="K23" s="275" t="str">
        <f>IFERROR(Table_PrescriptLights_Input56[[#This Row],[Per-unit allowance (W)]]*Table_PrescriptLights_Input56[[#This Row],[Quantity ]],"")</f>
        <v/>
      </c>
      <c r="L23" s="301"/>
      <c r="M23" s="302" t="str">
        <f>IFERROR(Table_PrescriptLights_Input56[[#This Row],[Total proposed wattage]]/Table_PrescriptLights_Input56[[#This Row],[Quantity ]],"")</f>
        <v/>
      </c>
      <c r="N23" s="303"/>
      <c r="O23" s="303"/>
      <c r="P2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3" s="283" t="str">
        <f>IFERROR(Table_PrescriptLights_Input56[[#This Row],[Per-unit incentive]]*(Table_PrescriptLights_Input56[[#This Row],[Total allowance (W)]]-Table_PrescriptLights_Input56[[#This Row],[Total proposed wattage]]),"")</f>
        <v/>
      </c>
      <c r="R23" s="284" t="str">
        <f>IFERROR((Table_PrescriptLights_Input56[[#This Row],[Total allowance (W)]]-Table_PrescriptLights_Input56[[#This Row],[Total proposed wattage]])/1000*Value_ExtLtgAOH,"")</f>
        <v/>
      </c>
      <c r="S23" s="285" t="str">
        <f t="shared" si="0"/>
        <v/>
      </c>
      <c r="T23" s="283" t="str">
        <f>IFERROR(Table_PrescriptLights_Input56[[#This Row],[Energy savings (kWh)]]*Input_AvgkWhRate, "")</f>
        <v/>
      </c>
      <c r="U23" s="283" t="str">
        <f>IF(Table_PrescriptLights_Input56[[#This Row],[Exterior space type]]="", "",Table_PrescriptLights_Input56[[#This Row],[Total equipment cost]]+Table_PrescriptLights_Input56[[#This Row],[Total labor cost]])</f>
        <v/>
      </c>
      <c r="V23" s="283" t="str">
        <f>IFERROR(Table_PrescriptLights_Input56[[#This Row],[Gross measure cost]]-Table_PrescriptLights_Input56[[#This Row],[Estimated incentive]], "")</f>
        <v/>
      </c>
      <c r="W23" s="284" t="str">
        <f t="shared" si="1"/>
        <v/>
      </c>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row>
    <row r="24" spans="1:51" x14ac:dyDescent="0.2">
      <c r="A24" s="273"/>
      <c r="B24" s="274">
        <v>20</v>
      </c>
      <c r="C24" s="275" t="str">
        <f>IF(ISBLANK($E24)=TRUE,"",References!$F$13)</f>
        <v/>
      </c>
      <c r="D24" s="298"/>
      <c r="E24" s="299"/>
      <c r="F24" s="276"/>
      <c r="G24" s="276"/>
      <c r="H24" s="275" t="str" cm="1">
        <f t="array" ref="H24">IFERROR(INDEX(References!$AA$108:$AA$130,MATCH(1,(Table_PrescriptLights_Input56[[#This Row],[Exterior space type]]=References!$W$108:$W$130)*(Table_PrescriptLights_Input56[[#This Row],[Space sub-type]]=References!$X$108:$X$130),0)),"")</f>
        <v/>
      </c>
      <c r="I24" s="275" t="str" cm="1">
        <f t="array" ref="I24">IFERROR(INDEX(References!$Y$108:$Y$130,MATCH(1,(Table_PrescriptLights_Input56[[#This Row],[Exterior space type]]=References!$W$108:$W$130)*(Table_PrescriptLights_Input56[[#This Row],[Space sub-type]]=References!$X$108:$X$130),0)),"")</f>
        <v/>
      </c>
      <c r="J24" s="275" t="str" cm="1">
        <f t="array" ref="J24">IFERROR(INDEX(References!$Z$108:$Z$130,MATCH(1,(Table_PrescriptLights_Input56[[#This Row],[Exterior space type]]=References!$W$108:$W$130)*(Table_PrescriptLights_Input56[[#This Row],[Space sub-type]]=References!$X$108:$X$130),0)),"")</f>
        <v/>
      </c>
      <c r="K24" s="275" t="str">
        <f>IFERROR(Table_PrescriptLights_Input56[[#This Row],[Per-unit allowance (W)]]*Table_PrescriptLights_Input56[[#This Row],[Quantity ]],"")</f>
        <v/>
      </c>
      <c r="L24" s="301"/>
      <c r="M24" s="302" t="str">
        <f>IFERROR(Table_PrescriptLights_Input56[[#This Row],[Total proposed wattage]]/Table_PrescriptLights_Input56[[#This Row],[Quantity ]],"")</f>
        <v/>
      </c>
      <c r="N24" s="303"/>
      <c r="O24" s="303"/>
      <c r="P2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4" s="283" t="str">
        <f>IFERROR(Table_PrescriptLights_Input56[[#This Row],[Per-unit incentive]]*(Table_PrescriptLights_Input56[[#This Row],[Total allowance (W)]]-Table_PrescriptLights_Input56[[#This Row],[Total proposed wattage]]),"")</f>
        <v/>
      </c>
      <c r="R24" s="284" t="str">
        <f>IFERROR((Table_PrescriptLights_Input56[[#This Row],[Total allowance (W)]]-Table_PrescriptLights_Input56[[#This Row],[Total proposed wattage]])/1000*Value_ExtLtgAOH,"")</f>
        <v/>
      </c>
      <c r="S24" s="285" t="str">
        <f t="shared" si="0"/>
        <v/>
      </c>
      <c r="T24" s="283" t="str">
        <f>IFERROR(Table_PrescriptLights_Input56[[#This Row],[Energy savings (kWh)]]*Input_AvgkWhRate, "")</f>
        <v/>
      </c>
      <c r="U24" s="283" t="str">
        <f>IF(Table_PrescriptLights_Input56[[#This Row],[Exterior space type]]="", "",Table_PrescriptLights_Input56[[#This Row],[Total equipment cost]]+Table_PrescriptLights_Input56[[#This Row],[Total labor cost]])</f>
        <v/>
      </c>
      <c r="V24" s="283" t="str">
        <f>IFERROR(Table_PrescriptLights_Input56[[#This Row],[Gross measure cost]]-Table_PrescriptLights_Input56[[#This Row],[Estimated incentive]], "")</f>
        <v/>
      </c>
      <c r="W24" s="284" t="str">
        <f t="shared" si="1"/>
        <v/>
      </c>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row>
    <row r="25" spans="1:51" x14ac:dyDescent="0.2">
      <c r="A25" s="273"/>
      <c r="B25" s="274">
        <v>21</v>
      </c>
      <c r="C25" s="275" t="str">
        <f>IF(ISBLANK($E25)=TRUE,"",References!$F$13)</f>
        <v/>
      </c>
      <c r="D25" s="298"/>
      <c r="E25" s="299"/>
      <c r="F25" s="276"/>
      <c r="G25" s="276"/>
      <c r="H25" s="275" t="str" cm="1">
        <f t="array" ref="H25">IFERROR(INDEX(References!$AA$108:$AA$130,MATCH(1,(Table_PrescriptLights_Input56[[#This Row],[Exterior space type]]=References!$W$108:$W$130)*(Table_PrescriptLights_Input56[[#This Row],[Space sub-type]]=References!$X$108:$X$130),0)),"")</f>
        <v/>
      </c>
      <c r="I25" s="275" t="str" cm="1">
        <f t="array" ref="I25">IFERROR(INDEX(References!$Y$108:$Y$130,MATCH(1,(Table_PrescriptLights_Input56[[#This Row],[Exterior space type]]=References!$W$108:$W$130)*(Table_PrescriptLights_Input56[[#This Row],[Space sub-type]]=References!$X$108:$X$130),0)),"")</f>
        <v/>
      </c>
      <c r="J25" s="275" t="str" cm="1">
        <f t="array" ref="J25">IFERROR(INDEX(References!$Z$108:$Z$130,MATCH(1,(Table_PrescriptLights_Input56[[#This Row],[Exterior space type]]=References!$W$108:$W$130)*(Table_PrescriptLights_Input56[[#This Row],[Space sub-type]]=References!$X$108:$X$130),0)),"")</f>
        <v/>
      </c>
      <c r="K25" s="275" t="str">
        <f>IFERROR(Table_PrescriptLights_Input56[[#This Row],[Per-unit allowance (W)]]*Table_PrescriptLights_Input56[[#This Row],[Quantity ]],"")</f>
        <v/>
      </c>
      <c r="L25" s="301"/>
      <c r="M25" s="302" t="str">
        <f>IFERROR(Table_PrescriptLights_Input56[[#This Row],[Total proposed wattage]]/Table_PrescriptLights_Input56[[#This Row],[Quantity ]],"")</f>
        <v/>
      </c>
      <c r="N25" s="303"/>
      <c r="O25" s="303"/>
      <c r="P2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5" s="283" t="str">
        <f>IFERROR(Table_PrescriptLights_Input56[[#This Row],[Per-unit incentive]]*(Table_PrescriptLights_Input56[[#This Row],[Total allowance (W)]]-Table_PrescriptLights_Input56[[#This Row],[Total proposed wattage]]),"")</f>
        <v/>
      </c>
      <c r="R25" s="284" t="str">
        <f>IFERROR((Table_PrescriptLights_Input56[[#This Row],[Total allowance (W)]]-Table_PrescriptLights_Input56[[#This Row],[Total proposed wattage]])/1000*Value_ExtLtgAOH,"")</f>
        <v/>
      </c>
      <c r="S25" s="285" t="str">
        <f t="shared" si="0"/>
        <v/>
      </c>
      <c r="T25" s="283" t="str">
        <f>IFERROR(Table_PrescriptLights_Input56[[#This Row],[Energy savings (kWh)]]*Input_AvgkWhRate, "")</f>
        <v/>
      </c>
      <c r="U25" s="283" t="str">
        <f>IF(Table_PrescriptLights_Input56[[#This Row],[Exterior space type]]="", "",Table_PrescriptLights_Input56[[#This Row],[Total equipment cost]]+Table_PrescriptLights_Input56[[#This Row],[Total labor cost]])</f>
        <v/>
      </c>
      <c r="V25" s="283" t="str">
        <f>IFERROR(Table_PrescriptLights_Input56[[#This Row],[Gross measure cost]]-Table_PrescriptLights_Input56[[#This Row],[Estimated incentive]], "")</f>
        <v/>
      </c>
      <c r="W25" s="284" t="str">
        <f t="shared" si="1"/>
        <v/>
      </c>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row>
    <row r="26" spans="1:51" x14ac:dyDescent="0.2">
      <c r="A26" s="273"/>
      <c r="B26" s="274">
        <v>22</v>
      </c>
      <c r="C26" s="275" t="str">
        <f>IF(ISBLANK($E26)=TRUE,"",References!$F$13)</f>
        <v/>
      </c>
      <c r="D26" s="298"/>
      <c r="E26" s="299"/>
      <c r="F26" s="276"/>
      <c r="G26" s="276"/>
      <c r="H26" s="275" t="str" cm="1">
        <f t="array" ref="H26">IFERROR(INDEX(References!$AA$108:$AA$130,MATCH(1,(Table_PrescriptLights_Input56[[#This Row],[Exterior space type]]=References!$W$108:$W$130)*(Table_PrescriptLights_Input56[[#This Row],[Space sub-type]]=References!$X$108:$X$130),0)),"")</f>
        <v/>
      </c>
      <c r="I26" s="275" t="str" cm="1">
        <f t="array" ref="I26">IFERROR(INDEX(References!$Y$108:$Y$130,MATCH(1,(Table_PrescriptLights_Input56[[#This Row],[Exterior space type]]=References!$W$108:$W$130)*(Table_PrescriptLights_Input56[[#This Row],[Space sub-type]]=References!$X$108:$X$130),0)),"")</f>
        <v/>
      </c>
      <c r="J26" s="275" t="str" cm="1">
        <f t="array" ref="J26">IFERROR(INDEX(References!$Z$108:$Z$130,MATCH(1,(Table_PrescriptLights_Input56[[#This Row],[Exterior space type]]=References!$W$108:$W$130)*(Table_PrescriptLights_Input56[[#This Row],[Space sub-type]]=References!$X$108:$X$130),0)),"")</f>
        <v/>
      </c>
      <c r="K26" s="275" t="str">
        <f>IFERROR(Table_PrescriptLights_Input56[[#This Row],[Per-unit allowance (W)]]*Table_PrescriptLights_Input56[[#This Row],[Quantity ]],"")</f>
        <v/>
      </c>
      <c r="L26" s="301"/>
      <c r="M26" s="302" t="str">
        <f>IFERROR(Table_PrescriptLights_Input56[[#This Row],[Total proposed wattage]]/Table_PrescriptLights_Input56[[#This Row],[Quantity ]],"")</f>
        <v/>
      </c>
      <c r="N26" s="303"/>
      <c r="O26" s="303"/>
      <c r="P2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6" s="283" t="str">
        <f>IFERROR(Table_PrescriptLights_Input56[[#This Row],[Per-unit incentive]]*(Table_PrescriptLights_Input56[[#This Row],[Total allowance (W)]]-Table_PrescriptLights_Input56[[#This Row],[Total proposed wattage]]),"")</f>
        <v/>
      </c>
      <c r="R26" s="284" t="str">
        <f>IFERROR((Table_PrescriptLights_Input56[[#This Row],[Total allowance (W)]]-Table_PrescriptLights_Input56[[#This Row],[Total proposed wattage]])/1000*Value_ExtLtgAOH,"")</f>
        <v/>
      </c>
      <c r="S26" s="285" t="str">
        <f t="shared" si="0"/>
        <v/>
      </c>
      <c r="T26" s="283" t="str">
        <f>IFERROR(Table_PrescriptLights_Input56[[#This Row],[Energy savings (kWh)]]*Input_AvgkWhRate, "")</f>
        <v/>
      </c>
      <c r="U26" s="283" t="str">
        <f>IF(Table_PrescriptLights_Input56[[#This Row],[Exterior space type]]="", "",Table_PrescriptLights_Input56[[#This Row],[Total equipment cost]]+Table_PrescriptLights_Input56[[#This Row],[Total labor cost]])</f>
        <v/>
      </c>
      <c r="V26" s="283" t="str">
        <f>IFERROR(Table_PrescriptLights_Input56[[#This Row],[Gross measure cost]]-Table_PrescriptLights_Input56[[#This Row],[Estimated incentive]], "")</f>
        <v/>
      </c>
      <c r="W26" s="284" t="str">
        <f t="shared" si="1"/>
        <v/>
      </c>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row>
    <row r="27" spans="1:51" x14ac:dyDescent="0.2">
      <c r="A27" s="273"/>
      <c r="B27" s="274">
        <v>23</v>
      </c>
      <c r="C27" s="275" t="str">
        <f>IF(ISBLANK($E27)=TRUE,"",References!$F$13)</f>
        <v/>
      </c>
      <c r="D27" s="298"/>
      <c r="E27" s="299"/>
      <c r="F27" s="276"/>
      <c r="G27" s="276"/>
      <c r="H27" s="275" t="str" cm="1">
        <f t="array" ref="H27">IFERROR(INDEX(References!$AA$108:$AA$130,MATCH(1,(Table_PrescriptLights_Input56[[#This Row],[Exterior space type]]=References!$W$108:$W$130)*(Table_PrescriptLights_Input56[[#This Row],[Space sub-type]]=References!$X$108:$X$130),0)),"")</f>
        <v/>
      </c>
      <c r="I27" s="275" t="str" cm="1">
        <f t="array" ref="I27">IFERROR(INDEX(References!$Y$108:$Y$130,MATCH(1,(Table_PrescriptLights_Input56[[#This Row],[Exterior space type]]=References!$W$108:$W$130)*(Table_PrescriptLights_Input56[[#This Row],[Space sub-type]]=References!$X$108:$X$130),0)),"")</f>
        <v/>
      </c>
      <c r="J27" s="275" t="str" cm="1">
        <f t="array" ref="J27">IFERROR(INDEX(References!$Z$108:$Z$130,MATCH(1,(Table_PrescriptLights_Input56[[#This Row],[Exterior space type]]=References!$W$108:$W$130)*(Table_PrescriptLights_Input56[[#This Row],[Space sub-type]]=References!$X$108:$X$130),0)),"")</f>
        <v/>
      </c>
      <c r="K27" s="275" t="str">
        <f>IFERROR(Table_PrescriptLights_Input56[[#This Row],[Per-unit allowance (W)]]*Table_PrescriptLights_Input56[[#This Row],[Quantity ]],"")</f>
        <v/>
      </c>
      <c r="L27" s="301"/>
      <c r="M27" s="302" t="str">
        <f>IFERROR(Table_PrescriptLights_Input56[[#This Row],[Total proposed wattage]]/Table_PrescriptLights_Input56[[#This Row],[Quantity ]],"")</f>
        <v/>
      </c>
      <c r="N27" s="303"/>
      <c r="O27" s="303"/>
      <c r="P2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7" s="283" t="str">
        <f>IFERROR(Table_PrescriptLights_Input56[[#This Row],[Per-unit incentive]]*(Table_PrescriptLights_Input56[[#This Row],[Total allowance (W)]]-Table_PrescriptLights_Input56[[#This Row],[Total proposed wattage]]),"")</f>
        <v/>
      </c>
      <c r="R27" s="284" t="str">
        <f>IFERROR((Table_PrescriptLights_Input56[[#This Row],[Total allowance (W)]]-Table_PrescriptLights_Input56[[#This Row],[Total proposed wattage]])/1000*Value_ExtLtgAOH,"")</f>
        <v/>
      </c>
      <c r="S27" s="285" t="str">
        <f t="shared" si="0"/>
        <v/>
      </c>
      <c r="T27" s="283" t="str">
        <f>IFERROR(Table_PrescriptLights_Input56[[#This Row],[Energy savings (kWh)]]*Input_AvgkWhRate, "")</f>
        <v/>
      </c>
      <c r="U27" s="283" t="str">
        <f>IF(Table_PrescriptLights_Input56[[#This Row],[Exterior space type]]="", "",Table_PrescriptLights_Input56[[#This Row],[Total equipment cost]]+Table_PrescriptLights_Input56[[#This Row],[Total labor cost]])</f>
        <v/>
      </c>
      <c r="V27" s="283" t="str">
        <f>IFERROR(Table_PrescriptLights_Input56[[#This Row],[Gross measure cost]]-Table_PrescriptLights_Input56[[#This Row],[Estimated incentive]], "")</f>
        <v/>
      </c>
      <c r="W27" s="284" t="str">
        <f t="shared" si="1"/>
        <v/>
      </c>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row>
    <row r="28" spans="1:51" x14ac:dyDescent="0.2">
      <c r="A28" s="273"/>
      <c r="B28" s="274">
        <v>24</v>
      </c>
      <c r="C28" s="275" t="str">
        <f>IF(ISBLANK($E28)=TRUE,"",References!$F$13)</f>
        <v/>
      </c>
      <c r="D28" s="298"/>
      <c r="E28" s="299"/>
      <c r="F28" s="276"/>
      <c r="G28" s="276"/>
      <c r="H28" s="275" t="str" cm="1">
        <f t="array" ref="H28">IFERROR(INDEX(References!$AA$108:$AA$130,MATCH(1,(Table_PrescriptLights_Input56[[#This Row],[Exterior space type]]=References!$W$108:$W$130)*(Table_PrescriptLights_Input56[[#This Row],[Space sub-type]]=References!$X$108:$X$130),0)),"")</f>
        <v/>
      </c>
      <c r="I28" s="275" t="str" cm="1">
        <f t="array" ref="I28">IFERROR(INDEX(References!$Y$108:$Y$130,MATCH(1,(Table_PrescriptLights_Input56[[#This Row],[Exterior space type]]=References!$W$108:$W$130)*(Table_PrescriptLights_Input56[[#This Row],[Space sub-type]]=References!$X$108:$X$130),0)),"")</f>
        <v/>
      </c>
      <c r="J28" s="275" t="str" cm="1">
        <f t="array" ref="J28">IFERROR(INDEX(References!$Z$108:$Z$130,MATCH(1,(Table_PrescriptLights_Input56[[#This Row],[Exterior space type]]=References!$W$108:$W$130)*(Table_PrescriptLights_Input56[[#This Row],[Space sub-type]]=References!$X$108:$X$130),0)),"")</f>
        <v/>
      </c>
      <c r="K28" s="275" t="str">
        <f>IFERROR(Table_PrescriptLights_Input56[[#This Row],[Per-unit allowance (W)]]*Table_PrescriptLights_Input56[[#This Row],[Quantity ]],"")</f>
        <v/>
      </c>
      <c r="L28" s="301"/>
      <c r="M28" s="302" t="str">
        <f>IFERROR(Table_PrescriptLights_Input56[[#This Row],[Total proposed wattage]]/Table_PrescriptLights_Input56[[#This Row],[Quantity ]],"")</f>
        <v/>
      </c>
      <c r="N28" s="303"/>
      <c r="O28" s="303"/>
      <c r="P2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8" s="283" t="str">
        <f>IFERROR(Table_PrescriptLights_Input56[[#This Row],[Per-unit incentive]]*(Table_PrescriptLights_Input56[[#This Row],[Total allowance (W)]]-Table_PrescriptLights_Input56[[#This Row],[Total proposed wattage]]),"")</f>
        <v/>
      </c>
      <c r="R28" s="284" t="str">
        <f>IFERROR((Table_PrescriptLights_Input56[[#This Row],[Total allowance (W)]]-Table_PrescriptLights_Input56[[#This Row],[Total proposed wattage]])/1000*Value_ExtLtgAOH,"")</f>
        <v/>
      </c>
      <c r="S28" s="285" t="str">
        <f t="shared" si="0"/>
        <v/>
      </c>
      <c r="T28" s="283" t="str">
        <f>IFERROR(Table_PrescriptLights_Input56[[#This Row],[Energy savings (kWh)]]*Input_AvgkWhRate, "")</f>
        <v/>
      </c>
      <c r="U28" s="283" t="str">
        <f>IF(Table_PrescriptLights_Input56[[#This Row],[Exterior space type]]="", "",Table_PrescriptLights_Input56[[#This Row],[Total equipment cost]]+Table_PrescriptLights_Input56[[#This Row],[Total labor cost]])</f>
        <v/>
      </c>
      <c r="V28" s="283" t="str">
        <f>IFERROR(Table_PrescriptLights_Input56[[#This Row],[Gross measure cost]]-Table_PrescriptLights_Input56[[#This Row],[Estimated incentive]], "")</f>
        <v/>
      </c>
      <c r="W28" s="284" t="str">
        <f t="shared" si="1"/>
        <v/>
      </c>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row>
    <row r="29" spans="1:51" x14ac:dyDescent="0.2">
      <c r="A29" s="273"/>
      <c r="B29" s="274">
        <v>25</v>
      </c>
      <c r="C29" s="275" t="str">
        <f>IF(ISBLANK($E29)=TRUE,"",References!$F$13)</f>
        <v/>
      </c>
      <c r="D29" s="298"/>
      <c r="E29" s="299"/>
      <c r="F29" s="276"/>
      <c r="G29" s="276"/>
      <c r="H29" s="275" t="str" cm="1">
        <f t="array" ref="H29">IFERROR(INDEX(References!$AA$108:$AA$130,MATCH(1,(Table_PrescriptLights_Input56[[#This Row],[Exterior space type]]=References!$W$108:$W$130)*(Table_PrescriptLights_Input56[[#This Row],[Space sub-type]]=References!$X$108:$X$130),0)),"")</f>
        <v/>
      </c>
      <c r="I29" s="275" t="str" cm="1">
        <f t="array" ref="I29">IFERROR(INDEX(References!$Y$108:$Y$130,MATCH(1,(Table_PrescriptLights_Input56[[#This Row],[Exterior space type]]=References!$W$108:$W$130)*(Table_PrescriptLights_Input56[[#This Row],[Space sub-type]]=References!$X$108:$X$130),0)),"")</f>
        <v/>
      </c>
      <c r="J29" s="275" t="str" cm="1">
        <f t="array" ref="J29">IFERROR(INDEX(References!$Z$108:$Z$130,MATCH(1,(Table_PrescriptLights_Input56[[#This Row],[Exterior space type]]=References!$W$108:$W$130)*(Table_PrescriptLights_Input56[[#This Row],[Space sub-type]]=References!$X$108:$X$130),0)),"")</f>
        <v/>
      </c>
      <c r="K29" s="275" t="str">
        <f>IFERROR(Table_PrescriptLights_Input56[[#This Row],[Per-unit allowance (W)]]*Table_PrescriptLights_Input56[[#This Row],[Quantity ]],"")</f>
        <v/>
      </c>
      <c r="L29" s="301"/>
      <c r="M29" s="302" t="str">
        <f>IFERROR(Table_PrescriptLights_Input56[[#This Row],[Total proposed wattage]]/Table_PrescriptLights_Input56[[#This Row],[Quantity ]],"")</f>
        <v/>
      </c>
      <c r="N29" s="303"/>
      <c r="O29" s="303"/>
      <c r="P2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29" s="283" t="str">
        <f>IFERROR(Table_PrescriptLights_Input56[[#This Row],[Per-unit incentive]]*(Table_PrescriptLights_Input56[[#This Row],[Total allowance (W)]]-Table_PrescriptLights_Input56[[#This Row],[Total proposed wattage]]),"")</f>
        <v/>
      </c>
      <c r="R29" s="284" t="str">
        <f>IFERROR((Table_PrescriptLights_Input56[[#This Row],[Total allowance (W)]]-Table_PrescriptLights_Input56[[#This Row],[Total proposed wattage]])/1000*Value_ExtLtgAOH,"")</f>
        <v/>
      </c>
      <c r="S29" s="285" t="str">
        <f t="shared" si="0"/>
        <v/>
      </c>
      <c r="T29" s="283" t="str">
        <f>IFERROR(Table_PrescriptLights_Input56[[#This Row],[Energy savings (kWh)]]*Input_AvgkWhRate, "")</f>
        <v/>
      </c>
      <c r="U29" s="283" t="str">
        <f>IF(Table_PrescriptLights_Input56[[#This Row],[Exterior space type]]="", "",Table_PrescriptLights_Input56[[#This Row],[Total equipment cost]]+Table_PrescriptLights_Input56[[#This Row],[Total labor cost]])</f>
        <v/>
      </c>
      <c r="V29" s="283" t="str">
        <f>IFERROR(Table_PrescriptLights_Input56[[#This Row],[Gross measure cost]]-Table_PrescriptLights_Input56[[#This Row],[Estimated incentive]], "")</f>
        <v/>
      </c>
      <c r="W29" s="284" t="str">
        <f t="shared" si="1"/>
        <v/>
      </c>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row>
    <row r="30" spans="1:51" x14ac:dyDescent="0.2">
      <c r="A30" s="273"/>
      <c r="B30" s="274">
        <v>26</v>
      </c>
      <c r="C30" s="275" t="str">
        <f>IF(ISBLANK($E30)=TRUE,"",References!$F$13)</f>
        <v/>
      </c>
      <c r="D30" s="298"/>
      <c r="E30" s="299"/>
      <c r="F30" s="276"/>
      <c r="G30" s="276"/>
      <c r="H30" s="275" t="str" cm="1">
        <f t="array" ref="H30">IFERROR(INDEX(References!$AA$108:$AA$130,MATCH(1,(Table_PrescriptLights_Input56[[#This Row],[Exterior space type]]=References!$W$108:$W$130)*(Table_PrescriptLights_Input56[[#This Row],[Space sub-type]]=References!$X$108:$X$130),0)),"")</f>
        <v/>
      </c>
      <c r="I30" s="275" t="str" cm="1">
        <f t="array" ref="I30">IFERROR(INDEX(References!$Y$108:$Y$130,MATCH(1,(Table_PrescriptLights_Input56[[#This Row],[Exterior space type]]=References!$W$108:$W$130)*(Table_PrescriptLights_Input56[[#This Row],[Space sub-type]]=References!$X$108:$X$130),0)),"")</f>
        <v/>
      </c>
      <c r="J30" s="275" t="str" cm="1">
        <f t="array" ref="J30">IFERROR(INDEX(References!$Z$108:$Z$130,MATCH(1,(Table_PrescriptLights_Input56[[#This Row],[Exterior space type]]=References!$W$108:$W$130)*(Table_PrescriptLights_Input56[[#This Row],[Space sub-type]]=References!$X$108:$X$130),0)),"")</f>
        <v/>
      </c>
      <c r="K30" s="275" t="str">
        <f>IFERROR(Table_PrescriptLights_Input56[[#This Row],[Per-unit allowance (W)]]*Table_PrescriptLights_Input56[[#This Row],[Quantity ]],"")</f>
        <v/>
      </c>
      <c r="L30" s="301"/>
      <c r="M30" s="302" t="str">
        <f>IFERROR(Table_PrescriptLights_Input56[[#This Row],[Total proposed wattage]]/Table_PrescriptLights_Input56[[#This Row],[Quantity ]],"")</f>
        <v/>
      </c>
      <c r="N30" s="303"/>
      <c r="O30" s="303"/>
      <c r="P3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0" s="283" t="str">
        <f>IFERROR(Table_PrescriptLights_Input56[[#This Row],[Per-unit incentive]]*(Table_PrescriptLights_Input56[[#This Row],[Total allowance (W)]]-Table_PrescriptLights_Input56[[#This Row],[Total proposed wattage]]),"")</f>
        <v/>
      </c>
      <c r="R30" s="284" t="str">
        <f>IFERROR((Table_PrescriptLights_Input56[[#This Row],[Total allowance (W)]]-Table_PrescriptLights_Input56[[#This Row],[Total proposed wattage]])/1000*Value_ExtLtgAOH,"")</f>
        <v/>
      </c>
      <c r="S30" s="285" t="str">
        <f t="shared" si="0"/>
        <v/>
      </c>
      <c r="T30" s="283" t="str">
        <f>IFERROR(Table_PrescriptLights_Input56[[#This Row],[Energy savings (kWh)]]*Input_AvgkWhRate, "")</f>
        <v/>
      </c>
      <c r="U30" s="283" t="str">
        <f>IF(Table_PrescriptLights_Input56[[#This Row],[Exterior space type]]="", "",Table_PrescriptLights_Input56[[#This Row],[Total equipment cost]]+Table_PrescriptLights_Input56[[#This Row],[Total labor cost]])</f>
        <v/>
      </c>
      <c r="V30" s="283" t="str">
        <f>IFERROR(Table_PrescriptLights_Input56[[#This Row],[Gross measure cost]]-Table_PrescriptLights_Input56[[#This Row],[Estimated incentive]], "")</f>
        <v/>
      </c>
      <c r="W30" s="284" t="str">
        <f t="shared" si="1"/>
        <v/>
      </c>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row>
    <row r="31" spans="1:51" x14ac:dyDescent="0.2">
      <c r="A31" s="269"/>
      <c r="B31" s="274">
        <v>27</v>
      </c>
      <c r="C31" s="275" t="str">
        <f>IF(ISBLANK($E31)=TRUE,"",References!$F$13)</f>
        <v/>
      </c>
      <c r="D31" s="298"/>
      <c r="E31" s="299"/>
      <c r="F31" s="276"/>
      <c r="G31" s="276"/>
      <c r="H31" s="275" t="str" cm="1">
        <f t="array" ref="H31">IFERROR(INDEX(References!$AA$108:$AA$130,MATCH(1,(Table_PrescriptLights_Input56[[#This Row],[Exterior space type]]=References!$W$108:$W$130)*(Table_PrescriptLights_Input56[[#This Row],[Space sub-type]]=References!$X$108:$X$130),0)),"")</f>
        <v/>
      </c>
      <c r="I31" s="275" t="str" cm="1">
        <f t="array" ref="I31">IFERROR(INDEX(References!$Y$108:$Y$130,MATCH(1,(Table_PrescriptLights_Input56[[#This Row],[Exterior space type]]=References!$W$108:$W$130)*(Table_PrescriptLights_Input56[[#This Row],[Space sub-type]]=References!$X$108:$X$130),0)),"")</f>
        <v/>
      </c>
      <c r="J31" s="275" t="str" cm="1">
        <f t="array" ref="J31">IFERROR(INDEX(References!$Z$108:$Z$130,MATCH(1,(Table_PrescriptLights_Input56[[#This Row],[Exterior space type]]=References!$W$108:$W$130)*(Table_PrescriptLights_Input56[[#This Row],[Space sub-type]]=References!$X$108:$X$130),0)),"")</f>
        <v/>
      </c>
      <c r="K31" s="275" t="str">
        <f>IFERROR(Table_PrescriptLights_Input56[[#This Row],[Per-unit allowance (W)]]*Table_PrescriptLights_Input56[[#This Row],[Quantity ]],"")</f>
        <v/>
      </c>
      <c r="L31" s="301"/>
      <c r="M31" s="302" t="str">
        <f>IFERROR(Table_PrescriptLights_Input56[[#This Row],[Total proposed wattage]]/Table_PrescriptLights_Input56[[#This Row],[Quantity ]],"")</f>
        <v/>
      </c>
      <c r="N31" s="303"/>
      <c r="O31" s="303"/>
      <c r="P3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1" s="283" t="str">
        <f>IFERROR(Table_PrescriptLights_Input56[[#This Row],[Per-unit incentive]]*(Table_PrescriptLights_Input56[[#This Row],[Total allowance (W)]]-Table_PrescriptLights_Input56[[#This Row],[Total proposed wattage]]),"")</f>
        <v/>
      </c>
      <c r="R31" s="284" t="str">
        <f>IFERROR((Table_PrescriptLights_Input56[[#This Row],[Total allowance (W)]]-Table_PrescriptLights_Input56[[#This Row],[Total proposed wattage]])/1000*Value_ExtLtgAOH,"")</f>
        <v/>
      </c>
      <c r="S31" s="285" t="str">
        <f t="shared" si="0"/>
        <v/>
      </c>
      <c r="T31" s="283" t="str">
        <f>IFERROR(Table_PrescriptLights_Input56[[#This Row],[Energy savings (kWh)]]*Input_AvgkWhRate, "")</f>
        <v/>
      </c>
      <c r="U31" s="283" t="str">
        <f>IF(Table_PrescriptLights_Input56[[#This Row],[Exterior space type]]="", "",Table_PrescriptLights_Input56[[#This Row],[Total equipment cost]]+Table_PrescriptLights_Input56[[#This Row],[Total labor cost]])</f>
        <v/>
      </c>
      <c r="V31" s="283" t="str">
        <f>IFERROR(Table_PrescriptLights_Input56[[#This Row],[Gross measure cost]]-Table_PrescriptLights_Input56[[#This Row],[Estimated incentive]], "")</f>
        <v/>
      </c>
      <c r="W31" s="284" t="str">
        <f t="shared" si="1"/>
        <v/>
      </c>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row>
    <row r="32" spans="1:51" x14ac:dyDescent="0.2">
      <c r="A32" s="269"/>
      <c r="B32" s="274">
        <v>28</v>
      </c>
      <c r="C32" s="275" t="str">
        <f>IF(ISBLANK($E32)=TRUE,"",References!$F$13)</f>
        <v/>
      </c>
      <c r="D32" s="298"/>
      <c r="E32" s="299"/>
      <c r="F32" s="276"/>
      <c r="G32" s="276"/>
      <c r="H32" s="275" t="str" cm="1">
        <f t="array" ref="H32">IFERROR(INDEX(References!$AA$108:$AA$130,MATCH(1,(Table_PrescriptLights_Input56[[#This Row],[Exterior space type]]=References!$W$108:$W$130)*(Table_PrescriptLights_Input56[[#This Row],[Space sub-type]]=References!$X$108:$X$130),0)),"")</f>
        <v/>
      </c>
      <c r="I32" s="275" t="str" cm="1">
        <f t="array" ref="I32">IFERROR(INDEX(References!$Y$108:$Y$130,MATCH(1,(Table_PrescriptLights_Input56[[#This Row],[Exterior space type]]=References!$W$108:$W$130)*(Table_PrescriptLights_Input56[[#This Row],[Space sub-type]]=References!$X$108:$X$130),0)),"")</f>
        <v/>
      </c>
      <c r="J32" s="275" t="str" cm="1">
        <f t="array" ref="J32">IFERROR(INDEX(References!$Z$108:$Z$130,MATCH(1,(Table_PrescriptLights_Input56[[#This Row],[Exterior space type]]=References!$W$108:$W$130)*(Table_PrescriptLights_Input56[[#This Row],[Space sub-type]]=References!$X$108:$X$130),0)),"")</f>
        <v/>
      </c>
      <c r="K32" s="275" t="str">
        <f>IFERROR(Table_PrescriptLights_Input56[[#This Row],[Per-unit allowance (W)]]*Table_PrescriptLights_Input56[[#This Row],[Quantity ]],"")</f>
        <v/>
      </c>
      <c r="L32" s="301"/>
      <c r="M32" s="302" t="str">
        <f>IFERROR(Table_PrescriptLights_Input56[[#This Row],[Total proposed wattage]]/Table_PrescriptLights_Input56[[#This Row],[Quantity ]],"")</f>
        <v/>
      </c>
      <c r="N32" s="303"/>
      <c r="O32" s="303"/>
      <c r="P3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2" s="283" t="str">
        <f>IFERROR(Table_PrescriptLights_Input56[[#This Row],[Per-unit incentive]]*(Table_PrescriptLights_Input56[[#This Row],[Total allowance (W)]]-Table_PrescriptLights_Input56[[#This Row],[Total proposed wattage]]),"")</f>
        <v/>
      </c>
      <c r="R32" s="284" t="str">
        <f>IFERROR((Table_PrescriptLights_Input56[[#This Row],[Total allowance (W)]]-Table_PrescriptLights_Input56[[#This Row],[Total proposed wattage]])/1000*Value_ExtLtgAOH,"")</f>
        <v/>
      </c>
      <c r="S32" s="285" t="str">
        <f t="shared" si="0"/>
        <v/>
      </c>
      <c r="T32" s="283" t="str">
        <f>IFERROR(Table_PrescriptLights_Input56[[#This Row],[Energy savings (kWh)]]*Input_AvgkWhRate, "")</f>
        <v/>
      </c>
      <c r="U32" s="283" t="str">
        <f>IF(Table_PrescriptLights_Input56[[#This Row],[Exterior space type]]="", "",Table_PrescriptLights_Input56[[#This Row],[Total equipment cost]]+Table_PrescriptLights_Input56[[#This Row],[Total labor cost]])</f>
        <v/>
      </c>
      <c r="V32" s="283" t="str">
        <f>IFERROR(Table_PrescriptLights_Input56[[#This Row],[Gross measure cost]]-Table_PrescriptLights_Input56[[#This Row],[Estimated incentive]], "")</f>
        <v/>
      </c>
      <c r="W32" s="284" t="str">
        <f t="shared" si="1"/>
        <v/>
      </c>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row>
    <row r="33" spans="1:51" x14ac:dyDescent="0.2">
      <c r="A33" s="269"/>
      <c r="B33" s="274">
        <v>29</v>
      </c>
      <c r="C33" s="275" t="str">
        <f>IF(ISBLANK($E33)=TRUE,"",References!$F$13)</f>
        <v/>
      </c>
      <c r="D33" s="298"/>
      <c r="E33" s="299"/>
      <c r="F33" s="276"/>
      <c r="G33" s="276"/>
      <c r="H33" s="275" t="str" cm="1">
        <f t="array" ref="H33">IFERROR(INDEX(References!$AA$108:$AA$130,MATCH(1,(Table_PrescriptLights_Input56[[#This Row],[Exterior space type]]=References!$W$108:$W$130)*(Table_PrescriptLights_Input56[[#This Row],[Space sub-type]]=References!$X$108:$X$130),0)),"")</f>
        <v/>
      </c>
      <c r="I33" s="275" t="str" cm="1">
        <f t="array" ref="I33">IFERROR(INDEX(References!$Y$108:$Y$130,MATCH(1,(Table_PrescriptLights_Input56[[#This Row],[Exterior space type]]=References!$W$108:$W$130)*(Table_PrescriptLights_Input56[[#This Row],[Space sub-type]]=References!$X$108:$X$130),0)),"")</f>
        <v/>
      </c>
      <c r="J33" s="275" t="str" cm="1">
        <f t="array" ref="J33">IFERROR(INDEX(References!$Z$108:$Z$130,MATCH(1,(Table_PrescriptLights_Input56[[#This Row],[Exterior space type]]=References!$W$108:$W$130)*(Table_PrescriptLights_Input56[[#This Row],[Space sub-type]]=References!$X$108:$X$130),0)),"")</f>
        <v/>
      </c>
      <c r="K33" s="275" t="str">
        <f>IFERROR(Table_PrescriptLights_Input56[[#This Row],[Per-unit allowance (W)]]*Table_PrescriptLights_Input56[[#This Row],[Quantity ]],"")</f>
        <v/>
      </c>
      <c r="L33" s="301"/>
      <c r="M33" s="302" t="str">
        <f>IFERROR(Table_PrescriptLights_Input56[[#This Row],[Total proposed wattage]]/Table_PrescriptLights_Input56[[#This Row],[Quantity ]],"")</f>
        <v/>
      </c>
      <c r="N33" s="303"/>
      <c r="O33" s="303"/>
      <c r="P3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3" s="283" t="str">
        <f>IFERROR(Table_PrescriptLights_Input56[[#This Row],[Per-unit incentive]]*(Table_PrescriptLights_Input56[[#This Row],[Total allowance (W)]]-Table_PrescriptLights_Input56[[#This Row],[Total proposed wattage]]),"")</f>
        <v/>
      </c>
      <c r="R33" s="284" t="str">
        <f>IFERROR((Table_PrescriptLights_Input56[[#This Row],[Total allowance (W)]]-Table_PrescriptLights_Input56[[#This Row],[Total proposed wattage]])/1000*Value_ExtLtgAOH,"")</f>
        <v/>
      </c>
      <c r="S33" s="285" t="str">
        <f t="shared" si="0"/>
        <v/>
      </c>
      <c r="T33" s="283" t="str">
        <f>IFERROR(Table_PrescriptLights_Input56[[#This Row],[Energy savings (kWh)]]*Input_AvgkWhRate, "")</f>
        <v/>
      </c>
      <c r="U33" s="283" t="str">
        <f>IF(Table_PrescriptLights_Input56[[#This Row],[Exterior space type]]="", "",Table_PrescriptLights_Input56[[#This Row],[Total equipment cost]]+Table_PrescriptLights_Input56[[#This Row],[Total labor cost]])</f>
        <v/>
      </c>
      <c r="V33" s="283" t="str">
        <f>IFERROR(Table_PrescriptLights_Input56[[#This Row],[Gross measure cost]]-Table_PrescriptLights_Input56[[#This Row],[Estimated incentive]], "")</f>
        <v/>
      </c>
      <c r="W33" s="284" t="str">
        <f t="shared" si="1"/>
        <v/>
      </c>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row>
    <row r="34" spans="1:51" x14ac:dyDescent="0.2">
      <c r="A34" s="269"/>
      <c r="B34" s="274">
        <v>30</v>
      </c>
      <c r="C34" s="275" t="str">
        <f>IF(ISBLANK($E34)=TRUE,"",References!$F$13)</f>
        <v/>
      </c>
      <c r="D34" s="298"/>
      <c r="E34" s="299"/>
      <c r="F34" s="276"/>
      <c r="G34" s="276"/>
      <c r="H34" s="275" t="str" cm="1">
        <f t="array" ref="H34">IFERROR(INDEX(References!$AA$108:$AA$130,MATCH(1,(Table_PrescriptLights_Input56[[#This Row],[Exterior space type]]=References!$W$108:$W$130)*(Table_PrescriptLights_Input56[[#This Row],[Space sub-type]]=References!$X$108:$X$130),0)),"")</f>
        <v/>
      </c>
      <c r="I34" s="275" t="str" cm="1">
        <f t="array" ref="I34">IFERROR(INDEX(References!$Y$108:$Y$130,MATCH(1,(Table_PrescriptLights_Input56[[#This Row],[Exterior space type]]=References!$W$108:$W$130)*(Table_PrescriptLights_Input56[[#This Row],[Space sub-type]]=References!$X$108:$X$130),0)),"")</f>
        <v/>
      </c>
      <c r="J34" s="275" t="str" cm="1">
        <f t="array" ref="J34">IFERROR(INDEX(References!$Z$108:$Z$130,MATCH(1,(Table_PrescriptLights_Input56[[#This Row],[Exterior space type]]=References!$W$108:$W$130)*(Table_PrescriptLights_Input56[[#This Row],[Space sub-type]]=References!$X$108:$X$130),0)),"")</f>
        <v/>
      </c>
      <c r="K34" s="275" t="str">
        <f>IFERROR(Table_PrescriptLights_Input56[[#This Row],[Per-unit allowance (W)]]*Table_PrescriptLights_Input56[[#This Row],[Quantity ]],"")</f>
        <v/>
      </c>
      <c r="L34" s="301"/>
      <c r="M34" s="302" t="str">
        <f>IFERROR(Table_PrescriptLights_Input56[[#This Row],[Total proposed wattage]]/Table_PrescriptLights_Input56[[#This Row],[Quantity ]],"")</f>
        <v/>
      </c>
      <c r="N34" s="303"/>
      <c r="O34" s="303"/>
      <c r="P3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4" s="283" t="str">
        <f>IFERROR(Table_PrescriptLights_Input56[[#This Row],[Per-unit incentive]]*(Table_PrescriptLights_Input56[[#This Row],[Total allowance (W)]]-Table_PrescriptLights_Input56[[#This Row],[Total proposed wattage]]),"")</f>
        <v/>
      </c>
      <c r="R34" s="284" t="str">
        <f>IFERROR((Table_PrescriptLights_Input56[[#This Row],[Total allowance (W)]]-Table_PrescriptLights_Input56[[#This Row],[Total proposed wattage]])/1000*Value_ExtLtgAOH,"")</f>
        <v/>
      </c>
      <c r="S34" s="285" t="str">
        <f t="shared" si="0"/>
        <v/>
      </c>
      <c r="T34" s="283" t="str">
        <f>IFERROR(Table_PrescriptLights_Input56[[#This Row],[Energy savings (kWh)]]*Input_AvgkWhRate, "")</f>
        <v/>
      </c>
      <c r="U34" s="283" t="str">
        <f>IF(Table_PrescriptLights_Input56[[#This Row],[Exterior space type]]="", "",Table_PrescriptLights_Input56[[#This Row],[Total equipment cost]]+Table_PrescriptLights_Input56[[#This Row],[Total labor cost]])</f>
        <v/>
      </c>
      <c r="V34" s="283" t="str">
        <f>IFERROR(Table_PrescriptLights_Input56[[#This Row],[Gross measure cost]]-Table_PrescriptLights_Input56[[#This Row],[Estimated incentive]], "")</f>
        <v/>
      </c>
      <c r="W34" s="284" t="str">
        <f t="shared" si="1"/>
        <v/>
      </c>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row>
    <row r="35" spans="1:51" x14ac:dyDescent="0.2">
      <c r="A35" s="269"/>
      <c r="B35" s="274">
        <v>31</v>
      </c>
      <c r="C35" s="275" t="str">
        <f>IF(ISBLANK($E35)=TRUE,"",References!$F$13)</f>
        <v/>
      </c>
      <c r="D35" s="298"/>
      <c r="E35" s="299"/>
      <c r="F35" s="276"/>
      <c r="G35" s="276"/>
      <c r="H35" s="275" t="str" cm="1">
        <f t="array" ref="H35">IFERROR(INDEX(References!$AA$108:$AA$130,MATCH(1,(Table_PrescriptLights_Input56[[#This Row],[Exterior space type]]=References!$W$108:$W$130)*(Table_PrescriptLights_Input56[[#This Row],[Space sub-type]]=References!$X$108:$X$130),0)),"")</f>
        <v/>
      </c>
      <c r="I35" s="275" t="str" cm="1">
        <f t="array" ref="I35">IFERROR(INDEX(References!$Y$108:$Y$130,MATCH(1,(Table_PrescriptLights_Input56[[#This Row],[Exterior space type]]=References!$W$108:$W$130)*(Table_PrescriptLights_Input56[[#This Row],[Space sub-type]]=References!$X$108:$X$130),0)),"")</f>
        <v/>
      </c>
      <c r="J35" s="275" t="str" cm="1">
        <f t="array" ref="J35">IFERROR(INDEX(References!$Z$108:$Z$130,MATCH(1,(Table_PrescriptLights_Input56[[#This Row],[Exterior space type]]=References!$W$108:$W$130)*(Table_PrescriptLights_Input56[[#This Row],[Space sub-type]]=References!$X$108:$X$130),0)),"")</f>
        <v/>
      </c>
      <c r="K35" s="275" t="str">
        <f>IFERROR(Table_PrescriptLights_Input56[[#This Row],[Per-unit allowance (W)]]*Table_PrescriptLights_Input56[[#This Row],[Quantity ]],"")</f>
        <v/>
      </c>
      <c r="L35" s="301"/>
      <c r="M35" s="302" t="str">
        <f>IFERROR(Table_PrescriptLights_Input56[[#This Row],[Total proposed wattage]]/Table_PrescriptLights_Input56[[#This Row],[Quantity ]],"")</f>
        <v/>
      </c>
      <c r="N35" s="303"/>
      <c r="O35" s="303"/>
      <c r="P3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5" s="283" t="str">
        <f>IFERROR(Table_PrescriptLights_Input56[[#This Row],[Per-unit incentive]]*(Table_PrescriptLights_Input56[[#This Row],[Total allowance (W)]]-Table_PrescriptLights_Input56[[#This Row],[Total proposed wattage]]),"")</f>
        <v/>
      </c>
      <c r="R35" s="284" t="str">
        <f>IFERROR((Table_PrescriptLights_Input56[[#This Row],[Total allowance (W)]]-Table_PrescriptLights_Input56[[#This Row],[Total proposed wattage]])/1000*Value_ExtLtgAOH,"")</f>
        <v/>
      </c>
      <c r="S35" s="285" t="str">
        <f t="shared" si="0"/>
        <v/>
      </c>
      <c r="T35" s="283" t="str">
        <f>IFERROR(Table_PrescriptLights_Input56[[#This Row],[Energy savings (kWh)]]*Input_AvgkWhRate, "")</f>
        <v/>
      </c>
      <c r="U35" s="283" t="str">
        <f>IF(Table_PrescriptLights_Input56[[#This Row],[Exterior space type]]="", "",Table_PrescriptLights_Input56[[#This Row],[Total equipment cost]]+Table_PrescriptLights_Input56[[#This Row],[Total labor cost]])</f>
        <v/>
      </c>
      <c r="V35" s="283" t="str">
        <f>IFERROR(Table_PrescriptLights_Input56[[#This Row],[Gross measure cost]]-Table_PrescriptLights_Input56[[#This Row],[Estimated incentive]], "")</f>
        <v/>
      </c>
      <c r="W35" s="284" t="str">
        <f t="shared" si="1"/>
        <v/>
      </c>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row>
    <row r="36" spans="1:51" x14ac:dyDescent="0.2">
      <c r="A36" s="269"/>
      <c r="B36" s="274">
        <v>32</v>
      </c>
      <c r="C36" s="275" t="str">
        <f>IF(ISBLANK($E36)=TRUE,"",References!$F$13)</f>
        <v/>
      </c>
      <c r="D36" s="298"/>
      <c r="E36" s="299"/>
      <c r="F36" s="276"/>
      <c r="G36" s="276"/>
      <c r="H36" s="275" t="str" cm="1">
        <f t="array" ref="H36">IFERROR(INDEX(References!$AA$108:$AA$130,MATCH(1,(Table_PrescriptLights_Input56[[#This Row],[Exterior space type]]=References!$W$108:$W$130)*(Table_PrescriptLights_Input56[[#This Row],[Space sub-type]]=References!$X$108:$X$130),0)),"")</f>
        <v/>
      </c>
      <c r="I36" s="275" t="str" cm="1">
        <f t="array" ref="I36">IFERROR(INDEX(References!$Y$108:$Y$130,MATCH(1,(Table_PrescriptLights_Input56[[#This Row],[Exterior space type]]=References!$W$108:$W$130)*(Table_PrescriptLights_Input56[[#This Row],[Space sub-type]]=References!$X$108:$X$130),0)),"")</f>
        <v/>
      </c>
      <c r="J36" s="275" t="str" cm="1">
        <f t="array" ref="J36">IFERROR(INDEX(References!$Z$108:$Z$130,MATCH(1,(Table_PrescriptLights_Input56[[#This Row],[Exterior space type]]=References!$W$108:$W$130)*(Table_PrescriptLights_Input56[[#This Row],[Space sub-type]]=References!$X$108:$X$130),0)),"")</f>
        <v/>
      </c>
      <c r="K36" s="275" t="str">
        <f>IFERROR(Table_PrescriptLights_Input56[[#This Row],[Per-unit allowance (W)]]*Table_PrescriptLights_Input56[[#This Row],[Quantity ]],"")</f>
        <v/>
      </c>
      <c r="L36" s="301"/>
      <c r="M36" s="302" t="str">
        <f>IFERROR(Table_PrescriptLights_Input56[[#This Row],[Total proposed wattage]]/Table_PrescriptLights_Input56[[#This Row],[Quantity ]],"")</f>
        <v/>
      </c>
      <c r="N36" s="303"/>
      <c r="O36" s="303"/>
      <c r="P3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6" s="283" t="str">
        <f>IFERROR(Table_PrescriptLights_Input56[[#This Row],[Per-unit incentive]]*(Table_PrescriptLights_Input56[[#This Row],[Total allowance (W)]]-Table_PrescriptLights_Input56[[#This Row],[Total proposed wattage]]),"")</f>
        <v/>
      </c>
      <c r="R36" s="284" t="str">
        <f>IFERROR((Table_PrescriptLights_Input56[[#This Row],[Total allowance (W)]]-Table_PrescriptLights_Input56[[#This Row],[Total proposed wattage]])/1000*Value_ExtLtgAOH,"")</f>
        <v/>
      </c>
      <c r="S36" s="285" t="str">
        <f t="shared" si="0"/>
        <v/>
      </c>
      <c r="T36" s="283" t="str">
        <f>IFERROR(Table_PrescriptLights_Input56[[#This Row],[Energy savings (kWh)]]*Input_AvgkWhRate, "")</f>
        <v/>
      </c>
      <c r="U36" s="283" t="str">
        <f>IF(Table_PrescriptLights_Input56[[#This Row],[Exterior space type]]="", "",Table_PrescriptLights_Input56[[#This Row],[Total equipment cost]]+Table_PrescriptLights_Input56[[#This Row],[Total labor cost]])</f>
        <v/>
      </c>
      <c r="V36" s="283" t="str">
        <f>IFERROR(Table_PrescriptLights_Input56[[#This Row],[Gross measure cost]]-Table_PrescriptLights_Input56[[#This Row],[Estimated incentive]], "")</f>
        <v/>
      </c>
      <c r="W36" s="284" t="str">
        <f t="shared" si="1"/>
        <v/>
      </c>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x14ac:dyDescent="0.2">
      <c r="A37" s="269"/>
      <c r="B37" s="274">
        <v>33</v>
      </c>
      <c r="C37" s="275" t="str">
        <f>IF(ISBLANK($E37)=TRUE,"",References!$F$13)</f>
        <v/>
      </c>
      <c r="D37" s="298"/>
      <c r="E37" s="299"/>
      <c r="F37" s="276"/>
      <c r="G37" s="276"/>
      <c r="H37" s="275" t="str" cm="1">
        <f t="array" ref="H37">IFERROR(INDEX(References!$AA$108:$AA$130,MATCH(1,(Table_PrescriptLights_Input56[[#This Row],[Exterior space type]]=References!$W$108:$W$130)*(Table_PrescriptLights_Input56[[#This Row],[Space sub-type]]=References!$X$108:$X$130),0)),"")</f>
        <v/>
      </c>
      <c r="I37" s="275" t="str" cm="1">
        <f t="array" ref="I37">IFERROR(INDEX(References!$Y$108:$Y$130,MATCH(1,(Table_PrescriptLights_Input56[[#This Row],[Exterior space type]]=References!$W$108:$W$130)*(Table_PrescriptLights_Input56[[#This Row],[Space sub-type]]=References!$X$108:$X$130),0)),"")</f>
        <v/>
      </c>
      <c r="J37" s="275" t="str" cm="1">
        <f t="array" ref="J37">IFERROR(INDEX(References!$Z$108:$Z$130,MATCH(1,(Table_PrescriptLights_Input56[[#This Row],[Exterior space type]]=References!$W$108:$W$130)*(Table_PrescriptLights_Input56[[#This Row],[Space sub-type]]=References!$X$108:$X$130),0)),"")</f>
        <v/>
      </c>
      <c r="K37" s="275" t="str">
        <f>IFERROR(Table_PrescriptLights_Input56[[#This Row],[Per-unit allowance (W)]]*Table_PrescriptLights_Input56[[#This Row],[Quantity ]],"")</f>
        <v/>
      </c>
      <c r="L37" s="301"/>
      <c r="M37" s="302" t="str">
        <f>IFERROR(Table_PrescriptLights_Input56[[#This Row],[Total proposed wattage]]/Table_PrescriptLights_Input56[[#This Row],[Quantity ]],"")</f>
        <v/>
      </c>
      <c r="N37" s="303"/>
      <c r="O37" s="303"/>
      <c r="P3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7" s="283" t="str">
        <f>IFERROR(Table_PrescriptLights_Input56[[#This Row],[Per-unit incentive]]*(Table_PrescriptLights_Input56[[#This Row],[Total allowance (W)]]-Table_PrescriptLights_Input56[[#This Row],[Total proposed wattage]]),"")</f>
        <v/>
      </c>
      <c r="R37" s="284" t="str">
        <f>IFERROR((Table_PrescriptLights_Input56[[#This Row],[Total allowance (W)]]-Table_PrescriptLights_Input56[[#This Row],[Total proposed wattage]])/1000*Value_ExtLtgAOH,"")</f>
        <v/>
      </c>
      <c r="S37" s="285" t="str">
        <f t="shared" ref="S37:S54" si="2">IFERROR(($K37-$L37)/1000*Value_ExtLtgCF,"")</f>
        <v/>
      </c>
      <c r="T37" s="283" t="str">
        <f>IFERROR(Table_PrescriptLights_Input56[[#This Row],[Energy savings (kWh)]]*Input_AvgkWhRate, "")</f>
        <v/>
      </c>
      <c r="U37" s="283" t="str">
        <f>IF(Table_PrescriptLights_Input56[[#This Row],[Exterior space type]]="", "",Table_PrescriptLights_Input56[[#This Row],[Total equipment cost]]+Table_PrescriptLights_Input56[[#This Row],[Total labor cost]])</f>
        <v/>
      </c>
      <c r="V37" s="283" t="str">
        <f>IFERROR(Table_PrescriptLights_Input56[[#This Row],[Gross measure cost]]-Table_PrescriptLights_Input56[[#This Row],[Estimated incentive]], "")</f>
        <v/>
      </c>
      <c r="W37" s="284" t="str">
        <f t="shared" si="1"/>
        <v/>
      </c>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x14ac:dyDescent="0.2">
      <c r="A38" s="269"/>
      <c r="B38" s="274">
        <v>34</v>
      </c>
      <c r="C38" s="275" t="str">
        <f>IF(ISBLANK($E38)=TRUE,"",References!$F$13)</f>
        <v/>
      </c>
      <c r="D38" s="298"/>
      <c r="E38" s="299"/>
      <c r="F38" s="276"/>
      <c r="G38" s="276"/>
      <c r="H38" s="275" t="str" cm="1">
        <f t="array" ref="H38">IFERROR(INDEX(References!$AA$108:$AA$130,MATCH(1,(Table_PrescriptLights_Input56[[#This Row],[Exterior space type]]=References!$W$108:$W$130)*(Table_PrescriptLights_Input56[[#This Row],[Space sub-type]]=References!$X$108:$X$130),0)),"")</f>
        <v/>
      </c>
      <c r="I38" s="275" t="str" cm="1">
        <f t="array" ref="I38">IFERROR(INDEX(References!$Y$108:$Y$130,MATCH(1,(Table_PrescriptLights_Input56[[#This Row],[Exterior space type]]=References!$W$108:$W$130)*(Table_PrescriptLights_Input56[[#This Row],[Space sub-type]]=References!$X$108:$X$130),0)),"")</f>
        <v/>
      </c>
      <c r="J38" s="275" t="str" cm="1">
        <f t="array" ref="J38">IFERROR(INDEX(References!$Z$108:$Z$130,MATCH(1,(Table_PrescriptLights_Input56[[#This Row],[Exterior space type]]=References!$W$108:$W$130)*(Table_PrescriptLights_Input56[[#This Row],[Space sub-type]]=References!$X$108:$X$130),0)),"")</f>
        <v/>
      </c>
      <c r="K38" s="275" t="str">
        <f>IFERROR(Table_PrescriptLights_Input56[[#This Row],[Per-unit allowance (W)]]*Table_PrescriptLights_Input56[[#This Row],[Quantity ]],"")</f>
        <v/>
      </c>
      <c r="L38" s="301"/>
      <c r="M38" s="302" t="str">
        <f>IFERROR(Table_PrescriptLights_Input56[[#This Row],[Total proposed wattage]]/Table_PrescriptLights_Input56[[#This Row],[Quantity ]],"")</f>
        <v/>
      </c>
      <c r="N38" s="303"/>
      <c r="O38" s="303"/>
      <c r="P3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8" s="283" t="str">
        <f>IFERROR(Table_PrescriptLights_Input56[[#This Row],[Per-unit incentive]]*(Table_PrescriptLights_Input56[[#This Row],[Total allowance (W)]]-Table_PrescriptLights_Input56[[#This Row],[Total proposed wattage]]),"")</f>
        <v/>
      </c>
      <c r="R38" s="284" t="str">
        <f>IFERROR((Table_PrescriptLights_Input56[[#This Row],[Total allowance (W)]]-Table_PrescriptLights_Input56[[#This Row],[Total proposed wattage]])/1000*Value_ExtLtgAOH,"")</f>
        <v/>
      </c>
      <c r="S38" s="285" t="str">
        <f t="shared" si="2"/>
        <v/>
      </c>
      <c r="T38" s="283" t="str">
        <f>IFERROR(Table_PrescriptLights_Input56[[#This Row],[Energy savings (kWh)]]*Input_AvgkWhRate, "")</f>
        <v/>
      </c>
      <c r="U38" s="283" t="str">
        <f>IF(Table_PrescriptLights_Input56[[#This Row],[Exterior space type]]="", "",Table_PrescriptLights_Input56[[#This Row],[Total equipment cost]]+Table_PrescriptLights_Input56[[#This Row],[Total labor cost]])</f>
        <v/>
      </c>
      <c r="V38" s="283" t="str">
        <f>IFERROR(Table_PrescriptLights_Input56[[#This Row],[Gross measure cost]]-Table_PrescriptLights_Input56[[#This Row],[Estimated incentive]], "")</f>
        <v/>
      </c>
      <c r="W38" s="284" t="str">
        <f t="shared" si="1"/>
        <v/>
      </c>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row>
    <row r="39" spans="1:51" x14ac:dyDescent="0.2">
      <c r="A39" s="269"/>
      <c r="B39" s="274">
        <v>35</v>
      </c>
      <c r="C39" s="275" t="str">
        <f>IF(ISBLANK($E39)=TRUE,"",References!$F$13)</f>
        <v/>
      </c>
      <c r="D39" s="298"/>
      <c r="E39" s="299"/>
      <c r="F39" s="276"/>
      <c r="G39" s="276"/>
      <c r="H39" s="275" t="str" cm="1">
        <f t="array" ref="H39">IFERROR(INDEX(References!$AA$108:$AA$130,MATCH(1,(Table_PrescriptLights_Input56[[#This Row],[Exterior space type]]=References!$W$108:$W$130)*(Table_PrescriptLights_Input56[[#This Row],[Space sub-type]]=References!$X$108:$X$130),0)),"")</f>
        <v/>
      </c>
      <c r="I39" s="275" t="str" cm="1">
        <f t="array" ref="I39">IFERROR(INDEX(References!$Y$108:$Y$130,MATCH(1,(Table_PrescriptLights_Input56[[#This Row],[Exterior space type]]=References!$W$108:$W$130)*(Table_PrescriptLights_Input56[[#This Row],[Space sub-type]]=References!$X$108:$X$130),0)),"")</f>
        <v/>
      </c>
      <c r="J39" s="275" t="str" cm="1">
        <f t="array" ref="J39">IFERROR(INDEX(References!$Z$108:$Z$130,MATCH(1,(Table_PrescriptLights_Input56[[#This Row],[Exterior space type]]=References!$W$108:$W$130)*(Table_PrescriptLights_Input56[[#This Row],[Space sub-type]]=References!$X$108:$X$130),0)),"")</f>
        <v/>
      </c>
      <c r="K39" s="275" t="str">
        <f>IFERROR(Table_PrescriptLights_Input56[[#This Row],[Per-unit allowance (W)]]*Table_PrescriptLights_Input56[[#This Row],[Quantity ]],"")</f>
        <v/>
      </c>
      <c r="L39" s="301"/>
      <c r="M39" s="302" t="str">
        <f>IFERROR(Table_PrescriptLights_Input56[[#This Row],[Total proposed wattage]]/Table_PrescriptLights_Input56[[#This Row],[Quantity ]],"")</f>
        <v/>
      </c>
      <c r="N39" s="303"/>
      <c r="O39" s="303"/>
      <c r="P3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39" s="283" t="str">
        <f>IFERROR(Table_PrescriptLights_Input56[[#This Row],[Per-unit incentive]]*(Table_PrescriptLights_Input56[[#This Row],[Total allowance (W)]]-Table_PrescriptLights_Input56[[#This Row],[Total proposed wattage]]),"")</f>
        <v/>
      </c>
      <c r="R39" s="284" t="str">
        <f>IFERROR((Table_PrescriptLights_Input56[[#This Row],[Total allowance (W)]]-Table_PrescriptLights_Input56[[#This Row],[Total proposed wattage]])/1000*Value_ExtLtgAOH,"")</f>
        <v/>
      </c>
      <c r="S39" s="285" t="str">
        <f t="shared" si="2"/>
        <v/>
      </c>
      <c r="T39" s="283" t="str">
        <f>IFERROR(Table_PrescriptLights_Input56[[#This Row],[Energy savings (kWh)]]*Input_AvgkWhRate, "")</f>
        <v/>
      </c>
      <c r="U39" s="283" t="str">
        <f>IF(Table_PrescriptLights_Input56[[#This Row],[Exterior space type]]="", "",Table_PrescriptLights_Input56[[#This Row],[Total equipment cost]]+Table_PrescriptLights_Input56[[#This Row],[Total labor cost]])</f>
        <v/>
      </c>
      <c r="V39" s="283" t="str">
        <f>IFERROR(Table_PrescriptLights_Input56[[#This Row],[Gross measure cost]]-Table_PrescriptLights_Input56[[#This Row],[Estimated incentive]], "")</f>
        <v/>
      </c>
      <c r="W39" s="284" t="str">
        <f t="shared" si="1"/>
        <v/>
      </c>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row>
    <row r="40" spans="1:51" x14ac:dyDescent="0.2">
      <c r="A40" s="269"/>
      <c r="B40" s="274">
        <v>36</v>
      </c>
      <c r="C40" s="275" t="str">
        <f>IF(ISBLANK($E40)=TRUE,"",References!$F$13)</f>
        <v/>
      </c>
      <c r="D40" s="298"/>
      <c r="E40" s="299"/>
      <c r="F40" s="276"/>
      <c r="G40" s="276"/>
      <c r="H40" s="275" t="str" cm="1">
        <f t="array" ref="H40">IFERROR(INDEX(References!$AA$108:$AA$130,MATCH(1,(Table_PrescriptLights_Input56[[#This Row],[Exterior space type]]=References!$W$108:$W$130)*(Table_PrescriptLights_Input56[[#This Row],[Space sub-type]]=References!$X$108:$X$130),0)),"")</f>
        <v/>
      </c>
      <c r="I40" s="275" t="str" cm="1">
        <f t="array" ref="I40">IFERROR(INDEX(References!$Y$108:$Y$130,MATCH(1,(Table_PrescriptLights_Input56[[#This Row],[Exterior space type]]=References!$W$108:$W$130)*(Table_PrescriptLights_Input56[[#This Row],[Space sub-type]]=References!$X$108:$X$130),0)),"")</f>
        <v/>
      </c>
      <c r="J40" s="275" t="str" cm="1">
        <f t="array" ref="J40">IFERROR(INDEX(References!$Z$108:$Z$130,MATCH(1,(Table_PrescriptLights_Input56[[#This Row],[Exterior space type]]=References!$W$108:$W$130)*(Table_PrescriptLights_Input56[[#This Row],[Space sub-type]]=References!$X$108:$X$130),0)),"")</f>
        <v/>
      </c>
      <c r="K40" s="275" t="str">
        <f>IFERROR(Table_PrescriptLights_Input56[[#This Row],[Per-unit allowance (W)]]*Table_PrescriptLights_Input56[[#This Row],[Quantity ]],"")</f>
        <v/>
      </c>
      <c r="L40" s="301"/>
      <c r="M40" s="302" t="str">
        <f>IFERROR(Table_PrescriptLights_Input56[[#This Row],[Total proposed wattage]]/Table_PrescriptLights_Input56[[#This Row],[Quantity ]],"")</f>
        <v/>
      </c>
      <c r="N40" s="303"/>
      <c r="O40" s="303"/>
      <c r="P4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0" s="283" t="str">
        <f>IFERROR(Table_PrescriptLights_Input56[[#This Row],[Per-unit incentive]]*(Table_PrescriptLights_Input56[[#This Row],[Total allowance (W)]]-Table_PrescriptLights_Input56[[#This Row],[Total proposed wattage]]),"")</f>
        <v/>
      </c>
      <c r="R40" s="284" t="str">
        <f>IFERROR((Table_PrescriptLights_Input56[[#This Row],[Total allowance (W)]]-Table_PrescriptLights_Input56[[#This Row],[Total proposed wattage]])/1000*Value_ExtLtgAOH,"")</f>
        <v/>
      </c>
      <c r="S40" s="285" t="str">
        <f t="shared" si="2"/>
        <v/>
      </c>
      <c r="T40" s="283" t="str">
        <f>IFERROR(Table_PrescriptLights_Input56[[#This Row],[Energy savings (kWh)]]*Input_AvgkWhRate, "")</f>
        <v/>
      </c>
      <c r="U40" s="283" t="str">
        <f>IF(Table_PrescriptLights_Input56[[#This Row],[Exterior space type]]="", "",Table_PrescriptLights_Input56[[#This Row],[Total equipment cost]]+Table_PrescriptLights_Input56[[#This Row],[Total labor cost]])</f>
        <v/>
      </c>
      <c r="V40" s="283" t="str">
        <f>IFERROR(Table_PrescriptLights_Input56[[#This Row],[Gross measure cost]]-Table_PrescriptLights_Input56[[#This Row],[Estimated incentive]], "")</f>
        <v/>
      </c>
      <c r="W40" s="284" t="str">
        <f t="shared" si="1"/>
        <v/>
      </c>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row>
    <row r="41" spans="1:51" x14ac:dyDescent="0.2">
      <c r="A41" s="269"/>
      <c r="B41" s="274">
        <v>37</v>
      </c>
      <c r="C41" s="275" t="str">
        <f>IF(ISBLANK($E41)=TRUE,"",References!$F$13)</f>
        <v/>
      </c>
      <c r="D41" s="298"/>
      <c r="E41" s="299"/>
      <c r="F41" s="276"/>
      <c r="G41" s="276"/>
      <c r="H41" s="275" t="str" cm="1">
        <f t="array" ref="H41">IFERROR(INDEX(References!$AA$108:$AA$130,MATCH(1,(Table_PrescriptLights_Input56[[#This Row],[Exterior space type]]=References!$W$108:$W$130)*(Table_PrescriptLights_Input56[[#This Row],[Space sub-type]]=References!$X$108:$X$130),0)),"")</f>
        <v/>
      </c>
      <c r="I41" s="275" t="str" cm="1">
        <f t="array" ref="I41">IFERROR(INDEX(References!$Y$108:$Y$130,MATCH(1,(Table_PrescriptLights_Input56[[#This Row],[Exterior space type]]=References!$W$108:$W$130)*(Table_PrescriptLights_Input56[[#This Row],[Space sub-type]]=References!$X$108:$X$130),0)),"")</f>
        <v/>
      </c>
      <c r="J41" s="275" t="str" cm="1">
        <f t="array" ref="J41">IFERROR(INDEX(References!$Z$108:$Z$130,MATCH(1,(Table_PrescriptLights_Input56[[#This Row],[Exterior space type]]=References!$W$108:$W$130)*(Table_PrescriptLights_Input56[[#This Row],[Space sub-type]]=References!$X$108:$X$130),0)),"")</f>
        <v/>
      </c>
      <c r="K41" s="275" t="str">
        <f>IFERROR(Table_PrescriptLights_Input56[[#This Row],[Per-unit allowance (W)]]*Table_PrescriptLights_Input56[[#This Row],[Quantity ]],"")</f>
        <v/>
      </c>
      <c r="L41" s="301"/>
      <c r="M41" s="302" t="str">
        <f>IFERROR(Table_PrescriptLights_Input56[[#This Row],[Total proposed wattage]]/Table_PrescriptLights_Input56[[#This Row],[Quantity ]],"")</f>
        <v/>
      </c>
      <c r="N41" s="303"/>
      <c r="O41" s="303"/>
      <c r="P4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1" s="283" t="str">
        <f>IFERROR(Table_PrescriptLights_Input56[[#This Row],[Per-unit incentive]]*(Table_PrescriptLights_Input56[[#This Row],[Total allowance (W)]]-Table_PrescriptLights_Input56[[#This Row],[Total proposed wattage]]),"")</f>
        <v/>
      </c>
      <c r="R41" s="284" t="str">
        <f>IFERROR((Table_PrescriptLights_Input56[[#This Row],[Total allowance (W)]]-Table_PrescriptLights_Input56[[#This Row],[Total proposed wattage]])/1000*Value_ExtLtgAOH,"")</f>
        <v/>
      </c>
      <c r="S41" s="285" t="str">
        <f t="shared" si="2"/>
        <v/>
      </c>
      <c r="T41" s="283" t="str">
        <f>IFERROR(Table_PrescriptLights_Input56[[#This Row],[Energy savings (kWh)]]*Input_AvgkWhRate, "")</f>
        <v/>
      </c>
      <c r="U41" s="283" t="str">
        <f>IF(Table_PrescriptLights_Input56[[#This Row],[Exterior space type]]="", "",Table_PrescriptLights_Input56[[#This Row],[Total equipment cost]]+Table_PrescriptLights_Input56[[#This Row],[Total labor cost]])</f>
        <v/>
      </c>
      <c r="V41" s="283" t="str">
        <f>IFERROR(Table_PrescriptLights_Input56[[#This Row],[Gross measure cost]]-Table_PrescriptLights_Input56[[#This Row],[Estimated incentive]], "")</f>
        <v/>
      </c>
      <c r="W41" s="284" t="str">
        <f t="shared" si="1"/>
        <v/>
      </c>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row>
    <row r="42" spans="1:51" x14ac:dyDescent="0.2">
      <c r="A42" s="269"/>
      <c r="B42" s="274">
        <v>38</v>
      </c>
      <c r="C42" s="275" t="str">
        <f>IF(ISBLANK($E42)=TRUE,"",References!$F$13)</f>
        <v/>
      </c>
      <c r="D42" s="298"/>
      <c r="E42" s="299"/>
      <c r="F42" s="276"/>
      <c r="G42" s="276"/>
      <c r="H42" s="275" t="str" cm="1">
        <f t="array" ref="H42">IFERROR(INDEX(References!$AA$108:$AA$130,MATCH(1,(Table_PrescriptLights_Input56[[#This Row],[Exterior space type]]=References!$W$108:$W$130)*(Table_PrescriptLights_Input56[[#This Row],[Space sub-type]]=References!$X$108:$X$130),0)),"")</f>
        <v/>
      </c>
      <c r="I42" s="275" t="str" cm="1">
        <f t="array" ref="I42">IFERROR(INDEX(References!$Y$108:$Y$130,MATCH(1,(Table_PrescriptLights_Input56[[#This Row],[Exterior space type]]=References!$W$108:$W$130)*(Table_PrescriptLights_Input56[[#This Row],[Space sub-type]]=References!$X$108:$X$130),0)),"")</f>
        <v/>
      </c>
      <c r="J42" s="275" t="str" cm="1">
        <f t="array" ref="J42">IFERROR(INDEX(References!$Z$108:$Z$130,MATCH(1,(Table_PrescriptLights_Input56[[#This Row],[Exterior space type]]=References!$W$108:$W$130)*(Table_PrescriptLights_Input56[[#This Row],[Space sub-type]]=References!$X$108:$X$130),0)),"")</f>
        <v/>
      </c>
      <c r="K42" s="275" t="str">
        <f>IFERROR(Table_PrescriptLights_Input56[[#This Row],[Per-unit allowance (W)]]*Table_PrescriptLights_Input56[[#This Row],[Quantity ]],"")</f>
        <v/>
      </c>
      <c r="L42" s="301"/>
      <c r="M42" s="302" t="str">
        <f>IFERROR(Table_PrescriptLights_Input56[[#This Row],[Total proposed wattage]]/Table_PrescriptLights_Input56[[#This Row],[Quantity ]],"")</f>
        <v/>
      </c>
      <c r="N42" s="303"/>
      <c r="O42" s="303"/>
      <c r="P4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2" s="283" t="str">
        <f>IFERROR(Table_PrescriptLights_Input56[[#This Row],[Per-unit incentive]]*(Table_PrescriptLights_Input56[[#This Row],[Total allowance (W)]]-Table_PrescriptLights_Input56[[#This Row],[Total proposed wattage]]),"")</f>
        <v/>
      </c>
      <c r="R42" s="284" t="str">
        <f>IFERROR((Table_PrescriptLights_Input56[[#This Row],[Total allowance (W)]]-Table_PrescriptLights_Input56[[#This Row],[Total proposed wattage]])/1000*Value_ExtLtgAOH,"")</f>
        <v/>
      </c>
      <c r="S42" s="285" t="str">
        <f t="shared" si="2"/>
        <v/>
      </c>
      <c r="T42" s="283" t="str">
        <f>IFERROR(Table_PrescriptLights_Input56[[#This Row],[Energy savings (kWh)]]*Input_AvgkWhRate, "")</f>
        <v/>
      </c>
      <c r="U42" s="283" t="str">
        <f>IF(Table_PrescriptLights_Input56[[#This Row],[Exterior space type]]="", "",Table_PrescriptLights_Input56[[#This Row],[Total equipment cost]]+Table_PrescriptLights_Input56[[#This Row],[Total labor cost]])</f>
        <v/>
      </c>
      <c r="V42" s="283" t="str">
        <f>IFERROR(Table_PrescriptLights_Input56[[#This Row],[Gross measure cost]]-Table_PrescriptLights_Input56[[#This Row],[Estimated incentive]], "")</f>
        <v/>
      </c>
      <c r="W42" s="284" t="str">
        <f t="shared" si="1"/>
        <v/>
      </c>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row>
    <row r="43" spans="1:51" x14ac:dyDescent="0.2">
      <c r="A43" s="269"/>
      <c r="B43" s="274">
        <v>39</v>
      </c>
      <c r="C43" s="275" t="str">
        <f>IF(ISBLANK($E43)=TRUE,"",References!$F$13)</f>
        <v/>
      </c>
      <c r="D43" s="298"/>
      <c r="E43" s="299"/>
      <c r="F43" s="276"/>
      <c r="G43" s="276"/>
      <c r="H43" s="275" t="str" cm="1">
        <f t="array" ref="H43">IFERROR(INDEX(References!$AA$108:$AA$130,MATCH(1,(Table_PrescriptLights_Input56[[#This Row],[Exterior space type]]=References!$W$108:$W$130)*(Table_PrescriptLights_Input56[[#This Row],[Space sub-type]]=References!$X$108:$X$130),0)),"")</f>
        <v/>
      </c>
      <c r="I43" s="275" t="str" cm="1">
        <f t="array" ref="I43">IFERROR(INDEX(References!$Y$108:$Y$130,MATCH(1,(Table_PrescriptLights_Input56[[#This Row],[Exterior space type]]=References!$W$108:$W$130)*(Table_PrescriptLights_Input56[[#This Row],[Space sub-type]]=References!$X$108:$X$130),0)),"")</f>
        <v/>
      </c>
      <c r="J43" s="275" t="str" cm="1">
        <f t="array" ref="J43">IFERROR(INDEX(References!$Z$108:$Z$130,MATCH(1,(Table_PrescriptLights_Input56[[#This Row],[Exterior space type]]=References!$W$108:$W$130)*(Table_PrescriptLights_Input56[[#This Row],[Space sub-type]]=References!$X$108:$X$130),0)),"")</f>
        <v/>
      </c>
      <c r="K43" s="275" t="str">
        <f>IFERROR(Table_PrescriptLights_Input56[[#This Row],[Per-unit allowance (W)]]*Table_PrescriptLights_Input56[[#This Row],[Quantity ]],"")</f>
        <v/>
      </c>
      <c r="L43" s="301"/>
      <c r="M43" s="302" t="str">
        <f>IFERROR(Table_PrescriptLights_Input56[[#This Row],[Total proposed wattage]]/Table_PrescriptLights_Input56[[#This Row],[Quantity ]],"")</f>
        <v/>
      </c>
      <c r="N43" s="303"/>
      <c r="O43" s="303"/>
      <c r="P4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3" s="283" t="str">
        <f>IFERROR(Table_PrescriptLights_Input56[[#This Row],[Per-unit incentive]]*(Table_PrescriptLights_Input56[[#This Row],[Total allowance (W)]]-Table_PrescriptLights_Input56[[#This Row],[Total proposed wattage]]),"")</f>
        <v/>
      </c>
      <c r="R43" s="284" t="str">
        <f>IFERROR((Table_PrescriptLights_Input56[[#This Row],[Total allowance (W)]]-Table_PrescriptLights_Input56[[#This Row],[Total proposed wattage]])/1000*Value_ExtLtgAOH,"")</f>
        <v/>
      </c>
      <c r="S43" s="285" t="str">
        <f t="shared" si="2"/>
        <v/>
      </c>
      <c r="T43" s="283" t="str">
        <f>IFERROR(Table_PrescriptLights_Input56[[#This Row],[Energy savings (kWh)]]*Input_AvgkWhRate, "")</f>
        <v/>
      </c>
      <c r="U43" s="283" t="str">
        <f>IF(Table_PrescriptLights_Input56[[#This Row],[Exterior space type]]="", "",Table_PrescriptLights_Input56[[#This Row],[Total equipment cost]]+Table_PrescriptLights_Input56[[#This Row],[Total labor cost]])</f>
        <v/>
      </c>
      <c r="V43" s="283" t="str">
        <f>IFERROR(Table_PrescriptLights_Input56[[#This Row],[Gross measure cost]]-Table_PrescriptLights_Input56[[#This Row],[Estimated incentive]], "")</f>
        <v/>
      </c>
      <c r="W43" s="284" t="str">
        <f t="shared" si="1"/>
        <v/>
      </c>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row>
    <row r="44" spans="1:51" x14ac:dyDescent="0.2">
      <c r="A44" s="269"/>
      <c r="B44" s="274">
        <v>40</v>
      </c>
      <c r="C44" s="275" t="str">
        <f>IF(ISBLANK($E44)=TRUE,"",References!$F$13)</f>
        <v/>
      </c>
      <c r="D44" s="298"/>
      <c r="E44" s="299"/>
      <c r="F44" s="276"/>
      <c r="G44" s="276"/>
      <c r="H44" s="275" t="str" cm="1">
        <f t="array" ref="H44">IFERROR(INDEX(References!$AA$108:$AA$130,MATCH(1,(Table_PrescriptLights_Input56[[#This Row],[Exterior space type]]=References!$W$108:$W$130)*(Table_PrescriptLights_Input56[[#This Row],[Space sub-type]]=References!$X$108:$X$130),0)),"")</f>
        <v/>
      </c>
      <c r="I44" s="275" t="str" cm="1">
        <f t="array" ref="I44">IFERROR(INDEX(References!$Y$108:$Y$130,MATCH(1,(Table_PrescriptLights_Input56[[#This Row],[Exterior space type]]=References!$W$108:$W$130)*(Table_PrescriptLights_Input56[[#This Row],[Space sub-type]]=References!$X$108:$X$130),0)),"")</f>
        <v/>
      </c>
      <c r="J44" s="275" t="str" cm="1">
        <f t="array" ref="J44">IFERROR(INDEX(References!$Z$108:$Z$130,MATCH(1,(Table_PrescriptLights_Input56[[#This Row],[Exterior space type]]=References!$W$108:$W$130)*(Table_PrescriptLights_Input56[[#This Row],[Space sub-type]]=References!$X$108:$X$130),0)),"")</f>
        <v/>
      </c>
      <c r="K44" s="275" t="str">
        <f>IFERROR(Table_PrescriptLights_Input56[[#This Row],[Per-unit allowance (W)]]*Table_PrescriptLights_Input56[[#This Row],[Quantity ]],"")</f>
        <v/>
      </c>
      <c r="L44" s="301"/>
      <c r="M44" s="302" t="str">
        <f>IFERROR(Table_PrescriptLights_Input56[[#This Row],[Total proposed wattage]]/Table_PrescriptLights_Input56[[#This Row],[Quantity ]],"")</f>
        <v/>
      </c>
      <c r="N44" s="303"/>
      <c r="O44" s="303"/>
      <c r="P4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4" s="283" t="str">
        <f>IFERROR(Table_PrescriptLights_Input56[[#This Row],[Per-unit incentive]]*(Table_PrescriptLights_Input56[[#This Row],[Total allowance (W)]]-Table_PrescriptLights_Input56[[#This Row],[Total proposed wattage]]),"")</f>
        <v/>
      </c>
      <c r="R44" s="284" t="str">
        <f>IFERROR((Table_PrescriptLights_Input56[[#This Row],[Total allowance (W)]]-Table_PrescriptLights_Input56[[#This Row],[Total proposed wattage]])/1000*Value_ExtLtgAOH,"")</f>
        <v/>
      </c>
      <c r="S44" s="285" t="str">
        <f t="shared" si="2"/>
        <v/>
      </c>
      <c r="T44" s="283" t="str">
        <f>IFERROR(Table_PrescriptLights_Input56[[#This Row],[Energy savings (kWh)]]*Input_AvgkWhRate, "")</f>
        <v/>
      </c>
      <c r="U44" s="283" t="str">
        <f>IF(Table_PrescriptLights_Input56[[#This Row],[Exterior space type]]="", "",Table_PrescriptLights_Input56[[#This Row],[Total equipment cost]]+Table_PrescriptLights_Input56[[#This Row],[Total labor cost]])</f>
        <v/>
      </c>
      <c r="V44" s="283" t="str">
        <f>IFERROR(Table_PrescriptLights_Input56[[#This Row],[Gross measure cost]]-Table_PrescriptLights_Input56[[#This Row],[Estimated incentive]], "")</f>
        <v/>
      </c>
      <c r="W44" s="284" t="str">
        <f t="shared" si="1"/>
        <v/>
      </c>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row>
    <row r="45" spans="1:51" x14ac:dyDescent="0.2">
      <c r="A45" s="269"/>
      <c r="B45" s="274">
        <v>41</v>
      </c>
      <c r="C45" s="275" t="str">
        <f>IF(ISBLANK($E45)=TRUE,"",References!$F$13)</f>
        <v/>
      </c>
      <c r="D45" s="298"/>
      <c r="E45" s="299"/>
      <c r="F45" s="276"/>
      <c r="G45" s="276"/>
      <c r="H45" s="275" t="str" cm="1">
        <f t="array" ref="H45">IFERROR(INDEX(References!$AA$108:$AA$130,MATCH(1,(Table_PrescriptLights_Input56[[#This Row],[Exterior space type]]=References!$W$108:$W$130)*(Table_PrescriptLights_Input56[[#This Row],[Space sub-type]]=References!$X$108:$X$130),0)),"")</f>
        <v/>
      </c>
      <c r="I45" s="275" t="str" cm="1">
        <f t="array" ref="I45">IFERROR(INDEX(References!$Y$108:$Y$130,MATCH(1,(Table_PrescriptLights_Input56[[#This Row],[Exterior space type]]=References!$W$108:$W$130)*(Table_PrescriptLights_Input56[[#This Row],[Space sub-type]]=References!$X$108:$X$130),0)),"")</f>
        <v/>
      </c>
      <c r="J45" s="275" t="str" cm="1">
        <f t="array" ref="J45">IFERROR(INDEX(References!$Z$108:$Z$130,MATCH(1,(Table_PrescriptLights_Input56[[#This Row],[Exterior space type]]=References!$W$108:$W$130)*(Table_PrescriptLights_Input56[[#This Row],[Space sub-type]]=References!$X$108:$X$130),0)),"")</f>
        <v/>
      </c>
      <c r="K45" s="275" t="str">
        <f>IFERROR(Table_PrescriptLights_Input56[[#This Row],[Per-unit allowance (W)]]*Table_PrescriptLights_Input56[[#This Row],[Quantity ]],"")</f>
        <v/>
      </c>
      <c r="L45" s="301"/>
      <c r="M45" s="302" t="str">
        <f>IFERROR(Table_PrescriptLights_Input56[[#This Row],[Total proposed wattage]]/Table_PrescriptLights_Input56[[#This Row],[Quantity ]],"")</f>
        <v/>
      </c>
      <c r="N45" s="303"/>
      <c r="O45" s="303"/>
      <c r="P45"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5" s="283" t="str">
        <f>IFERROR(Table_PrescriptLights_Input56[[#This Row],[Per-unit incentive]]*(Table_PrescriptLights_Input56[[#This Row],[Total allowance (W)]]-Table_PrescriptLights_Input56[[#This Row],[Total proposed wattage]]),"")</f>
        <v/>
      </c>
      <c r="R45" s="284" t="str">
        <f>IFERROR((Table_PrescriptLights_Input56[[#This Row],[Total allowance (W)]]-Table_PrescriptLights_Input56[[#This Row],[Total proposed wattage]])/1000*Value_ExtLtgAOH,"")</f>
        <v/>
      </c>
      <c r="S45" s="285" t="str">
        <f t="shared" si="2"/>
        <v/>
      </c>
      <c r="T45" s="283" t="str">
        <f>IFERROR(Table_PrescriptLights_Input56[[#This Row],[Energy savings (kWh)]]*Input_AvgkWhRate, "")</f>
        <v/>
      </c>
      <c r="U45" s="283" t="str">
        <f>IF(Table_PrescriptLights_Input56[[#This Row],[Exterior space type]]="", "",Table_PrescriptLights_Input56[[#This Row],[Total equipment cost]]+Table_PrescriptLights_Input56[[#This Row],[Total labor cost]])</f>
        <v/>
      </c>
      <c r="V45" s="283" t="str">
        <f>IFERROR(Table_PrescriptLights_Input56[[#This Row],[Gross measure cost]]-Table_PrescriptLights_Input56[[#This Row],[Estimated incentive]], "")</f>
        <v/>
      </c>
      <c r="W45" s="284" t="str">
        <f t="shared" si="1"/>
        <v/>
      </c>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row>
    <row r="46" spans="1:51" x14ac:dyDescent="0.2">
      <c r="A46" s="269"/>
      <c r="B46" s="274">
        <v>42</v>
      </c>
      <c r="C46" s="275" t="str">
        <f>IF(ISBLANK($E46)=TRUE,"",References!$F$13)</f>
        <v/>
      </c>
      <c r="D46" s="298"/>
      <c r="E46" s="299"/>
      <c r="F46" s="276"/>
      <c r="G46" s="276"/>
      <c r="H46" s="275" t="str" cm="1">
        <f t="array" ref="H46">IFERROR(INDEX(References!$AA$108:$AA$130,MATCH(1,(Table_PrescriptLights_Input56[[#This Row],[Exterior space type]]=References!$W$108:$W$130)*(Table_PrescriptLights_Input56[[#This Row],[Space sub-type]]=References!$X$108:$X$130),0)),"")</f>
        <v/>
      </c>
      <c r="I46" s="275" t="str" cm="1">
        <f t="array" ref="I46">IFERROR(INDEX(References!$Y$108:$Y$130,MATCH(1,(Table_PrescriptLights_Input56[[#This Row],[Exterior space type]]=References!$W$108:$W$130)*(Table_PrescriptLights_Input56[[#This Row],[Space sub-type]]=References!$X$108:$X$130),0)),"")</f>
        <v/>
      </c>
      <c r="J46" s="275" t="str" cm="1">
        <f t="array" ref="J46">IFERROR(INDEX(References!$Z$108:$Z$130,MATCH(1,(Table_PrescriptLights_Input56[[#This Row],[Exterior space type]]=References!$W$108:$W$130)*(Table_PrescriptLights_Input56[[#This Row],[Space sub-type]]=References!$X$108:$X$130),0)),"")</f>
        <v/>
      </c>
      <c r="K46" s="275" t="str">
        <f>IFERROR(Table_PrescriptLights_Input56[[#This Row],[Per-unit allowance (W)]]*Table_PrescriptLights_Input56[[#This Row],[Quantity ]],"")</f>
        <v/>
      </c>
      <c r="L46" s="301"/>
      <c r="M46" s="302" t="str">
        <f>IFERROR(Table_PrescriptLights_Input56[[#This Row],[Total proposed wattage]]/Table_PrescriptLights_Input56[[#This Row],[Quantity ]],"")</f>
        <v/>
      </c>
      <c r="N46" s="303"/>
      <c r="O46" s="303"/>
      <c r="P46"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6" s="283" t="str">
        <f>IFERROR(Table_PrescriptLights_Input56[[#This Row],[Per-unit incentive]]*(Table_PrescriptLights_Input56[[#This Row],[Total allowance (W)]]-Table_PrescriptLights_Input56[[#This Row],[Total proposed wattage]]),"")</f>
        <v/>
      </c>
      <c r="R46" s="284" t="str">
        <f>IFERROR((Table_PrescriptLights_Input56[[#This Row],[Total allowance (W)]]-Table_PrescriptLights_Input56[[#This Row],[Total proposed wattage]])/1000*Value_ExtLtgAOH,"")</f>
        <v/>
      </c>
      <c r="S46" s="285" t="str">
        <f t="shared" si="2"/>
        <v/>
      </c>
      <c r="T46" s="283" t="str">
        <f>IFERROR(Table_PrescriptLights_Input56[[#This Row],[Energy savings (kWh)]]*Input_AvgkWhRate, "")</f>
        <v/>
      </c>
      <c r="U46" s="283" t="str">
        <f>IF(Table_PrescriptLights_Input56[[#This Row],[Exterior space type]]="", "",Table_PrescriptLights_Input56[[#This Row],[Total equipment cost]]+Table_PrescriptLights_Input56[[#This Row],[Total labor cost]])</f>
        <v/>
      </c>
      <c r="V46" s="283" t="str">
        <f>IFERROR(Table_PrescriptLights_Input56[[#This Row],[Gross measure cost]]-Table_PrescriptLights_Input56[[#This Row],[Estimated incentive]], "")</f>
        <v/>
      </c>
      <c r="W46" s="284" t="str">
        <f t="shared" si="1"/>
        <v/>
      </c>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row>
    <row r="47" spans="1:51" x14ac:dyDescent="0.2">
      <c r="A47" s="269"/>
      <c r="B47" s="274">
        <v>43</v>
      </c>
      <c r="C47" s="275" t="str">
        <f>IF(ISBLANK($E47)=TRUE,"",References!$F$13)</f>
        <v/>
      </c>
      <c r="D47" s="298"/>
      <c r="E47" s="299"/>
      <c r="F47" s="276"/>
      <c r="G47" s="276"/>
      <c r="H47" s="275" t="str" cm="1">
        <f t="array" ref="H47">IFERROR(INDEX(References!$AA$108:$AA$130,MATCH(1,(Table_PrescriptLights_Input56[[#This Row],[Exterior space type]]=References!$W$108:$W$130)*(Table_PrescriptLights_Input56[[#This Row],[Space sub-type]]=References!$X$108:$X$130),0)),"")</f>
        <v/>
      </c>
      <c r="I47" s="275" t="str" cm="1">
        <f t="array" ref="I47">IFERROR(INDEX(References!$Y$108:$Y$130,MATCH(1,(Table_PrescriptLights_Input56[[#This Row],[Exterior space type]]=References!$W$108:$W$130)*(Table_PrescriptLights_Input56[[#This Row],[Space sub-type]]=References!$X$108:$X$130),0)),"")</f>
        <v/>
      </c>
      <c r="J47" s="275" t="str" cm="1">
        <f t="array" ref="J47">IFERROR(INDEX(References!$Z$108:$Z$130,MATCH(1,(Table_PrescriptLights_Input56[[#This Row],[Exterior space type]]=References!$W$108:$W$130)*(Table_PrescriptLights_Input56[[#This Row],[Space sub-type]]=References!$X$108:$X$130),0)),"")</f>
        <v/>
      </c>
      <c r="K47" s="275" t="str">
        <f>IFERROR(Table_PrescriptLights_Input56[[#This Row],[Per-unit allowance (W)]]*Table_PrescriptLights_Input56[[#This Row],[Quantity ]],"")</f>
        <v/>
      </c>
      <c r="L47" s="301"/>
      <c r="M47" s="302" t="str">
        <f>IFERROR(Table_PrescriptLights_Input56[[#This Row],[Total proposed wattage]]/Table_PrescriptLights_Input56[[#This Row],[Quantity ]],"")</f>
        <v/>
      </c>
      <c r="N47" s="303"/>
      <c r="O47" s="303"/>
      <c r="P47"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7" s="283" t="str">
        <f>IFERROR(Table_PrescriptLights_Input56[[#This Row],[Per-unit incentive]]*(Table_PrescriptLights_Input56[[#This Row],[Total allowance (W)]]-Table_PrescriptLights_Input56[[#This Row],[Total proposed wattage]]),"")</f>
        <v/>
      </c>
      <c r="R47" s="284" t="str">
        <f>IFERROR((Table_PrescriptLights_Input56[[#This Row],[Total allowance (W)]]-Table_PrescriptLights_Input56[[#This Row],[Total proposed wattage]])/1000*Value_ExtLtgAOH,"")</f>
        <v/>
      </c>
      <c r="S47" s="285" t="str">
        <f t="shared" si="2"/>
        <v/>
      </c>
      <c r="T47" s="283" t="str">
        <f>IFERROR(Table_PrescriptLights_Input56[[#This Row],[Energy savings (kWh)]]*Input_AvgkWhRate, "")</f>
        <v/>
      </c>
      <c r="U47" s="283" t="str">
        <f>IF(Table_PrescriptLights_Input56[[#This Row],[Exterior space type]]="", "",Table_PrescriptLights_Input56[[#This Row],[Total equipment cost]]+Table_PrescriptLights_Input56[[#This Row],[Total labor cost]])</f>
        <v/>
      </c>
      <c r="V47" s="283" t="str">
        <f>IFERROR(Table_PrescriptLights_Input56[[#This Row],[Gross measure cost]]-Table_PrescriptLights_Input56[[#This Row],[Estimated incentive]], "")</f>
        <v/>
      </c>
      <c r="W47" s="284" t="str">
        <f t="shared" si="1"/>
        <v/>
      </c>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row>
    <row r="48" spans="1:51" x14ac:dyDescent="0.2">
      <c r="A48" s="269"/>
      <c r="B48" s="274">
        <v>44</v>
      </c>
      <c r="C48" s="275" t="str">
        <f>IF(ISBLANK($E48)=TRUE,"",References!$F$13)</f>
        <v/>
      </c>
      <c r="D48" s="298"/>
      <c r="E48" s="299"/>
      <c r="F48" s="276"/>
      <c r="G48" s="276"/>
      <c r="H48" s="275" t="str" cm="1">
        <f t="array" ref="H48">IFERROR(INDEX(References!$AA$108:$AA$130,MATCH(1,(Table_PrescriptLights_Input56[[#This Row],[Exterior space type]]=References!$W$108:$W$130)*(Table_PrescriptLights_Input56[[#This Row],[Space sub-type]]=References!$X$108:$X$130),0)),"")</f>
        <v/>
      </c>
      <c r="I48" s="275" t="str" cm="1">
        <f t="array" ref="I48">IFERROR(INDEX(References!$Y$108:$Y$130,MATCH(1,(Table_PrescriptLights_Input56[[#This Row],[Exterior space type]]=References!$W$108:$W$130)*(Table_PrescriptLights_Input56[[#This Row],[Space sub-type]]=References!$X$108:$X$130),0)),"")</f>
        <v/>
      </c>
      <c r="J48" s="275" t="str" cm="1">
        <f t="array" ref="J48">IFERROR(INDEX(References!$Z$108:$Z$130,MATCH(1,(Table_PrescriptLights_Input56[[#This Row],[Exterior space type]]=References!$W$108:$W$130)*(Table_PrescriptLights_Input56[[#This Row],[Space sub-type]]=References!$X$108:$X$130),0)),"")</f>
        <v/>
      </c>
      <c r="K48" s="275" t="str">
        <f>IFERROR(Table_PrescriptLights_Input56[[#This Row],[Per-unit allowance (W)]]*Table_PrescriptLights_Input56[[#This Row],[Quantity ]],"")</f>
        <v/>
      </c>
      <c r="L48" s="301"/>
      <c r="M48" s="302" t="str">
        <f>IFERROR(Table_PrescriptLights_Input56[[#This Row],[Total proposed wattage]]/Table_PrescriptLights_Input56[[#This Row],[Quantity ]],"")</f>
        <v/>
      </c>
      <c r="N48" s="303"/>
      <c r="O48" s="303"/>
      <c r="P48"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8" s="283" t="str">
        <f>IFERROR(Table_PrescriptLights_Input56[[#This Row],[Per-unit incentive]]*(Table_PrescriptLights_Input56[[#This Row],[Total allowance (W)]]-Table_PrescriptLights_Input56[[#This Row],[Total proposed wattage]]),"")</f>
        <v/>
      </c>
      <c r="R48" s="284" t="str">
        <f>IFERROR((Table_PrescriptLights_Input56[[#This Row],[Total allowance (W)]]-Table_PrescriptLights_Input56[[#This Row],[Total proposed wattage]])/1000*Value_ExtLtgAOH,"")</f>
        <v/>
      </c>
      <c r="S48" s="285" t="str">
        <f t="shared" si="2"/>
        <v/>
      </c>
      <c r="T48" s="283" t="str">
        <f>IFERROR(Table_PrescriptLights_Input56[[#This Row],[Energy savings (kWh)]]*Input_AvgkWhRate, "")</f>
        <v/>
      </c>
      <c r="U48" s="283" t="str">
        <f>IF(Table_PrescriptLights_Input56[[#This Row],[Exterior space type]]="", "",Table_PrescriptLights_Input56[[#This Row],[Total equipment cost]]+Table_PrescriptLights_Input56[[#This Row],[Total labor cost]])</f>
        <v/>
      </c>
      <c r="V48" s="283" t="str">
        <f>IFERROR(Table_PrescriptLights_Input56[[#This Row],[Gross measure cost]]-Table_PrescriptLights_Input56[[#This Row],[Estimated incentive]], "")</f>
        <v/>
      </c>
      <c r="W48" s="284" t="str">
        <f t="shared" si="1"/>
        <v/>
      </c>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row>
    <row r="49" spans="1:51" x14ac:dyDescent="0.2">
      <c r="A49" s="269"/>
      <c r="B49" s="274">
        <v>45</v>
      </c>
      <c r="C49" s="275" t="str">
        <f>IF(ISBLANK($E49)=TRUE,"",References!$F$13)</f>
        <v/>
      </c>
      <c r="D49" s="298"/>
      <c r="E49" s="299"/>
      <c r="F49" s="276"/>
      <c r="G49" s="276"/>
      <c r="H49" s="275" t="str" cm="1">
        <f t="array" ref="H49">IFERROR(INDEX(References!$AA$108:$AA$130,MATCH(1,(Table_PrescriptLights_Input56[[#This Row],[Exterior space type]]=References!$W$108:$W$130)*(Table_PrescriptLights_Input56[[#This Row],[Space sub-type]]=References!$X$108:$X$130),0)),"")</f>
        <v/>
      </c>
      <c r="I49" s="275" t="str" cm="1">
        <f t="array" ref="I49">IFERROR(INDEX(References!$Y$108:$Y$130,MATCH(1,(Table_PrescriptLights_Input56[[#This Row],[Exterior space type]]=References!$W$108:$W$130)*(Table_PrescriptLights_Input56[[#This Row],[Space sub-type]]=References!$X$108:$X$130),0)),"")</f>
        <v/>
      </c>
      <c r="J49" s="275" t="str" cm="1">
        <f t="array" ref="J49">IFERROR(INDEX(References!$Z$108:$Z$130,MATCH(1,(Table_PrescriptLights_Input56[[#This Row],[Exterior space type]]=References!$W$108:$W$130)*(Table_PrescriptLights_Input56[[#This Row],[Space sub-type]]=References!$X$108:$X$130),0)),"")</f>
        <v/>
      </c>
      <c r="K49" s="275" t="str">
        <f>IFERROR(Table_PrescriptLights_Input56[[#This Row],[Per-unit allowance (W)]]*Table_PrescriptLights_Input56[[#This Row],[Quantity ]],"")</f>
        <v/>
      </c>
      <c r="L49" s="301"/>
      <c r="M49" s="302" t="str">
        <f>IFERROR(Table_PrescriptLights_Input56[[#This Row],[Total proposed wattage]]/Table_PrescriptLights_Input56[[#This Row],[Quantity ]],"")</f>
        <v/>
      </c>
      <c r="N49" s="303"/>
      <c r="O49" s="303"/>
      <c r="P49"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49" s="283" t="str">
        <f>IFERROR(Table_PrescriptLights_Input56[[#This Row],[Per-unit incentive]]*(Table_PrescriptLights_Input56[[#This Row],[Total allowance (W)]]-Table_PrescriptLights_Input56[[#This Row],[Total proposed wattage]]),"")</f>
        <v/>
      </c>
      <c r="R49" s="284" t="str">
        <f>IFERROR((Table_PrescriptLights_Input56[[#This Row],[Total allowance (W)]]-Table_PrescriptLights_Input56[[#This Row],[Total proposed wattage]])/1000*Value_ExtLtgAOH,"")</f>
        <v/>
      </c>
      <c r="S49" s="285" t="str">
        <f t="shared" si="2"/>
        <v/>
      </c>
      <c r="T49" s="283" t="str">
        <f>IFERROR(Table_PrescriptLights_Input56[[#This Row],[Energy savings (kWh)]]*Input_AvgkWhRate, "")</f>
        <v/>
      </c>
      <c r="U49" s="283" t="str">
        <f>IF(Table_PrescriptLights_Input56[[#This Row],[Exterior space type]]="", "",Table_PrescriptLights_Input56[[#This Row],[Total equipment cost]]+Table_PrescriptLights_Input56[[#This Row],[Total labor cost]])</f>
        <v/>
      </c>
      <c r="V49" s="283" t="str">
        <f>IFERROR(Table_PrescriptLights_Input56[[#This Row],[Gross measure cost]]-Table_PrescriptLights_Input56[[#This Row],[Estimated incentive]], "")</f>
        <v/>
      </c>
      <c r="W49" s="284" t="str">
        <f t="shared" si="1"/>
        <v/>
      </c>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row>
    <row r="50" spans="1:51" x14ac:dyDescent="0.2">
      <c r="A50" s="269"/>
      <c r="B50" s="274">
        <v>46</v>
      </c>
      <c r="C50" s="275" t="str">
        <f>IF(ISBLANK($E50)=TRUE,"",References!$F$13)</f>
        <v/>
      </c>
      <c r="D50" s="298"/>
      <c r="E50" s="299"/>
      <c r="F50" s="276"/>
      <c r="G50" s="276"/>
      <c r="H50" s="275" t="str" cm="1">
        <f t="array" ref="H50">IFERROR(INDEX(References!$AA$108:$AA$130,MATCH(1,(Table_PrescriptLights_Input56[[#This Row],[Exterior space type]]=References!$W$108:$W$130)*(Table_PrescriptLights_Input56[[#This Row],[Space sub-type]]=References!$X$108:$X$130),0)),"")</f>
        <v/>
      </c>
      <c r="I50" s="275" t="str" cm="1">
        <f t="array" ref="I50">IFERROR(INDEX(References!$Y$108:$Y$130,MATCH(1,(Table_PrescriptLights_Input56[[#This Row],[Exterior space type]]=References!$W$108:$W$130)*(Table_PrescriptLights_Input56[[#This Row],[Space sub-type]]=References!$X$108:$X$130),0)),"")</f>
        <v/>
      </c>
      <c r="J50" s="275" t="str" cm="1">
        <f t="array" ref="J50">IFERROR(INDEX(References!$Z$108:$Z$130,MATCH(1,(Table_PrescriptLights_Input56[[#This Row],[Exterior space type]]=References!$W$108:$W$130)*(Table_PrescriptLights_Input56[[#This Row],[Space sub-type]]=References!$X$108:$X$130),0)),"")</f>
        <v/>
      </c>
      <c r="K50" s="275" t="str">
        <f>IFERROR(Table_PrescriptLights_Input56[[#This Row],[Per-unit allowance (W)]]*Table_PrescriptLights_Input56[[#This Row],[Quantity ]],"")</f>
        <v/>
      </c>
      <c r="L50" s="301"/>
      <c r="M50" s="302" t="str">
        <f>IFERROR(Table_PrescriptLights_Input56[[#This Row],[Total proposed wattage]]/Table_PrescriptLights_Input56[[#This Row],[Quantity ]],"")</f>
        <v/>
      </c>
      <c r="N50" s="303"/>
      <c r="O50" s="303"/>
      <c r="P50"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0" s="283" t="str">
        <f>IFERROR(Table_PrescriptLights_Input56[[#This Row],[Per-unit incentive]]*(Table_PrescriptLights_Input56[[#This Row],[Total allowance (W)]]-Table_PrescriptLights_Input56[[#This Row],[Total proposed wattage]]),"")</f>
        <v/>
      </c>
      <c r="R50" s="284" t="str">
        <f>IFERROR((Table_PrescriptLights_Input56[[#This Row],[Total allowance (W)]]-Table_PrescriptLights_Input56[[#This Row],[Total proposed wattage]])/1000*Value_ExtLtgAOH,"")</f>
        <v/>
      </c>
      <c r="S50" s="285" t="str">
        <f t="shared" si="2"/>
        <v/>
      </c>
      <c r="T50" s="283" t="str">
        <f>IFERROR(Table_PrescriptLights_Input56[[#This Row],[Energy savings (kWh)]]*Input_AvgkWhRate, "")</f>
        <v/>
      </c>
      <c r="U50" s="283" t="str">
        <f>IF(Table_PrescriptLights_Input56[[#This Row],[Exterior space type]]="", "",Table_PrescriptLights_Input56[[#This Row],[Total equipment cost]]+Table_PrescriptLights_Input56[[#This Row],[Total labor cost]])</f>
        <v/>
      </c>
      <c r="V50" s="283" t="str">
        <f>IFERROR(Table_PrescriptLights_Input56[[#This Row],[Gross measure cost]]-Table_PrescriptLights_Input56[[#This Row],[Estimated incentive]], "")</f>
        <v/>
      </c>
      <c r="W50" s="284" t="str">
        <f t="shared" si="1"/>
        <v/>
      </c>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row>
    <row r="51" spans="1:51" x14ac:dyDescent="0.2">
      <c r="A51" s="269"/>
      <c r="B51" s="274">
        <v>47</v>
      </c>
      <c r="C51" s="275" t="str">
        <f>IF(ISBLANK($E51)=TRUE,"",References!$F$13)</f>
        <v/>
      </c>
      <c r="D51" s="298"/>
      <c r="E51" s="299"/>
      <c r="F51" s="276"/>
      <c r="G51" s="276"/>
      <c r="H51" s="275" t="str" cm="1">
        <f t="array" ref="H51">IFERROR(INDEX(References!$AA$108:$AA$130,MATCH(1,(Table_PrescriptLights_Input56[[#This Row],[Exterior space type]]=References!$W$108:$W$130)*(Table_PrescriptLights_Input56[[#This Row],[Space sub-type]]=References!$X$108:$X$130),0)),"")</f>
        <v/>
      </c>
      <c r="I51" s="275" t="str" cm="1">
        <f t="array" ref="I51">IFERROR(INDEX(References!$Y$108:$Y$130,MATCH(1,(Table_PrescriptLights_Input56[[#This Row],[Exterior space type]]=References!$W$108:$W$130)*(Table_PrescriptLights_Input56[[#This Row],[Space sub-type]]=References!$X$108:$X$130),0)),"")</f>
        <v/>
      </c>
      <c r="J51" s="275" t="str" cm="1">
        <f t="array" ref="J51">IFERROR(INDEX(References!$Z$108:$Z$130,MATCH(1,(Table_PrescriptLights_Input56[[#This Row],[Exterior space type]]=References!$W$108:$W$130)*(Table_PrescriptLights_Input56[[#This Row],[Space sub-type]]=References!$X$108:$X$130),0)),"")</f>
        <v/>
      </c>
      <c r="K51" s="275" t="str">
        <f>IFERROR(Table_PrescriptLights_Input56[[#This Row],[Per-unit allowance (W)]]*Table_PrescriptLights_Input56[[#This Row],[Quantity ]],"")</f>
        <v/>
      </c>
      <c r="L51" s="301"/>
      <c r="M51" s="302" t="str">
        <f>IFERROR(Table_PrescriptLights_Input56[[#This Row],[Total proposed wattage]]/Table_PrescriptLights_Input56[[#This Row],[Quantity ]],"")</f>
        <v/>
      </c>
      <c r="N51" s="303"/>
      <c r="O51" s="303"/>
      <c r="P51"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1" s="283" t="str">
        <f>IFERROR(Table_PrescriptLights_Input56[[#This Row],[Per-unit incentive]]*(Table_PrescriptLights_Input56[[#This Row],[Total allowance (W)]]-Table_PrescriptLights_Input56[[#This Row],[Total proposed wattage]]),"")</f>
        <v/>
      </c>
      <c r="R51" s="284" t="str">
        <f>IFERROR((Table_PrescriptLights_Input56[[#This Row],[Total allowance (W)]]-Table_PrescriptLights_Input56[[#This Row],[Total proposed wattage]])/1000*Value_ExtLtgAOH,"")</f>
        <v/>
      </c>
      <c r="S51" s="285" t="str">
        <f t="shared" si="2"/>
        <v/>
      </c>
      <c r="T51" s="283" t="str">
        <f>IFERROR(Table_PrescriptLights_Input56[[#This Row],[Energy savings (kWh)]]*Input_AvgkWhRate, "")</f>
        <v/>
      </c>
      <c r="U51" s="283" t="str">
        <f>IF(Table_PrescriptLights_Input56[[#This Row],[Exterior space type]]="", "",Table_PrescriptLights_Input56[[#This Row],[Total equipment cost]]+Table_PrescriptLights_Input56[[#This Row],[Total labor cost]])</f>
        <v/>
      </c>
      <c r="V51" s="283" t="str">
        <f>IFERROR(Table_PrescriptLights_Input56[[#This Row],[Gross measure cost]]-Table_PrescriptLights_Input56[[#This Row],[Estimated incentive]], "")</f>
        <v/>
      </c>
      <c r="W51" s="284" t="str">
        <f t="shared" si="1"/>
        <v/>
      </c>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row>
    <row r="52" spans="1:51" x14ac:dyDescent="0.2">
      <c r="A52" s="269"/>
      <c r="B52" s="274">
        <v>48</v>
      </c>
      <c r="C52" s="275" t="str">
        <f>IF(ISBLANK($E52)=TRUE,"",References!$F$13)</f>
        <v/>
      </c>
      <c r="D52" s="298"/>
      <c r="E52" s="299"/>
      <c r="F52" s="276"/>
      <c r="G52" s="276"/>
      <c r="H52" s="275" t="str" cm="1">
        <f t="array" ref="H52">IFERROR(INDEX(References!$AA$108:$AA$130,MATCH(1,(Table_PrescriptLights_Input56[[#This Row],[Exterior space type]]=References!$W$108:$W$130)*(Table_PrescriptLights_Input56[[#This Row],[Space sub-type]]=References!$X$108:$X$130),0)),"")</f>
        <v/>
      </c>
      <c r="I52" s="275" t="str" cm="1">
        <f t="array" ref="I52">IFERROR(INDEX(References!$Y$108:$Y$130,MATCH(1,(Table_PrescriptLights_Input56[[#This Row],[Exterior space type]]=References!$W$108:$W$130)*(Table_PrescriptLights_Input56[[#This Row],[Space sub-type]]=References!$X$108:$X$130),0)),"")</f>
        <v/>
      </c>
      <c r="J52" s="275" t="str" cm="1">
        <f t="array" ref="J52">IFERROR(INDEX(References!$Z$108:$Z$130,MATCH(1,(Table_PrescriptLights_Input56[[#This Row],[Exterior space type]]=References!$W$108:$W$130)*(Table_PrescriptLights_Input56[[#This Row],[Space sub-type]]=References!$X$108:$X$130),0)),"")</f>
        <v/>
      </c>
      <c r="K52" s="275" t="str">
        <f>IFERROR(Table_PrescriptLights_Input56[[#This Row],[Per-unit allowance (W)]]*Table_PrescriptLights_Input56[[#This Row],[Quantity ]],"")</f>
        <v/>
      </c>
      <c r="L52" s="301"/>
      <c r="M52" s="302" t="str">
        <f>IFERROR(Table_PrescriptLights_Input56[[#This Row],[Total proposed wattage]]/Table_PrescriptLights_Input56[[#This Row],[Quantity ]],"")</f>
        <v/>
      </c>
      <c r="N52" s="303"/>
      <c r="O52" s="303"/>
      <c r="P52"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2" s="283" t="str">
        <f>IFERROR(Table_PrescriptLights_Input56[[#This Row],[Per-unit incentive]]*(Table_PrescriptLights_Input56[[#This Row],[Total allowance (W)]]-Table_PrescriptLights_Input56[[#This Row],[Total proposed wattage]]),"")</f>
        <v/>
      </c>
      <c r="R52" s="284" t="str">
        <f>IFERROR((Table_PrescriptLights_Input56[[#This Row],[Total allowance (W)]]-Table_PrescriptLights_Input56[[#This Row],[Total proposed wattage]])/1000*Value_ExtLtgAOH,"")</f>
        <v/>
      </c>
      <c r="S52" s="285" t="str">
        <f t="shared" si="2"/>
        <v/>
      </c>
      <c r="T52" s="283" t="str">
        <f>IFERROR(Table_PrescriptLights_Input56[[#This Row],[Energy savings (kWh)]]*Input_AvgkWhRate, "")</f>
        <v/>
      </c>
      <c r="U52" s="283" t="str">
        <f>IF(Table_PrescriptLights_Input56[[#This Row],[Exterior space type]]="", "",Table_PrescriptLights_Input56[[#This Row],[Total equipment cost]]+Table_PrescriptLights_Input56[[#This Row],[Total labor cost]])</f>
        <v/>
      </c>
      <c r="V52" s="283" t="str">
        <f>IFERROR(Table_PrescriptLights_Input56[[#This Row],[Gross measure cost]]-Table_PrescriptLights_Input56[[#This Row],[Estimated incentive]], "")</f>
        <v/>
      </c>
      <c r="W52" s="284" t="str">
        <f t="shared" si="1"/>
        <v/>
      </c>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row>
    <row r="53" spans="1:51" x14ac:dyDescent="0.2">
      <c r="A53" s="269"/>
      <c r="B53" s="274">
        <v>49</v>
      </c>
      <c r="C53" s="275" t="str">
        <f>IF(ISBLANK($E53)=TRUE,"",References!$F$13)</f>
        <v/>
      </c>
      <c r="D53" s="298"/>
      <c r="E53" s="299"/>
      <c r="F53" s="276"/>
      <c r="G53" s="276"/>
      <c r="H53" s="275" t="str" cm="1">
        <f t="array" ref="H53">IFERROR(INDEX(References!$AA$108:$AA$130,MATCH(1,(Table_PrescriptLights_Input56[[#This Row],[Exterior space type]]=References!$W$108:$W$130)*(Table_PrescriptLights_Input56[[#This Row],[Space sub-type]]=References!$X$108:$X$130),0)),"")</f>
        <v/>
      </c>
      <c r="I53" s="275" t="str" cm="1">
        <f t="array" ref="I53">IFERROR(INDEX(References!$Y$108:$Y$130,MATCH(1,(Table_PrescriptLights_Input56[[#This Row],[Exterior space type]]=References!$W$108:$W$130)*(Table_PrescriptLights_Input56[[#This Row],[Space sub-type]]=References!$X$108:$X$130),0)),"")</f>
        <v/>
      </c>
      <c r="J53" s="275" t="str" cm="1">
        <f t="array" ref="J53">IFERROR(INDEX(References!$Z$108:$Z$130,MATCH(1,(Table_PrescriptLights_Input56[[#This Row],[Exterior space type]]=References!$W$108:$W$130)*(Table_PrescriptLights_Input56[[#This Row],[Space sub-type]]=References!$X$108:$X$130),0)),"")</f>
        <v/>
      </c>
      <c r="K53" s="275" t="str">
        <f>IFERROR(Table_PrescriptLights_Input56[[#This Row],[Per-unit allowance (W)]]*Table_PrescriptLights_Input56[[#This Row],[Quantity ]],"")</f>
        <v/>
      </c>
      <c r="L53" s="301"/>
      <c r="M53" s="302" t="str">
        <f>IFERROR(Table_PrescriptLights_Input56[[#This Row],[Total proposed wattage]]/Table_PrescriptLights_Input56[[#This Row],[Quantity ]],"")</f>
        <v/>
      </c>
      <c r="N53" s="303"/>
      <c r="O53" s="303"/>
      <c r="P53"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3" s="283" t="str">
        <f>IFERROR(Table_PrescriptLights_Input56[[#This Row],[Per-unit incentive]]*(Table_PrescriptLights_Input56[[#This Row],[Total allowance (W)]]-Table_PrescriptLights_Input56[[#This Row],[Total proposed wattage]]),"")</f>
        <v/>
      </c>
      <c r="R53" s="284" t="str">
        <f>IFERROR((Table_PrescriptLights_Input56[[#This Row],[Total allowance (W)]]-Table_PrescriptLights_Input56[[#This Row],[Total proposed wattage]])/1000*Value_ExtLtgAOH,"")</f>
        <v/>
      </c>
      <c r="S53" s="285" t="str">
        <f t="shared" si="2"/>
        <v/>
      </c>
      <c r="T53" s="283" t="str">
        <f>IFERROR(Table_PrescriptLights_Input56[[#This Row],[Energy savings (kWh)]]*Input_AvgkWhRate, "")</f>
        <v/>
      </c>
      <c r="U53" s="283" t="str">
        <f>IF(Table_PrescriptLights_Input56[[#This Row],[Exterior space type]]="", "",Table_PrescriptLights_Input56[[#This Row],[Total equipment cost]]+Table_PrescriptLights_Input56[[#This Row],[Total labor cost]])</f>
        <v/>
      </c>
      <c r="V53" s="283" t="str">
        <f>IFERROR(Table_PrescriptLights_Input56[[#This Row],[Gross measure cost]]-Table_PrescriptLights_Input56[[#This Row],[Estimated incentive]], "")</f>
        <v/>
      </c>
      <c r="W53" s="284" t="str">
        <f t="shared" si="1"/>
        <v/>
      </c>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row>
    <row r="54" spans="1:51" x14ac:dyDescent="0.2">
      <c r="A54" s="269"/>
      <c r="B54" s="274">
        <v>50</v>
      </c>
      <c r="C54" s="275" t="str">
        <f>IF(ISBLANK($E54)=TRUE,"",References!$F$13)</f>
        <v/>
      </c>
      <c r="D54" s="298"/>
      <c r="E54" s="299"/>
      <c r="F54" s="276"/>
      <c r="G54" s="276"/>
      <c r="H54" s="275" t="str" cm="1">
        <f t="array" ref="H54">IFERROR(INDEX(References!$AA$108:$AA$130,MATCH(1,(Table_PrescriptLights_Input56[[#This Row],[Exterior space type]]=References!$W$108:$W$130)*(Table_PrescriptLights_Input56[[#This Row],[Space sub-type]]=References!$X$108:$X$130),0)),"")</f>
        <v/>
      </c>
      <c r="I54" s="275" t="str" cm="1">
        <f t="array" ref="I54">IFERROR(INDEX(References!$Y$108:$Y$130,MATCH(1,(Table_PrescriptLights_Input56[[#This Row],[Exterior space type]]=References!$W$108:$W$130)*(Table_PrescriptLights_Input56[[#This Row],[Space sub-type]]=References!$X$108:$X$130),0)),"")</f>
        <v/>
      </c>
      <c r="J54" s="275" t="str" cm="1">
        <f t="array" ref="J54">IFERROR(INDEX(References!$Z$108:$Z$130,MATCH(1,(Table_PrescriptLights_Input56[[#This Row],[Exterior space type]]=References!$W$108:$W$130)*(Table_PrescriptLights_Input56[[#This Row],[Space sub-type]]=References!$X$108:$X$130),0)),"")</f>
        <v/>
      </c>
      <c r="K54" s="275" t="str">
        <f>IFERROR(Table_PrescriptLights_Input56[[#This Row],[Per-unit allowance (W)]]*Table_PrescriptLights_Input56[[#This Row],[Quantity ]],"")</f>
        <v/>
      </c>
      <c r="L54" s="301"/>
      <c r="M54" s="302" t="str">
        <f>IFERROR(Table_PrescriptLights_Input56[[#This Row],[Total proposed wattage]]/Table_PrescriptLights_Input56[[#This Row],[Quantity ]],"")</f>
        <v/>
      </c>
      <c r="N54" s="303"/>
      <c r="O54" s="303"/>
      <c r="P54" s="283" t="str">
        <f>IFERROR(IF(Input_ProgramType=References!$W$4, INDEX(Table_Prescript_Meas[Incentive - SC], MATCH(Table_PrescriptLights_Input56[[#This Row],[Measure number]], Table_Prescript_Meas[Measure Number], 0)), INDEX(Table_Prescript_Meas[Incentive - LC], MATCH(Table_PrescriptLights_Input56[[#This Row],[Measure number]], Table_Prescript_Meas[Measure Number], 0))), "")</f>
        <v/>
      </c>
      <c r="Q54" s="283" t="str">
        <f>IFERROR(Table_PrescriptLights_Input56[[#This Row],[Per-unit incentive]]*(Table_PrescriptLights_Input56[[#This Row],[Total allowance (W)]]-Table_PrescriptLights_Input56[[#This Row],[Total proposed wattage]]),"")</f>
        <v/>
      </c>
      <c r="R54" s="284" t="str">
        <f>IFERROR((Table_PrescriptLights_Input56[[#This Row],[Total allowance (W)]]-Table_PrescriptLights_Input56[[#This Row],[Total proposed wattage]])/1000*Value_ExtLtgAOH,"")</f>
        <v/>
      </c>
      <c r="S54" s="285" t="str">
        <f t="shared" si="2"/>
        <v/>
      </c>
      <c r="T54" s="283" t="str">
        <f>IFERROR(Table_PrescriptLights_Input56[[#This Row],[Energy savings (kWh)]]*Input_AvgkWhRate, "")</f>
        <v/>
      </c>
      <c r="U54" s="283" t="str">
        <f>IF(Table_PrescriptLights_Input56[[#This Row],[Exterior space type]]="", "",Table_PrescriptLights_Input56[[#This Row],[Total equipment cost]]+Table_PrescriptLights_Input56[[#This Row],[Total labor cost]])</f>
        <v/>
      </c>
      <c r="V54" s="283" t="str">
        <f>IFERROR(Table_PrescriptLights_Input56[[#This Row],[Gross measure cost]]-Table_PrescriptLights_Input56[[#This Row],[Estimated incentive]], "")</f>
        <v/>
      </c>
      <c r="W54" s="284" t="str">
        <f t="shared" si="1"/>
        <v/>
      </c>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row>
    <row r="55" spans="1:51" x14ac:dyDescent="0.2">
      <c r="A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row>
    <row r="56" spans="1:51" ht="29.25" customHeight="1" x14ac:dyDescent="0.2">
      <c r="A56" s="269"/>
      <c r="K56" s="304" t="s">
        <v>749</v>
      </c>
      <c r="L56" s="304" t="s">
        <v>802</v>
      </c>
      <c r="M56" s="304"/>
      <c r="N56" s="304" t="s">
        <v>732</v>
      </c>
      <c r="O56" s="304" t="s">
        <v>733</v>
      </c>
      <c r="P56" s="304"/>
      <c r="Q56" s="304" t="s">
        <v>735</v>
      </c>
      <c r="R56" s="304" t="s">
        <v>38</v>
      </c>
      <c r="S56" s="304" t="s">
        <v>39</v>
      </c>
      <c r="T56" s="304" t="s">
        <v>738</v>
      </c>
      <c r="U56" s="304" t="s">
        <v>739</v>
      </c>
      <c r="V56" s="304" t="s">
        <v>740</v>
      </c>
      <c r="W56" s="304" t="s">
        <v>741</v>
      </c>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row>
    <row r="57" spans="1:51" ht="15" x14ac:dyDescent="0.25">
      <c r="B57" s="253" t="s">
        <v>644</v>
      </c>
      <c r="F57" s="253"/>
      <c r="G57" s="253"/>
      <c r="H57" s="253"/>
      <c r="I57" s="192" t="s">
        <v>562</v>
      </c>
      <c r="J57" s="189"/>
      <c r="K57" s="186">
        <f>SUMIF(Table_PrescriptLights_Input56[Allowance type],$I$57,Table_PrescriptLights_Input56[Total allowance (W)])</f>
        <v>0</v>
      </c>
      <c r="L57" s="186">
        <f>SUMIF(Table_PrescriptLights_Input56[Allowance type],$I$57,Table_PrescriptLights_Input56[Total proposed wattage])</f>
        <v>0</v>
      </c>
      <c r="M57" s="189"/>
      <c r="N57" s="190">
        <f>SUMIF(Table_PrescriptLights_Input56[Allowance type],$I$57,Table_PrescriptLights_Input56[Total equipment cost])</f>
        <v>0</v>
      </c>
      <c r="O57" s="190">
        <f>SUMIF(Table_PrescriptLights_Input56[Allowance type],$I$57,Table_PrescriptLights_Input56[Total labor cost])</f>
        <v>0</v>
      </c>
      <c r="P57" s="189"/>
      <c r="Q57" s="190">
        <f>SUMIF(Table_PrescriptLights_Input56[Allowance type],$I$57,Table_PrescriptLights_Input56[Estimated incentive])</f>
        <v>0</v>
      </c>
      <c r="R57" s="188">
        <f>SUMIF(Table_PrescriptLights_Input56[Allowance type],$I$57,Table_PrescriptLights_Input56[Energy savings (kWh)])</f>
        <v>0</v>
      </c>
      <c r="S57" s="191">
        <f>SUMIF(Table_PrescriptLights_Input56[Allowance type],$I$57,Table_PrescriptLights_Input56[Demand reduction (kW)])</f>
        <v>0</v>
      </c>
      <c r="T57" s="190">
        <f>SUMIF(Table_PrescriptLights_Input56[Allowance type],$I$57,Table_PrescriptLights_Input56[Cost savings])</f>
        <v>0</v>
      </c>
      <c r="U57" s="190">
        <f>SUMIF(Table_PrescriptLights_Input56[Allowance type],$I$57,Table_PrescriptLights_Input56[Gross measure cost])</f>
        <v>0</v>
      </c>
      <c r="V57" s="190">
        <f>SUMIF(Table_PrescriptLights_Input56[Allowance type],$I$57,Table_PrescriptLights_Input56[Net measure cost])</f>
        <v>0</v>
      </c>
      <c r="W57" s="187" t="str">
        <f>IFERROR(V57/T57,"")</f>
        <v/>
      </c>
    </row>
    <row r="58" spans="1:51" ht="15" x14ac:dyDescent="0.25">
      <c r="B58" s="253" t="str">
        <f>Value_Application_Version</f>
        <v>Version 5.2</v>
      </c>
      <c r="F58" s="253"/>
      <c r="G58" s="253"/>
      <c r="H58" s="253"/>
      <c r="I58" s="192" t="s">
        <v>586</v>
      </c>
      <c r="J58" s="189"/>
      <c r="K58" s="186">
        <f>SUMIF(Table_PrescriptLights_Input56[Allowance type],$I$58,Table_PrescriptLights_Input56[Total allowance (W)])</f>
        <v>0</v>
      </c>
      <c r="L58" s="186">
        <f>SUMIF(Table_PrescriptLights_Input56[Allowance type],$I$58,Table_PrescriptLights_Input56[Total proposed wattage])</f>
        <v>0</v>
      </c>
      <c r="M58" s="189"/>
      <c r="N58" s="190">
        <f>SUMIF(Table_PrescriptLights_Input56[Allowance type],$I$58,Table_PrescriptLights_Input56[Total equipment cost])</f>
        <v>0</v>
      </c>
      <c r="O58" s="190">
        <f>SUMIF(Table_PrescriptLights_Input56[Allowance type],$I$58,Table_PrescriptLights_Input56[Total labor cost])</f>
        <v>0</v>
      </c>
      <c r="P58" s="189"/>
      <c r="Q58" s="190">
        <f>SUMIF(Table_PrescriptLights_Input56[Allowance type],$I$58,Table_PrescriptLights_Input56[Estimated incentive])</f>
        <v>0</v>
      </c>
      <c r="R58" s="188">
        <f>SUMIF(Table_PrescriptLights_Input56[Allowance type],$I$58,Table_PrescriptLights_Input56[Energy savings (kWh)])</f>
        <v>0</v>
      </c>
      <c r="S58" s="191">
        <f>SUMIF(Table_PrescriptLights_Input56[Allowance type],$I$58,Table_PrescriptLights_Input56[Demand reduction (kW)])</f>
        <v>0</v>
      </c>
      <c r="T58" s="190">
        <f>SUMIF(Table_PrescriptLights_Input56[Allowance type],$I$58,Table_PrescriptLights_Input56[Cost savings])</f>
        <v>0</v>
      </c>
      <c r="U58" s="190">
        <f>SUMIF(Table_PrescriptLights_Input56[Allowance type],$I$58,Table_PrescriptLights_Input56[Gross measure cost])</f>
        <v>0</v>
      </c>
      <c r="V58" s="190">
        <f>SUMIF(Table_PrescriptLights_Input56[Allowance type],$I$58,Table_PrescriptLights_Input56[Net measure cost])</f>
        <v>0</v>
      </c>
      <c r="W58" s="187" t="str">
        <f>IFERROR(V58/T58,"")</f>
        <v/>
      </c>
    </row>
    <row r="59" spans="1:51" x14ac:dyDescent="0.2">
      <c r="F59" s="253"/>
      <c r="G59" s="253"/>
      <c r="H59" s="253"/>
      <c r="I59" s="253"/>
      <c r="J59" s="253"/>
      <c r="K59" s="253"/>
    </row>
    <row r="60" spans="1:51" x14ac:dyDescent="0.2">
      <c r="F60" s="253"/>
      <c r="G60" s="253"/>
      <c r="H60" s="253"/>
      <c r="I60" s="253"/>
      <c r="J60" s="253"/>
      <c r="K60" s="253"/>
    </row>
    <row r="61" spans="1:51" x14ac:dyDescent="0.2">
      <c r="A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row>
    <row r="62" spans="1:51" x14ac:dyDescent="0.2">
      <c r="A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row>
    <row r="63" spans="1:51" x14ac:dyDescent="0.2">
      <c r="A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row>
    <row r="64" spans="1:51" x14ac:dyDescent="0.2">
      <c r="A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row>
    <row r="65" spans="1:51" x14ac:dyDescent="0.2">
      <c r="A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row>
    <row r="66" spans="1:51" x14ac:dyDescent="0.2">
      <c r="A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row>
    <row r="67" spans="1:51" x14ac:dyDescent="0.2">
      <c r="A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row>
    <row r="68" spans="1:51" x14ac:dyDescent="0.2">
      <c r="A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row>
    <row r="69" spans="1:51" x14ac:dyDescent="0.2">
      <c r="A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row>
    <row r="70" spans="1:51" x14ac:dyDescent="0.2">
      <c r="A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row>
    <row r="71" spans="1:51" x14ac:dyDescent="0.2">
      <c r="A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row>
    <row r="72" spans="1:51" x14ac:dyDescent="0.2">
      <c r="A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row>
    <row r="73" spans="1:51" x14ac:dyDescent="0.2">
      <c r="A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row>
    <row r="74" spans="1:51" x14ac:dyDescent="0.2">
      <c r="A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row>
    <row r="75" spans="1:51" x14ac:dyDescent="0.2">
      <c r="A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row>
    <row r="76" spans="1:51" x14ac:dyDescent="0.2">
      <c r="A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row>
    <row r="77" spans="1:51" x14ac:dyDescent="0.2">
      <c r="A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row>
    <row r="78" spans="1:51" x14ac:dyDescent="0.2">
      <c r="A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row>
    <row r="79" spans="1:51" x14ac:dyDescent="0.2">
      <c r="A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row>
    <row r="80" spans="1:51" x14ac:dyDescent="0.2">
      <c r="A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row>
    <row r="81" spans="1:51" x14ac:dyDescent="0.2">
      <c r="A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row>
    <row r="82" spans="1:51" x14ac:dyDescent="0.2">
      <c r="A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row>
    <row r="83" spans="1:51" x14ac:dyDescent="0.2">
      <c r="A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row>
    <row r="84" spans="1:51" x14ac:dyDescent="0.2">
      <c r="A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row>
    <row r="85" spans="1:51" x14ac:dyDescent="0.2">
      <c r="A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row>
    <row r="86" spans="1:51" x14ac:dyDescent="0.2">
      <c r="A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row>
    <row r="87" spans="1:51" x14ac:dyDescent="0.2">
      <c r="A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row>
    <row r="88" spans="1:51" x14ac:dyDescent="0.2">
      <c r="A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row>
    <row r="89" spans="1:51" x14ac:dyDescent="0.2">
      <c r="A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row>
    <row r="90" spans="1:51" x14ac:dyDescent="0.2">
      <c r="A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row>
    <row r="91" spans="1:51" x14ac:dyDescent="0.2">
      <c r="A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row>
    <row r="92" spans="1:51" x14ac:dyDescent="0.2">
      <c r="A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row>
    <row r="93" spans="1:51" x14ac:dyDescent="0.2">
      <c r="A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row>
    <row r="94" spans="1:51" x14ac:dyDescent="0.2">
      <c r="A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row>
    <row r="95" spans="1:51" x14ac:dyDescent="0.2">
      <c r="A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row>
    <row r="96" spans="1:51" x14ac:dyDescent="0.2">
      <c r="A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row>
    <row r="97" spans="1:51" x14ac:dyDescent="0.2">
      <c r="A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row>
    <row r="98" spans="1:51" x14ac:dyDescent="0.2">
      <c r="A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row>
    <row r="99" spans="1:51" x14ac:dyDescent="0.2">
      <c r="A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row>
    <row r="100" spans="1:51" x14ac:dyDescent="0.2">
      <c r="A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row>
    <row r="101" spans="1:51" x14ac:dyDescent="0.2">
      <c r="A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row>
    <row r="102" spans="1:51" x14ac:dyDescent="0.2">
      <c r="A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row>
    <row r="103" spans="1:51" x14ac:dyDescent="0.2">
      <c r="A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row>
    <row r="104" spans="1:51" x14ac:dyDescent="0.2">
      <c r="A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row>
    <row r="105" spans="1:51" x14ac:dyDescent="0.2">
      <c r="A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row>
    <row r="106" spans="1:51" x14ac:dyDescent="0.2">
      <c r="A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row>
    <row r="107" spans="1:51" x14ac:dyDescent="0.2">
      <c r="A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row>
    <row r="108" spans="1:51" x14ac:dyDescent="0.2">
      <c r="A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row>
    <row r="109" spans="1:51" x14ac:dyDescent="0.2">
      <c r="A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row>
    <row r="110" spans="1:51" x14ac:dyDescent="0.2">
      <c r="A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row>
    <row r="111" spans="1:51" x14ac:dyDescent="0.2">
      <c r="A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row>
    <row r="112" spans="1:51" x14ac:dyDescent="0.2">
      <c r="A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row>
    <row r="113" spans="1:51" x14ac:dyDescent="0.2">
      <c r="A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row>
    <row r="114" spans="1:51" x14ac:dyDescent="0.2">
      <c r="A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row>
    <row r="115" spans="1:51" x14ac:dyDescent="0.2">
      <c r="A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row>
    <row r="116" spans="1:51" x14ac:dyDescent="0.2">
      <c r="A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row>
    <row r="117" spans="1:51" x14ac:dyDescent="0.2">
      <c r="A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row>
    <row r="118" spans="1:51" x14ac:dyDescent="0.2">
      <c r="A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row>
    <row r="119" spans="1:51" x14ac:dyDescent="0.2">
      <c r="A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row>
    <row r="120" spans="1:51" x14ac:dyDescent="0.2">
      <c r="A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row>
    <row r="121" spans="1:51" x14ac:dyDescent="0.2">
      <c r="A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row>
    <row r="122" spans="1:51" x14ac:dyDescent="0.2">
      <c r="A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row>
    <row r="123" spans="1:51" x14ac:dyDescent="0.2">
      <c r="A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row>
    <row r="124" spans="1:51" x14ac:dyDescent="0.2">
      <c r="A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row>
    <row r="125" spans="1:51" x14ac:dyDescent="0.2">
      <c r="A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row>
    <row r="126" spans="1:51" x14ac:dyDescent="0.2">
      <c r="A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row>
    <row r="127" spans="1:51" x14ac:dyDescent="0.2">
      <c r="A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row>
    <row r="128" spans="1:51" x14ac:dyDescent="0.2">
      <c r="A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row>
    <row r="129" spans="1:51" x14ac:dyDescent="0.2">
      <c r="A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row>
    <row r="130" spans="1:51" x14ac:dyDescent="0.2">
      <c r="A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row>
    <row r="131" spans="1:51" x14ac:dyDescent="0.2">
      <c r="A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row>
    <row r="132" spans="1:51" x14ac:dyDescent="0.2">
      <c r="A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row>
    <row r="133" spans="1:51" x14ac:dyDescent="0.2">
      <c r="A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row>
    <row r="134" spans="1:51" x14ac:dyDescent="0.2">
      <c r="A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row>
    <row r="135" spans="1:51" x14ac:dyDescent="0.2">
      <c r="A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row>
    <row r="136" spans="1:51" x14ac:dyDescent="0.2">
      <c r="A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row>
    <row r="137" spans="1:51" x14ac:dyDescent="0.2">
      <c r="A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row>
    <row r="138" spans="1:51" x14ac:dyDescent="0.2">
      <c r="A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row>
    <row r="139" spans="1:51" x14ac:dyDescent="0.2">
      <c r="A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row>
    <row r="140" spans="1:51" x14ac:dyDescent="0.2">
      <c r="A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row>
    <row r="141" spans="1:51" x14ac:dyDescent="0.2">
      <c r="A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row>
    <row r="142" spans="1:51" x14ac:dyDescent="0.2">
      <c r="A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row>
    <row r="143" spans="1:51" x14ac:dyDescent="0.2">
      <c r="A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row>
    <row r="144" spans="1:51" x14ac:dyDescent="0.2">
      <c r="A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row>
    <row r="145" spans="1:51" x14ac:dyDescent="0.2">
      <c r="A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row>
    <row r="146" spans="1:51" x14ac:dyDescent="0.2">
      <c r="A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row>
    <row r="147" spans="1:51" x14ac:dyDescent="0.2">
      <c r="A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row>
    <row r="148" spans="1:51" x14ac:dyDescent="0.2">
      <c r="A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row>
    <row r="149" spans="1:51" x14ac:dyDescent="0.2">
      <c r="A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row>
    <row r="150" spans="1:51" x14ac:dyDescent="0.2">
      <c r="A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row>
    <row r="151" spans="1:51" x14ac:dyDescent="0.2">
      <c r="A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row>
    <row r="152" spans="1:51" x14ac:dyDescent="0.2">
      <c r="A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row>
    <row r="153" spans="1:51" x14ac:dyDescent="0.2">
      <c r="A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row>
    <row r="154" spans="1:51" x14ac:dyDescent="0.2">
      <c r="A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row>
    <row r="155" spans="1:51" x14ac:dyDescent="0.2">
      <c r="A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row>
    <row r="156" spans="1:51" x14ac:dyDescent="0.2">
      <c r="A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row>
    <row r="157" spans="1:51" x14ac:dyDescent="0.2">
      <c r="A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row>
    <row r="158" spans="1:51" x14ac:dyDescent="0.2">
      <c r="A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row>
    <row r="159" spans="1:51" x14ac:dyDescent="0.2">
      <c r="A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row>
    <row r="160" spans="1:51" x14ac:dyDescent="0.2">
      <c r="A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row>
    <row r="161" spans="1:51" x14ac:dyDescent="0.2">
      <c r="A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row>
    <row r="162" spans="1:51" x14ac:dyDescent="0.2">
      <c r="A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row>
    <row r="163" spans="1:51" x14ac:dyDescent="0.2">
      <c r="A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row>
    <row r="164" spans="1:51" x14ac:dyDescent="0.2">
      <c r="A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row>
    <row r="165" spans="1:51" x14ac:dyDescent="0.2">
      <c r="A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row>
    <row r="166" spans="1:51" x14ac:dyDescent="0.2">
      <c r="A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row>
    <row r="167" spans="1:51" x14ac:dyDescent="0.2">
      <c r="A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row>
    <row r="168" spans="1:51" x14ac:dyDescent="0.2">
      <c r="A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row>
    <row r="169" spans="1:51" x14ac:dyDescent="0.2">
      <c r="A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row>
    <row r="170" spans="1:51" x14ac:dyDescent="0.2">
      <c r="A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row>
    <row r="171" spans="1:51" x14ac:dyDescent="0.2">
      <c r="A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row>
    <row r="172" spans="1:51" x14ac:dyDescent="0.2">
      <c r="A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row>
    <row r="173" spans="1:51" x14ac:dyDescent="0.2">
      <c r="A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row>
    <row r="174" spans="1:51" x14ac:dyDescent="0.2">
      <c r="A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row>
    <row r="175" spans="1:51" x14ac:dyDescent="0.2">
      <c r="A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row>
    <row r="176" spans="1:51" x14ac:dyDescent="0.2">
      <c r="A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row>
    <row r="177" spans="1:51" x14ac:dyDescent="0.2">
      <c r="A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row>
    <row r="178" spans="1:51" x14ac:dyDescent="0.2">
      <c r="A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row>
    <row r="179" spans="1:51" x14ac:dyDescent="0.2">
      <c r="A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row>
    <row r="180" spans="1:51" x14ac:dyDescent="0.2">
      <c r="A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row>
    <row r="181" spans="1:51" x14ac:dyDescent="0.2">
      <c r="A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row>
    <row r="182" spans="1:51" x14ac:dyDescent="0.2">
      <c r="A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row>
    <row r="183" spans="1:51" x14ac:dyDescent="0.2">
      <c r="A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row>
    <row r="184" spans="1:51" x14ac:dyDescent="0.2">
      <c r="A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row>
    <row r="185" spans="1:51" x14ac:dyDescent="0.2">
      <c r="A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row>
    <row r="186" spans="1:51" x14ac:dyDescent="0.2">
      <c r="A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row>
    <row r="187" spans="1:51" x14ac:dyDescent="0.2">
      <c r="A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row>
    <row r="188" spans="1:51" x14ac:dyDescent="0.2">
      <c r="A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row>
    <row r="189" spans="1:51" x14ac:dyDescent="0.2">
      <c r="A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row>
    <row r="190" spans="1:51" x14ac:dyDescent="0.2">
      <c r="A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row>
    <row r="191" spans="1:51" x14ac:dyDescent="0.2">
      <c r="A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row>
    <row r="192" spans="1:51" x14ac:dyDescent="0.2">
      <c r="A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row>
    <row r="193" spans="1:51" x14ac:dyDescent="0.2">
      <c r="A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row>
    <row r="194" spans="1:51" x14ac:dyDescent="0.2">
      <c r="A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row>
    <row r="195" spans="1:51" x14ac:dyDescent="0.2">
      <c r="A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row>
    <row r="196" spans="1:51" x14ac:dyDescent="0.2">
      <c r="A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row>
    <row r="197" spans="1:51" x14ac:dyDescent="0.2">
      <c r="A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row>
    <row r="198" spans="1:51" x14ac:dyDescent="0.2">
      <c r="A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row>
    <row r="199" spans="1:51" x14ac:dyDescent="0.2">
      <c r="A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row>
    <row r="200" spans="1:51" x14ac:dyDescent="0.2">
      <c r="A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row>
    <row r="201" spans="1:51" x14ac:dyDescent="0.2">
      <c r="A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row>
    <row r="202" spans="1:51" x14ac:dyDescent="0.2">
      <c r="A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row>
    <row r="203" spans="1:51" x14ac:dyDescent="0.2">
      <c r="A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row>
    <row r="204" spans="1:51" x14ac:dyDescent="0.2">
      <c r="A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row>
    <row r="205" spans="1:51" x14ac:dyDescent="0.2">
      <c r="A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row>
  </sheetData>
  <sheetProtection algorithmName="SHA-512" hashValue="pb4KY3QWAI/Kc0pL52nKLyQskQLDvcRFDJq4NZCNWhsnICB4D6dl4mgQYcqu1IuSX6KAMuus+uQOsIowQl0rWw==" saltValue="j8oHdOE1zyHlwU+WeOy5pQ==" spinCount="100000" sheet="1" selectLockedCells="1"/>
  <mergeCells count="2">
    <mergeCell ref="B2:T2"/>
    <mergeCell ref="L3:O3"/>
  </mergeCells>
  <conditionalFormatting sqref="L5:O54">
    <cfRule type="expression" dxfId="254" priority="5">
      <formula>OR($E5="", $F5=0)</formula>
    </cfRule>
  </conditionalFormatting>
  <conditionalFormatting sqref="F5:G54">
    <cfRule type="expression" dxfId="253" priority="3">
      <formula>IF($E5&lt;&gt;"",1,)</formula>
    </cfRule>
  </conditionalFormatting>
  <conditionalFormatting sqref="W57:W58">
    <cfRule type="expression" dxfId="252" priority="2">
      <formula>IF($J57="Tradeable",1,)</formula>
    </cfRule>
  </conditionalFormatting>
  <dataValidations count="2">
    <dataValidation type="list" allowBlank="1" showInputMessage="1" showErrorMessage="1" sqref="E5:E54" xr:uid="{2CAF90E9-7AA3-49B9-B296-EBDE5C31E156}">
      <formula1>List_ExtLtgType</formula1>
    </dataValidation>
    <dataValidation type="list" allowBlank="1" showInputMessage="1" showErrorMessage="1" sqref="F5:F54" xr:uid="{E7F3743E-08B3-4555-A621-59750ABF346A}">
      <formula1>INDIRECT(SUBSTITUTE(SUBSTITUTE(E5," ",""),"-",""))</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V205"/>
  <sheetViews>
    <sheetView showGridLines="0" showRowColHeaders="0" zoomScaleNormal="100" workbookViewId="0">
      <selection activeCell="E4" sqref="E4"/>
    </sheetView>
  </sheetViews>
  <sheetFormatPr defaultColWidth="9.140625" defaultRowHeight="12.75" customHeight="1" x14ac:dyDescent="0.2"/>
  <cols>
    <col min="1" max="1" width="2.140625" style="253" customWidth="1"/>
    <col min="2" max="2" width="5.28515625" style="253" customWidth="1"/>
    <col min="3" max="3" width="10.85546875" style="253" customWidth="1"/>
    <col min="4" max="4" width="19.140625" style="253" customWidth="1"/>
    <col min="5" max="5" width="29.85546875" style="253" customWidth="1"/>
    <col min="6" max="6" width="19.7109375" style="268" customWidth="1"/>
    <col min="7" max="10" width="11.85546875" style="253" customWidth="1"/>
    <col min="11" max="11" width="12.42578125" style="253" customWidth="1"/>
    <col min="12" max="12" width="9.85546875" style="253" customWidth="1"/>
    <col min="13" max="13" width="10" style="253" customWidth="1"/>
    <col min="14" max="14" width="11" style="253" customWidth="1"/>
    <col min="15" max="15" width="12" style="253" customWidth="1"/>
    <col min="16" max="16" width="11.85546875" style="253" customWidth="1"/>
    <col min="17" max="17" width="10.28515625" style="253" customWidth="1"/>
    <col min="18" max="18" width="12.28515625" style="253" customWidth="1"/>
    <col min="19" max="19" width="13.42578125" style="253" customWidth="1"/>
    <col min="20" max="20" width="9.5703125" style="253" customWidth="1"/>
    <col min="21" max="16384" width="9.140625" style="253"/>
  </cols>
  <sheetData>
    <row r="1" spans="1:48" ht="44.25" customHeight="1" x14ac:dyDescent="0.2"/>
    <row r="2" spans="1:48" s="255" customFormat="1" ht="37.5" customHeight="1" x14ac:dyDescent="0.2">
      <c r="B2" s="374" t="s">
        <v>750</v>
      </c>
      <c r="C2" s="374"/>
      <c r="D2" s="374"/>
      <c r="E2" s="374"/>
      <c r="F2" s="374"/>
      <c r="G2" s="374"/>
      <c r="H2" s="374"/>
      <c r="I2" s="374"/>
      <c r="J2" s="374"/>
      <c r="K2" s="374"/>
      <c r="L2" s="374"/>
      <c r="M2" s="374"/>
      <c r="N2" s="374"/>
      <c r="O2" s="374"/>
      <c r="P2" s="374"/>
      <c r="Q2" s="374"/>
      <c r="R2" s="254"/>
      <c r="S2" s="254"/>
      <c r="T2" s="254"/>
    </row>
    <row r="3" spans="1:48" x14ac:dyDescent="0.2">
      <c r="F3" s="253"/>
      <c r="N3" s="269"/>
    </row>
    <row r="4" spans="1:48" x14ac:dyDescent="0.2">
      <c r="A4" s="269"/>
      <c r="D4" s="264" t="s">
        <v>726</v>
      </c>
      <c r="E4" s="299"/>
      <c r="G4" s="380" t="s">
        <v>31</v>
      </c>
      <c r="H4" s="380"/>
      <c r="I4" s="380"/>
      <c r="J4" s="380"/>
      <c r="K4" s="380"/>
      <c r="L4" s="380"/>
      <c r="M4" s="305" t="s">
        <v>32</v>
      </c>
      <c r="N4" s="313">
        <f>SUM(N$6:N$55)</f>
        <v>0</v>
      </c>
      <c r="O4" s="314">
        <f>SUM(O$6:O$55)</f>
        <v>0</v>
      </c>
      <c r="P4" s="315">
        <f>SUM(P$6:P$55)</f>
        <v>0</v>
      </c>
      <c r="Q4" s="316">
        <f>SUM(Q$6:Q$55)</f>
        <v>0</v>
      </c>
      <c r="R4" s="316">
        <f>SUM(Table_PrescriptLights_Input[Gross measure cost])</f>
        <v>0</v>
      </c>
      <c r="S4" s="316">
        <f>SUM(S$6:S$55)</f>
        <v>0</v>
      </c>
      <c r="T4" s="306" t="str">
        <f>IFERROR(S4/Q4,"")</f>
        <v/>
      </c>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row>
    <row r="5" spans="1:48" s="245" customFormat="1" ht="38.25" x14ac:dyDescent="0.2">
      <c r="A5" s="292"/>
      <c r="B5" s="293" t="s">
        <v>801</v>
      </c>
      <c r="C5" s="294" t="s">
        <v>723</v>
      </c>
      <c r="D5" s="295" t="s">
        <v>724</v>
      </c>
      <c r="E5" s="294" t="s">
        <v>751</v>
      </c>
      <c r="F5" s="290" t="s">
        <v>752</v>
      </c>
      <c r="G5" s="296" t="s">
        <v>753</v>
      </c>
      <c r="H5" s="296" t="s">
        <v>35</v>
      </c>
      <c r="I5" s="296" t="s">
        <v>36</v>
      </c>
      <c r="J5" s="296" t="s">
        <v>37</v>
      </c>
      <c r="K5" s="297" t="s">
        <v>732</v>
      </c>
      <c r="L5" s="297" t="s">
        <v>733</v>
      </c>
      <c r="M5" s="290" t="s">
        <v>734</v>
      </c>
      <c r="N5" s="290" t="s">
        <v>735</v>
      </c>
      <c r="O5" s="290" t="s">
        <v>736</v>
      </c>
      <c r="P5" s="290" t="s">
        <v>737</v>
      </c>
      <c r="Q5" s="290" t="s">
        <v>738</v>
      </c>
      <c r="R5" s="290" t="s">
        <v>739</v>
      </c>
      <c r="S5" s="290" t="s">
        <v>740</v>
      </c>
      <c r="T5" s="290" t="s">
        <v>741</v>
      </c>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row>
    <row r="6" spans="1:48" x14ac:dyDescent="0.2">
      <c r="A6" s="273"/>
      <c r="B6" s="307">
        <v>1</v>
      </c>
      <c r="C6" s="308" t="str">
        <f>IFERROR(INDEX(Table_Prescript_Meas[Measure Number], MATCH(E6, Table_Prescript_Meas[Measure Description], 0)), "")</f>
        <v/>
      </c>
      <c r="D6" s="317"/>
      <c r="E6" s="318"/>
      <c r="F6" s="308" t="str">
        <f>IFERROR(INDEX(Table_Prescript_Meas[Units], MATCH(Table_PrescriptLights_Input[[#This Row],[Measure number]], Table_Prescript_Meas[Measure Number], 0)), "")</f>
        <v/>
      </c>
      <c r="G6" s="301"/>
      <c r="H6" s="256"/>
      <c r="I6" s="256"/>
      <c r="J6" s="256"/>
      <c r="K6" s="303"/>
      <c r="L6" s="303"/>
      <c r="M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6" s="310" t="str">
        <f>IFERROR(Table_PrescriptLights_Input[[#This Row],[Per-unit incentive]]*Table_PrescriptLights_Input[[#This Row],[Number of units]],"")</f>
        <v/>
      </c>
      <c r="O6" s="311" t="str">
        <f>IF(OR(Table_PrescriptLights_Input[[#This Row],[HVAC measure]]=References!$G$4,Table_PrescriptLights_Input[[#This Row],[HVAC measure]]=References!$G$5),'HVAC Calcs'!$H3,IFERROR(Table_PrescriptLights_Input[[#This Row],[Number of units]]*INDEX(Table_Prescript_Meas[Deemed kWh Savings], MATCH(Table_PrescriptLights_Input[[#This Row],[Measure number]], Table_Prescript_Meas[Measure Number], 0)),"" ))</f>
        <v/>
      </c>
      <c r="P6" s="312" t="str">
        <f>IF(OR(Table_PrescriptLights_Input[[#This Row],[HVAC measure]]=References!$G$4,Table_PrescriptLights_Input[[#This Row],[HVAC measure]]=References!$G$5),'HVAC Calcs'!$I3,IFERROR(Table_PrescriptLights_Input[[#This Row],[Number of units]]*INDEX(Table_Prescript_Meas[Deemed kW Savings], MATCH(Table_PrescriptLights_Input[[#This Row],[Measure number]], Table_Prescript_Meas[Measure Number], 0)),"" ))</f>
        <v/>
      </c>
      <c r="Q6" s="310" t="str">
        <f>IFERROR(Table_PrescriptLights_Input[[#This Row],[Energy savings (kWh)]]*Input_AvgkWhRate, "")</f>
        <v/>
      </c>
      <c r="R6" s="310" t="str">
        <f>IF(Table_PrescriptLights_Input[[#This Row],[HVAC measure]]="", "",Table_PrescriptLights_Input[[#This Row],[Total equipment cost]]+Table_PrescriptLights_Input[[#This Row],[Total labor cost]])</f>
        <v/>
      </c>
      <c r="S6" s="310" t="str">
        <f>IFERROR(Table_PrescriptLights_Input[[#This Row],[Gross measure cost]]-Table_PrescriptLights_Input[[#This Row],[Estimated incentive]], "")</f>
        <v/>
      </c>
      <c r="T6" s="311" t="str">
        <f t="shared" ref="T6:T55" si="0">IFERROR($S6/$Q6,"")</f>
        <v/>
      </c>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row>
    <row r="7" spans="1:48" x14ac:dyDescent="0.2">
      <c r="A7" s="273"/>
      <c r="B7" s="307">
        <v>2</v>
      </c>
      <c r="C7" s="308" t="str">
        <f>IFERROR(INDEX(Table_Prescript_Meas[Measure Number], MATCH(E7, Table_Prescript_Meas[Measure Description], 0)), "")</f>
        <v/>
      </c>
      <c r="D7" s="317"/>
      <c r="E7" s="318"/>
      <c r="F7" s="308" t="str">
        <f>IFERROR(INDEX(Table_Prescript_Meas[Units], MATCH(Table_PrescriptLights_Input[[#This Row],[Measure number]], Table_Prescript_Meas[Measure Number], 0)), "")</f>
        <v/>
      </c>
      <c r="G7" s="301"/>
      <c r="H7" s="256"/>
      <c r="I7" s="256"/>
      <c r="J7" s="256"/>
      <c r="K7" s="303"/>
      <c r="L7" s="303"/>
      <c r="M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7" s="310" t="str">
        <f>IFERROR(Table_PrescriptLights_Input[[#This Row],[Per-unit incentive]]*Table_PrescriptLights_Input[[#This Row],[Number of units]],"")</f>
        <v/>
      </c>
      <c r="O7" s="311" t="str">
        <f>IF(OR(Table_PrescriptLights_Input[[#This Row],[HVAC measure]]=References!$G$4,Table_PrescriptLights_Input[[#This Row],[HVAC measure]]=References!$G$5),'HVAC Calcs'!$H4,IFERROR(Table_PrescriptLights_Input[[#This Row],[Number of units]]*INDEX(Table_Prescript_Meas[Deemed kWh Savings], MATCH(Table_PrescriptLights_Input[[#This Row],[Measure number]], Table_Prescript_Meas[Measure Number], 0)),"" ))</f>
        <v/>
      </c>
      <c r="P7" s="312" t="str">
        <f>IF(OR(Table_PrescriptLights_Input[[#This Row],[HVAC measure]]=References!$G$4,Table_PrescriptLights_Input[[#This Row],[HVAC measure]]=References!$G$5),'HVAC Calcs'!$I4,IFERROR(Table_PrescriptLights_Input[[#This Row],[Number of units]]*INDEX(Table_Prescript_Meas[Deemed kW Savings], MATCH(Table_PrescriptLights_Input[[#This Row],[Measure number]], Table_Prescript_Meas[Measure Number], 0)),"" ))</f>
        <v/>
      </c>
      <c r="Q7" s="310" t="str">
        <f>IFERROR(Table_PrescriptLights_Input[[#This Row],[Energy savings (kWh)]]*Input_AvgkWhRate, "")</f>
        <v/>
      </c>
      <c r="R7" s="310" t="str">
        <f>IF(Table_PrescriptLights_Input[[#This Row],[HVAC measure]]="", "",Table_PrescriptLights_Input[[#This Row],[Total equipment cost]]+Table_PrescriptLights_Input[[#This Row],[Total labor cost]])</f>
        <v/>
      </c>
      <c r="S7" s="310" t="str">
        <f>IFERROR(Table_PrescriptLights_Input[[#This Row],[Gross measure cost]]-Table_PrescriptLights_Input[[#This Row],[Estimated incentive]], "")</f>
        <v/>
      </c>
      <c r="T7" s="311" t="str">
        <f t="shared" si="0"/>
        <v/>
      </c>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row>
    <row r="8" spans="1:48" x14ac:dyDescent="0.2">
      <c r="A8" s="273"/>
      <c r="B8" s="307">
        <v>3</v>
      </c>
      <c r="C8" s="308" t="str">
        <f>IFERROR(INDEX(Table_Prescript_Meas[Measure Number], MATCH(E8, Table_Prescript_Meas[Measure Description], 0)), "")</f>
        <v/>
      </c>
      <c r="D8" s="317"/>
      <c r="E8" s="318"/>
      <c r="F8" s="308" t="str">
        <f>IFERROR(INDEX(Table_Prescript_Meas[Units], MATCH(Table_PrescriptLights_Input[[#This Row],[Measure number]], Table_Prescript_Meas[Measure Number], 0)), "")</f>
        <v/>
      </c>
      <c r="G8" s="301"/>
      <c r="H8" s="256"/>
      <c r="I8" s="256"/>
      <c r="J8" s="256"/>
      <c r="K8" s="303"/>
      <c r="L8" s="303"/>
      <c r="M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8" s="310" t="str">
        <f>IFERROR(Table_PrescriptLights_Input[[#This Row],[Per-unit incentive]]*Table_PrescriptLights_Input[[#This Row],[Number of units]],"")</f>
        <v/>
      </c>
      <c r="O8" s="311" t="str">
        <f>IF(OR(Table_PrescriptLights_Input[[#This Row],[HVAC measure]]=References!$G$4,Table_PrescriptLights_Input[[#This Row],[HVAC measure]]=References!$G$5),'HVAC Calcs'!$H5,IFERROR(Table_PrescriptLights_Input[[#This Row],[Number of units]]*INDEX(Table_Prescript_Meas[Deemed kWh Savings], MATCH(Table_PrescriptLights_Input[[#This Row],[Measure number]], Table_Prescript_Meas[Measure Number], 0)),"" ))</f>
        <v/>
      </c>
      <c r="P8" s="312" t="str">
        <f>IF(OR(Table_PrescriptLights_Input[[#This Row],[HVAC measure]]=References!$G$4,Table_PrescriptLights_Input[[#This Row],[HVAC measure]]=References!$G$5),'HVAC Calcs'!$I5,IFERROR(Table_PrescriptLights_Input[[#This Row],[Number of units]]*INDEX(Table_Prescript_Meas[Deemed kW Savings], MATCH(Table_PrescriptLights_Input[[#This Row],[Measure number]], Table_Prescript_Meas[Measure Number], 0)),"" ))</f>
        <v/>
      </c>
      <c r="Q8" s="310" t="str">
        <f>IFERROR(Table_PrescriptLights_Input[[#This Row],[Energy savings (kWh)]]*Input_AvgkWhRate, "")</f>
        <v/>
      </c>
      <c r="R8" s="310" t="str">
        <f>IF(Table_PrescriptLights_Input[[#This Row],[HVAC measure]]="", "",Table_PrescriptLights_Input[[#This Row],[Total equipment cost]]+Table_PrescriptLights_Input[[#This Row],[Total labor cost]])</f>
        <v/>
      </c>
      <c r="S8" s="310" t="str">
        <f>IFERROR(Table_PrescriptLights_Input[[#This Row],[Gross measure cost]]-Table_PrescriptLights_Input[[#This Row],[Estimated incentive]], "")</f>
        <v/>
      </c>
      <c r="T8" s="311" t="str">
        <f t="shared" si="0"/>
        <v/>
      </c>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row>
    <row r="9" spans="1:48" x14ac:dyDescent="0.2">
      <c r="A9" s="273"/>
      <c r="B9" s="307">
        <v>4</v>
      </c>
      <c r="C9" s="308" t="str">
        <f>IFERROR(INDEX(Table_Prescript_Meas[Measure Number], MATCH(E9, Table_Prescript_Meas[Measure Description], 0)), "")</f>
        <v/>
      </c>
      <c r="D9" s="317"/>
      <c r="E9" s="318"/>
      <c r="F9" s="308" t="str">
        <f>IFERROR(INDEX(Table_Prescript_Meas[Units], MATCH(Table_PrescriptLights_Input[[#This Row],[Measure number]], Table_Prescript_Meas[Measure Number], 0)), "")</f>
        <v/>
      </c>
      <c r="G9" s="301"/>
      <c r="H9" s="256"/>
      <c r="I9" s="256"/>
      <c r="J9" s="256"/>
      <c r="K9" s="303"/>
      <c r="L9" s="303"/>
      <c r="M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9" s="310" t="str">
        <f>IFERROR(Table_PrescriptLights_Input[[#This Row],[Per-unit incentive]]*Table_PrescriptLights_Input[[#This Row],[Number of units]],"")</f>
        <v/>
      </c>
      <c r="O9" s="311" t="str">
        <f>IF(OR(Table_PrescriptLights_Input[[#This Row],[HVAC measure]]=References!$G$4,Table_PrescriptLights_Input[[#This Row],[HVAC measure]]=References!$G$5),'HVAC Calcs'!$H6,IFERROR(Table_PrescriptLights_Input[[#This Row],[Number of units]]*INDEX(Table_Prescript_Meas[Deemed kWh Savings], MATCH(Table_PrescriptLights_Input[[#This Row],[Measure number]], Table_Prescript_Meas[Measure Number], 0)),"" ))</f>
        <v/>
      </c>
      <c r="P9" s="312" t="str">
        <f>IF(OR(Table_PrescriptLights_Input[[#This Row],[HVAC measure]]=References!$G$4,Table_PrescriptLights_Input[[#This Row],[HVAC measure]]=References!$G$5),'HVAC Calcs'!$I6,IFERROR(Table_PrescriptLights_Input[[#This Row],[Number of units]]*INDEX(Table_Prescript_Meas[Deemed kW Savings], MATCH(Table_PrescriptLights_Input[[#This Row],[Measure number]], Table_Prescript_Meas[Measure Number], 0)),"" ))</f>
        <v/>
      </c>
      <c r="Q9" s="310" t="str">
        <f>IFERROR(Table_PrescriptLights_Input[[#This Row],[Energy savings (kWh)]]*Input_AvgkWhRate, "")</f>
        <v/>
      </c>
      <c r="R9" s="310" t="str">
        <f>IF(Table_PrescriptLights_Input[[#This Row],[HVAC measure]]="", "",Table_PrescriptLights_Input[[#This Row],[Total equipment cost]]+Table_PrescriptLights_Input[[#This Row],[Total labor cost]])</f>
        <v/>
      </c>
      <c r="S9" s="310" t="str">
        <f>IFERROR(Table_PrescriptLights_Input[[#This Row],[Gross measure cost]]-Table_PrescriptLights_Input[[#This Row],[Estimated incentive]], "")</f>
        <v/>
      </c>
      <c r="T9" s="311" t="str">
        <f t="shared" si="0"/>
        <v/>
      </c>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row>
    <row r="10" spans="1:48" x14ac:dyDescent="0.2">
      <c r="A10" s="273"/>
      <c r="B10" s="307">
        <v>5</v>
      </c>
      <c r="C10" s="308" t="str">
        <f>IFERROR(INDEX(Table_Prescript_Meas[Measure Number], MATCH(E10, Table_Prescript_Meas[Measure Description], 0)), "")</f>
        <v/>
      </c>
      <c r="D10" s="317"/>
      <c r="E10" s="318"/>
      <c r="F10" s="308" t="str">
        <f>IFERROR(INDEX(Table_Prescript_Meas[Units], MATCH(Table_PrescriptLights_Input[[#This Row],[Measure number]], Table_Prescript_Meas[Measure Number], 0)), "")</f>
        <v/>
      </c>
      <c r="G10" s="301"/>
      <c r="H10" s="256"/>
      <c r="I10" s="256"/>
      <c r="J10" s="256"/>
      <c r="K10" s="303"/>
      <c r="L10" s="303"/>
      <c r="M1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0" s="310" t="str">
        <f>IFERROR(Table_PrescriptLights_Input[[#This Row],[Per-unit incentive]]*Table_PrescriptLights_Input[[#This Row],[Number of units]],"")</f>
        <v/>
      </c>
      <c r="O10" s="311" t="str">
        <f>IF(OR(Table_PrescriptLights_Input[[#This Row],[HVAC measure]]=References!$G$4,Table_PrescriptLights_Input[[#This Row],[HVAC measure]]=References!$G$5),'HVAC Calcs'!$H7,IFERROR(Table_PrescriptLights_Input[[#This Row],[Number of units]]*INDEX(Table_Prescript_Meas[Deemed kWh Savings], MATCH(Table_PrescriptLights_Input[[#This Row],[Measure number]], Table_Prescript_Meas[Measure Number], 0)),"" ))</f>
        <v/>
      </c>
      <c r="P10" s="312" t="str">
        <f>IF(OR(Table_PrescriptLights_Input[[#This Row],[HVAC measure]]=References!$G$4,Table_PrescriptLights_Input[[#This Row],[HVAC measure]]=References!$G$5),'HVAC Calcs'!$I7,IFERROR(Table_PrescriptLights_Input[[#This Row],[Number of units]]*INDEX(Table_Prescript_Meas[Deemed kW Savings], MATCH(Table_PrescriptLights_Input[[#This Row],[Measure number]], Table_Prescript_Meas[Measure Number], 0)),"" ))</f>
        <v/>
      </c>
      <c r="Q10" s="310" t="str">
        <f>IFERROR(Table_PrescriptLights_Input[[#This Row],[Energy savings (kWh)]]*Input_AvgkWhRate, "")</f>
        <v/>
      </c>
      <c r="R10" s="310" t="str">
        <f>IF(Table_PrescriptLights_Input[[#This Row],[HVAC measure]]="", "",Table_PrescriptLights_Input[[#This Row],[Total equipment cost]]+Table_PrescriptLights_Input[[#This Row],[Total labor cost]])</f>
        <v/>
      </c>
      <c r="S10" s="310" t="str">
        <f>IFERROR(Table_PrescriptLights_Input[[#This Row],[Gross measure cost]]-Table_PrescriptLights_Input[[#This Row],[Estimated incentive]], "")</f>
        <v/>
      </c>
      <c r="T10" s="311" t="str">
        <f t="shared" si="0"/>
        <v/>
      </c>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row>
    <row r="11" spans="1:48" x14ac:dyDescent="0.2">
      <c r="A11" s="273"/>
      <c r="B11" s="307">
        <v>6</v>
      </c>
      <c r="C11" s="308" t="str">
        <f>IFERROR(INDEX(Table_Prescript_Meas[Measure Number], MATCH(E11, Table_Prescript_Meas[Measure Description], 0)), "")</f>
        <v/>
      </c>
      <c r="D11" s="317"/>
      <c r="E11" s="318"/>
      <c r="F11" s="308" t="str">
        <f>IFERROR(INDEX(Table_Prescript_Meas[Units], MATCH(Table_PrescriptLights_Input[[#This Row],[Measure number]], Table_Prescript_Meas[Measure Number], 0)), "")</f>
        <v/>
      </c>
      <c r="G11" s="301"/>
      <c r="H11" s="256"/>
      <c r="I11" s="256"/>
      <c r="J11" s="256"/>
      <c r="K11" s="303"/>
      <c r="L11" s="303"/>
      <c r="M1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1" s="310" t="str">
        <f>IFERROR(Table_PrescriptLights_Input[[#This Row],[Per-unit incentive]]*Table_PrescriptLights_Input[[#This Row],[Number of units]],"")</f>
        <v/>
      </c>
      <c r="O11" s="311" t="str">
        <f>IF(OR(Table_PrescriptLights_Input[[#This Row],[HVAC measure]]=References!$G$4,Table_PrescriptLights_Input[[#This Row],[HVAC measure]]=References!$G$5),'HVAC Calcs'!$H8,IFERROR(Table_PrescriptLights_Input[[#This Row],[Number of units]]*INDEX(Table_Prescript_Meas[Deemed kWh Savings], MATCH(Table_PrescriptLights_Input[[#This Row],[Measure number]], Table_Prescript_Meas[Measure Number], 0)),"" ))</f>
        <v/>
      </c>
      <c r="P11" s="312" t="str">
        <f>IF(OR(Table_PrescriptLights_Input[[#This Row],[HVAC measure]]=References!$G$4,Table_PrescriptLights_Input[[#This Row],[HVAC measure]]=References!$G$5),'HVAC Calcs'!$I8,IFERROR(Table_PrescriptLights_Input[[#This Row],[Number of units]]*INDEX(Table_Prescript_Meas[Deemed kW Savings], MATCH(Table_PrescriptLights_Input[[#This Row],[Measure number]], Table_Prescript_Meas[Measure Number], 0)),"" ))</f>
        <v/>
      </c>
      <c r="Q11" s="310" t="str">
        <f>IFERROR(Table_PrescriptLights_Input[[#This Row],[Energy savings (kWh)]]*Input_AvgkWhRate, "")</f>
        <v/>
      </c>
      <c r="R11" s="310" t="str">
        <f>IF(Table_PrescriptLights_Input[[#This Row],[HVAC measure]]="", "",Table_PrescriptLights_Input[[#This Row],[Total equipment cost]]+Table_PrescriptLights_Input[[#This Row],[Total labor cost]])</f>
        <v/>
      </c>
      <c r="S11" s="310" t="str">
        <f>IFERROR(Table_PrescriptLights_Input[[#This Row],[Gross measure cost]]-Table_PrescriptLights_Input[[#This Row],[Estimated incentive]], "")</f>
        <v/>
      </c>
      <c r="T11" s="311" t="str">
        <f t="shared" si="0"/>
        <v/>
      </c>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row>
    <row r="12" spans="1:48" x14ac:dyDescent="0.2">
      <c r="A12" s="273"/>
      <c r="B12" s="307">
        <v>7</v>
      </c>
      <c r="C12" s="308" t="str">
        <f>IFERROR(INDEX(Table_Prescript_Meas[Measure Number], MATCH(E12, Table_Prescript_Meas[Measure Description], 0)), "")</f>
        <v/>
      </c>
      <c r="D12" s="317"/>
      <c r="E12" s="318"/>
      <c r="F12" s="308" t="str">
        <f>IFERROR(INDEX(Table_Prescript_Meas[Units], MATCH(Table_PrescriptLights_Input[[#This Row],[Measure number]], Table_Prescript_Meas[Measure Number], 0)), "")</f>
        <v/>
      </c>
      <c r="G12" s="301"/>
      <c r="H12" s="256"/>
      <c r="I12" s="256"/>
      <c r="J12" s="256"/>
      <c r="K12" s="303"/>
      <c r="L12" s="303"/>
      <c r="M1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2" s="310" t="str">
        <f>IFERROR(Table_PrescriptLights_Input[[#This Row],[Per-unit incentive]]*Table_PrescriptLights_Input[[#This Row],[Number of units]],"")</f>
        <v/>
      </c>
      <c r="O12" s="311" t="str">
        <f>IF(OR(Table_PrescriptLights_Input[[#This Row],[HVAC measure]]=References!$G$4,Table_PrescriptLights_Input[[#This Row],[HVAC measure]]=References!$G$5),'HVAC Calcs'!$H9,IFERROR(Table_PrescriptLights_Input[[#This Row],[Number of units]]*INDEX(Table_Prescript_Meas[Deemed kWh Savings], MATCH(Table_PrescriptLights_Input[[#This Row],[Measure number]], Table_Prescript_Meas[Measure Number], 0)),"" ))</f>
        <v/>
      </c>
      <c r="P12" s="312" t="str">
        <f>IF(OR(Table_PrescriptLights_Input[[#This Row],[HVAC measure]]=References!$G$4,Table_PrescriptLights_Input[[#This Row],[HVAC measure]]=References!$G$5),'HVAC Calcs'!$I9,IFERROR(Table_PrescriptLights_Input[[#This Row],[Number of units]]*INDEX(Table_Prescript_Meas[Deemed kW Savings], MATCH(Table_PrescriptLights_Input[[#This Row],[Measure number]], Table_Prescript_Meas[Measure Number], 0)),"" ))</f>
        <v/>
      </c>
      <c r="Q12" s="310" t="str">
        <f>IFERROR(Table_PrescriptLights_Input[[#This Row],[Energy savings (kWh)]]*Input_AvgkWhRate, "")</f>
        <v/>
      </c>
      <c r="R12" s="310" t="str">
        <f>IF(Table_PrescriptLights_Input[[#This Row],[HVAC measure]]="", "",Table_PrescriptLights_Input[[#This Row],[Total equipment cost]]+Table_PrescriptLights_Input[[#This Row],[Total labor cost]])</f>
        <v/>
      </c>
      <c r="S12" s="310" t="str">
        <f>IFERROR(Table_PrescriptLights_Input[[#This Row],[Gross measure cost]]-Table_PrescriptLights_Input[[#This Row],[Estimated incentive]], "")</f>
        <v/>
      </c>
      <c r="T12" s="311" t="str">
        <f t="shared" si="0"/>
        <v/>
      </c>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row>
    <row r="13" spans="1:48" x14ac:dyDescent="0.2">
      <c r="A13" s="273"/>
      <c r="B13" s="307">
        <v>8</v>
      </c>
      <c r="C13" s="308" t="str">
        <f>IFERROR(INDEX(Table_Prescript_Meas[Measure Number], MATCH(E13, Table_Prescript_Meas[Measure Description], 0)), "")</f>
        <v/>
      </c>
      <c r="D13" s="317"/>
      <c r="E13" s="318"/>
      <c r="F13" s="308" t="str">
        <f>IFERROR(INDEX(Table_Prescript_Meas[Units], MATCH(Table_PrescriptLights_Input[[#This Row],[Measure number]], Table_Prescript_Meas[Measure Number], 0)), "")</f>
        <v/>
      </c>
      <c r="G13" s="301"/>
      <c r="H13" s="256"/>
      <c r="I13" s="256"/>
      <c r="J13" s="256"/>
      <c r="K13" s="303"/>
      <c r="L13" s="303"/>
      <c r="M1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3" s="310" t="str">
        <f>IFERROR(Table_PrescriptLights_Input[[#This Row],[Per-unit incentive]]*Table_PrescriptLights_Input[[#This Row],[Number of units]],"")</f>
        <v/>
      </c>
      <c r="O13" s="311" t="str">
        <f>IF(OR(Table_PrescriptLights_Input[[#This Row],[HVAC measure]]=References!$G$4,Table_PrescriptLights_Input[[#This Row],[HVAC measure]]=References!$G$5),'HVAC Calcs'!$H10,IFERROR(Table_PrescriptLights_Input[[#This Row],[Number of units]]*INDEX(Table_Prescript_Meas[Deemed kWh Savings], MATCH(Table_PrescriptLights_Input[[#This Row],[Measure number]], Table_Prescript_Meas[Measure Number], 0)),"" ))</f>
        <v/>
      </c>
      <c r="P13" s="312" t="str">
        <f>IF(OR(Table_PrescriptLights_Input[[#This Row],[HVAC measure]]=References!$G$4,Table_PrescriptLights_Input[[#This Row],[HVAC measure]]=References!$G$5),'HVAC Calcs'!$I10,IFERROR(Table_PrescriptLights_Input[[#This Row],[Number of units]]*INDEX(Table_Prescript_Meas[Deemed kW Savings], MATCH(Table_PrescriptLights_Input[[#This Row],[Measure number]], Table_Prescript_Meas[Measure Number], 0)),"" ))</f>
        <v/>
      </c>
      <c r="Q13" s="310" t="str">
        <f>IFERROR(Table_PrescriptLights_Input[[#This Row],[Energy savings (kWh)]]*Input_AvgkWhRate, "")</f>
        <v/>
      </c>
      <c r="R13" s="310" t="str">
        <f>IF(Table_PrescriptLights_Input[[#This Row],[HVAC measure]]="", "",Table_PrescriptLights_Input[[#This Row],[Total equipment cost]]+Table_PrescriptLights_Input[[#This Row],[Total labor cost]])</f>
        <v/>
      </c>
      <c r="S13" s="310" t="str">
        <f>IFERROR(Table_PrescriptLights_Input[[#This Row],[Gross measure cost]]-Table_PrescriptLights_Input[[#This Row],[Estimated incentive]], "")</f>
        <v/>
      </c>
      <c r="T13" s="311" t="str">
        <f t="shared" si="0"/>
        <v/>
      </c>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row>
    <row r="14" spans="1:48" x14ac:dyDescent="0.2">
      <c r="A14" s="273"/>
      <c r="B14" s="307">
        <v>9</v>
      </c>
      <c r="C14" s="308" t="str">
        <f>IFERROR(INDEX(Table_Prescript_Meas[Measure Number], MATCH(E14, Table_Prescript_Meas[Measure Description], 0)), "")</f>
        <v/>
      </c>
      <c r="D14" s="317"/>
      <c r="E14" s="318"/>
      <c r="F14" s="308" t="str">
        <f>IFERROR(INDEX(Table_Prescript_Meas[Units], MATCH(Table_PrescriptLights_Input[[#This Row],[Measure number]], Table_Prescript_Meas[Measure Number], 0)), "")</f>
        <v/>
      </c>
      <c r="G14" s="301"/>
      <c r="H14" s="256"/>
      <c r="I14" s="256"/>
      <c r="J14" s="256"/>
      <c r="K14" s="303"/>
      <c r="L14" s="303"/>
      <c r="M1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4" s="310" t="str">
        <f>IFERROR(Table_PrescriptLights_Input[[#This Row],[Per-unit incentive]]*Table_PrescriptLights_Input[[#This Row],[Number of units]],"")</f>
        <v/>
      </c>
      <c r="O14" s="311" t="str">
        <f>IF(OR(Table_PrescriptLights_Input[[#This Row],[HVAC measure]]=References!$G$4,Table_PrescriptLights_Input[[#This Row],[HVAC measure]]=References!$G$5),'HVAC Calcs'!$H11,IFERROR(Table_PrescriptLights_Input[[#This Row],[Number of units]]*INDEX(Table_Prescript_Meas[Deemed kWh Savings], MATCH(Table_PrescriptLights_Input[[#This Row],[Measure number]], Table_Prescript_Meas[Measure Number], 0)),"" ))</f>
        <v/>
      </c>
      <c r="P14" s="312" t="str">
        <f>IF(OR(Table_PrescriptLights_Input[[#This Row],[HVAC measure]]=References!$G$4,Table_PrescriptLights_Input[[#This Row],[HVAC measure]]=References!$G$5),'HVAC Calcs'!$I11,IFERROR(Table_PrescriptLights_Input[[#This Row],[Number of units]]*INDEX(Table_Prescript_Meas[Deemed kW Savings], MATCH(Table_PrescriptLights_Input[[#This Row],[Measure number]], Table_Prescript_Meas[Measure Number], 0)),"" ))</f>
        <v/>
      </c>
      <c r="Q14" s="310" t="str">
        <f>IFERROR(Table_PrescriptLights_Input[[#This Row],[Energy savings (kWh)]]*Input_AvgkWhRate, "")</f>
        <v/>
      </c>
      <c r="R14" s="310" t="str">
        <f>IF(Table_PrescriptLights_Input[[#This Row],[HVAC measure]]="", "",Table_PrescriptLights_Input[[#This Row],[Total equipment cost]]+Table_PrescriptLights_Input[[#This Row],[Total labor cost]])</f>
        <v/>
      </c>
      <c r="S14" s="310" t="str">
        <f>IFERROR(Table_PrescriptLights_Input[[#This Row],[Gross measure cost]]-Table_PrescriptLights_Input[[#This Row],[Estimated incentive]], "")</f>
        <v/>
      </c>
      <c r="T14" s="311" t="str">
        <f t="shared" si="0"/>
        <v/>
      </c>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row>
    <row r="15" spans="1:48" x14ac:dyDescent="0.2">
      <c r="A15" s="273"/>
      <c r="B15" s="307">
        <v>10</v>
      </c>
      <c r="C15" s="308" t="str">
        <f>IFERROR(INDEX(Table_Prescript_Meas[Measure Number], MATCH(E15, Table_Prescript_Meas[Measure Description], 0)), "")</f>
        <v/>
      </c>
      <c r="D15" s="317"/>
      <c r="E15" s="318"/>
      <c r="F15" s="308" t="str">
        <f>IFERROR(INDEX(Table_Prescript_Meas[Units], MATCH(Table_PrescriptLights_Input[[#This Row],[Measure number]], Table_Prescript_Meas[Measure Number], 0)), "")</f>
        <v/>
      </c>
      <c r="G15" s="301"/>
      <c r="H15" s="256"/>
      <c r="I15" s="256"/>
      <c r="J15" s="256"/>
      <c r="K15" s="303"/>
      <c r="L15" s="303"/>
      <c r="M1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5" s="310" t="str">
        <f>IFERROR(Table_PrescriptLights_Input[[#This Row],[Per-unit incentive]]*Table_PrescriptLights_Input[[#This Row],[Number of units]],"")</f>
        <v/>
      </c>
      <c r="O15" s="311" t="str">
        <f>IF(OR(Table_PrescriptLights_Input[[#This Row],[HVAC measure]]=References!$G$4,Table_PrescriptLights_Input[[#This Row],[HVAC measure]]=References!$G$5),'HVAC Calcs'!$H12,IFERROR(Table_PrescriptLights_Input[[#This Row],[Number of units]]*INDEX(Table_Prescript_Meas[Deemed kWh Savings], MATCH(Table_PrescriptLights_Input[[#This Row],[Measure number]], Table_Prescript_Meas[Measure Number], 0)),"" ))</f>
        <v/>
      </c>
      <c r="P15" s="312" t="str">
        <f>IF(OR(Table_PrescriptLights_Input[[#This Row],[HVAC measure]]=References!$G$4,Table_PrescriptLights_Input[[#This Row],[HVAC measure]]=References!$G$5),'HVAC Calcs'!$I12,IFERROR(Table_PrescriptLights_Input[[#This Row],[Number of units]]*INDEX(Table_Prescript_Meas[Deemed kW Savings], MATCH(Table_PrescriptLights_Input[[#This Row],[Measure number]], Table_Prescript_Meas[Measure Number], 0)),"" ))</f>
        <v/>
      </c>
      <c r="Q15" s="310" t="str">
        <f>IFERROR(Table_PrescriptLights_Input[[#This Row],[Energy savings (kWh)]]*Input_AvgkWhRate, "")</f>
        <v/>
      </c>
      <c r="R15" s="310" t="str">
        <f>IF(Table_PrescriptLights_Input[[#This Row],[HVAC measure]]="", "",Table_PrescriptLights_Input[[#This Row],[Total equipment cost]]+Table_PrescriptLights_Input[[#This Row],[Total labor cost]])</f>
        <v/>
      </c>
      <c r="S15" s="310" t="str">
        <f>IFERROR(Table_PrescriptLights_Input[[#This Row],[Gross measure cost]]-Table_PrescriptLights_Input[[#This Row],[Estimated incentive]], "")</f>
        <v/>
      </c>
      <c r="T15" s="311" t="str">
        <f t="shared" si="0"/>
        <v/>
      </c>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row>
    <row r="16" spans="1:48" x14ac:dyDescent="0.2">
      <c r="A16" s="273"/>
      <c r="B16" s="307">
        <v>11</v>
      </c>
      <c r="C16" s="308" t="str">
        <f>IFERROR(INDEX(Table_Prescript_Meas[Measure Number], MATCH(E16, Table_Prescript_Meas[Measure Description], 0)), "")</f>
        <v/>
      </c>
      <c r="D16" s="317"/>
      <c r="E16" s="318"/>
      <c r="F16" s="308" t="str">
        <f>IFERROR(INDEX(Table_Prescript_Meas[Units], MATCH(Table_PrescriptLights_Input[[#This Row],[Measure number]], Table_Prescript_Meas[Measure Number], 0)), "")</f>
        <v/>
      </c>
      <c r="G16" s="301"/>
      <c r="H16" s="256"/>
      <c r="I16" s="256"/>
      <c r="J16" s="256"/>
      <c r="K16" s="303"/>
      <c r="L16" s="303"/>
      <c r="M1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6" s="310" t="str">
        <f>IFERROR(Table_PrescriptLights_Input[[#This Row],[Per-unit incentive]]*Table_PrescriptLights_Input[[#This Row],[Number of units]],"")</f>
        <v/>
      </c>
      <c r="O16" s="311" t="str">
        <f>IF(OR(Table_PrescriptLights_Input[[#This Row],[HVAC measure]]=References!$G$4,Table_PrescriptLights_Input[[#This Row],[HVAC measure]]=References!$G$5),'HVAC Calcs'!$H13,IFERROR(Table_PrescriptLights_Input[[#This Row],[Number of units]]*INDEX(Table_Prescript_Meas[Deemed kWh Savings], MATCH(Table_PrescriptLights_Input[[#This Row],[Measure number]], Table_Prescript_Meas[Measure Number], 0)),"" ))</f>
        <v/>
      </c>
      <c r="P16" s="312" t="str">
        <f>IF(OR(Table_PrescriptLights_Input[[#This Row],[HVAC measure]]=References!$G$4,Table_PrescriptLights_Input[[#This Row],[HVAC measure]]=References!$G$5),'HVAC Calcs'!$I13,IFERROR(Table_PrescriptLights_Input[[#This Row],[Number of units]]*INDEX(Table_Prescript_Meas[Deemed kW Savings], MATCH(Table_PrescriptLights_Input[[#This Row],[Measure number]], Table_Prescript_Meas[Measure Number], 0)),"" ))</f>
        <v/>
      </c>
      <c r="Q16" s="310" t="str">
        <f>IFERROR(Table_PrescriptLights_Input[[#This Row],[Energy savings (kWh)]]*Input_AvgkWhRate, "")</f>
        <v/>
      </c>
      <c r="R16" s="310" t="str">
        <f>IF(Table_PrescriptLights_Input[[#This Row],[HVAC measure]]="", "",Table_PrescriptLights_Input[[#This Row],[Total equipment cost]]+Table_PrescriptLights_Input[[#This Row],[Total labor cost]])</f>
        <v/>
      </c>
      <c r="S16" s="310" t="str">
        <f>IFERROR(Table_PrescriptLights_Input[[#This Row],[Gross measure cost]]-Table_PrescriptLights_Input[[#This Row],[Estimated incentive]], "")</f>
        <v/>
      </c>
      <c r="T16" s="311" t="str">
        <f t="shared" si="0"/>
        <v/>
      </c>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row>
    <row r="17" spans="1:48" x14ac:dyDescent="0.2">
      <c r="A17" s="273"/>
      <c r="B17" s="307">
        <v>12</v>
      </c>
      <c r="C17" s="308" t="str">
        <f>IFERROR(INDEX(Table_Prescript_Meas[Measure Number], MATCH(E17, Table_Prescript_Meas[Measure Description], 0)), "")</f>
        <v/>
      </c>
      <c r="D17" s="317"/>
      <c r="E17" s="318"/>
      <c r="F17" s="308" t="str">
        <f>IFERROR(INDEX(Table_Prescript_Meas[Units], MATCH(Table_PrescriptLights_Input[[#This Row],[Measure number]], Table_Prescript_Meas[Measure Number], 0)), "")</f>
        <v/>
      </c>
      <c r="G17" s="301"/>
      <c r="H17" s="256"/>
      <c r="I17" s="256"/>
      <c r="J17" s="256"/>
      <c r="K17" s="303"/>
      <c r="L17" s="303"/>
      <c r="M1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7" s="310" t="str">
        <f>IFERROR(Table_PrescriptLights_Input[[#This Row],[Per-unit incentive]]*Table_PrescriptLights_Input[[#This Row],[Number of units]],"")</f>
        <v/>
      </c>
      <c r="O17" s="311" t="str">
        <f>IF(OR(Table_PrescriptLights_Input[[#This Row],[HVAC measure]]=References!$G$4,Table_PrescriptLights_Input[[#This Row],[HVAC measure]]=References!$G$5),'HVAC Calcs'!$H14,IFERROR(Table_PrescriptLights_Input[[#This Row],[Number of units]]*INDEX(Table_Prescript_Meas[Deemed kWh Savings], MATCH(Table_PrescriptLights_Input[[#This Row],[Measure number]], Table_Prescript_Meas[Measure Number], 0)),"" ))</f>
        <v/>
      </c>
      <c r="P17" s="312" t="str">
        <f>IF(OR(Table_PrescriptLights_Input[[#This Row],[HVAC measure]]=References!$G$4,Table_PrescriptLights_Input[[#This Row],[HVAC measure]]=References!$G$5),'HVAC Calcs'!$I14,IFERROR(Table_PrescriptLights_Input[[#This Row],[Number of units]]*INDEX(Table_Prescript_Meas[Deemed kW Savings], MATCH(Table_PrescriptLights_Input[[#This Row],[Measure number]], Table_Prescript_Meas[Measure Number], 0)),"" ))</f>
        <v/>
      </c>
      <c r="Q17" s="310" t="str">
        <f>IFERROR(Table_PrescriptLights_Input[[#This Row],[Energy savings (kWh)]]*Input_AvgkWhRate, "")</f>
        <v/>
      </c>
      <c r="R17" s="310" t="str">
        <f>IF(Table_PrescriptLights_Input[[#This Row],[HVAC measure]]="", "",Table_PrescriptLights_Input[[#This Row],[Total equipment cost]]+Table_PrescriptLights_Input[[#This Row],[Total labor cost]])</f>
        <v/>
      </c>
      <c r="S17" s="310" t="str">
        <f>IFERROR(Table_PrescriptLights_Input[[#This Row],[Gross measure cost]]-Table_PrescriptLights_Input[[#This Row],[Estimated incentive]], "")</f>
        <v/>
      </c>
      <c r="T17" s="311" t="str">
        <f t="shared" si="0"/>
        <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row>
    <row r="18" spans="1:48" x14ac:dyDescent="0.2">
      <c r="A18" s="273"/>
      <c r="B18" s="307">
        <v>13</v>
      </c>
      <c r="C18" s="308" t="str">
        <f>IFERROR(INDEX(Table_Prescript_Meas[Measure Number], MATCH(E18, Table_Prescript_Meas[Measure Description], 0)), "")</f>
        <v/>
      </c>
      <c r="D18" s="317"/>
      <c r="E18" s="318"/>
      <c r="F18" s="308" t="str">
        <f>IFERROR(INDEX(Table_Prescript_Meas[Units], MATCH(Table_PrescriptLights_Input[[#This Row],[Measure number]], Table_Prescript_Meas[Measure Number], 0)), "")</f>
        <v/>
      </c>
      <c r="G18" s="301"/>
      <c r="H18" s="256"/>
      <c r="I18" s="256"/>
      <c r="J18" s="256"/>
      <c r="K18" s="303"/>
      <c r="L18" s="303"/>
      <c r="M1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8" s="310" t="str">
        <f>IFERROR(Table_PrescriptLights_Input[[#This Row],[Per-unit incentive]]*Table_PrescriptLights_Input[[#This Row],[Number of units]],"")</f>
        <v/>
      </c>
      <c r="O18" s="311" t="str">
        <f>IF(OR(Table_PrescriptLights_Input[[#This Row],[HVAC measure]]=References!$G$4,Table_PrescriptLights_Input[[#This Row],[HVAC measure]]=References!$G$5),'HVAC Calcs'!$H15,IFERROR(Table_PrescriptLights_Input[[#This Row],[Number of units]]*INDEX(Table_Prescript_Meas[Deemed kWh Savings], MATCH(Table_PrescriptLights_Input[[#This Row],[Measure number]], Table_Prescript_Meas[Measure Number], 0)),"" ))</f>
        <v/>
      </c>
      <c r="P18" s="312" t="str">
        <f>IF(OR(Table_PrescriptLights_Input[[#This Row],[HVAC measure]]=References!$G$4,Table_PrescriptLights_Input[[#This Row],[HVAC measure]]=References!$G$5),'HVAC Calcs'!$I15,IFERROR(Table_PrescriptLights_Input[[#This Row],[Number of units]]*INDEX(Table_Prescript_Meas[Deemed kW Savings], MATCH(Table_PrescriptLights_Input[[#This Row],[Measure number]], Table_Prescript_Meas[Measure Number], 0)),"" ))</f>
        <v/>
      </c>
      <c r="Q18" s="310" t="str">
        <f>IFERROR(Table_PrescriptLights_Input[[#This Row],[Energy savings (kWh)]]*Input_AvgkWhRate, "")</f>
        <v/>
      </c>
      <c r="R18" s="310" t="str">
        <f>IF(Table_PrescriptLights_Input[[#This Row],[HVAC measure]]="", "",Table_PrescriptLights_Input[[#This Row],[Total equipment cost]]+Table_PrescriptLights_Input[[#This Row],[Total labor cost]])</f>
        <v/>
      </c>
      <c r="S18" s="310" t="str">
        <f>IFERROR(Table_PrescriptLights_Input[[#This Row],[Gross measure cost]]-Table_PrescriptLights_Input[[#This Row],[Estimated incentive]], "")</f>
        <v/>
      </c>
      <c r="T18" s="311" t="str">
        <f t="shared" si="0"/>
        <v/>
      </c>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row>
    <row r="19" spans="1:48" x14ac:dyDescent="0.2">
      <c r="A19" s="273"/>
      <c r="B19" s="307">
        <v>14</v>
      </c>
      <c r="C19" s="308" t="str">
        <f>IFERROR(INDEX(Table_Prescript_Meas[Measure Number], MATCH(E19, Table_Prescript_Meas[Measure Description], 0)), "")</f>
        <v/>
      </c>
      <c r="D19" s="317"/>
      <c r="E19" s="318"/>
      <c r="F19" s="308" t="str">
        <f>IFERROR(INDEX(Table_Prescript_Meas[Units], MATCH(Table_PrescriptLights_Input[[#This Row],[Measure number]], Table_Prescript_Meas[Measure Number], 0)), "")</f>
        <v/>
      </c>
      <c r="G19" s="301"/>
      <c r="H19" s="256"/>
      <c r="I19" s="256"/>
      <c r="J19" s="256"/>
      <c r="K19" s="303"/>
      <c r="L19" s="303"/>
      <c r="M1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19" s="310" t="str">
        <f>IFERROR(Table_PrescriptLights_Input[[#This Row],[Per-unit incentive]]*Table_PrescriptLights_Input[[#This Row],[Number of units]],"")</f>
        <v/>
      </c>
      <c r="O19" s="311" t="str">
        <f>IF(OR(Table_PrescriptLights_Input[[#This Row],[HVAC measure]]=References!$G$4,Table_PrescriptLights_Input[[#This Row],[HVAC measure]]=References!$G$5),'HVAC Calcs'!$H16,IFERROR(Table_PrescriptLights_Input[[#This Row],[Number of units]]*INDEX(Table_Prescript_Meas[Deemed kWh Savings], MATCH(Table_PrescriptLights_Input[[#This Row],[Measure number]], Table_Prescript_Meas[Measure Number], 0)),"" ))</f>
        <v/>
      </c>
      <c r="P19" s="312" t="str">
        <f>IF(OR(Table_PrescriptLights_Input[[#This Row],[HVAC measure]]=References!$G$4,Table_PrescriptLights_Input[[#This Row],[HVAC measure]]=References!$G$5),'HVAC Calcs'!$I16,IFERROR(Table_PrescriptLights_Input[[#This Row],[Number of units]]*INDEX(Table_Prescript_Meas[Deemed kW Savings], MATCH(Table_PrescriptLights_Input[[#This Row],[Measure number]], Table_Prescript_Meas[Measure Number], 0)),"" ))</f>
        <v/>
      </c>
      <c r="Q19" s="310" t="str">
        <f>IFERROR(Table_PrescriptLights_Input[[#This Row],[Energy savings (kWh)]]*Input_AvgkWhRate, "")</f>
        <v/>
      </c>
      <c r="R19" s="310" t="str">
        <f>IF(Table_PrescriptLights_Input[[#This Row],[HVAC measure]]="", "",Table_PrescriptLights_Input[[#This Row],[Total equipment cost]]+Table_PrescriptLights_Input[[#This Row],[Total labor cost]])</f>
        <v/>
      </c>
      <c r="S19" s="310" t="str">
        <f>IFERROR(Table_PrescriptLights_Input[[#This Row],[Gross measure cost]]-Table_PrescriptLights_Input[[#This Row],[Estimated incentive]], "")</f>
        <v/>
      </c>
      <c r="T19" s="311" t="str">
        <f t="shared" si="0"/>
        <v/>
      </c>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row>
    <row r="20" spans="1:48" x14ac:dyDescent="0.2">
      <c r="A20" s="273"/>
      <c r="B20" s="307">
        <v>15</v>
      </c>
      <c r="C20" s="308" t="str">
        <f>IFERROR(INDEX(Table_Prescript_Meas[Measure Number], MATCH(E20, Table_Prescript_Meas[Measure Description], 0)), "")</f>
        <v/>
      </c>
      <c r="D20" s="317"/>
      <c r="E20" s="318"/>
      <c r="F20" s="308" t="str">
        <f>IFERROR(INDEX(Table_Prescript_Meas[Units], MATCH(Table_PrescriptLights_Input[[#This Row],[Measure number]], Table_Prescript_Meas[Measure Number], 0)), "")</f>
        <v/>
      </c>
      <c r="G20" s="301"/>
      <c r="H20" s="256"/>
      <c r="I20" s="256"/>
      <c r="J20" s="256"/>
      <c r="K20" s="303"/>
      <c r="L20" s="303"/>
      <c r="M2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0" s="310" t="str">
        <f>IFERROR(Table_PrescriptLights_Input[[#This Row],[Per-unit incentive]]*Table_PrescriptLights_Input[[#This Row],[Number of units]],"")</f>
        <v/>
      </c>
      <c r="O20" s="311" t="str">
        <f>IF(OR(Table_PrescriptLights_Input[[#This Row],[HVAC measure]]=References!$G$4,Table_PrescriptLights_Input[[#This Row],[HVAC measure]]=References!$G$5),'HVAC Calcs'!$H17,IFERROR(Table_PrescriptLights_Input[[#This Row],[Number of units]]*INDEX(Table_Prescript_Meas[Deemed kWh Savings], MATCH(Table_PrescriptLights_Input[[#This Row],[Measure number]], Table_Prescript_Meas[Measure Number], 0)),"" ))</f>
        <v/>
      </c>
      <c r="P20" s="312" t="str">
        <f>IF(OR(Table_PrescriptLights_Input[[#This Row],[HVAC measure]]=References!$G$4,Table_PrescriptLights_Input[[#This Row],[HVAC measure]]=References!$G$5),'HVAC Calcs'!$I17,IFERROR(Table_PrescriptLights_Input[[#This Row],[Number of units]]*INDEX(Table_Prescript_Meas[Deemed kW Savings], MATCH(Table_PrescriptLights_Input[[#This Row],[Measure number]], Table_Prescript_Meas[Measure Number], 0)),"" ))</f>
        <v/>
      </c>
      <c r="Q20" s="310" t="str">
        <f>IFERROR(Table_PrescriptLights_Input[[#This Row],[Energy savings (kWh)]]*Input_AvgkWhRate, "")</f>
        <v/>
      </c>
      <c r="R20" s="310" t="str">
        <f>IF(Table_PrescriptLights_Input[[#This Row],[HVAC measure]]="", "",Table_PrescriptLights_Input[[#This Row],[Total equipment cost]]+Table_PrescriptLights_Input[[#This Row],[Total labor cost]])</f>
        <v/>
      </c>
      <c r="S20" s="310" t="str">
        <f>IFERROR(Table_PrescriptLights_Input[[#This Row],[Gross measure cost]]-Table_PrescriptLights_Input[[#This Row],[Estimated incentive]], "")</f>
        <v/>
      </c>
      <c r="T20" s="311" t="str">
        <f t="shared" si="0"/>
        <v/>
      </c>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row>
    <row r="21" spans="1:48" x14ac:dyDescent="0.2">
      <c r="A21" s="273"/>
      <c r="B21" s="307">
        <v>16</v>
      </c>
      <c r="C21" s="308" t="str">
        <f>IFERROR(INDEX(Table_Prescript_Meas[Measure Number], MATCH(E21, Table_Prescript_Meas[Measure Description], 0)), "")</f>
        <v/>
      </c>
      <c r="D21" s="317"/>
      <c r="E21" s="318"/>
      <c r="F21" s="308" t="str">
        <f>IFERROR(INDEX(Table_Prescript_Meas[Units], MATCH(Table_PrescriptLights_Input[[#This Row],[Measure number]], Table_Prescript_Meas[Measure Number], 0)), "")</f>
        <v/>
      </c>
      <c r="G21" s="301"/>
      <c r="H21" s="256"/>
      <c r="I21" s="256"/>
      <c r="J21" s="256"/>
      <c r="K21" s="303"/>
      <c r="L21" s="303"/>
      <c r="M2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1" s="310" t="str">
        <f>IFERROR(Table_PrescriptLights_Input[[#This Row],[Per-unit incentive]]*Table_PrescriptLights_Input[[#This Row],[Number of units]],"")</f>
        <v/>
      </c>
      <c r="O21" s="311" t="str">
        <f>IF(OR(Table_PrescriptLights_Input[[#This Row],[HVAC measure]]=References!$G$4,Table_PrescriptLights_Input[[#This Row],[HVAC measure]]=References!$G$5),'HVAC Calcs'!$H18,IFERROR(Table_PrescriptLights_Input[[#This Row],[Number of units]]*INDEX(Table_Prescript_Meas[Deemed kWh Savings], MATCH(Table_PrescriptLights_Input[[#This Row],[Measure number]], Table_Prescript_Meas[Measure Number], 0)),"" ))</f>
        <v/>
      </c>
      <c r="P21" s="312" t="str">
        <f>IF(OR(Table_PrescriptLights_Input[[#This Row],[HVAC measure]]=References!$G$4,Table_PrescriptLights_Input[[#This Row],[HVAC measure]]=References!$G$5),'HVAC Calcs'!$I18,IFERROR(Table_PrescriptLights_Input[[#This Row],[Number of units]]*INDEX(Table_Prescript_Meas[Deemed kW Savings], MATCH(Table_PrescriptLights_Input[[#This Row],[Measure number]], Table_Prescript_Meas[Measure Number], 0)),"" ))</f>
        <v/>
      </c>
      <c r="Q21" s="310" t="str">
        <f>IFERROR(Table_PrescriptLights_Input[[#This Row],[Energy savings (kWh)]]*Input_AvgkWhRate, "")</f>
        <v/>
      </c>
      <c r="R21" s="310" t="str">
        <f>IF(Table_PrescriptLights_Input[[#This Row],[HVAC measure]]="", "",Table_PrescriptLights_Input[[#This Row],[Total equipment cost]]+Table_PrescriptLights_Input[[#This Row],[Total labor cost]])</f>
        <v/>
      </c>
      <c r="S21" s="310" t="str">
        <f>IFERROR(Table_PrescriptLights_Input[[#This Row],[Gross measure cost]]-Table_PrescriptLights_Input[[#This Row],[Estimated incentive]], "")</f>
        <v/>
      </c>
      <c r="T21" s="311" t="str">
        <f t="shared" si="0"/>
        <v/>
      </c>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row>
    <row r="22" spans="1:48" x14ac:dyDescent="0.2">
      <c r="A22" s="273"/>
      <c r="B22" s="307">
        <v>17</v>
      </c>
      <c r="C22" s="308" t="str">
        <f>IFERROR(INDEX(Table_Prescript_Meas[Measure Number], MATCH(E22, Table_Prescript_Meas[Measure Description], 0)), "")</f>
        <v/>
      </c>
      <c r="D22" s="317"/>
      <c r="E22" s="318"/>
      <c r="F22" s="308" t="str">
        <f>IFERROR(INDEX(Table_Prescript_Meas[Units], MATCH(Table_PrescriptLights_Input[[#This Row],[Measure number]], Table_Prescript_Meas[Measure Number], 0)), "")</f>
        <v/>
      </c>
      <c r="G22" s="301"/>
      <c r="H22" s="256"/>
      <c r="I22" s="256"/>
      <c r="J22" s="256"/>
      <c r="K22" s="303"/>
      <c r="L22" s="303"/>
      <c r="M2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2" s="310" t="str">
        <f>IFERROR(Table_PrescriptLights_Input[[#This Row],[Per-unit incentive]]*Table_PrescriptLights_Input[[#This Row],[Number of units]],"")</f>
        <v/>
      </c>
      <c r="O22" s="311" t="str">
        <f>IF(OR(Table_PrescriptLights_Input[[#This Row],[HVAC measure]]=References!$G$4,Table_PrescriptLights_Input[[#This Row],[HVAC measure]]=References!$G$5),'HVAC Calcs'!$H19,IFERROR(Table_PrescriptLights_Input[[#This Row],[Number of units]]*INDEX(Table_Prescript_Meas[Deemed kWh Savings], MATCH(Table_PrescriptLights_Input[[#This Row],[Measure number]], Table_Prescript_Meas[Measure Number], 0)),"" ))</f>
        <v/>
      </c>
      <c r="P22" s="312" t="str">
        <f>IF(OR(Table_PrescriptLights_Input[[#This Row],[HVAC measure]]=References!$G$4,Table_PrescriptLights_Input[[#This Row],[HVAC measure]]=References!$G$5),'HVAC Calcs'!$I19,IFERROR(Table_PrescriptLights_Input[[#This Row],[Number of units]]*INDEX(Table_Prescript_Meas[Deemed kW Savings], MATCH(Table_PrescriptLights_Input[[#This Row],[Measure number]], Table_Prescript_Meas[Measure Number], 0)),"" ))</f>
        <v/>
      </c>
      <c r="Q22" s="310" t="str">
        <f>IFERROR(Table_PrescriptLights_Input[[#This Row],[Energy savings (kWh)]]*Input_AvgkWhRate, "")</f>
        <v/>
      </c>
      <c r="R22" s="310" t="str">
        <f>IF(Table_PrescriptLights_Input[[#This Row],[HVAC measure]]="", "",Table_PrescriptLights_Input[[#This Row],[Total equipment cost]]+Table_PrescriptLights_Input[[#This Row],[Total labor cost]])</f>
        <v/>
      </c>
      <c r="S22" s="310" t="str">
        <f>IFERROR(Table_PrescriptLights_Input[[#This Row],[Gross measure cost]]-Table_PrescriptLights_Input[[#This Row],[Estimated incentive]], "")</f>
        <v/>
      </c>
      <c r="T22" s="311" t="str">
        <f t="shared" si="0"/>
        <v/>
      </c>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row>
    <row r="23" spans="1:48" x14ac:dyDescent="0.2">
      <c r="A23" s="273"/>
      <c r="B23" s="307">
        <v>18</v>
      </c>
      <c r="C23" s="308" t="str">
        <f>IFERROR(INDEX(Table_Prescript_Meas[Measure Number], MATCH(E23, Table_Prescript_Meas[Measure Description], 0)), "")</f>
        <v/>
      </c>
      <c r="D23" s="317"/>
      <c r="E23" s="318"/>
      <c r="F23" s="308" t="str">
        <f>IFERROR(INDEX(Table_Prescript_Meas[Units], MATCH(Table_PrescriptLights_Input[[#This Row],[Measure number]], Table_Prescript_Meas[Measure Number], 0)), "")</f>
        <v/>
      </c>
      <c r="G23" s="301"/>
      <c r="H23" s="256"/>
      <c r="I23" s="256"/>
      <c r="J23" s="256"/>
      <c r="K23" s="303"/>
      <c r="L23" s="303"/>
      <c r="M2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3" s="310" t="str">
        <f>IFERROR(Table_PrescriptLights_Input[[#This Row],[Per-unit incentive]]*Table_PrescriptLights_Input[[#This Row],[Number of units]],"")</f>
        <v/>
      </c>
      <c r="O23" s="311" t="str">
        <f>IF(OR(Table_PrescriptLights_Input[[#This Row],[HVAC measure]]=References!$G$4,Table_PrescriptLights_Input[[#This Row],[HVAC measure]]=References!$G$5),'HVAC Calcs'!$H20,IFERROR(Table_PrescriptLights_Input[[#This Row],[Number of units]]*INDEX(Table_Prescript_Meas[Deemed kWh Savings], MATCH(Table_PrescriptLights_Input[[#This Row],[Measure number]], Table_Prescript_Meas[Measure Number], 0)),"" ))</f>
        <v/>
      </c>
      <c r="P23" s="312" t="str">
        <f>IF(OR(Table_PrescriptLights_Input[[#This Row],[HVAC measure]]=References!$G$4,Table_PrescriptLights_Input[[#This Row],[HVAC measure]]=References!$G$5),'HVAC Calcs'!$I20,IFERROR(Table_PrescriptLights_Input[[#This Row],[Number of units]]*INDEX(Table_Prescript_Meas[Deemed kW Savings], MATCH(Table_PrescriptLights_Input[[#This Row],[Measure number]], Table_Prescript_Meas[Measure Number], 0)),"" ))</f>
        <v/>
      </c>
      <c r="Q23" s="310" t="str">
        <f>IFERROR(Table_PrescriptLights_Input[[#This Row],[Energy savings (kWh)]]*Input_AvgkWhRate, "")</f>
        <v/>
      </c>
      <c r="R23" s="310" t="str">
        <f>IF(Table_PrescriptLights_Input[[#This Row],[HVAC measure]]="", "",Table_PrescriptLights_Input[[#This Row],[Total equipment cost]]+Table_PrescriptLights_Input[[#This Row],[Total labor cost]])</f>
        <v/>
      </c>
      <c r="S23" s="310" t="str">
        <f>IFERROR(Table_PrescriptLights_Input[[#This Row],[Gross measure cost]]-Table_PrescriptLights_Input[[#This Row],[Estimated incentive]], "")</f>
        <v/>
      </c>
      <c r="T23" s="311" t="str">
        <f t="shared" si="0"/>
        <v/>
      </c>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row>
    <row r="24" spans="1:48" x14ac:dyDescent="0.2">
      <c r="A24" s="273"/>
      <c r="B24" s="307">
        <v>19</v>
      </c>
      <c r="C24" s="308" t="str">
        <f>IFERROR(INDEX(Table_Prescript_Meas[Measure Number], MATCH(E24, Table_Prescript_Meas[Measure Description], 0)), "")</f>
        <v/>
      </c>
      <c r="D24" s="317"/>
      <c r="E24" s="318"/>
      <c r="F24" s="308" t="str">
        <f>IFERROR(INDEX(Table_Prescript_Meas[Units], MATCH(Table_PrescriptLights_Input[[#This Row],[Measure number]], Table_Prescript_Meas[Measure Number], 0)), "")</f>
        <v/>
      </c>
      <c r="G24" s="301"/>
      <c r="H24" s="256"/>
      <c r="I24" s="256"/>
      <c r="J24" s="256"/>
      <c r="K24" s="303"/>
      <c r="L24" s="303"/>
      <c r="M2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4" s="310" t="str">
        <f>IFERROR(Table_PrescriptLights_Input[[#This Row],[Per-unit incentive]]*Table_PrescriptLights_Input[[#This Row],[Number of units]],"")</f>
        <v/>
      </c>
      <c r="O24" s="311" t="str">
        <f>IF(OR(Table_PrescriptLights_Input[[#This Row],[HVAC measure]]=References!$G$4,Table_PrescriptLights_Input[[#This Row],[HVAC measure]]=References!$G$5),'HVAC Calcs'!$H21,IFERROR(Table_PrescriptLights_Input[[#This Row],[Number of units]]*INDEX(Table_Prescript_Meas[Deemed kWh Savings], MATCH(Table_PrescriptLights_Input[[#This Row],[Measure number]], Table_Prescript_Meas[Measure Number], 0)),"" ))</f>
        <v/>
      </c>
      <c r="P24" s="312" t="str">
        <f>IF(OR(Table_PrescriptLights_Input[[#This Row],[HVAC measure]]=References!$G$4,Table_PrescriptLights_Input[[#This Row],[HVAC measure]]=References!$G$5),'HVAC Calcs'!$I21,IFERROR(Table_PrescriptLights_Input[[#This Row],[Number of units]]*INDEX(Table_Prescript_Meas[Deemed kW Savings], MATCH(Table_PrescriptLights_Input[[#This Row],[Measure number]], Table_Prescript_Meas[Measure Number], 0)),"" ))</f>
        <v/>
      </c>
      <c r="Q24" s="310" t="str">
        <f>IFERROR(Table_PrescriptLights_Input[[#This Row],[Energy savings (kWh)]]*Input_AvgkWhRate, "")</f>
        <v/>
      </c>
      <c r="R24" s="310" t="str">
        <f>IF(Table_PrescriptLights_Input[[#This Row],[HVAC measure]]="", "",Table_PrescriptLights_Input[[#This Row],[Total equipment cost]]+Table_PrescriptLights_Input[[#This Row],[Total labor cost]])</f>
        <v/>
      </c>
      <c r="S24" s="310" t="str">
        <f>IFERROR(Table_PrescriptLights_Input[[#This Row],[Gross measure cost]]-Table_PrescriptLights_Input[[#This Row],[Estimated incentive]], "")</f>
        <v/>
      </c>
      <c r="T24" s="311" t="str">
        <f t="shared" si="0"/>
        <v/>
      </c>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row>
    <row r="25" spans="1:48" x14ac:dyDescent="0.2">
      <c r="A25" s="273"/>
      <c r="B25" s="307">
        <v>20</v>
      </c>
      <c r="C25" s="308" t="str">
        <f>IFERROR(INDEX(Table_Prescript_Meas[Measure Number], MATCH(E25, Table_Prescript_Meas[Measure Description], 0)), "")</f>
        <v/>
      </c>
      <c r="D25" s="317"/>
      <c r="E25" s="318"/>
      <c r="F25" s="308" t="str">
        <f>IFERROR(INDEX(Table_Prescript_Meas[Units], MATCH(Table_PrescriptLights_Input[[#This Row],[Measure number]], Table_Prescript_Meas[Measure Number], 0)), "")</f>
        <v/>
      </c>
      <c r="G25" s="301"/>
      <c r="H25" s="256"/>
      <c r="I25" s="256"/>
      <c r="J25" s="256"/>
      <c r="K25" s="303"/>
      <c r="L25" s="303"/>
      <c r="M2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5" s="310" t="str">
        <f>IFERROR(Table_PrescriptLights_Input[[#This Row],[Per-unit incentive]]*Table_PrescriptLights_Input[[#This Row],[Number of units]],"")</f>
        <v/>
      </c>
      <c r="O25" s="311" t="str">
        <f>IF(OR(Table_PrescriptLights_Input[[#This Row],[HVAC measure]]=References!$G$4,Table_PrescriptLights_Input[[#This Row],[HVAC measure]]=References!$G$5),'HVAC Calcs'!$H22,IFERROR(Table_PrescriptLights_Input[[#This Row],[Number of units]]*INDEX(Table_Prescript_Meas[Deemed kWh Savings], MATCH(Table_PrescriptLights_Input[[#This Row],[Measure number]], Table_Prescript_Meas[Measure Number], 0)),"" ))</f>
        <v/>
      </c>
      <c r="P25" s="312" t="str">
        <f>IF(OR(Table_PrescriptLights_Input[[#This Row],[HVAC measure]]=References!$G$4,Table_PrescriptLights_Input[[#This Row],[HVAC measure]]=References!$G$5),'HVAC Calcs'!$I22,IFERROR(Table_PrescriptLights_Input[[#This Row],[Number of units]]*INDEX(Table_Prescript_Meas[Deemed kW Savings], MATCH(Table_PrescriptLights_Input[[#This Row],[Measure number]], Table_Prescript_Meas[Measure Number], 0)),"" ))</f>
        <v/>
      </c>
      <c r="Q25" s="310" t="str">
        <f>IFERROR(Table_PrescriptLights_Input[[#This Row],[Energy savings (kWh)]]*Input_AvgkWhRate, "")</f>
        <v/>
      </c>
      <c r="R25" s="310" t="str">
        <f>IF(Table_PrescriptLights_Input[[#This Row],[HVAC measure]]="", "",Table_PrescriptLights_Input[[#This Row],[Total equipment cost]]+Table_PrescriptLights_Input[[#This Row],[Total labor cost]])</f>
        <v/>
      </c>
      <c r="S25" s="310" t="str">
        <f>IFERROR(Table_PrescriptLights_Input[[#This Row],[Gross measure cost]]-Table_PrescriptLights_Input[[#This Row],[Estimated incentive]], "")</f>
        <v/>
      </c>
      <c r="T25" s="311" t="str">
        <f t="shared" si="0"/>
        <v/>
      </c>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row>
    <row r="26" spans="1:48" x14ac:dyDescent="0.2">
      <c r="A26" s="273"/>
      <c r="B26" s="307">
        <v>21</v>
      </c>
      <c r="C26" s="308" t="str">
        <f>IFERROR(INDEX(Table_Prescript_Meas[Measure Number], MATCH(E26, Table_Prescript_Meas[Measure Description], 0)), "")</f>
        <v/>
      </c>
      <c r="D26" s="317"/>
      <c r="E26" s="318"/>
      <c r="F26" s="308" t="str">
        <f>IFERROR(INDEX(Table_Prescript_Meas[Units], MATCH(Table_PrescriptLights_Input[[#This Row],[Measure number]], Table_Prescript_Meas[Measure Number], 0)), "")</f>
        <v/>
      </c>
      <c r="G26" s="301"/>
      <c r="H26" s="256"/>
      <c r="I26" s="256"/>
      <c r="J26" s="256"/>
      <c r="K26" s="303"/>
      <c r="L26" s="303"/>
      <c r="M2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6" s="310" t="str">
        <f>IFERROR(Table_PrescriptLights_Input[[#This Row],[Per-unit incentive]]*Table_PrescriptLights_Input[[#This Row],[Number of units]],"")</f>
        <v/>
      </c>
      <c r="O26" s="311" t="str">
        <f>IF(OR(Table_PrescriptLights_Input[[#This Row],[HVAC measure]]=References!$G$4,Table_PrescriptLights_Input[[#This Row],[HVAC measure]]=References!$G$5),'HVAC Calcs'!$H23,IFERROR(Table_PrescriptLights_Input[[#This Row],[Number of units]]*INDEX(Table_Prescript_Meas[Deemed kWh Savings], MATCH(Table_PrescriptLights_Input[[#This Row],[Measure number]], Table_Prescript_Meas[Measure Number], 0)),"" ))</f>
        <v/>
      </c>
      <c r="P26" s="312" t="str">
        <f>IF(OR(Table_PrescriptLights_Input[[#This Row],[HVAC measure]]=References!$G$4,Table_PrescriptLights_Input[[#This Row],[HVAC measure]]=References!$G$5),'HVAC Calcs'!$I23,IFERROR(Table_PrescriptLights_Input[[#This Row],[Number of units]]*INDEX(Table_Prescript_Meas[Deemed kW Savings], MATCH(Table_PrescriptLights_Input[[#This Row],[Measure number]], Table_Prescript_Meas[Measure Number], 0)),"" ))</f>
        <v/>
      </c>
      <c r="Q26" s="310" t="str">
        <f>IFERROR(Table_PrescriptLights_Input[[#This Row],[Energy savings (kWh)]]*Input_AvgkWhRate, "")</f>
        <v/>
      </c>
      <c r="R26" s="310" t="str">
        <f>IF(Table_PrescriptLights_Input[[#This Row],[HVAC measure]]="", "",Table_PrescriptLights_Input[[#This Row],[Total equipment cost]]+Table_PrescriptLights_Input[[#This Row],[Total labor cost]])</f>
        <v/>
      </c>
      <c r="S26" s="310" t="str">
        <f>IFERROR(Table_PrescriptLights_Input[[#This Row],[Gross measure cost]]-Table_PrescriptLights_Input[[#This Row],[Estimated incentive]], "")</f>
        <v/>
      </c>
      <c r="T26" s="311" t="str">
        <f t="shared" si="0"/>
        <v/>
      </c>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row>
    <row r="27" spans="1:48" x14ac:dyDescent="0.2">
      <c r="A27" s="273"/>
      <c r="B27" s="307">
        <v>22</v>
      </c>
      <c r="C27" s="308" t="str">
        <f>IFERROR(INDEX(Table_Prescript_Meas[Measure Number], MATCH(E27, Table_Prescript_Meas[Measure Description], 0)), "")</f>
        <v/>
      </c>
      <c r="D27" s="317"/>
      <c r="E27" s="318"/>
      <c r="F27" s="308" t="str">
        <f>IFERROR(INDEX(Table_Prescript_Meas[Units], MATCH(Table_PrescriptLights_Input[[#This Row],[Measure number]], Table_Prescript_Meas[Measure Number], 0)), "")</f>
        <v/>
      </c>
      <c r="G27" s="301"/>
      <c r="H27" s="256"/>
      <c r="I27" s="256"/>
      <c r="J27" s="256"/>
      <c r="K27" s="303"/>
      <c r="L27" s="303"/>
      <c r="M2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7" s="310" t="str">
        <f>IFERROR(Table_PrescriptLights_Input[[#This Row],[Per-unit incentive]]*Table_PrescriptLights_Input[[#This Row],[Number of units]],"")</f>
        <v/>
      </c>
      <c r="O27" s="311" t="str">
        <f>IF(OR(Table_PrescriptLights_Input[[#This Row],[HVAC measure]]=References!$G$4,Table_PrescriptLights_Input[[#This Row],[HVAC measure]]=References!$G$5),'HVAC Calcs'!$H24,IFERROR(Table_PrescriptLights_Input[[#This Row],[Number of units]]*INDEX(Table_Prescript_Meas[Deemed kWh Savings], MATCH(Table_PrescriptLights_Input[[#This Row],[Measure number]], Table_Prescript_Meas[Measure Number], 0)),"" ))</f>
        <v/>
      </c>
      <c r="P27" s="312" t="str">
        <f>IF(OR(Table_PrescriptLights_Input[[#This Row],[HVAC measure]]=References!$G$4,Table_PrescriptLights_Input[[#This Row],[HVAC measure]]=References!$G$5),'HVAC Calcs'!$I24,IFERROR(Table_PrescriptLights_Input[[#This Row],[Number of units]]*INDEX(Table_Prescript_Meas[Deemed kW Savings], MATCH(Table_PrescriptLights_Input[[#This Row],[Measure number]], Table_Prescript_Meas[Measure Number], 0)),"" ))</f>
        <v/>
      </c>
      <c r="Q27" s="310" t="str">
        <f>IFERROR(Table_PrescriptLights_Input[[#This Row],[Energy savings (kWh)]]*Input_AvgkWhRate, "")</f>
        <v/>
      </c>
      <c r="R27" s="310" t="str">
        <f>IF(Table_PrescriptLights_Input[[#This Row],[HVAC measure]]="", "",Table_PrescriptLights_Input[[#This Row],[Total equipment cost]]+Table_PrescriptLights_Input[[#This Row],[Total labor cost]])</f>
        <v/>
      </c>
      <c r="S27" s="310" t="str">
        <f>IFERROR(Table_PrescriptLights_Input[[#This Row],[Gross measure cost]]-Table_PrescriptLights_Input[[#This Row],[Estimated incentive]], "")</f>
        <v/>
      </c>
      <c r="T27" s="311" t="str">
        <f t="shared" si="0"/>
        <v/>
      </c>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row>
    <row r="28" spans="1:48" x14ac:dyDescent="0.2">
      <c r="A28" s="273"/>
      <c r="B28" s="307">
        <v>23</v>
      </c>
      <c r="C28" s="308" t="str">
        <f>IFERROR(INDEX(Table_Prescript_Meas[Measure Number], MATCH(E28, Table_Prescript_Meas[Measure Description], 0)), "")</f>
        <v/>
      </c>
      <c r="D28" s="317"/>
      <c r="E28" s="318"/>
      <c r="F28" s="308" t="str">
        <f>IFERROR(INDEX(Table_Prescript_Meas[Units], MATCH(Table_PrescriptLights_Input[[#This Row],[Measure number]], Table_Prescript_Meas[Measure Number], 0)), "")</f>
        <v/>
      </c>
      <c r="G28" s="301"/>
      <c r="H28" s="256"/>
      <c r="I28" s="256"/>
      <c r="J28" s="256"/>
      <c r="K28" s="303"/>
      <c r="L28" s="303"/>
      <c r="M2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8" s="310" t="str">
        <f>IFERROR(Table_PrescriptLights_Input[[#This Row],[Per-unit incentive]]*Table_PrescriptLights_Input[[#This Row],[Number of units]],"")</f>
        <v/>
      </c>
      <c r="O28" s="311" t="str">
        <f>IF(OR(Table_PrescriptLights_Input[[#This Row],[HVAC measure]]=References!$G$4,Table_PrescriptLights_Input[[#This Row],[HVAC measure]]=References!$G$5),'HVAC Calcs'!$H25,IFERROR(Table_PrescriptLights_Input[[#This Row],[Number of units]]*INDEX(Table_Prescript_Meas[Deemed kWh Savings], MATCH(Table_PrescriptLights_Input[[#This Row],[Measure number]], Table_Prescript_Meas[Measure Number], 0)),"" ))</f>
        <v/>
      </c>
      <c r="P28" s="312" t="str">
        <f>IF(OR(Table_PrescriptLights_Input[[#This Row],[HVAC measure]]=References!$G$4,Table_PrescriptLights_Input[[#This Row],[HVAC measure]]=References!$G$5),'HVAC Calcs'!$I25,IFERROR(Table_PrescriptLights_Input[[#This Row],[Number of units]]*INDEX(Table_Prescript_Meas[Deemed kW Savings], MATCH(Table_PrescriptLights_Input[[#This Row],[Measure number]], Table_Prescript_Meas[Measure Number], 0)),"" ))</f>
        <v/>
      </c>
      <c r="Q28" s="310" t="str">
        <f>IFERROR(Table_PrescriptLights_Input[[#This Row],[Energy savings (kWh)]]*Input_AvgkWhRate, "")</f>
        <v/>
      </c>
      <c r="R28" s="310" t="str">
        <f>IF(Table_PrescriptLights_Input[[#This Row],[HVAC measure]]="", "",Table_PrescriptLights_Input[[#This Row],[Total equipment cost]]+Table_PrescriptLights_Input[[#This Row],[Total labor cost]])</f>
        <v/>
      </c>
      <c r="S28" s="310" t="str">
        <f>IFERROR(Table_PrescriptLights_Input[[#This Row],[Gross measure cost]]-Table_PrescriptLights_Input[[#This Row],[Estimated incentive]], "")</f>
        <v/>
      </c>
      <c r="T28" s="311" t="str">
        <f t="shared" si="0"/>
        <v/>
      </c>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row>
    <row r="29" spans="1:48" x14ac:dyDescent="0.2">
      <c r="A29" s="273"/>
      <c r="B29" s="307">
        <v>24</v>
      </c>
      <c r="C29" s="308" t="str">
        <f>IFERROR(INDEX(Table_Prescript_Meas[Measure Number], MATCH(E29, Table_Prescript_Meas[Measure Description], 0)), "")</f>
        <v/>
      </c>
      <c r="D29" s="317"/>
      <c r="E29" s="318"/>
      <c r="F29" s="308" t="str">
        <f>IFERROR(INDEX(Table_Prescript_Meas[Units], MATCH(Table_PrescriptLights_Input[[#This Row],[Measure number]], Table_Prescript_Meas[Measure Number], 0)), "")</f>
        <v/>
      </c>
      <c r="G29" s="301"/>
      <c r="H29" s="256"/>
      <c r="I29" s="256"/>
      <c r="J29" s="256"/>
      <c r="K29" s="303"/>
      <c r="L29" s="303"/>
      <c r="M2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29" s="310" t="str">
        <f>IFERROR(Table_PrescriptLights_Input[[#This Row],[Per-unit incentive]]*Table_PrescriptLights_Input[[#This Row],[Number of units]],"")</f>
        <v/>
      </c>
      <c r="O29" s="311" t="str">
        <f>IF(OR(Table_PrescriptLights_Input[[#This Row],[HVAC measure]]=References!$G$4,Table_PrescriptLights_Input[[#This Row],[HVAC measure]]=References!$G$5),'HVAC Calcs'!$H26,IFERROR(Table_PrescriptLights_Input[[#This Row],[Number of units]]*INDEX(Table_Prescript_Meas[Deemed kWh Savings], MATCH(Table_PrescriptLights_Input[[#This Row],[Measure number]], Table_Prescript_Meas[Measure Number], 0)),"" ))</f>
        <v/>
      </c>
      <c r="P29" s="312" t="str">
        <f>IF(OR(Table_PrescriptLights_Input[[#This Row],[HVAC measure]]=References!$G$4,Table_PrescriptLights_Input[[#This Row],[HVAC measure]]=References!$G$5),'HVAC Calcs'!$I26,IFERROR(Table_PrescriptLights_Input[[#This Row],[Number of units]]*INDEX(Table_Prescript_Meas[Deemed kW Savings], MATCH(Table_PrescriptLights_Input[[#This Row],[Measure number]], Table_Prescript_Meas[Measure Number], 0)),"" ))</f>
        <v/>
      </c>
      <c r="Q29" s="310" t="str">
        <f>IFERROR(Table_PrescriptLights_Input[[#This Row],[Energy savings (kWh)]]*Input_AvgkWhRate, "")</f>
        <v/>
      </c>
      <c r="R29" s="310" t="str">
        <f>IF(Table_PrescriptLights_Input[[#This Row],[HVAC measure]]="", "",Table_PrescriptLights_Input[[#This Row],[Total equipment cost]]+Table_PrescriptLights_Input[[#This Row],[Total labor cost]])</f>
        <v/>
      </c>
      <c r="S29" s="310" t="str">
        <f>IFERROR(Table_PrescriptLights_Input[[#This Row],[Gross measure cost]]-Table_PrescriptLights_Input[[#This Row],[Estimated incentive]], "")</f>
        <v/>
      </c>
      <c r="T29" s="311" t="str">
        <f t="shared" si="0"/>
        <v/>
      </c>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row>
    <row r="30" spans="1:48" x14ac:dyDescent="0.2">
      <c r="A30" s="273"/>
      <c r="B30" s="307">
        <v>25</v>
      </c>
      <c r="C30" s="308" t="str">
        <f>IFERROR(INDEX(Table_Prescript_Meas[Measure Number], MATCH(E30, Table_Prescript_Meas[Measure Description], 0)), "")</f>
        <v/>
      </c>
      <c r="D30" s="317"/>
      <c r="E30" s="318"/>
      <c r="F30" s="308" t="str">
        <f>IFERROR(INDEX(Table_Prescript_Meas[Units], MATCH(Table_PrescriptLights_Input[[#This Row],[Measure number]], Table_Prescript_Meas[Measure Number], 0)), "")</f>
        <v/>
      </c>
      <c r="G30" s="301"/>
      <c r="H30" s="256"/>
      <c r="I30" s="256"/>
      <c r="J30" s="256"/>
      <c r="K30" s="303"/>
      <c r="L30" s="303"/>
      <c r="M3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0" s="310" t="str">
        <f>IFERROR(Table_PrescriptLights_Input[[#This Row],[Per-unit incentive]]*Table_PrescriptLights_Input[[#This Row],[Number of units]],"")</f>
        <v/>
      </c>
      <c r="O30" s="311" t="str">
        <f>IF(OR(Table_PrescriptLights_Input[[#This Row],[HVAC measure]]=References!$G$4,Table_PrescriptLights_Input[[#This Row],[HVAC measure]]=References!$G$5),'HVAC Calcs'!$H27,IFERROR(Table_PrescriptLights_Input[[#This Row],[Number of units]]*INDEX(Table_Prescript_Meas[Deemed kWh Savings], MATCH(Table_PrescriptLights_Input[[#This Row],[Measure number]], Table_Prescript_Meas[Measure Number], 0)),"" ))</f>
        <v/>
      </c>
      <c r="P30" s="312" t="str">
        <f>IF(OR(Table_PrescriptLights_Input[[#This Row],[HVAC measure]]=References!$G$4,Table_PrescriptLights_Input[[#This Row],[HVAC measure]]=References!$G$5),'HVAC Calcs'!$I27,IFERROR(Table_PrescriptLights_Input[[#This Row],[Number of units]]*INDEX(Table_Prescript_Meas[Deemed kW Savings], MATCH(Table_PrescriptLights_Input[[#This Row],[Measure number]], Table_Prescript_Meas[Measure Number], 0)),"" ))</f>
        <v/>
      </c>
      <c r="Q30" s="310" t="str">
        <f>IFERROR(Table_PrescriptLights_Input[[#This Row],[Energy savings (kWh)]]*Input_AvgkWhRate, "")</f>
        <v/>
      </c>
      <c r="R30" s="310" t="str">
        <f>IF(Table_PrescriptLights_Input[[#This Row],[HVAC measure]]="", "",Table_PrescriptLights_Input[[#This Row],[Total equipment cost]]+Table_PrescriptLights_Input[[#This Row],[Total labor cost]])</f>
        <v/>
      </c>
      <c r="S30" s="310" t="str">
        <f>IFERROR(Table_PrescriptLights_Input[[#This Row],[Gross measure cost]]-Table_PrescriptLights_Input[[#This Row],[Estimated incentive]], "")</f>
        <v/>
      </c>
      <c r="T30" s="311" t="str">
        <f t="shared" si="0"/>
        <v/>
      </c>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row>
    <row r="31" spans="1:48" x14ac:dyDescent="0.2">
      <c r="A31" s="273"/>
      <c r="B31" s="307">
        <v>26</v>
      </c>
      <c r="C31" s="308" t="str">
        <f>IFERROR(INDEX(Table_Prescript_Meas[Measure Number], MATCH(E31, Table_Prescript_Meas[Measure Description], 0)), "")</f>
        <v/>
      </c>
      <c r="D31" s="317"/>
      <c r="E31" s="318"/>
      <c r="F31" s="308" t="str">
        <f>IFERROR(INDEX(Table_Prescript_Meas[Units], MATCH(Table_PrescriptLights_Input[[#This Row],[Measure number]], Table_Prescript_Meas[Measure Number], 0)), "")</f>
        <v/>
      </c>
      <c r="G31" s="301"/>
      <c r="H31" s="256"/>
      <c r="I31" s="256"/>
      <c r="J31" s="256"/>
      <c r="K31" s="303"/>
      <c r="L31" s="303"/>
      <c r="M3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1" s="310" t="str">
        <f>IFERROR(Table_PrescriptLights_Input[[#This Row],[Per-unit incentive]]*Table_PrescriptLights_Input[[#This Row],[Number of units]],"")</f>
        <v/>
      </c>
      <c r="O31" s="311" t="str">
        <f>IF(OR(Table_PrescriptLights_Input[[#This Row],[HVAC measure]]=References!$G$4,Table_PrescriptLights_Input[[#This Row],[HVAC measure]]=References!$G$5),'HVAC Calcs'!$H28,IFERROR(Table_PrescriptLights_Input[[#This Row],[Number of units]]*INDEX(Table_Prescript_Meas[Deemed kWh Savings], MATCH(Table_PrescriptLights_Input[[#This Row],[Measure number]], Table_Prescript_Meas[Measure Number], 0)),"" ))</f>
        <v/>
      </c>
      <c r="P31" s="312" t="str">
        <f>IF(OR(Table_PrescriptLights_Input[[#This Row],[HVAC measure]]=References!$G$4,Table_PrescriptLights_Input[[#This Row],[HVAC measure]]=References!$G$5),'HVAC Calcs'!$I28,IFERROR(Table_PrescriptLights_Input[[#This Row],[Number of units]]*INDEX(Table_Prescript_Meas[Deemed kW Savings], MATCH(Table_PrescriptLights_Input[[#This Row],[Measure number]], Table_Prescript_Meas[Measure Number], 0)),"" ))</f>
        <v/>
      </c>
      <c r="Q31" s="310" t="str">
        <f>IFERROR(Table_PrescriptLights_Input[[#This Row],[Energy savings (kWh)]]*Input_AvgkWhRate, "")</f>
        <v/>
      </c>
      <c r="R31" s="310" t="str">
        <f>IF(Table_PrescriptLights_Input[[#This Row],[HVAC measure]]="", "",Table_PrescriptLights_Input[[#This Row],[Total equipment cost]]+Table_PrescriptLights_Input[[#This Row],[Total labor cost]])</f>
        <v/>
      </c>
      <c r="S31" s="310" t="str">
        <f>IFERROR(Table_PrescriptLights_Input[[#This Row],[Gross measure cost]]-Table_PrescriptLights_Input[[#This Row],[Estimated incentive]], "")</f>
        <v/>
      </c>
      <c r="T31" s="311" t="str">
        <f t="shared" si="0"/>
        <v/>
      </c>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row>
    <row r="32" spans="1:48" x14ac:dyDescent="0.2">
      <c r="A32" s="269"/>
      <c r="B32" s="307">
        <v>27</v>
      </c>
      <c r="C32" s="308" t="str">
        <f>IFERROR(INDEX(Table_Prescript_Meas[Measure Number], MATCH(E32, Table_Prescript_Meas[Measure Description], 0)), "")</f>
        <v/>
      </c>
      <c r="D32" s="317"/>
      <c r="E32" s="318"/>
      <c r="F32" s="308" t="str">
        <f>IFERROR(INDEX(Table_Prescript_Meas[Units], MATCH(Table_PrescriptLights_Input[[#This Row],[Measure number]], Table_Prescript_Meas[Measure Number], 0)), "")</f>
        <v/>
      </c>
      <c r="G32" s="301"/>
      <c r="H32" s="256"/>
      <c r="I32" s="256"/>
      <c r="J32" s="256"/>
      <c r="K32" s="303"/>
      <c r="L32" s="303"/>
      <c r="M3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2" s="310" t="str">
        <f>IFERROR(Table_PrescriptLights_Input[[#This Row],[Per-unit incentive]]*Table_PrescriptLights_Input[[#This Row],[Number of units]],"")</f>
        <v/>
      </c>
      <c r="O32" s="311" t="str">
        <f>IF(OR(Table_PrescriptLights_Input[[#This Row],[HVAC measure]]=References!$G$4,Table_PrescriptLights_Input[[#This Row],[HVAC measure]]=References!$G$5),'HVAC Calcs'!$H29,IFERROR(Table_PrescriptLights_Input[[#This Row],[Number of units]]*INDEX(Table_Prescript_Meas[Deemed kWh Savings], MATCH(Table_PrescriptLights_Input[[#This Row],[Measure number]], Table_Prescript_Meas[Measure Number], 0)),"" ))</f>
        <v/>
      </c>
      <c r="P32" s="312" t="str">
        <f>IF(OR(Table_PrescriptLights_Input[[#This Row],[HVAC measure]]=References!$G$4,Table_PrescriptLights_Input[[#This Row],[HVAC measure]]=References!$G$5),'HVAC Calcs'!$I29,IFERROR(Table_PrescriptLights_Input[[#This Row],[Number of units]]*INDEX(Table_Prescript_Meas[Deemed kW Savings], MATCH(Table_PrescriptLights_Input[[#This Row],[Measure number]], Table_Prescript_Meas[Measure Number], 0)),"" ))</f>
        <v/>
      </c>
      <c r="Q32" s="310" t="str">
        <f>IFERROR(Table_PrescriptLights_Input[[#This Row],[Energy savings (kWh)]]*Input_AvgkWhRate, "")</f>
        <v/>
      </c>
      <c r="R32" s="310" t="str">
        <f>IF(Table_PrescriptLights_Input[[#This Row],[HVAC measure]]="", "",Table_PrescriptLights_Input[[#This Row],[Total equipment cost]]+Table_PrescriptLights_Input[[#This Row],[Total labor cost]])</f>
        <v/>
      </c>
      <c r="S32" s="310" t="str">
        <f>IFERROR(Table_PrescriptLights_Input[[#This Row],[Gross measure cost]]-Table_PrescriptLights_Input[[#This Row],[Estimated incentive]], "")</f>
        <v/>
      </c>
      <c r="T32" s="311" t="str">
        <f t="shared" si="0"/>
        <v/>
      </c>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row>
    <row r="33" spans="1:48" x14ac:dyDescent="0.2">
      <c r="A33" s="269"/>
      <c r="B33" s="307">
        <v>28</v>
      </c>
      <c r="C33" s="308" t="str">
        <f>IFERROR(INDEX(Table_Prescript_Meas[Measure Number], MATCH(E33, Table_Prescript_Meas[Measure Description], 0)), "")</f>
        <v/>
      </c>
      <c r="D33" s="317"/>
      <c r="E33" s="318"/>
      <c r="F33" s="308" t="str">
        <f>IFERROR(INDEX(Table_Prescript_Meas[Units], MATCH(Table_PrescriptLights_Input[[#This Row],[Measure number]], Table_Prescript_Meas[Measure Number], 0)), "")</f>
        <v/>
      </c>
      <c r="G33" s="301"/>
      <c r="H33" s="256"/>
      <c r="I33" s="256"/>
      <c r="J33" s="256"/>
      <c r="K33" s="303"/>
      <c r="L33" s="303"/>
      <c r="M3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3" s="310" t="str">
        <f>IFERROR(Table_PrescriptLights_Input[[#This Row],[Per-unit incentive]]*Table_PrescriptLights_Input[[#This Row],[Number of units]],"")</f>
        <v/>
      </c>
      <c r="O33" s="311" t="str">
        <f>IF(OR(Table_PrescriptLights_Input[[#This Row],[HVAC measure]]=References!$G$4,Table_PrescriptLights_Input[[#This Row],[HVAC measure]]=References!$G$5),'HVAC Calcs'!$H30,IFERROR(Table_PrescriptLights_Input[[#This Row],[Number of units]]*INDEX(Table_Prescript_Meas[Deemed kWh Savings], MATCH(Table_PrescriptLights_Input[[#This Row],[Measure number]], Table_Prescript_Meas[Measure Number], 0)),"" ))</f>
        <v/>
      </c>
      <c r="P33" s="312" t="str">
        <f>IF(OR(Table_PrescriptLights_Input[[#This Row],[HVAC measure]]=References!$G$4,Table_PrescriptLights_Input[[#This Row],[HVAC measure]]=References!$G$5),'HVAC Calcs'!$I30,IFERROR(Table_PrescriptLights_Input[[#This Row],[Number of units]]*INDEX(Table_Prescript_Meas[Deemed kW Savings], MATCH(Table_PrescriptLights_Input[[#This Row],[Measure number]], Table_Prescript_Meas[Measure Number], 0)),"" ))</f>
        <v/>
      </c>
      <c r="Q33" s="310" t="str">
        <f>IFERROR(Table_PrescriptLights_Input[[#This Row],[Energy savings (kWh)]]*Input_AvgkWhRate, "")</f>
        <v/>
      </c>
      <c r="R33" s="310" t="str">
        <f>IF(Table_PrescriptLights_Input[[#This Row],[HVAC measure]]="", "",Table_PrescriptLights_Input[[#This Row],[Total equipment cost]]+Table_PrescriptLights_Input[[#This Row],[Total labor cost]])</f>
        <v/>
      </c>
      <c r="S33" s="310" t="str">
        <f>IFERROR(Table_PrescriptLights_Input[[#This Row],[Gross measure cost]]-Table_PrescriptLights_Input[[#This Row],[Estimated incentive]], "")</f>
        <v/>
      </c>
      <c r="T33" s="311" t="str">
        <f t="shared" si="0"/>
        <v/>
      </c>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row>
    <row r="34" spans="1:48" x14ac:dyDescent="0.2">
      <c r="A34" s="269"/>
      <c r="B34" s="307">
        <v>29</v>
      </c>
      <c r="C34" s="308" t="str">
        <f>IFERROR(INDEX(Table_Prescript_Meas[Measure Number], MATCH(E34, Table_Prescript_Meas[Measure Description], 0)), "")</f>
        <v/>
      </c>
      <c r="D34" s="317"/>
      <c r="E34" s="318"/>
      <c r="F34" s="308" t="str">
        <f>IFERROR(INDEX(Table_Prescript_Meas[Units], MATCH(Table_PrescriptLights_Input[[#This Row],[Measure number]], Table_Prescript_Meas[Measure Number], 0)), "")</f>
        <v/>
      </c>
      <c r="G34" s="301"/>
      <c r="H34" s="256"/>
      <c r="I34" s="256"/>
      <c r="J34" s="256"/>
      <c r="K34" s="303"/>
      <c r="L34" s="303"/>
      <c r="M3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4" s="310" t="str">
        <f>IFERROR(Table_PrescriptLights_Input[[#This Row],[Per-unit incentive]]*Table_PrescriptLights_Input[[#This Row],[Number of units]],"")</f>
        <v/>
      </c>
      <c r="O34" s="311" t="str">
        <f>IF(OR(Table_PrescriptLights_Input[[#This Row],[HVAC measure]]=References!$G$4,Table_PrescriptLights_Input[[#This Row],[HVAC measure]]=References!$G$5),'HVAC Calcs'!$H31,IFERROR(Table_PrescriptLights_Input[[#This Row],[Number of units]]*INDEX(Table_Prescript_Meas[Deemed kWh Savings], MATCH(Table_PrescriptLights_Input[[#This Row],[Measure number]], Table_Prescript_Meas[Measure Number], 0)),"" ))</f>
        <v/>
      </c>
      <c r="P34" s="312" t="str">
        <f>IF(OR(Table_PrescriptLights_Input[[#This Row],[HVAC measure]]=References!$G$4,Table_PrescriptLights_Input[[#This Row],[HVAC measure]]=References!$G$5),'HVAC Calcs'!$I31,IFERROR(Table_PrescriptLights_Input[[#This Row],[Number of units]]*INDEX(Table_Prescript_Meas[Deemed kW Savings], MATCH(Table_PrescriptLights_Input[[#This Row],[Measure number]], Table_Prescript_Meas[Measure Number], 0)),"" ))</f>
        <v/>
      </c>
      <c r="Q34" s="310" t="str">
        <f>IFERROR(Table_PrescriptLights_Input[[#This Row],[Energy savings (kWh)]]*Input_AvgkWhRate, "")</f>
        <v/>
      </c>
      <c r="R34" s="310" t="str">
        <f>IF(Table_PrescriptLights_Input[[#This Row],[HVAC measure]]="", "",Table_PrescriptLights_Input[[#This Row],[Total equipment cost]]+Table_PrescriptLights_Input[[#This Row],[Total labor cost]])</f>
        <v/>
      </c>
      <c r="S34" s="310" t="str">
        <f>IFERROR(Table_PrescriptLights_Input[[#This Row],[Gross measure cost]]-Table_PrescriptLights_Input[[#This Row],[Estimated incentive]], "")</f>
        <v/>
      </c>
      <c r="T34" s="311" t="str">
        <f t="shared" si="0"/>
        <v/>
      </c>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row>
    <row r="35" spans="1:48" x14ac:dyDescent="0.2">
      <c r="A35" s="269"/>
      <c r="B35" s="307">
        <v>30</v>
      </c>
      <c r="C35" s="308" t="str">
        <f>IFERROR(INDEX(Table_Prescript_Meas[Measure Number], MATCH(E35, Table_Prescript_Meas[Measure Description], 0)), "")</f>
        <v/>
      </c>
      <c r="D35" s="317"/>
      <c r="E35" s="318"/>
      <c r="F35" s="308" t="str">
        <f>IFERROR(INDEX(Table_Prescript_Meas[Units], MATCH(Table_PrescriptLights_Input[[#This Row],[Measure number]], Table_Prescript_Meas[Measure Number], 0)), "")</f>
        <v/>
      </c>
      <c r="G35" s="301"/>
      <c r="H35" s="256"/>
      <c r="I35" s="256"/>
      <c r="J35" s="256"/>
      <c r="K35" s="303"/>
      <c r="L35" s="303"/>
      <c r="M3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5" s="310" t="str">
        <f>IFERROR(Table_PrescriptLights_Input[[#This Row],[Per-unit incentive]]*Table_PrescriptLights_Input[[#This Row],[Number of units]],"")</f>
        <v/>
      </c>
      <c r="O35" s="311" t="str">
        <f>IF(OR(Table_PrescriptLights_Input[[#This Row],[HVAC measure]]=References!$G$4,Table_PrescriptLights_Input[[#This Row],[HVAC measure]]=References!$G$5),'HVAC Calcs'!$H32,IFERROR(Table_PrescriptLights_Input[[#This Row],[Number of units]]*INDEX(Table_Prescript_Meas[Deemed kWh Savings], MATCH(Table_PrescriptLights_Input[[#This Row],[Measure number]], Table_Prescript_Meas[Measure Number], 0)),"" ))</f>
        <v/>
      </c>
      <c r="P35" s="312" t="str">
        <f>IF(OR(Table_PrescriptLights_Input[[#This Row],[HVAC measure]]=References!$G$4,Table_PrescriptLights_Input[[#This Row],[HVAC measure]]=References!$G$5),'HVAC Calcs'!$I32,IFERROR(Table_PrescriptLights_Input[[#This Row],[Number of units]]*INDEX(Table_Prescript_Meas[Deemed kW Savings], MATCH(Table_PrescriptLights_Input[[#This Row],[Measure number]], Table_Prescript_Meas[Measure Number], 0)),"" ))</f>
        <v/>
      </c>
      <c r="Q35" s="310" t="str">
        <f>IFERROR(Table_PrescriptLights_Input[[#This Row],[Energy savings (kWh)]]*Input_AvgkWhRate, "")</f>
        <v/>
      </c>
      <c r="R35" s="310" t="str">
        <f>IF(Table_PrescriptLights_Input[[#This Row],[HVAC measure]]="", "",Table_PrescriptLights_Input[[#This Row],[Total equipment cost]]+Table_PrescriptLights_Input[[#This Row],[Total labor cost]])</f>
        <v/>
      </c>
      <c r="S35" s="310" t="str">
        <f>IFERROR(Table_PrescriptLights_Input[[#This Row],[Gross measure cost]]-Table_PrescriptLights_Input[[#This Row],[Estimated incentive]], "")</f>
        <v/>
      </c>
      <c r="T35" s="311" t="str">
        <f t="shared" si="0"/>
        <v/>
      </c>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row>
    <row r="36" spans="1:48" x14ac:dyDescent="0.2">
      <c r="A36" s="269"/>
      <c r="B36" s="307">
        <v>31</v>
      </c>
      <c r="C36" s="308" t="str">
        <f>IFERROR(INDEX(Table_Prescript_Meas[Measure Number], MATCH(E36, Table_Prescript_Meas[Measure Description], 0)), "")</f>
        <v/>
      </c>
      <c r="D36" s="317"/>
      <c r="E36" s="318"/>
      <c r="F36" s="308" t="str">
        <f>IFERROR(INDEX(Table_Prescript_Meas[Units], MATCH(Table_PrescriptLights_Input[[#This Row],[Measure number]], Table_Prescript_Meas[Measure Number], 0)), "")</f>
        <v/>
      </c>
      <c r="G36" s="301"/>
      <c r="H36" s="256"/>
      <c r="I36" s="256"/>
      <c r="J36" s="256"/>
      <c r="K36" s="303"/>
      <c r="L36" s="303"/>
      <c r="M3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6" s="310" t="str">
        <f>IFERROR(Table_PrescriptLights_Input[[#This Row],[Per-unit incentive]]*Table_PrescriptLights_Input[[#This Row],[Number of units]],"")</f>
        <v/>
      </c>
      <c r="O36" s="311" t="str">
        <f>IF(OR(Table_PrescriptLights_Input[[#This Row],[HVAC measure]]=References!$G$4,Table_PrescriptLights_Input[[#This Row],[HVAC measure]]=References!$G$5),'HVAC Calcs'!$H33,IFERROR(Table_PrescriptLights_Input[[#This Row],[Number of units]]*INDEX(Table_Prescript_Meas[Deemed kWh Savings], MATCH(Table_PrescriptLights_Input[[#This Row],[Measure number]], Table_Prescript_Meas[Measure Number], 0)),"" ))</f>
        <v/>
      </c>
      <c r="P36" s="312" t="str">
        <f>IF(OR(Table_PrescriptLights_Input[[#This Row],[HVAC measure]]=References!$G$4,Table_PrescriptLights_Input[[#This Row],[HVAC measure]]=References!$G$5),'HVAC Calcs'!$I33,IFERROR(Table_PrescriptLights_Input[[#This Row],[Number of units]]*INDEX(Table_Prescript_Meas[Deemed kW Savings], MATCH(Table_PrescriptLights_Input[[#This Row],[Measure number]], Table_Prescript_Meas[Measure Number], 0)),"" ))</f>
        <v/>
      </c>
      <c r="Q36" s="310" t="str">
        <f>IFERROR(Table_PrescriptLights_Input[[#This Row],[Energy savings (kWh)]]*Input_AvgkWhRate, "")</f>
        <v/>
      </c>
      <c r="R36" s="310" t="str">
        <f>IF(Table_PrescriptLights_Input[[#This Row],[HVAC measure]]="", "",Table_PrescriptLights_Input[[#This Row],[Total equipment cost]]+Table_PrescriptLights_Input[[#This Row],[Total labor cost]])</f>
        <v/>
      </c>
      <c r="S36" s="310" t="str">
        <f>IFERROR(Table_PrescriptLights_Input[[#This Row],[Gross measure cost]]-Table_PrescriptLights_Input[[#This Row],[Estimated incentive]], "")</f>
        <v/>
      </c>
      <c r="T36" s="311" t="str">
        <f t="shared" si="0"/>
        <v/>
      </c>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row>
    <row r="37" spans="1:48" x14ac:dyDescent="0.2">
      <c r="A37" s="269"/>
      <c r="B37" s="307">
        <v>32</v>
      </c>
      <c r="C37" s="308" t="str">
        <f>IFERROR(INDEX(Table_Prescript_Meas[Measure Number], MATCH(E37, Table_Prescript_Meas[Measure Description], 0)), "")</f>
        <v/>
      </c>
      <c r="D37" s="317"/>
      <c r="E37" s="318"/>
      <c r="F37" s="308" t="str">
        <f>IFERROR(INDEX(Table_Prescript_Meas[Units], MATCH(Table_PrescriptLights_Input[[#This Row],[Measure number]], Table_Prescript_Meas[Measure Number], 0)), "")</f>
        <v/>
      </c>
      <c r="G37" s="301"/>
      <c r="H37" s="256"/>
      <c r="I37" s="256"/>
      <c r="J37" s="256"/>
      <c r="K37" s="303"/>
      <c r="L37" s="303"/>
      <c r="M3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7" s="310" t="str">
        <f>IFERROR(Table_PrescriptLights_Input[[#This Row],[Per-unit incentive]]*Table_PrescriptLights_Input[[#This Row],[Number of units]],"")</f>
        <v/>
      </c>
      <c r="O37" s="311" t="str">
        <f>IF(OR(Table_PrescriptLights_Input[[#This Row],[HVAC measure]]=References!$G$4,Table_PrescriptLights_Input[[#This Row],[HVAC measure]]=References!$G$5),'HVAC Calcs'!$H34,IFERROR(Table_PrescriptLights_Input[[#This Row],[Number of units]]*INDEX(Table_Prescript_Meas[Deemed kWh Savings], MATCH(Table_PrescriptLights_Input[[#This Row],[Measure number]], Table_Prescript_Meas[Measure Number], 0)),"" ))</f>
        <v/>
      </c>
      <c r="P37" s="312" t="str">
        <f>IF(OR(Table_PrescriptLights_Input[[#This Row],[HVAC measure]]=References!$G$4,Table_PrescriptLights_Input[[#This Row],[HVAC measure]]=References!$G$5),'HVAC Calcs'!$I34,IFERROR(Table_PrescriptLights_Input[[#This Row],[Number of units]]*INDEX(Table_Prescript_Meas[Deemed kW Savings], MATCH(Table_PrescriptLights_Input[[#This Row],[Measure number]], Table_Prescript_Meas[Measure Number], 0)),"" ))</f>
        <v/>
      </c>
      <c r="Q37" s="310" t="str">
        <f>IFERROR(Table_PrescriptLights_Input[[#This Row],[Energy savings (kWh)]]*Input_AvgkWhRate, "")</f>
        <v/>
      </c>
      <c r="R37" s="310" t="str">
        <f>IF(Table_PrescriptLights_Input[[#This Row],[HVAC measure]]="", "",Table_PrescriptLights_Input[[#This Row],[Total equipment cost]]+Table_PrescriptLights_Input[[#This Row],[Total labor cost]])</f>
        <v/>
      </c>
      <c r="S37" s="310" t="str">
        <f>IFERROR(Table_PrescriptLights_Input[[#This Row],[Gross measure cost]]-Table_PrescriptLights_Input[[#This Row],[Estimated incentive]], "")</f>
        <v/>
      </c>
      <c r="T37" s="311" t="str">
        <f t="shared" si="0"/>
        <v/>
      </c>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row>
    <row r="38" spans="1:48" x14ac:dyDescent="0.2">
      <c r="A38" s="269"/>
      <c r="B38" s="307">
        <v>33</v>
      </c>
      <c r="C38" s="308" t="str">
        <f>IFERROR(INDEX(Table_Prescript_Meas[Measure Number], MATCH(E38, Table_Prescript_Meas[Measure Description], 0)), "")</f>
        <v/>
      </c>
      <c r="D38" s="317"/>
      <c r="E38" s="318"/>
      <c r="F38" s="308" t="str">
        <f>IFERROR(INDEX(Table_Prescript_Meas[Units], MATCH(Table_PrescriptLights_Input[[#This Row],[Measure number]], Table_Prescript_Meas[Measure Number], 0)), "")</f>
        <v/>
      </c>
      <c r="G38" s="301"/>
      <c r="H38" s="256"/>
      <c r="I38" s="256"/>
      <c r="J38" s="256"/>
      <c r="K38" s="303"/>
      <c r="L38" s="303"/>
      <c r="M3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8" s="310" t="str">
        <f>IFERROR(Table_PrescriptLights_Input[[#This Row],[Per-unit incentive]]*Table_PrescriptLights_Input[[#This Row],[Number of units]],"")</f>
        <v/>
      </c>
      <c r="O38" s="311" t="str">
        <f>IF(OR(Table_PrescriptLights_Input[[#This Row],[HVAC measure]]=References!$G$4,Table_PrescriptLights_Input[[#This Row],[HVAC measure]]=References!$G$5),'HVAC Calcs'!$H35,IFERROR(Table_PrescriptLights_Input[[#This Row],[Number of units]]*INDEX(Table_Prescript_Meas[Deemed kWh Savings], MATCH(Table_PrescriptLights_Input[[#This Row],[Measure number]], Table_Prescript_Meas[Measure Number], 0)),"" ))</f>
        <v/>
      </c>
      <c r="P38" s="312" t="str">
        <f>IF(OR(Table_PrescriptLights_Input[[#This Row],[HVAC measure]]=References!$G$4,Table_PrescriptLights_Input[[#This Row],[HVAC measure]]=References!$G$5),'HVAC Calcs'!$I35,IFERROR(Table_PrescriptLights_Input[[#This Row],[Number of units]]*INDEX(Table_Prescript_Meas[Deemed kW Savings], MATCH(Table_PrescriptLights_Input[[#This Row],[Measure number]], Table_Prescript_Meas[Measure Number], 0)),"" ))</f>
        <v/>
      </c>
      <c r="Q38" s="310" t="str">
        <f>IFERROR(Table_PrescriptLights_Input[[#This Row],[Energy savings (kWh)]]*Input_AvgkWhRate, "")</f>
        <v/>
      </c>
      <c r="R38" s="310" t="str">
        <f>IF(Table_PrescriptLights_Input[[#This Row],[HVAC measure]]="", "",Table_PrescriptLights_Input[[#This Row],[Total equipment cost]]+Table_PrescriptLights_Input[[#This Row],[Total labor cost]])</f>
        <v/>
      </c>
      <c r="S38" s="310" t="str">
        <f>IFERROR(Table_PrescriptLights_Input[[#This Row],[Gross measure cost]]-Table_PrescriptLights_Input[[#This Row],[Estimated incentive]], "")</f>
        <v/>
      </c>
      <c r="T38" s="311" t="str">
        <f t="shared" si="0"/>
        <v/>
      </c>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row>
    <row r="39" spans="1:48" x14ac:dyDescent="0.2">
      <c r="A39" s="269"/>
      <c r="B39" s="307">
        <v>34</v>
      </c>
      <c r="C39" s="308" t="str">
        <f>IFERROR(INDEX(Table_Prescript_Meas[Measure Number], MATCH(E39, Table_Prescript_Meas[Measure Description], 0)), "")</f>
        <v/>
      </c>
      <c r="D39" s="317"/>
      <c r="E39" s="318"/>
      <c r="F39" s="308" t="str">
        <f>IFERROR(INDEX(Table_Prescript_Meas[Units], MATCH(Table_PrescriptLights_Input[[#This Row],[Measure number]], Table_Prescript_Meas[Measure Number], 0)), "")</f>
        <v/>
      </c>
      <c r="G39" s="301"/>
      <c r="H39" s="256"/>
      <c r="I39" s="256"/>
      <c r="J39" s="256"/>
      <c r="K39" s="303"/>
      <c r="L39" s="303"/>
      <c r="M3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39" s="310" t="str">
        <f>IFERROR(Table_PrescriptLights_Input[[#This Row],[Per-unit incentive]]*Table_PrescriptLights_Input[[#This Row],[Number of units]],"")</f>
        <v/>
      </c>
      <c r="O39" s="311" t="str">
        <f>IF(OR(Table_PrescriptLights_Input[[#This Row],[HVAC measure]]=References!$G$4,Table_PrescriptLights_Input[[#This Row],[HVAC measure]]=References!$G$5),'HVAC Calcs'!$H36,IFERROR(Table_PrescriptLights_Input[[#This Row],[Number of units]]*INDEX(Table_Prescript_Meas[Deemed kWh Savings], MATCH(Table_PrescriptLights_Input[[#This Row],[Measure number]], Table_Prescript_Meas[Measure Number], 0)),"" ))</f>
        <v/>
      </c>
      <c r="P39" s="312" t="str">
        <f>IF(OR(Table_PrescriptLights_Input[[#This Row],[HVAC measure]]=References!$G$4,Table_PrescriptLights_Input[[#This Row],[HVAC measure]]=References!$G$5),'HVAC Calcs'!$I36,IFERROR(Table_PrescriptLights_Input[[#This Row],[Number of units]]*INDEX(Table_Prescript_Meas[Deemed kW Savings], MATCH(Table_PrescriptLights_Input[[#This Row],[Measure number]], Table_Prescript_Meas[Measure Number], 0)),"" ))</f>
        <v/>
      </c>
      <c r="Q39" s="310" t="str">
        <f>IFERROR(Table_PrescriptLights_Input[[#This Row],[Energy savings (kWh)]]*Input_AvgkWhRate, "")</f>
        <v/>
      </c>
      <c r="R39" s="310" t="str">
        <f>IF(Table_PrescriptLights_Input[[#This Row],[HVAC measure]]="", "",Table_PrescriptLights_Input[[#This Row],[Total equipment cost]]+Table_PrescriptLights_Input[[#This Row],[Total labor cost]])</f>
        <v/>
      </c>
      <c r="S39" s="310" t="str">
        <f>IFERROR(Table_PrescriptLights_Input[[#This Row],[Gross measure cost]]-Table_PrescriptLights_Input[[#This Row],[Estimated incentive]], "")</f>
        <v/>
      </c>
      <c r="T39" s="311" t="str">
        <f t="shared" si="0"/>
        <v/>
      </c>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row>
    <row r="40" spans="1:48" x14ac:dyDescent="0.2">
      <c r="A40" s="269"/>
      <c r="B40" s="307">
        <v>35</v>
      </c>
      <c r="C40" s="308" t="str">
        <f>IFERROR(INDEX(Table_Prescript_Meas[Measure Number], MATCH(E40, Table_Prescript_Meas[Measure Description], 0)), "")</f>
        <v/>
      </c>
      <c r="D40" s="317"/>
      <c r="E40" s="318"/>
      <c r="F40" s="308" t="str">
        <f>IFERROR(INDEX(Table_Prescript_Meas[Units], MATCH(Table_PrescriptLights_Input[[#This Row],[Measure number]], Table_Prescript_Meas[Measure Number], 0)), "")</f>
        <v/>
      </c>
      <c r="G40" s="301"/>
      <c r="H40" s="256"/>
      <c r="I40" s="256"/>
      <c r="J40" s="256"/>
      <c r="K40" s="303"/>
      <c r="L40" s="303"/>
      <c r="M4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0" s="310" t="str">
        <f>IFERROR(Table_PrescriptLights_Input[[#This Row],[Per-unit incentive]]*Table_PrescriptLights_Input[[#This Row],[Number of units]],"")</f>
        <v/>
      </c>
      <c r="O40" s="311" t="str">
        <f>IF(OR(Table_PrescriptLights_Input[[#This Row],[HVAC measure]]=References!$G$4,Table_PrescriptLights_Input[[#This Row],[HVAC measure]]=References!$G$5),'HVAC Calcs'!$H37,IFERROR(Table_PrescriptLights_Input[[#This Row],[Number of units]]*INDEX(Table_Prescript_Meas[Deemed kWh Savings], MATCH(Table_PrescriptLights_Input[[#This Row],[Measure number]], Table_Prescript_Meas[Measure Number], 0)),"" ))</f>
        <v/>
      </c>
      <c r="P40" s="312" t="str">
        <f>IF(OR(Table_PrescriptLights_Input[[#This Row],[HVAC measure]]=References!$G$4,Table_PrescriptLights_Input[[#This Row],[HVAC measure]]=References!$G$5),'HVAC Calcs'!$I37,IFERROR(Table_PrescriptLights_Input[[#This Row],[Number of units]]*INDEX(Table_Prescript_Meas[Deemed kW Savings], MATCH(Table_PrescriptLights_Input[[#This Row],[Measure number]], Table_Prescript_Meas[Measure Number], 0)),"" ))</f>
        <v/>
      </c>
      <c r="Q40" s="310" t="str">
        <f>IFERROR(Table_PrescriptLights_Input[[#This Row],[Energy savings (kWh)]]*Input_AvgkWhRate, "")</f>
        <v/>
      </c>
      <c r="R40" s="310" t="str">
        <f>IF(Table_PrescriptLights_Input[[#This Row],[HVAC measure]]="", "",Table_PrescriptLights_Input[[#This Row],[Total equipment cost]]+Table_PrescriptLights_Input[[#This Row],[Total labor cost]])</f>
        <v/>
      </c>
      <c r="S40" s="310" t="str">
        <f>IFERROR(Table_PrescriptLights_Input[[#This Row],[Gross measure cost]]-Table_PrescriptLights_Input[[#This Row],[Estimated incentive]], "")</f>
        <v/>
      </c>
      <c r="T40" s="311" t="str">
        <f t="shared" si="0"/>
        <v/>
      </c>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row>
    <row r="41" spans="1:48" x14ac:dyDescent="0.2">
      <c r="A41" s="269"/>
      <c r="B41" s="307">
        <v>36</v>
      </c>
      <c r="C41" s="308" t="str">
        <f>IFERROR(INDEX(Table_Prescript_Meas[Measure Number], MATCH(E41, Table_Prescript_Meas[Measure Description], 0)), "")</f>
        <v/>
      </c>
      <c r="D41" s="317"/>
      <c r="E41" s="318"/>
      <c r="F41" s="308" t="str">
        <f>IFERROR(INDEX(Table_Prescript_Meas[Units], MATCH(Table_PrescriptLights_Input[[#This Row],[Measure number]], Table_Prescript_Meas[Measure Number], 0)), "")</f>
        <v/>
      </c>
      <c r="G41" s="301"/>
      <c r="H41" s="256"/>
      <c r="I41" s="256"/>
      <c r="J41" s="256"/>
      <c r="K41" s="303"/>
      <c r="L41" s="303"/>
      <c r="M4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1" s="310" t="str">
        <f>IFERROR(Table_PrescriptLights_Input[[#This Row],[Per-unit incentive]]*Table_PrescriptLights_Input[[#This Row],[Number of units]],"")</f>
        <v/>
      </c>
      <c r="O41" s="311" t="str">
        <f>IF(OR(Table_PrescriptLights_Input[[#This Row],[HVAC measure]]=References!$G$4,Table_PrescriptLights_Input[[#This Row],[HVAC measure]]=References!$G$5),'HVAC Calcs'!$H38,IFERROR(Table_PrescriptLights_Input[[#This Row],[Number of units]]*INDEX(Table_Prescript_Meas[Deemed kWh Savings], MATCH(Table_PrescriptLights_Input[[#This Row],[Measure number]], Table_Prescript_Meas[Measure Number], 0)),"" ))</f>
        <v/>
      </c>
      <c r="P41" s="312" t="str">
        <f>IF(OR(Table_PrescriptLights_Input[[#This Row],[HVAC measure]]=References!$G$4,Table_PrescriptLights_Input[[#This Row],[HVAC measure]]=References!$G$5),'HVAC Calcs'!$I38,IFERROR(Table_PrescriptLights_Input[[#This Row],[Number of units]]*INDEX(Table_Prescript_Meas[Deemed kW Savings], MATCH(Table_PrescriptLights_Input[[#This Row],[Measure number]], Table_Prescript_Meas[Measure Number], 0)),"" ))</f>
        <v/>
      </c>
      <c r="Q41" s="310" t="str">
        <f>IFERROR(Table_PrescriptLights_Input[[#This Row],[Energy savings (kWh)]]*Input_AvgkWhRate, "")</f>
        <v/>
      </c>
      <c r="R41" s="310" t="str">
        <f>IF(Table_PrescriptLights_Input[[#This Row],[HVAC measure]]="", "",Table_PrescriptLights_Input[[#This Row],[Total equipment cost]]+Table_PrescriptLights_Input[[#This Row],[Total labor cost]])</f>
        <v/>
      </c>
      <c r="S41" s="310" t="str">
        <f>IFERROR(Table_PrescriptLights_Input[[#This Row],[Gross measure cost]]-Table_PrescriptLights_Input[[#This Row],[Estimated incentive]], "")</f>
        <v/>
      </c>
      <c r="T41" s="311" t="str">
        <f t="shared" si="0"/>
        <v/>
      </c>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row>
    <row r="42" spans="1:48" x14ac:dyDescent="0.2">
      <c r="A42" s="269"/>
      <c r="B42" s="307">
        <v>37</v>
      </c>
      <c r="C42" s="308" t="str">
        <f>IFERROR(INDEX(Table_Prescript_Meas[Measure Number], MATCH(E42, Table_Prescript_Meas[Measure Description], 0)), "")</f>
        <v/>
      </c>
      <c r="D42" s="317"/>
      <c r="E42" s="318"/>
      <c r="F42" s="308" t="str">
        <f>IFERROR(INDEX(Table_Prescript_Meas[Units], MATCH(Table_PrescriptLights_Input[[#This Row],[Measure number]], Table_Prescript_Meas[Measure Number], 0)), "")</f>
        <v/>
      </c>
      <c r="G42" s="301"/>
      <c r="H42" s="256"/>
      <c r="I42" s="256"/>
      <c r="J42" s="256"/>
      <c r="K42" s="303"/>
      <c r="L42" s="303"/>
      <c r="M4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2" s="310" t="str">
        <f>IFERROR(Table_PrescriptLights_Input[[#This Row],[Per-unit incentive]]*Table_PrescriptLights_Input[[#This Row],[Number of units]],"")</f>
        <v/>
      </c>
      <c r="O42" s="311" t="str">
        <f>IF(OR(Table_PrescriptLights_Input[[#This Row],[HVAC measure]]=References!$G$4,Table_PrescriptLights_Input[[#This Row],[HVAC measure]]=References!$G$5),'HVAC Calcs'!$H39,IFERROR(Table_PrescriptLights_Input[[#This Row],[Number of units]]*INDEX(Table_Prescript_Meas[Deemed kWh Savings], MATCH(Table_PrescriptLights_Input[[#This Row],[Measure number]], Table_Prescript_Meas[Measure Number], 0)),"" ))</f>
        <v/>
      </c>
      <c r="P42" s="312" t="str">
        <f>IF(OR(Table_PrescriptLights_Input[[#This Row],[HVAC measure]]=References!$G$4,Table_PrescriptLights_Input[[#This Row],[HVAC measure]]=References!$G$5),'HVAC Calcs'!$I39,IFERROR(Table_PrescriptLights_Input[[#This Row],[Number of units]]*INDEX(Table_Prescript_Meas[Deemed kW Savings], MATCH(Table_PrescriptLights_Input[[#This Row],[Measure number]], Table_Prescript_Meas[Measure Number], 0)),"" ))</f>
        <v/>
      </c>
      <c r="Q42" s="310" t="str">
        <f>IFERROR(Table_PrescriptLights_Input[[#This Row],[Energy savings (kWh)]]*Input_AvgkWhRate, "")</f>
        <v/>
      </c>
      <c r="R42" s="310" t="str">
        <f>IF(Table_PrescriptLights_Input[[#This Row],[HVAC measure]]="", "",Table_PrescriptLights_Input[[#This Row],[Total equipment cost]]+Table_PrescriptLights_Input[[#This Row],[Total labor cost]])</f>
        <v/>
      </c>
      <c r="S42" s="310" t="str">
        <f>IFERROR(Table_PrescriptLights_Input[[#This Row],[Gross measure cost]]-Table_PrescriptLights_Input[[#This Row],[Estimated incentive]], "")</f>
        <v/>
      </c>
      <c r="T42" s="311" t="str">
        <f t="shared" si="0"/>
        <v/>
      </c>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row>
    <row r="43" spans="1:48" x14ac:dyDescent="0.2">
      <c r="A43" s="269"/>
      <c r="B43" s="307">
        <v>38</v>
      </c>
      <c r="C43" s="308" t="str">
        <f>IFERROR(INDEX(Table_Prescript_Meas[Measure Number], MATCH(E43, Table_Prescript_Meas[Measure Description], 0)), "")</f>
        <v/>
      </c>
      <c r="D43" s="317"/>
      <c r="E43" s="318"/>
      <c r="F43" s="308" t="str">
        <f>IFERROR(INDEX(Table_Prescript_Meas[Units], MATCH(Table_PrescriptLights_Input[[#This Row],[Measure number]], Table_Prescript_Meas[Measure Number], 0)), "")</f>
        <v/>
      </c>
      <c r="G43" s="301"/>
      <c r="H43" s="256"/>
      <c r="I43" s="256"/>
      <c r="J43" s="256"/>
      <c r="K43" s="303"/>
      <c r="L43" s="303"/>
      <c r="M4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3" s="310" t="str">
        <f>IFERROR(Table_PrescriptLights_Input[[#This Row],[Per-unit incentive]]*Table_PrescriptLights_Input[[#This Row],[Number of units]],"")</f>
        <v/>
      </c>
      <c r="O43" s="311" t="str">
        <f>IF(OR(Table_PrescriptLights_Input[[#This Row],[HVAC measure]]=References!$G$4,Table_PrescriptLights_Input[[#This Row],[HVAC measure]]=References!$G$5),'HVAC Calcs'!$H40,IFERROR(Table_PrescriptLights_Input[[#This Row],[Number of units]]*INDEX(Table_Prescript_Meas[Deemed kWh Savings], MATCH(Table_PrescriptLights_Input[[#This Row],[Measure number]], Table_Prescript_Meas[Measure Number], 0)),"" ))</f>
        <v/>
      </c>
      <c r="P43" s="312" t="str">
        <f>IF(OR(Table_PrescriptLights_Input[[#This Row],[HVAC measure]]=References!$G$4,Table_PrescriptLights_Input[[#This Row],[HVAC measure]]=References!$G$5),'HVAC Calcs'!$I40,IFERROR(Table_PrescriptLights_Input[[#This Row],[Number of units]]*INDEX(Table_Prescript_Meas[Deemed kW Savings], MATCH(Table_PrescriptLights_Input[[#This Row],[Measure number]], Table_Prescript_Meas[Measure Number], 0)),"" ))</f>
        <v/>
      </c>
      <c r="Q43" s="310" t="str">
        <f>IFERROR(Table_PrescriptLights_Input[[#This Row],[Energy savings (kWh)]]*Input_AvgkWhRate, "")</f>
        <v/>
      </c>
      <c r="R43" s="310" t="str">
        <f>IF(Table_PrescriptLights_Input[[#This Row],[HVAC measure]]="", "",Table_PrescriptLights_Input[[#This Row],[Total equipment cost]]+Table_PrescriptLights_Input[[#This Row],[Total labor cost]])</f>
        <v/>
      </c>
      <c r="S43" s="310" t="str">
        <f>IFERROR(Table_PrescriptLights_Input[[#This Row],[Gross measure cost]]-Table_PrescriptLights_Input[[#This Row],[Estimated incentive]], "")</f>
        <v/>
      </c>
      <c r="T43" s="311" t="str">
        <f t="shared" si="0"/>
        <v/>
      </c>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row>
    <row r="44" spans="1:48" x14ac:dyDescent="0.2">
      <c r="A44" s="269"/>
      <c r="B44" s="307">
        <v>39</v>
      </c>
      <c r="C44" s="308" t="str">
        <f>IFERROR(INDEX(Table_Prescript_Meas[Measure Number], MATCH(E44, Table_Prescript_Meas[Measure Description], 0)), "")</f>
        <v/>
      </c>
      <c r="D44" s="317"/>
      <c r="E44" s="318"/>
      <c r="F44" s="308" t="str">
        <f>IFERROR(INDEX(Table_Prescript_Meas[Units], MATCH(Table_PrescriptLights_Input[[#This Row],[Measure number]], Table_Prescript_Meas[Measure Number], 0)), "")</f>
        <v/>
      </c>
      <c r="G44" s="301"/>
      <c r="H44" s="256"/>
      <c r="I44" s="256"/>
      <c r="J44" s="256"/>
      <c r="K44" s="303"/>
      <c r="L44" s="303"/>
      <c r="M4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4" s="310" t="str">
        <f>IFERROR(Table_PrescriptLights_Input[[#This Row],[Per-unit incentive]]*Table_PrescriptLights_Input[[#This Row],[Number of units]],"")</f>
        <v/>
      </c>
      <c r="O44" s="311" t="str">
        <f>IF(OR(Table_PrescriptLights_Input[[#This Row],[HVAC measure]]=References!$G$4,Table_PrescriptLights_Input[[#This Row],[HVAC measure]]=References!$G$5),'HVAC Calcs'!$H41,IFERROR(Table_PrescriptLights_Input[[#This Row],[Number of units]]*INDEX(Table_Prescript_Meas[Deemed kWh Savings], MATCH(Table_PrescriptLights_Input[[#This Row],[Measure number]], Table_Prescript_Meas[Measure Number], 0)),"" ))</f>
        <v/>
      </c>
      <c r="P44" s="312" t="str">
        <f>IF(OR(Table_PrescriptLights_Input[[#This Row],[HVAC measure]]=References!$G$4,Table_PrescriptLights_Input[[#This Row],[HVAC measure]]=References!$G$5),'HVAC Calcs'!$I41,IFERROR(Table_PrescriptLights_Input[[#This Row],[Number of units]]*INDEX(Table_Prescript_Meas[Deemed kW Savings], MATCH(Table_PrescriptLights_Input[[#This Row],[Measure number]], Table_Prescript_Meas[Measure Number], 0)),"" ))</f>
        <v/>
      </c>
      <c r="Q44" s="310" t="str">
        <f>IFERROR(Table_PrescriptLights_Input[[#This Row],[Energy savings (kWh)]]*Input_AvgkWhRate, "")</f>
        <v/>
      </c>
      <c r="R44" s="310" t="str">
        <f>IF(Table_PrescriptLights_Input[[#This Row],[HVAC measure]]="", "",Table_PrescriptLights_Input[[#This Row],[Total equipment cost]]+Table_PrescriptLights_Input[[#This Row],[Total labor cost]])</f>
        <v/>
      </c>
      <c r="S44" s="310" t="str">
        <f>IFERROR(Table_PrescriptLights_Input[[#This Row],[Gross measure cost]]-Table_PrescriptLights_Input[[#This Row],[Estimated incentive]], "")</f>
        <v/>
      </c>
      <c r="T44" s="311" t="str">
        <f t="shared" si="0"/>
        <v/>
      </c>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row>
    <row r="45" spans="1:48" x14ac:dyDescent="0.2">
      <c r="A45" s="269"/>
      <c r="B45" s="307">
        <v>40</v>
      </c>
      <c r="C45" s="308" t="str">
        <f>IFERROR(INDEX(Table_Prescript_Meas[Measure Number], MATCH(E45, Table_Prescript_Meas[Measure Description], 0)), "")</f>
        <v/>
      </c>
      <c r="D45" s="317"/>
      <c r="E45" s="318"/>
      <c r="F45" s="308" t="str">
        <f>IFERROR(INDEX(Table_Prescript_Meas[Units], MATCH(Table_PrescriptLights_Input[[#This Row],[Measure number]], Table_Prescript_Meas[Measure Number], 0)), "")</f>
        <v/>
      </c>
      <c r="G45" s="301"/>
      <c r="H45" s="256"/>
      <c r="I45" s="256"/>
      <c r="J45" s="256"/>
      <c r="K45" s="303"/>
      <c r="L45" s="303"/>
      <c r="M4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5" s="310" t="str">
        <f>IFERROR(Table_PrescriptLights_Input[[#This Row],[Per-unit incentive]]*Table_PrescriptLights_Input[[#This Row],[Number of units]],"")</f>
        <v/>
      </c>
      <c r="O45" s="311" t="str">
        <f>IF(OR(Table_PrescriptLights_Input[[#This Row],[HVAC measure]]=References!$G$4,Table_PrescriptLights_Input[[#This Row],[HVAC measure]]=References!$G$5),'HVAC Calcs'!$H42,IFERROR(Table_PrescriptLights_Input[[#This Row],[Number of units]]*INDEX(Table_Prescript_Meas[Deemed kWh Savings], MATCH(Table_PrescriptLights_Input[[#This Row],[Measure number]], Table_Prescript_Meas[Measure Number], 0)),"" ))</f>
        <v/>
      </c>
      <c r="P45" s="312" t="str">
        <f>IF(OR(Table_PrescriptLights_Input[[#This Row],[HVAC measure]]=References!$G$4,Table_PrescriptLights_Input[[#This Row],[HVAC measure]]=References!$G$5),'HVAC Calcs'!$I42,IFERROR(Table_PrescriptLights_Input[[#This Row],[Number of units]]*INDEX(Table_Prescript_Meas[Deemed kW Savings], MATCH(Table_PrescriptLights_Input[[#This Row],[Measure number]], Table_Prescript_Meas[Measure Number], 0)),"" ))</f>
        <v/>
      </c>
      <c r="Q45" s="310" t="str">
        <f>IFERROR(Table_PrescriptLights_Input[[#This Row],[Energy savings (kWh)]]*Input_AvgkWhRate, "")</f>
        <v/>
      </c>
      <c r="R45" s="310" t="str">
        <f>IF(Table_PrescriptLights_Input[[#This Row],[HVAC measure]]="", "",Table_PrescriptLights_Input[[#This Row],[Total equipment cost]]+Table_PrescriptLights_Input[[#This Row],[Total labor cost]])</f>
        <v/>
      </c>
      <c r="S45" s="310" t="str">
        <f>IFERROR(Table_PrescriptLights_Input[[#This Row],[Gross measure cost]]-Table_PrescriptLights_Input[[#This Row],[Estimated incentive]], "")</f>
        <v/>
      </c>
      <c r="T45" s="311" t="str">
        <f t="shared" si="0"/>
        <v/>
      </c>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row>
    <row r="46" spans="1:48" x14ac:dyDescent="0.2">
      <c r="A46" s="269"/>
      <c r="B46" s="307">
        <v>41</v>
      </c>
      <c r="C46" s="308" t="str">
        <f>IFERROR(INDEX(Table_Prescript_Meas[Measure Number], MATCH(E46, Table_Prescript_Meas[Measure Description], 0)), "")</f>
        <v/>
      </c>
      <c r="D46" s="317"/>
      <c r="E46" s="318"/>
      <c r="F46" s="308" t="str">
        <f>IFERROR(INDEX(Table_Prescript_Meas[Units], MATCH(Table_PrescriptLights_Input[[#This Row],[Measure number]], Table_Prescript_Meas[Measure Number], 0)), "")</f>
        <v/>
      </c>
      <c r="G46" s="301"/>
      <c r="H46" s="256"/>
      <c r="I46" s="256"/>
      <c r="J46" s="256"/>
      <c r="K46" s="303"/>
      <c r="L46" s="303"/>
      <c r="M46"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6" s="310" t="str">
        <f>IFERROR(Table_PrescriptLights_Input[[#This Row],[Per-unit incentive]]*Table_PrescriptLights_Input[[#This Row],[Number of units]],"")</f>
        <v/>
      </c>
      <c r="O46" s="311" t="str">
        <f>IF(OR(Table_PrescriptLights_Input[[#This Row],[HVAC measure]]=References!$G$4,Table_PrescriptLights_Input[[#This Row],[HVAC measure]]=References!$G$5),'HVAC Calcs'!$H43,IFERROR(Table_PrescriptLights_Input[[#This Row],[Number of units]]*INDEX(Table_Prescript_Meas[Deemed kWh Savings], MATCH(Table_PrescriptLights_Input[[#This Row],[Measure number]], Table_Prescript_Meas[Measure Number], 0)),"" ))</f>
        <v/>
      </c>
      <c r="P46" s="312" t="str">
        <f>IF(OR(Table_PrescriptLights_Input[[#This Row],[HVAC measure]]=References!$G$4,Table_PrescriptLights_Input[[#This Row],[HVAC measure]]=References!$G$5),'HVAC Calcs'!$I43,IFERROR(Table_PrescriptLights_Input[[#This Row],[Number of units]]*INDEX(Table_Prescript_Meas[Deemed kW Savings], MATCH(Table_PrescriptLights_Input[[#This Row],[Measure number]], Table_Prescript_Meas[Measure Number], 0)),"" ))</f>
        <v/>
      </c>
      <c r="Q46" s="310" t="str">
        <f>IFERROR(Table_PrescriptLights_Input[[#This Row],[Energy savings (kWh)]]*Input_AvgkWhRate, "")</f>
        <v/>
      </c>
      <c r="R46" s="310" t="str">
        <f>IF(Table_PrescriptLights_Input[[#This Row],[HVAC measure]]="", "",Table_PrescriptLights_Input[[#This Row],[Total equipment cost]]+Table_PrescriptLights_Input[[#This Row],[Total labor cost]])</f>
        <v/>
      </c>
      <c r="S46" s="310" t="str">
        <f>IFERROR(Table_PrescriptLights_Input[[#This Row],[Gross measure cost]]-Table_PrescriptLights_Input[[#This Row],[Estimated incentive]], "")</f>
        <v/>
      </c>
      <c r="T46" s="311" t="str">
        <f t="shared" si="0"/>
        <v/>
      </c>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row>
    <row r="47" spans="1:48" x14ac:dyDescent="0.2">
      <c r="A47" s="269"/>
      <c r="B47" s="307">
        <v>42</v>
      </c>
      <c r="C47" s="308" t="str">
        <f>IFERROR(INDEX(Table_Prescript_Meas[Measure Number], MATCH(E47, Table_Prescript_Meas[Measure Description], 0)), "")</f>
        <v/>
      </c>
      <c r="D47" s="317"/>
      <c r="E47" s="318"/>
      <c r="F47" s="308" t="str">
        <f>IFERROR(INDEX(Table_Prescript_Meas[Units], MATCH(Table_PrescriptLights_Input[[#This Row],[Measure number]], Table_Prescript_Meas[Measure Number], 0)), "")</f>
        <v/>
      </c>
      <c r="G47" s="301"/>
      <c r="H47" s="256"/>
      <c r="I47" s="256"/>
      <c r="J47" s="256"/>
      <c r="K47" s="303"/>
      <c r="L47" s="303"/>
      <c r="M47"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7" s="310" t="str">
        <f>IFERROR(Table_PrescriptLights_Input[[#This Row],[Per-unit incentive]]*Table_PrescriptLights_Input[[#This Row],[Number of units]],"")</f>
        <v/>
      </c>
      <c r="O47" s="311" t="str">
        <f>IF(OR(Table_PrescriptLights_Input[[#This Row],[HVAC measure]]=References!$G$4,Table_PrescriptLights_Input[[#This Row],[HVAC measure]]=References!$G$5),'HVAC Calcs'!$H44,IFERROR(Table_PrescriptLights_Input[[#This Row],[Number of units]]*INDEX(Table_Prescript_Meas[Deemed kWh Savings], MATCH(Table_PrescriptLights_Input[[#This Row],[Measure number]], Table_Prescript_Meas[Measure Number], 0)),"" ))</f>
        <v/>
      </c>
      <c r="P47" s="312" t="str">
        <f>IF(OR(Table_PrescriptLights_Input[[#This Row],[HVAC measure]]=References!$G$4,Table_PrescriptLights_Input[[#This Row],[HVAC measure]]=References!$G$5),'HVAC Calcs'!$I44,IFERROR(Table_PrescriptLights_Input[[#This Row],[Number of units]]*INDEX(Table_Prescript_Meas[Deemed kW Savings], MATCH(Table_PrescriptLights_Input[[#This Row],[Measure number]], Table_Prescript_Meas[Measure Number], 0)),"" ))</f>
        <v/>
      </c>
      <c r="Q47" s="310" t="str">
        <f>IFERROR(Table_PrescriptLights_Input[[#This Row],[Energy savings (kWh)]]*Input_AvgkWhRate, "")</f>
        <v/>
      </c>
      <c r="R47" s="310" t="str">
        <f>IF(Table_PrescriptLights_Input[[#This Row],[HVAC measure]]="", "",Table_PrescriptLights_Input[[#This Row],[Total equipment cost]]+Table_PrescriptLights_Input[[#This Row],[Total labor cost]])</f>
        <v/>
      </c>
      <c r="S47" s="310" t="str">
        <f>IFERROR(Table_PrescriptLights_Input[[#This Row],[Gross measure cost]]-Table_PrescriptLights_Input[[#This Row],[Estimated incentive]], "")</f>
        <v/>
      </c>
      <c r="T47" s="311" t="str">
        <f t="shared" si="0"/>
        <v/>
      </c>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row>
    <row r="48" spans="1:48" x14ac:dyDescent="0.2">
      <c r="A48" s="269"/>
      <c r="B48" s="307">
        <v>43</v>
      </c>
      <c r="C48" s="308" t="str">
        <f>IFERROR(INDEX(Table_Prescript_Meas[Measure Number], MATCH(E48, Table_Prescript_Meas[Measure Description], 0)), "")</f>
        <v/>
      </c>
      <c r="D48" s="317"/>
      <c r="E48" s="318"/>
      <c r="F48" s="308" t="str">
        <f>IFERROR(INDEX(Table_Prescript_Meas[Units], MATCH(Table_PrescriptLights_Input[[#This Row],[Measure number]], Table_Prescript_Meas[Measure Number], 0)), "")</f>
        <v/>
      </c>
      <c r="G48" s="301"/>
      <c r="H48" s="256"/>
      <c r="I48" s="256"/>
      <c r="J48" s="256"/>
      <c r="K48" s="303"/>
      <c r="L48" s="303"/>
      <c r="M48"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8" s="310" t="str">
        <f>IFERROR(Table_PrescriptLights_Input[[#This Row],[Per-unit incentive]]*Table_PrescriptLights_Input[[#This Row],[Number of units]],"")</f>
        <v/>
      </c>
      <c r="O48" s="311" t="str">
        <f>IF(OR(Table_PrescriptLights_Input[[#This Row],[HVAC measure]]=References!$G$4,Table_PrescriptLights_Input[[#This Row],[HVAC measure]]=References!$G$5),'HVAC Calcs'!$H45,IFERROR(Table_PrescriptLights_Input[[#This Row],[Number of units]]*INDEX(Table_Prescript_Meas[Deemed kWh Savings], MATCH(Table_PrescriptLights_Input[[#This Row],[Measure number]], Table_Prescript_Meas[Measure Number], 0)),"" ))</f>
        <v/>
      </c>
      <c r="P48" s="312" t="str">
        <f>IF(OR(Table_PrescriptLights_Input[[#This Row],[HVAC measure]]=References!$G$4,Table_PrescriptLights_Input[[#This Row],[HVAC measure]]=References!$G$5),'HVAC Calcs'!$I45,IFERROR(Table_PrescriptLights_Input[[#This Row],[Number of units]]*INDEX(Table_Prescript_Meas[Deemed kW Savings], MATCH(Table_PrescriptLights_Input[[#This Row],[Measure number]], Table_Prescript_Meas[Measure Number], 0)),"" ))</f>
        <v/>
      </c>
      <c r="Q48" s="310" t="str">
        <f>IFERROR(Table_PrescriptLights_Input[[#This Row],[Energy savings (kWh)]]*Input_AvgkWhRate, "")</f>
        <v/>
      </c>
      <c r="R48" s="310" t="str">
        <f>IF(Table_PrescriptLights_Input[[#This Row],[HVAC measure]]="", "",Table_PrescriptLights_Input[[#This Row],[Total equipment cost]]+Table_PrescriptLights_Input[[#This Row],[Total labor cost]])</f>
        <v/>
      </c>
      <c r="S48" s="310" t="str">
        <f>IFERROR(Table_PrescriptLights_Input[[#This Row],[Gross measure cost]]-Table_PrescriptLights_Input[[#This Row],[Estimated incentive]], "")</f>
        <v/>
      </c>
      <c r="T48" s="311" t="str">
        <f t="shared" si="0"/>
        <v/>
      </c>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row>
    <row r="49" spans="1:48" x14ac:dyDescent="0.2">
      <c r="A49" s="269"/>
      <c r="B49" s="307">
        <v>44</v>
      </c>
      <c r="C49" s="308" t="str">
        <f>IFERROR(INDEX(Table_Prescript_Meas[Measure Number], MATCH(E49, Table_Prescript_Meas[Measure Description], 0)), "")</f>
        <v/>
      </c>
      <c r="D49" s="317"/>
      <c r="E49" s="318"/>
      <c r="F49" s="308" t="str">
        <f>IFERROR(INDEX(Table_Prescript_Meas[Units], MATCH(Table_PrescriptLights_Input[[#This Row],[Measure number]], Table_Prescript_Meas[Measure Number], 0)), "")</f>
        <v/>
      </c>
      <c r="G49" s="301"/>
      <c r="H49" s="256"/>
      <c r="I49" s="256"/>
      <c r="J49" s="256"/>
      <c r="K49" s="303"/>
      <c r="L49" s="303"/>
      <c r="M49"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49" s="310" t="str">
        <f>IFERROR(Table_PrescriptLights_Input[[#This Row],[Per-unit incentive]]*Table_PrescriptLights_Input[[#This Row],[Number of units]],"")</f>
        <v/>
      </c>
      <c r="O49" s="311" t="str">
        <f>IF(OR(Table_PrescriptLights_Input[[#This Row],[HVAC measure]]=References!$G$4,Table_PrescriptLights_Input[[#This Row],[HVAC measure]]=References!$G$5),'HVAC Calcs'!$H46,IFERROR(Table_PrescriptLights_Input[[#This Row],[Number of units]]*INDEX(Table_Prescript_Meas[Deemed kWh Savings], MATCH(Table_PrescriptLights_Input[[#This Row],[Measure number]], Table_Prescript_Meas[Measure Number], 0)),"" ))</f>
        <v/>
      </c>
      <c r="P49" s="312" t="str">
        <f>IF(OR(Table_PrescriptLights_Input[[#This Row],[HVAC measure]]=References!$G$4,Table_PrescriptLights_Input[[#This Row],[HVAC measure]]=References!$G$5),'HVAC Calcs'!$I46,IFERROR(Table_PrescriptLights_Input[[#This Row],[Number of units]]*INDEX(Table_Prescript_Meas[Deemed kW Savings], MATCH(Table_PrescriptLights_Input[[#This Row],[Measure number]], Table_Prescript_Meas[Measure Number], 0)),"" ))</f>
        <v/>
      </c>
      <c r="Q49" s="310" t="str">
        <f>IFERROR(Table_PrescriptLights_Input[[#This Row],[Energy savings (kWh)]]*Input_AvgkWhRate, "")</f>
        <v/>
      </c>
      <c r="R49" s="310" t="str">
        <f>IF(Table_PrescriptLights_Input[[#This Row],[HVAC measure]]="", "",Table_PrescriptLights_Input[[#This Row],[Total equipment cost]]+Table_PrescriptLights_Input[[#This Row],[Total labor cost]])</f>
        <v/>
      </c>
      <c r="S49" s="310" t="str">
        <f>IFERROR(Table_PrescriptLights_Input[[#This Row],[Gross measure cost]]-Table_PrescriptLights_Input[[#This Row],[Estimated incentive]], "")</f>
        <v/>
      </c>
      <c r="T49" s="311" t="str">
        <f t="shared" si="0"/>
        <v/>
      </c>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row>
    <row r="50" spans="1:48" x14ac:dyDescent="0.2">
      <c r="A50" s="269"/>
      <c r="B50" s="307">
        <v>45</v>
      </c>
      <c r="C50" s="308" t="str">
        <f>IFERROR(INDEX(Table_Prescript_Meas[Measure Number], MATCH(E50, Table_Prescript_Meas[Measure Description], 0)), "")</f>
        <v/>
      </c>
      <c r="D50" s="317"/>
      <c r="E50" s="318"/>
      <c r="F50" s="308" t="str">
        <f>IFERROR(INDEX(Table_Prescript_Meas[Units], MATCH(Table_PrescriptLights_Input[[#This Row],[Measure number]], Table_Prescript_Meas[Measure Number], 0)), "")</f>
        <v/>
      </c>
      <c r="G50" s="301"/>
      <c r="H50" s="256"/>
      <c r="I50" s="256"/>
      <c r="J50" s="256"/>
      <c r="K50" s="303"/>
      <c r="L50" s="303"/>
      <c r="M50"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0" s="310" t="str">
        <f>IFERROR(Table_PrescriptLights_Input[[#This Row],[Per-unit incentive]]*Table_PrescriptLights_Input[[#This Row],[Number of units]],"")</f>
        <v/>
      </c>
      <c r="O50" s="311" t="str">
        <f>IF(OR(Table_PrescriptLights_Input[[#This Row],[HVAC measure]]=References!$G$4,Table_PrescriptLights_Input[[#This Row],[HVAC measure]]=References!$G$5),'HVAC Calcs'!$H47,IFERROR(Table_PrescriptLights_Input[[#This Row],[Number of units]]*INDEX(Table_Prescript_Meas[Deemed kWh Savings], MATCH(Table_PrescriptLights_Input[[#This Row],[Measure number]], Table_Prescript_Meas[Measure Number], 0)),"" ))</f>
        <v/>
      </c>
      <c r="P50" s="312" t="str">
        <f>IF(OR(Table_PrescriptLights_Input[[#This Row],[HVAC measure]]=References!$G$4,Table_PrescriptLights_Input[[#This Row],[HVAC measure]]=References!$G$5),'HVAC Calcs'!$I47,IFERROR(Table_PrescriptLights_Input[[#This Row],[Number of units]]*INDEX(Table_Prescript_Meas[Deemed kW Savings], MATCH(Table_PrescriptLights_Input[[#This Row],[Measure number]], Table_Prescript_Meas[Measure Number], 0)),"" ))</f>
        <v/>
      </c>
      <c r="Q50" s="310" t="str">
        <f>IFERROR(Table_PrescriptLights_Input[[#This Row],[Energy savings (kWh)]]*Input_AvgkWhRate, "")</f>
        <v/>
      </c>
      <c r="R50" s="310" t="str">
        <f>IF(Table_PrescriptLights_Input[[#This Row],[HVAC measure]]="", "",Table_PrescriptLights_Input[[#This Row],[Total equipment cost]]+Table_PrescriptLights_Input[[#This Row],[Total labor cost]])</f>
        <v/>
      </c>
      <c r="S50" s="310" t="str">
        <f>IFERROR(Table_PrescriptLights_Input[[#This Row],[Gross measure cost]]-Table_PrescriptLights_Input[[#This Row],[Estimated incentive]], "")</f>
        <v/>
      </c>
      <c r="T50" s="311" t="str">
        <f t="shared" si="0"/>
        <v/>
      </c>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row>
    <row r="51" spans="1:48" x14ac:dyDescent="0.2">
      <c r="A51" s="269"/>
      <c r="B51" s="307">
        <v>46</v>
      </c>
      <c r="C51" s="308" t="str">
        <f>IFERROR(INDEX(Table_Prescript_Meas[Measure Number], MATCH(E51, Table_Prescript_Meas[Measure Description], 0)), "")</f>
        <v/>
      </c>
      <c r="D51" s="317"/>
      <c r="E51" s="318"/>
      <c r="F51" s="308" t="str">
        <f>IFERROR(INDEX(Table_Prescript_Meas[Units], MATCH(Table_PrescriptLights_Input[[#This Row],[Measure number]], Table_Prescript_Meas[Measure Number], 0)), "")</f>
        <v/>
      </c>
      <c r="G51" s="301"/>
      <c r="H51" s="256"/>
      <c r="I51" s="256"/>
      <c r="J51" s="256"/>
      <c r="K51" s="303"/>
      <c r="L51" s="303"/>
      <c r="M51"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1" s="310" t="str">
        <f>IFERROR(Table_PrescriptLights_Input[[#This Row],[Per-unit incentive]]*Table_PrescriptLights_Input[[#This Row],[Number of units]],"")</f>
        <v/>
      </c>
      <c r="O51" s="311" t="str">
        <f>IF(OR(Table_PrescriptLights_Input[[#This Row],[HVAC measure]]=References!$G$4,Table_PrescriptLights_Input[[#This Row],[HVAC measure]]=References!$G$5),'HVAC Calcs'!$H48,IFERROR(Table_PrescriptLights_Input[[#This Row],[Number of units]]*INDEX(Table_Prescript_Meas[Deemed kWh Savings], MATCH(Table_PrescriptLights_Input[[#This Row],[Measure number]], Table_Prescript_Meas[Measure Number], 0)),"" ))</f>
        <v/>
      </c>
      <c r="P51" s="312" t="str">
        <f>IF(OR(Table_PrescriptLights_Input[[#This Row],[HVAC measure]]=References!$G$4,Table_PrescriptLights_Input[[#This Row],[HVAC measure]]=References!$G$5),'HVAC Calcs'!$I48,IFERROR(Table_PrescriptLights_Input[[#This Row],[Number of units]]*INDEX(Table_Prescript_Meas[Deemed kW Savings], MATCH(Table_PrescriptLights_Input[[#This Row],[Measure number]], Table_Prescript_Meas[Measure Number], 0)),"" ))</f>
        <v/>
      </c>
      <c r="Q51" s="310" t="str">
        <f>IFERROR(Table_PrescriptLights_Input[[#This Row],[Energy savings (kWh)]]*Input_AvgkWhRate, "")</f>
        <v/>
      </c>
      <c r="R51" s="310" t="str">
        <f>IF(Table_PrescriptLights_Input[[#This Row],[HVAC measure]]="", "",Table_PrescriptLights_Input[[#This Row],[Total equipment cost]]+Table_PrescriptLights_Input[[#This Row],[Total labor cost]])</f>
        <v/>
      </c>
      <c r="S51" s="310" t="str">
        <f>IFERROR(Table_PrescriptLights_Input[[#This Row],[Gross measure cost]]-Table_PrescriptLights_Input[[#This Row],[Estimated incentive]], "")</f>
        <v/>
      </c>
      <c r="T51" s="311" t="str">
        <f t="shared" si="0"/>
        <v/>
      </c>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row>
    <row r="52" spans="1:48" x14ac:dyDescent="0.2">
      <c r="A52" s="269"/>
      <c r="B52" s="307">
        <v>47</v>
      </c>
      <c r="C52" s="308" t="str">
        <f>IFERROR(INDEX(Table_Prescript_Meas[Measure Number], MATCH(E52, Table_Prescript_Meas[Measure Description], 0)), "")</f>
        <v/>
      </c>
      <c r="D52" s="317"/>
      <c r="E52" s="318"/>
      <c r="F52" s="308" t="str">
        <f>IFERROR(INDEX(Table_Prescript_Meas[Units], MATCH(Table_PrescriptLights_Input[[#This Row],[Measure number]], Table_Prescript_Meas[Measure Number], 0)), "")</f>
        <v/>
      </c>
      <c r="G52" s="301"/>
      <c r="H52" s="256"/>
      <c r="I52" s="256"/>
      <c r="J52" s="256"/>
      <c r="K52" s="303"/>
      <c r="L52" s="303"/>
      <c r="M52"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2" s="310" t="str">
        <f>IFERROR(Table_PrescriptLights_Input[[#This Row],[Per-unit incentive]]*Table_PrescriptLights_Input[[#This Row],[Number of units]],"")</f>
        <v/>
      </c>
      <c r="O52" s="311" t="str">
        <f>IF(OR(Table_PrescriptLights_Input[[#This Row],[HVAC measure]]=References!$G$4,Table_PrescriptLights_Input[[#This Row],[HVAC measure]]=References!$G$5),'HVAC Calcs'!$H49,IFERROR(Table_PrescriptLights_Input[[#This Row],[Number of units]]*INDEX(Table_Prescript_Meas[Deemed kWh Savings], MATCH(Table_PrescriptLights_Input[[#This Row],[Measure number]], Table_Prescript_Meas[Measure Number], 0)),"" ))</f>
        <v/>
      </c>
      <c r="P52" s="312" t="str">
        <f>IF(OR(Table_PrescriptLights_Input[[#This Row],[HVAC measure]]=References!$G$4,Table_PrescriptLights_Input[[#This Row],[HVAC measure]]=References!$G$5),'HVAC Calcs'!$I49,IFERROR(Table_PrescriptLights_Input[[#This Row],[Number of units]]*INDEX(Table_Prescript_Meas[Deemed kW Savings], MATCH(Table_PrescriptLights_Input[[#This Row],[Measure number]], Table_Prescript_Meas[Measure Number], 0)),"" ))</f>
        <v/>
      </c>
      <c r="Q52" s="310" t="str">
        <f>IFERROR(Table_PrescriptLights_Input[[#This Row],[Energy savings (kWh)]]*Input_AvgkWhRate, "")</f>
        <v/>
      </c>
      <c r="R52" s="310" t="str">
        <f>IF(Table_PrescriptLights_Input[[#This Row],[HVAC measure]]="", "",Table_PrescriptLights_Input[[#This Row],[Total equipment cost]]+Table_PrescriptLights_Input[[#This Row],[Total labor cost]])</f>
        <v/>
      </c>
      <c r="S52" s="310" t="str">
        <f>IFERROR(Table_PrescriptLights_Input[[#This Row],[Gross measure cost]]-Table_PrescriptLights_Input[[#This Row],[Estimated incentive]], "")</f>
        <v/>
      </c>
      <c r="T52" s="311" t="str">
        <f t="shared" si="0"/>
        <v/>
      </c>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row>
    <row r="53" spans="1:48" x14ac:dyDescent="0.2">
      <c r="A53" s="269"/>
      <c r="B53" s="307">
        <v>48</v>
      </c>
      <c r="C53" s="308" t="str">
        <f>IFERROR(INDEX(Table_Prescript_Meas[Measure Number], MATCH(E53, Table_Prescript_Meas[Measure Description], 0)), "")</f>
        <v/>
      </c>
      <c r="D53" s="317"/>
      <c r="E53" s="318"/>
      <c r="F53" s="308" t="str">
        <f>IFERROR(INDEX(Table_Prescript_Meas[Units], MATCH(Table_PrescriptLights_Input[[#This Row],[Measure number]], Table_Prescript_Meas[Measure Number], 0)), "")</f>
        <v/>
      </c>
      <c r="G53" s="301"/>
      <c r="H53" s="256"/>
      <c r="I53" s="256"/>
      <c r="J53" s="256"/>
      <c r="K53" s="303"/>
      <c r="L53" s="303"/>
      <c r="M53"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3" s="310" t="str">
        <f>IFERROR(Table_PrescriptLights_Input[[#This Row],[Per-unit incentive]]*Table_PrescriptLights_Input[[#This Row],[Number of units]],"")</f>
        <v/>
      </c>
      <c r="O53" s="311" t="str">
        <f>IF(OR(Table_PrescriptLights_Input[[#This Row],[HVAC measure]]=References!$G$4,Table_PrescriptLights_Input[[#This Row],[HVAC measure]]=References!$G$5),'HVAC Calcs'!$H50,IFERROR(Table_PrescriptLights_Input[[#This Row],[Number of units]]*INDEX(Table_Prescript_Meas[Deemed kWh Savings], MATCH(Table_PrescriptLights_Input[[#This Row],[Measure number]], Table_Prescript_Meas[Measure Number], 0)),"" ))</f>
        <v/>
      </c>
      <c r="P53" s="312" t="str">
        <f>IF(OR(Table_PrescriptLights_Input[[#This Row],[HVAC measure]]=References!$G$4,Table_PrescriptLights_Input[[#This Row],[HVAC measure]]=References!$G$5),'HVAC Calcs'!$I50,IFERROR(Table_PrescriptLights_Input[[#This Row],[Number of units]]*INDEX(Table_Prescript_Meas[Deemed kW Savings], MATCH(Table_PrescriptLights_Input[[#This Row],[Measure number]], Table_Prescript_Meas[Measure Number], 0)),"" ))</f>
        <v/>
      </c>
      <c r="Q53" s="310" t="str">
        <f>IFERROR(Table_PrescriptLights_Input[[#This Row],[Energy savings (kWh)]]*Input_AvgkWhRate, "")</f>
        <v/>
      </c>
      <c r="R53" s="310" t="str">
        <f>IF(Table_PrescriptLights_Input[[#This Row],[HVAC measure]]="", "",Table_PrescriptLights_Input[[#This Row],[Total equipment cost]]+Table_PrescriptLights_Input[[#This Row],[Total labor cost]])</f>
        <v/>
      </c>
      <c r="S53" s="310" t="str">
        <f>IFERROR(Table_PrescriptLights_Input[[#This Row],[Gross measure cost]]-Table_PrescriptLights_Input[[#This Row],[Estimated incentive]], "")</f>
        <v/>
      </c>
      <c r="T53" s="311" t="str">
        <f t="shared" si="0"/>
        <v/>
      </c>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row>
    <row r="54" spans="1:48" x14ac:dyDescent="0.2">
      <c r="A54" s="269"/>
      <c r="B54" s="307">
        <v>49</v>
      </c>
      <c r="C54" s="308" t="str">
        <f>IFERROR(INDEX(Table_Prescript_Meas[Measure Number], MATCH(E54, Table_Prescript_Meas[Measure Description], 0)), "")</f>
        <v/>
      </c>
      <c r="D54" s="317"/>
      <c r="E54" s="318"/>
      <c r="F54" s="308" t="str">
        <f>IFERROR(INDEX(Table_Prescript_Meas[Units], MATCH(Table_PrescriptLights_Input[[#This Row],[Measure number]], Table_Prescript_Meas[Measure Number], 0)), "")</f>
        <v/>
      </c>
      <c r="G54" s="301"/>
      <c r="H54" s="256"/>
      <c r="I54" s="256"/>
      <c r="J54" s="256"/>
      <c r="K54" s="303"/>
      <c r="L54" s="303"/>
      <c r="M54"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4" s="310" t="str">
        <f>IFERROR(Table_PrescriptLights_Input[[#This Row],[Per-unit incentive]]*Table_PrescriptLights_Input[[#This Row],[Number of units]],"")</f>
        <v/>
      </c>
      <c r="O54" s="311" t="str">
        <f>IF(OR(Table_PrescriptLights_Input[[#This Row],[HVAC measure]]=References!$G$4,Table_PrescriptLights_Input[[#This Row],[HVAC measure]]=References!$G$5),'HVAC Calcs'!$H51,IFERROR(Table_PrescriptLights_Input[[#This Row],[Number of units]]*INDEX(Table_Prescript_Meas[Deemed kWh Savings], MATCH(Table_PrescriptLights_Input[[#This Row],[Measure number]], Table_Prescript_Meas[Measure Number], 0)),"" ))</f>
        <v/>
      </c>
      <c r="P54" s="312" t="str">
        <f>IF(OR(Table_PrescriptLights_Input[[#This Row],[HVAC measure]]=References!$G$4,Table_PrescriptLights_Input[[#This Row],[HVAC measure]]=References!$G$5),'HVAC Calcs'!$I51,IFERROR(Table_PrescriptLights_Input[[#This Row],[Number of units]]*INDEX(Table_Prescript_Meas[Deemed kW Savings], MATCH(Table_PrescriptLights_Input[[#This Row],[Measure number]], Table_Prescript_Meas[Measure Number], 0)),"" ))</f>
        <v/>
      </c>
      <c r="Q54" s="310" t="str">
        <f>IFERROR(Table_PrescriptLights_Input[[#This Row],[Energy savings (kWh)]]*Input_AvgkWhRate, "")</f>
        <v/>
      </c>
      <c r="R54" s="310" t="str">
        <f>IF(Table_PrescriptLights_Input[[#This Row],[HVAC measure]]="", "",Table_PrescriptLights_Input[[#This Row],[Total equipment cost]]+Table_PrescriptLights_Input[[#This Row],[Total labor cost]])</f>
        <v/>
      </c>
      <c r="S54" s="310" t="str">
        <f>IFERROR(Table_PrescriptLights_Input[[#This Row],[Gross measure cost]]-Table_PrescriptLights_Input[[#This Row],[Estimated incentive]], "")</f>
        <v/>
      </c>
      <c r="T54" s="311" t="str">
        <f t="shared" si="0"/>
        <v/>
      </c>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row>
    <row r="55" spans="1:48" x14ac:dyDescent="0.2">
      <c r="A55" s="269"/>
      <c r="B55" s="307">
        <v>50</v>
      </c>
      <c r="C55" s="308" t="str">
        <f>IFERROR(INDEX(Table_Prescript_Meas[Measure Number], MATCH(E55, Table_Prescript_Meas[Measure Description], 0)), "")</f>
        <v/>
      </c>
      <c r="D55" s="317"/>
      <c r="E55" s="318"/>
      <c r="F55" s="308" t="str">
        <f>IFERROR(INDEX(Table_Prescript_Meas[Units], MATCH(Table_PrescriptLights_Input[[#This Row],[Measure number]], Table_Prescript_Meas[Measure Number], 0)), "")</f>
        <v/>
      </c>
      <c r="G55" s="301"/>
      <c r="H55" s="256"/>
      <c r="I55" s="256"/>
      <c r="J55" s="256"/>
      <c r="K55" s="303"/>
      <c r="L55" s="303"/>
      <c r="M55" s="31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N55" s="310" t="str">
        <f>IFERROR(Table_PrescriptLights_Input[[#This Row],[Per-unit incentive]]*Table_PrescriptLights_Input[[#This Row],[Number of units]],"")</f>
        <v/>
      </c>
      <c r="O55" s="311" t="str">
        <f>IF(OR(Table_PrescriptLights_Input[[#This Row],[HVAC measure]]=References!$G$4,Table_PrescriptLights_Input[[#This Row],[HVAC measure]]=References!$G$5),'HVAC Calcs'!$H52,IFERROR(Table_PrescriptLights_Input[[#This Row],[Number of units]]*INDEX(Table_Prescript_Meas[Deemed kWh Savings], MATCH(Table_PrescriptLights_Input[[#This Row],[Measure number]], Table_Prescript_Meas[Measure Number], 0)),"" ))</f>
        <v/>
      </c>
      <c r="P55" s="312" t="str">
        <f>IF(OR(Table_PrescriptLights_Input[[#This Row],[HVAC measure]]=References!$G$4,Table_PrescriptLights_Input[[#This Row],[HVAC measure]]=References!$G$5),'HVAC Calcs'!$I52,IFERROR(Table_PrescriptLights_Input[[#This Row],[Number of units]]*INDEX(Table_Prescript_Meas[Deemed kW Savings], MATCH(Table_PrescriptLights_Input[[#This Row],[Measure number]], Table_Prescript_Meas[Measure Number], 0)),"" ))</f>
        <v/>
      </c>
      <c r="Q55" s="310" t="str">
        <f>IFERROR(Table_PrescriptLights_Input[[#This Row],[Energy savings (kWh)]]*Input_AvgkWhRate, "")</f>
        <v/>
      </c>
      <c r="R55" s="310" t="str">
        <f>IF(Table_PrescriptLights_Input[[#This Row],[HVAC measure]]="", "",Table_PrescriptLights_Input[[#This Row],[Total equipment cost]]+Table_PrescriptLights_Input[[#This Row],[Total labor cost]])</f>
        <v/>
      </c>
      <c r="S55" s="310" t="str">
        <f>IFERROR(Table_PrescriptLights_Input[[#This Row],[Gross measure cost]]-Table_PrescriptLights_Input[[#This Row],[Estimated incentive]], "")</f>
        <v/>
      </c>
      <c r="T55" s="311" t="str">
        <f t="shared" si="0"/>
        <v/>
      </c>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row>
    <row r="56" spans="1:48" x14ac:dyDescent="0.2">
      <c r="A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row>
    <row r="57" spans="1:48" x14ac:dyDescent="0.2">
      <c r="F57" s="253"/>
    </row>
    <row r="58" spans="1:48" x14ac:dyDescent="0.2">
      <c r="B58" s="253" t="s">
        <v>644</v>
      </c>
      <c r="F58" s="253"/>
    </row>
    <row r="59" spans="1:48" x14ac:dyDescent="0.2">
      <c r="B59" s="253" t="str">
        <f>Value_Application_Version</f>
        <v>Version 5.2</v>
      </c>
      <c r="F59" s="253"/>
    </row>
    <row r="60" spans="1:48" x14ac:dyDescent="0.2">
      <c r="F60" s="253"/>
    </row>
    <row r="61" spans="1:48" x14ac:dyDescent="0.2">
      <c r="A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row>
    <row r="62" spans="1:48" x14ac:dyDescent="0.2">
      <c r="A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row>
    <row r="63" spans="1:48" x14ac:dyDescent="0.2">
      <c r="A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row>
    <row r="64" spans="1:48" x14ac:dyDescent="0.2">
      <c r="A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row>
    <row r="65" spans="1:48" x14ac:dyDescent="0.2">
      <c r="A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row>
    <row r="66" spans="1:48" x14ac:dyDescent="0.2">
      <c r="A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row>
    <row r="67" spans="1:48" x14ac:dyDescent="0.2">
      <c r="A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row>
    <row r="68" spans="1:48" x14ac:dyDescent="0.2">
      <c r="A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row>
    <row r="69" spans="1:48" x14ac:dyDescent="0.2">
      <c r="A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row>
    <row r="70" spans="1:48" x14ac:dyDescent="0.2">
      <c r="A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row>
    <row r="71" spans="1:48" x14ac:dyDescent="0.2">
      <c r="A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row>
    <row r="72" spans="1:48" x14ac:dyDescent="0.2">
      <c r="A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row>
    <row r="73" spans="1:48" x14ac:dyDescent="0.2">
      <c r="A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row>
    <row r="74" spans="1:48" x14ac:dyDescent="0.2">
      <c r="A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row>
    <row r="75" spans="1:48" x14ac:dyDescent="0.2">
      <c r="A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row>
    <row r="76" spans="1:48" x14ac:dyDescent="0.2">
      <c r="A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row>
    <row r="77" spans="1:48" x14ac:dyDescent="0.2">
      <c r="A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row>
    <row r="78" spans="1:48" x14ac:dyDescent="0.2">
      <c r="A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row>
    <row r="79" spans="1:48" x14ac:dyDescent="0.2">
      <c r="A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row>
    <row r="80" spans="1:48" x14ac:dyDescent="0.2">
      <c r="A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row>
    <row r="81" spans="1:48" x14ac:dyDescent="0.2">
      <c r="A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row>
    <row r="82" spans="1:48" x14ac:dyDescent="0.2">
      <c r="A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row>
    <row r="83" spans="1:48" x14ac:dyDescent="0.2">
      <c r="A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row>
    <row r="84" spans="1:48" x14ac:dyDescent="0.2">
      <c r="A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row>
    <row r="85" spans="1:48" x14ac:dyDescent="0.2">
      <c r="A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row>
    <row r="86" spans="1:48" x14ac:dyDescent="0.2">
      <c r="A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row>
    <row r="87" spans="1:48" x14ac:dyDescent="0.2">
      <c r="A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row>
    <row r="88" spans="1:48" x14ac:dyDescent="0.2">
      <c r="A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row>
    <row r="89" spans="1:48" x14ac:dyDescent="0.2">
      <c r="A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row>
    <row r="90" spans="1:48" x14ac:dyDescent="0.2">
      <c r="A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row>
    <row r="91" spans="1:48" x14ac:dyDescent="0.2">
      <c r="A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row>
    <row r="92" spans="1:48" x14ac:dyDescent="0.2">
      <c r="A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row>
    <row r="93" spans="1:48" x14ac:dyDescent="0.2">
      <c r="A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row>
    <row r="94" spans="1:48" x14ac:dyDescent="0.2">
      <c r="A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row>
    <row r="95" spans="1:48" x14ac:dyDescent="0.2">
      <c r="A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row>
    <row r="96" spans="1:48" x14ac:dyDescent="0.2">
      <c r="A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row>
    <row r="97" spans="1:48" x14ac:dyDescent="0.2">
      <c r="A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row>
    <row r="98" spans="1:48" x14ac:dyDescent="0.2">
      <c r="A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row>
    <row r="99" spans="1:48" x14ac:dyDescent="0.2">
      <c r="A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row>
    <row r="100" spans="1:48" x14ac:dyDescent="0.2">
      <c r="A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row>
    <row r="101" spans="1:48" x14ac:dyDescent="0.2">
      <c r="A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row>
    <row r="102" spans="1:48" x14ac:dyDescent="0.2">
      <c r="A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row>
    <row r="103" spans="1:48" x14ac:dyDescent="0.2">
      <c r="A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row>
    <row r="104" spans="1:48" x14ac:dyDescent="0.2">
      <c r="A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row>
    <row r="105" spans="1:48" x14ac:dyDescent="0.2">
      <c r="A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row>
    <row r="106" spans="1:48" x14ac:dyDescent="0.2">
      <c r="A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row>
    <row r="107" spans="1:48" x14ac:dyDescent="0.2">
      <c r="A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row>
    <row r="108" spans="1:48" x14ac:dyDescent="0.2">
      <c r="A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row>
    <row r="109" spans="1:48" x14ac:dyDescent="0.2">
      <c r="A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row>
    <row r="110" spans="1:48" x14ac:dyDescent="0.2">
      <c r="A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row>
    <row r="111" spans="1:48" x14ac:dyDescent="0.2">
      <c r="A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row>
    <row r="112" spans="1:48" x14ac:dyDescent="0.2">
      <c r="A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row>
    <row r="113" spans="1:48" x14ac:dyDescent="0.2">
      <c r="A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row>
    <row r="114" spans="1:48" x14ac:dyDescent="0.2">
      <c r="A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row>
    <row r="115" spans="1:48" x14ac:dyDescent="0.2">
      <c r="A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row>
    <row r="116" spans="1:48" x14ac:dyDescent="0.2">
      <c r="A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row>
    <row r="117" spans="1:48" x14ac:dyDescent="0.2">
      <c r="A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row>
    <row r="118" spans="1:48" x14ac:dyDescent="0.2">
      <c r="A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row>
    <row r="119" spans="1:48" x14ac:dyDescent="0.2">
      <c r="A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row>
    <row r="120" spans="1:48" x14ac:dyDescent="0.2">
      <c r="A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row>
    <row r="121" spans="1:48" x14ac:dyDescent="0.2">
      <c r="A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row>
    <row r="122" spans="1:48" x14ac:dyDescent="0.2">
      <c r="A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row>
    <row r="123" spans="1:48" x14ac:dyDescent="0.2">
      <c r="A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row>
    <row r="124" spans="1:48" x14ac:dyDescent="0.2">
      <c r="A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row>
    <row r="125" spans="1:48" x14ac:dyDescent="0.2">
      <c r="A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row>
    <row r="126" spans="1:48" x14ac:dyDescent="0.2">
      <c r="A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row>
    <row r="127" spans="1:48" x14ac:dyDescent="0.2">
      <c r="A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row>
    <row r="128" spans="1:48" x14ac:dyDescent="0.2">
      <c r="A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row>
    <row r="129" spans="1:48" x14ac:dyDescent="0.2">
      <c r="A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row>
    <row r="130" spans="1:48" x14ac:dyDescent="0.2">
      <c r="A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row>
    <row r="131" spans="1:48" x14ac:dyDescent="0.2">
      <c r="A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row>
    <row r="132" spans="1:48" x14ac:dyDescent="0.2">
      <c r="A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row>
    <row r="133" spans="1:48" x14ac:dyDescent="0.2">
      <c r="A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row>
    <row r="134" spans="1:48" x14ac:dyDescent="0.2">
      <c r="A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row>
    <row r="135" spans="1:48" x14ac:dyDescent="0.2">
      <c r="A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row>
    <row r="136" spans="1:48" x14ac:dyDescent="0.2">
      <c r="A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row>
    <row r="137" spans="1:48" x14ac:dyDescent="0.2">
      <c r="A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row>
    <row r="138" spans="1:48" x14ac:dyDescent="0.2">
      <c r="A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row>
    <row r="139" spans="1:48" x14ac:dyDescent="0.2">
      <c r="A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row>
    <row r="140" spans="1:48" x14ac:dyDescent="0.2">
      <c r="A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row>
    <row r="141" spans="1:48" x14ac:dyDescent="0.2">
      <c r="A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row>
    <row r="142" spans="1:48" x14ac:dyDescent="0.2">
      <c r="A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row>
    <row r="143" spans="1:48" x14ac:dyDescent="0.2">
      <c r="A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row>
    <row r="144" spans="1:48" x14ac:dyDescent="0.2">
      <c r="A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row>
    <row r="145" spans="1:48" x14ac:dyDescent="0.2">
      <c r="A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row>
    <row r="146" spans="1:48" x14ac:dyDescent="0.2">
      <c r="A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row>
    <row r="147" spans="1:48" x14ac:dyDescent="0.2">
      <c r="A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row>
    <row r="148" spans="1:48" x14ac:dyDescent="0.2">
      <c r="A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row>
    <row r="149" spans="1:48" x14ac:dyDescent="0.2">
      <c r="A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row>
    <row r="150" spans="1:48" x14ac:dyDescent="0.2">
      <c r="A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row>
    <row r="151" spans="1:48" x14ac:dyDescent="0.2">
      <c r="A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row>
    <row r="152" spans="1:48" x14ac:dyDescent="0.2">
      <c r="A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row>
    <row r="153" spans="1:48" x14ac:dyDescent="0.2">
      <c r="A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row>
    <row r="154" spans="1:48" x14ac:dyDescent="0.2">
      <c r="A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row>
    <row r="155" spans="1:48" x14ac:dyDescent="0.2">
      <c r="A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row>
    <row r="156" spans="1:48" x14ac:dyDescent="0.2">
      <c r="A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row>
    <row r="157" spans="1:48" x14ac:dyDescent="0.2">
      <c r="A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row>
    <row r="158" spans="1:48" x14ac:dyDescent="0.2">
      <c r="A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row>
    <row r="159" spans="1:48" x14ac:dyDescent="0.2">
      <c r="A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row>
    <row r="160" spans="1:48" x14ac:dyDescent="0.2">
      <c r="A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row>
    <row r="161" spans="1:48" x14ac:dyDescent="0.2">
      <c r="A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row>
    <row r="162" spans="1:48" x14ac:dyDescent="0.2">
      <c r="A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row>
    <row r="163" spans="1:48" x14ac:dyDescent="0.2">
      <c r="A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row>
    <row r="164" spans="1:48" x14ac:dyDescent="0.2">
      <c r="A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row>
    <row r="165" spans="1:48" x14ac:dyDescent="0.2">
      <c r="A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row>
    <row r="166" spans="1:48" x14ac:dyDescent="0.2">
      <c r="A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row>
    <row r="167" spans="1:48" x14ac:dyDescent="0.2">
      <c r="A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row>
    <row r="168" spans="1:48" x14ac:dyDescent="0.2">
      <c r="A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row>
    <row r="169" spans="1:48" x14ac:dyDescent="0.2">
      <c r="A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row>
    <row r="170" spans="1:48" x14ac:dyDescent="0.2">
      <c r="A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row>
    <row r="171" spans="1:48" x14ac:dyDescent="0.2">
      <c r="A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row>
    <row r="172" spans="1:48" x14ac:dyDescent="0.2">
      <c r="A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row>
    <row r="173" spans="1:48" x14ac:dyDescent="0.2">
      <c r="A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row>
    <row r="174" spans="1:48" x14ac:dyDescent="0.2">
      <c r="A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row>
    <row r="175" spans="1:48" x14ac:dyDescent="0.2">
      <c r="A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row>
    <row r="176" spans="1:48" x14ac:dyDescent="0.2">
      <c r="A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row>
    <row r="177" spans="1:48" x14ac:dyDescent="0.2">
      <c r="A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row>
    <row r="178" spans="1:48" x14ac:dyDescent="0.2">
      <c r="A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row>
    <row r="179" spans="1:48" x14ac:dyDescent="0.2">
      <c r="A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row>
    <row r="180" spans="1:48" x14ac:dyDescent="0.2">
      <c r="A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row>
    <row r="181" spans="1:48" x14ac:dyDescent="0.2">
      <c r="A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row>
    <row r="182" spans="1:48" x14ac:dyDescent="0.2">
      <c r="A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row>
    <row r="183" spans="1:48" x14ac:dyDescent="0.2">
      <c r="A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row>
    <row r="184" spans="1:48" x14ac:dyDescent="0.2">
      <c r="A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row>
    <row r="185" spans="1:48" x14ac:dyDescent="0.2">
      <c r="A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row>
    <row r="186" spans="1:48" x14ac:dyDescent="0.2">
      <c r="A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row>
    <row r="187" spans="1:48" x14ac:dyDescent="0.2">
      <c r="A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row>
    <row r="188" spans="1:48" x14ac:dyDescent="0.2">
      <c r="A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row>
    <row r="189" spans="1:48" x14ac:dyDescent="0.2">
      <c r="A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row>
    <row r="190" spans="1:48" x14ac:dyDescent="0.2">
      <c r="A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row>
    <row r="191" spans="1:48" x14ac:dyDescent="0.2">
      <c r="A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row>
    <row r="192" spans="1:48" x14ac:dyDescent="0.2">
      <c r="A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row>
    <row r="193" spans="1:48" x14ac:dyDescent="0.2">
      <c r="A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row>
    <row r="194" spans="1:48" x14ac:dyDescent="0.2">
      <c r="A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row>
    <row r="195" spans="1:48" x14ac:dyDescent="0.2">
      <c r="A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row>
    <row r="196" spans="1:48" x14ac:dyDescent="0.2">
      <c r="A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row>
    <row r="197" spans="1:48" x14ac:dyDescent="0.2">
      <c r="A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row>
    <row r="198" spans="1:48" x14ac:dyDescent="0.2">
      <c r="A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row>
    <row r="199" spans="1:48" x14ac:dyDescent="0.2">
      <c r="A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row>
    <row r="200" spans="1:48" x14ac:dyDescent="0.2">
      <c r="A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row>
    <row r="201" spans="1:48" x14ac:dyDescent="0.2">
      <c r="A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row>
    <row r="202" spans="1:48" x14ac:dyDescent="0.2">
      <c r="A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row>
    <row r="203" spans="1:48" x14ac:dyDescent="0.2">
      <c r="A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row>
    <row r="204" spans="1:48" x14ac:dyDescent="0.2">
      <c r="A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row>
    <row r="205" spans="1:48" x14ac:dyDescent="0.2">
      <c r="A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row>
  </sheetData>
  <sheetProtection algorithmName="SHA-512" hashValue="gBLMiFOwPNL54l3xmbzQ4iChecwwmvdLOggq2pexSd5OVGOif/h1rcwu3ituw8DxInRsVGD+X9j2bTAxbPLVtQ==" saltValue="TJuUI4m+KinFH4YXjiw/Rw==" spinCount="100000" sheet="1" selectLockedCells="1"/>
  <mergeCells count="2">
    <mergeCell ref="G4:L4"/>
    <mergeCell ref="B2:Q2"/>
  </mergeCells>
  <phoneticPr fontId="13" type="noConversion"/>
  <conditionalFormatting sqref="G6:L55">
    <cfRule type="expression" dxfId="224" priority="31">
      <formula>OR($E6="", $F6=0)</formula>
    </cfRule>
  </conditionalFormatting>
  <conditionalFormatting sqref="H6:J55">
    <cfRule type="expression" dxfId="223" priority="2">
      <formula>AND($E6&lt;&gt;"High Eff. AC Unit", $E6&lt;&gt;"High Eff. Heat Pump Unit")</formula>
    </cfRule>
  </conditionalFormatting>
  <conditionalFormatting sqref="J6:J55">
    <cfRule type="expression" dxfId="222" priority="1">
      <formula>$E6&lt;&gt;"High Eff. Heat Pump Unit"</formula>
    </cfRule>
  </conditionalFormatting>
  <dataValidations count="1">
    <dataValidation type="list" allowBlank="1" showInputMessage="1" showErrorMessage="1" sqref="E6:E55"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4"/>
  <sheetViews>
    <sheetView showGridLines="0" showRowColHeaders="0" workbookViewId="0">
      <selection activeCell="D5" sqref="D5"/>
    </sheetView>
  </sheetViews>
  <sheetFormatPr defaultColWidth="9.140625" defaultRowHeight="12.75" x14ac:dyDescent="0.2"/>
  <cols>
    <col min="1" max="1" width="2.85546875" style="7" customWidth="1"/>
    <col min="2" max="2" width="5.85546875" style="7" customWidth="1"/>
    <col min="3" max="3" width="9.7109375" style="7" customWidth="1"/>
    <col min="4" max="4" width="17.28515625" style="7" customWidth="1"/>
    <col min="5" max="6" width="29.5703125" style="7" customWidth="1"/>
    <col min="7" max="7" width="10.140625" style="7" customWidth="1"/>
    <col min="8" max="8" width="11.140625" style="11" customWidth="1"/>
    <col min="9" max="10" width="10.5703125" style="11" customWidth="1"/>
    <col min="11" max="11" width="11" style="7" customWidth="1"/>
    <col min="12" max="12" width="12" style="7" customWidth="1"/>
    <col min="13" max="13" width="11.85546875" style="7" customWidth="1"/>
    <col min="14" max="15" width="10.28515625" style="7" customWidth="1"/>
    <col min="16" max="16" width="13.42578125" style="7" customWidth="1"/>
    <col min="17" max="17" width="9.5703125" style="7" customWidth="1"/>
    <col min="18" max="21" width="9.140625" style="253"/>
    <col min="22" max="16384" width="9.140625" style="7"/>
  </cols>
  <sheetData>
    <row r="1" spans="2:21" ht="57.75" customHeight="1" x14ac:dyDescent="0.2"/>
    <row r="2" spans="2:21" s="255" customFormat="1" ht="40.5" customHeight="1" x14ac:dyDescent="0.2">
      <c r="B2" s="374" t="s">
        <v>754</v>
      </c>
      <c r="C2" s="374"/>
      <c r="D2" s="374"/>
      <c r="E2" s="374"/>
      <c r="F2" s="374"/>
      <c r="G2" s="374"/>
      <c r="H2" s="374"/>
      <c r="I2" s="374"/>
      <c r="J2" s="374"/>
      <c r="K2" s="374"/>
      <c r="L2" s="374"/>
      <c r="M2" s="374"/>
      <c r="N2" s="374"/>
      <c r="O2" s="254"/>
      <c r="P2" s="319"/>
      <c r="Q2" s="319"/>
    </row>
    <row r="3" spans="2:21" s="8" customFormat="1" ht="15.75" x14ac:dyDescent="0.2">
      <c r="B3" s="69"/>
      <c r="C3" s="69"/>
      <c r="D3" s="69"/>
      <c r="E3" s="253"/>
      <c r="F3" s="253"/>
      <c r="G3" s="381" t="s">
        <v>31</v>
      </c>
      <c r="H3" s="382"/>
      <c r="I3" s="383"/>
      <c r="J3" s="305" t="s">
        <v>32</v>
      </c>
      <c r="K3" s="313">
        <f>SUM(Table_Custom_Input[Estimated incentive])</f>
        <v>0</v>
      </c>
      <c r="L3" s="314">
        <f>SUM(Table_Custom_Input[Energy savings (kWh)])</f>
        <v>0</v>
      </c>
      <c r="M3" s="315">
        <f>SUM(Table_Custom_Input[Demand reduction (kW)])</f>
        <v>0</v>
      </c>
      <c r="N3" s="316">
        <f>SUM(Table_Custom_Input[Cost savings])</f>
        <v>0</v>
      </c>
      <c r="O3" s="316">
        <f>SUM(Table_Custom_Input[Gross measure cost])</f>
        <v>0</v>
      </c>
      <c r="P3" s="316">
        <f>O3-K3</f>
        <v>0</v>
      </c>
      <c r="Q3" s="306" t="str">
        <f>IFERROR(P3/N3, "")</f>
        <v/>
      </c>
      <c r="R3" s="253"/>
      <c r="S3" s="253"/>
      <c r="T3" s="253"/>
      <c r="U3" s="253"/>
    </row>
    <row r="4" spans="2:21" s="9" customFormat="1" ht="38.25" x14ac:dyDescent="0.2">
      <c r="B4" s="293" t="s">
        <v>801</v>
      </c>
      <c r="C4" s="293" t="s">
        <v>723</v>
      </c>
      <c r="D4" s="295" t="s">
        <v>724</v>
      </c>
      <c r="E4" s="290" t="s">
        <v>755</v>
      </c>
      <c r="F4" s="290" t="s">
        <v>752</v>
      </c>
      <c r="G4" s="297" t="s">
        <v>753</v>
      </c>
      <c r="H4" s="297" t="s">
        <v>732</v>
      </c>
      <c r="I4" s="297" t="s">
        <v>733</v>
      </c>
      <c r="J4" s="290" t="s">
        <v>734</v>
      </c>
      <c r="K4" s="290" t="s">
        <v>735</v>
      </c>
      <c r="L4" s="290" t="s">
        <v>736</v>
      </c>
      <c r="M4" s="290" t="s">
        <v>737</v>
      </c>
      <c r="N4" s="290" t="s">
        <v>738</v>
      </c>
      <c r="O4" s="290" t="s">
        <v>739</v>
      </c>
      <c r="P4" s="290" t="s">
        <v>740</v>
      </c>
      <c r="Q4" s="290" t="s">
        <v>741</v>
      </c>
      <c r="R4" s="245"/>
      <c r="S4" s="245"/>
      <c r="T4" s="245"/>
      <c r="U4" s="245"/>
    </row>
    <row r="5" spans="2:21" s="15" customFormat="1" ht="15" x14ac:dyDescent="0.2">
      <c r="B5" s="308">
        <v>1</v>
      </c>
      <c r="C5" s="308" t="str">
        <f>IFERROR(INDEX(Table_Prescript_Meas[Measure Number], MATCH(Table_Custom_Input[[#This Row],[Refrigeration measure]], Table_Prescript_Meas[Measure Description], 0)), "")</f>
        <v/>
      </c>
      <c r="D5" s="317"/>
      <c r="E5" s="318"/>
      <c r="F5" s="308" t="str">
        <f>IFERROR(INDEX(Table_Prescript_Meas[Units], MATCH(Table_Custom_Input[[#This Row],[Measure number]], Table_Prescript_Meas[Measure Number], 0)), "")</f>
        <v/>
      </c>
      <c r="G5" s="309"/>
      <c r="H5" s="303"/>
      <c r="I5" s="303"/>
      <c r="J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 s="310" t="str">
        <f>IFERROR(Table_Custom_Input[[#This Row],[Number of units]]*Table_Custom_Input[[#This Row],[Per-unit incentive]],"")</f>
        <v/>
      </c>
      <c r="L5" s="311" t="str">
        <f>IFERROR(Table_Custom_Input[[#This Row],[Number of units]]*INDEX(Table_Prescript_Meas[Deemed kWh Savings], MATCH(Table_Custom_Input[[#This Row],[Measure number]], Table_Prescript_Meas[Measure Number], 0)),"" )</f>
        <v/>
      </c>
      <c r="M5" s="312" t="str">
        <f>IFERROR(Table_Custom_Input[[#This Row],[Number of units]]*INDEX(Table_Prescript_Meas[Deemed kW Savings], MATCH(Table_Custom_Input[[#This Row],[Measure number]], Table_Prescript_Meas[Measure Number], 0)),"" )</f>
        <v/>
      </c>
      <c r="N5" s="310" t="str">
        <f>IFERROR(Table_Custom_Input[[#This Row],[Energy savings (kWh)]]*Input_AvgkWhRate, "")</f>
        <v/>
      </c>
      <c r="O5" s="310" t="str">
        <f>IF(Table_Custom_Input[[#This Row],[Measure number]]&lt;&gt;"",Table_Custom_Input[[#This Row],[Total equipment cost]]+Table_Custom_Input[[#This Row],[Total labor cost]],"")</f>
        <v/>
      </c>
      <c r="P5" s="310" t="str">
        <f>IF(Table_Custom_Input[[#This Row],[Measure number]]="","",Table_Custom_Input[[#This Row],[Gross measure cost]]-Table_Custom_Input[[#This Row],[Estimated incentive]])</f>
        <v/>
      </c>
      <c r="Q5" s="311" t="str">
        <f>IFERROR('Input Refrigeration Measures'!$P5/'Input Refrigeration Measures'!$N5, "")</f>
        <v/>
      </c>
      <c r="R5" s="253"/>
      <c r="S5" s="253"/>
      <c r="T5" s="253"/>
      <c r="U5" s="253"/>
    </row>
    <row r="6" spans="2:21" s="15" customFormat="1" ht="15" x14ac:dyDescent="0.2">
      <c r="B6" s="308">
        <v>2</v>
      </c>
      <c r="C6" s="308" t="str">
        <f>IFERROR(INDEX(Table_Prescript_Meas[Measure Number], MATCH(Table_Custom_Input[[#This Row],[Refrigeration measure]], Table_Prescript_Meas[Measure Description], 0)), "")</f>
        <v/>
      </c>
      <c r="D6" s="317"/>
      <c r="E6" s="318"/>
      <c r="F6" s="308" t="str">
        <f>IFERROR(INDEX(Table_Prescript_Meas[Units], MATCH(Table_Custom_Input[[#This Row],[Measure number]], Table_Prescript_Meas[Measure Number], 0)), "")</f>
        <v/>
      </c>
      <c r="G6" s="309"/>
      <c r="H6" s="303"/>
      <c r="I6" s="303"/>
      <c r="J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310" t="str">
        <f>IFERROR(Table_Custom_Input[[#This Row],[Number of units]]*Table_Custom_Input[[#This Row],[Per-unit incentive]],"")</f>
        <v/>
      </c>
      <c r="L6" s="311" t="str">
        <f>IFERROR(Table_Custom_Input[[#This Row],[Number of units]]*INDEX(Table_Prescript_Meas[Deemed kWh Savings], MATCH(Table_Custom_Input[[#This Row],[Measure number]], Table_Prescript_Meas[Measure Number], 0)),"" )</f>
        <v/>
      </c>
      <c r="M6" s="312" t="str">
        <f>IFERROR(Table_Custom_Input[[#This Row],[Number of units]]*INDEX(Table_Prescript_Meas[Deemed kW Savings], MATCH(Table_Custom_Input[[#This Row],[Measure number]], Table_Prescript_Meas[Measure Number], 0)),"" )</f>
        <v/>
      </c>
      <c r="N6" s="310" t="str">
        <f>IFERROR(Table_Custom_Input[[#This Row],[Energy savings (kWh)]]*Input_AvgkWhRate, "")</f>
        <v/>
      </c>
      <c r="O6" s="310" t="str">
        <f>IF(Table_Custom_Input[[#This Row],[Measure number]]&lt;&gt;"",Table_Custom_Input[[#This Row],[Total equipment cost]]+Table_Custom_Input[[#This Row],[Total labor cost]],"")</f>
        <v/>
      </c>
      <c r="P6" s="310" t="str">
        <f>IF(Table_Custom_Input[[#This Row],[Measure number]]="","",Table_Custom_Input[[#This Row],[Gross measure cost]]-Table_Custom_Input[[#This Row],[Estimated incentive]])</f>
        <v/>
      </c>
      <c r="Q6" s="311" t="str">
        <f>IFERROR('Input Refrigeration Measures'!$P6/'Input Refrigeration Measures'!$N6, "")</f>
        <v/>
      </c>
      <c r="R6" s="253"/>
      <c r="S6" s="253"/>
      <c r="T6" s="253"/>
      <c r="U6" s="253"/>
    </row>
    <row r="7" spans="2:21" s="15" customFormat="1" ht="15" x14ac:dyDescent="0.2">
      <c r="B7" s="308">
        <v>3</v>
      </c>
      <c r="C7" s="308" t="str">
        <f>IFERROR(INDEX(Table_Prescript_Meas[Measure Number], MATCH(Table_Custom_Input[[#This Row],[Refrigeration measure]], Table_Prescript_Meas[Measure Description], 0)), "")</f>
        <v/>
      </c>
      <c r="D7" s="317"/>
      <c r="E7" s="318"/>
      <c r="F7" s="308" t="str">
        <f>IFERROR(INDEX(Table_Prescript_Meas[Units], MATCH(Table_Custom_Input[[#This Row],[Measure number]], Table_Prescript_Meas[Measure Number], 0)), "")</f>
        <v/>
      </c>
      <c r="G7" s="309"/>
      <c r="H7" s="303"/>
      <c r="I7" s="303"/>
      <c r="J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310" t="str">
        <f>IFERROR(Table_Custom_Input[[#This Row],[Number of units]]*Table_Custom_Input[[#This Row],[Per-unit incentive]],"")</f>
        <v/>
      </c>
      <c r="L7" s="311" t="str">
        <f>IFERROR(Table_Custom_Input[[#This Row],[Number of units]]*INDEX(Table_Prescript_Meas[Deemed kWh Savings], MATCH(Table_Custom_Input[[#This Row],[Measure number]], Table_Prescript_Meas[Measure Number], 0)),"" )</f>
        <v/>
      </c>
      <c r="M7" s="312" t="str">
        <f>IFERROR(Table_Custom_Input[[#This Row],[Number of units]]*INDEX(Table_Prescript_Meas[Deemed kW Savings], MATCH(Table_Custom_Input[[#This Row],[Measure number]], Table_Prescript_Meas[Measure Number], 0)),"" )</f>
        <v/>
      </c>
      <c r="N7" s="310" t="str">
        <f>IFERROR(Table_Custom_Input[[#This Row],[Energy savings (kWh)]]*Input_AvgkWhRate, "")</f>
        <v/>
      </c>
      <c r="O7" s="310" t="str">
        <f>IF(Table_Custom_Input[[#This Row],[Measure number]]&lt;&gt;"",Table_Custom_Input[[#This Row],[Total equipment cost]]+Table_Custom_Input[[#This Row],[Total labor cost]],"")</f>
        <v/>
      </c>
      <c r="P7" s="310" t="str">
        <f>IF(Table_Custom_Input[[#This Row],[Measure number]]="","",Table_Custom_Input[[#This Row],[Gross measure cost]]-Table_Custom_Input[[#This Row],[Estimated incentive]])</f>
        <v/>
      </c>
      <c r="Q7" s="311" t="str">
        <f>IFERROR('Input Refrigeration Measures'!$P7/'Input Refrigeration Measures'!$N7, "")</f>
        <v/>
      </c>
      <c r="R7" s="253"/>
      <c r="S7" s="253"/>
      <c r="T7" s="253"/>
      <c r="U7" s="253"/>
    </row>
    <row r="8" spans="2:21" s="15" customFormat="1" ht="15" x14ac:dyDescent="0.2">
      <c r="B8" s="308">
        <v>4</v>
      </c>
      <c r="C8" s="308" t="str">
        <f>IFERROR(INDEX(Table_Prescript_Meas[Measure Number], MATCH(Table_Custom_Input[[#This Row],[Refrigeration measure]], Table_Prescript_Meas[Measure Description], 0)), "")</f>
        <v/>
      </c>
      <c r="D8" s="317"/>
      <c r="E8" s="318"/>
      <c r="F8" s="308" t="str">
        <f>IFERROR(INDEX(Table_Prescript_Meas[Units], MATCH(Table_Custom_Input[[#This Row],[Measure number]], Table_Prescript_Meas[Measure Number], 0)), "")</f>
        <v/>
      </c>
      <c r="G8" s="309"/>
      <c r="H8" s="303"/>
      <c r="I8" s="303"/>
      <c r="J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310" t="str">
        <f>IFERROR(Table_Custom_Input[[#This Row],[Number of units]]*Table_Custom_Input[[#This Row],[Per-unit incentive]],"")</f>
        <v/>
      </c>
      <c r="L8" s="311" t="str">
        <f>IFERROR(Table_Custom_Input[[#This Row],[Number of units]]*INDEX(Table_Prescript_Meas[Deemed kWh Savings], MATCH(Table_Custom_Input[[#This Row],[Measure number]], Table_Prescript_Meas[Measure Number], 0)),"" )</f>
        <v/>
      </c>
      <c r="M8" s="312" t="str">
        <f>IFERROR(Table_Custom_Input[[#This Row],[Number of units]]*INDEX(Table_Prescript_Meas[Deemed kW Savings], MATCH(Table_Custom_Input[[#This Row],[Measure number]], Table_Prescript_Meas[Measure Number], 0)),"" )</f>
        <v/>
      </c>
      <c r="N8" s="310" t="str">
        <f>IFERROR(Table_Custom_Input[[#This Row],[Energy savings (kWh)]]*Input_AvgkWhRate, "")</f>
        <v/>
      </c>
      <c r="O8" s="310" t="str">
        <f>IF(Table_Custom_Input[[#This Row],[Measure number]]&lt;&gt;"",Table_Custom_Input[[#This Row],[Total equipment cost]]+Table_Custom_Input[[#This Row],[Total labor cost]],"")</f>
        <v/>
      </c>
      <c r="P8" s="310" t="str">
        <f>IF(Table_Custom_Input[[#This Row],[Measure number]]="","",Table_Custom_Input[[#This Row],[Gross measure cost]]-Table_Custom_Input[[#This Row],[Estimated incentive]])</f>
        <v/>
      </c>
      <c r="Q8" s="311" t="str">
        <f>IFERROR('Input Refrigeration Measures'!$P8/'Input Refrigeration Measures'!$N8, "")</f>
        <v/>
      </c>
      <c r="R8" s="253"/>
      <c r="S8" s="253"/>
      <c r="T8" s="253"/>
      <c r="U8" s="253"/>
    </row>
    <row r="9" spans="2:21" s="15" customFormat="1" ht="15" x14ac:dyDescent="0.2">
      <c r="B9" s="308">
        <v>5</v>
      </c>
      <c r="C9" s="308" t="str">
        <f>IFERROR(INDEX(Table_Prescript_Meas[Measure Number], MATCH(Table_Custom_Input[[#This Row],[Refrigeration measure]], Table_Prescript_Meas[Measure Description], 0)), "")</f>
        <v/>
      </c>
      <c r="D9" s="317"/>
      <c r="E9" s="318"/>
      <c r="F9" s="308" t="str">
        <f>IFERROR(INDEX(Table_Prescript_Meas[Units], MATCH(Table_Custom_Input[[#This Row],[Measure number]], Table_Prescript_Meas[Measure Number], 0)), "")</f>
        <v/>
      </c>
      <c r="G9" s="309"/>
      <c r="H9" s="303"/>
      <c r="I9" s="303"/>
      <c r="J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310" t="str">
        <f>IFERROR(Table_Custom_Input[[#This Row],[Number of units]]*Table_Custom_Input[[#This Row],[Per-unit incentive]],"")</f>
        <v/>
      </c>
      <c r="L9" s="311" t="str">
        <f>IFERROR(Table_Custom_Input[[#This Row],[Number of units]]*INDEX(Table_Prescript_Meas[Deemed kWh Savings], MATCH(Table_Custom_Input[[#This Row],[Measure number]], Table_Prescript_Meas[Measure Number], 0)),"" )</f>
        <v/>
      </c>
      <c r="M9" s="312" t="str">
        <f>IFERROR(Table_Custom_Input[[#This Row],[Number of units]]*INDEX(Table_Prescript_Meas[Deemed kW Savings], MATCH(Table_Custom_Input[[#This Row],[Measure number]], Table_Prescript_Meas[Measure Number], 0)),"" )</f>
        <v/>
      </c>
      <c r="N9" s="310" t="str">
        <f>IFERROR(Table_Custom_Input[[#This Row],[Energy savings (kWh)]]*Input_AvgkWhRate, "")</f>
        <v/>
      </c>
      <c r="O9" s="310" t="str">
        <f>IF(Table_Custom_Input[[#This Row],[Measure number]]&lt;&gt;"",Table_Custom_Input[[#This Row],[Total equipment cost]]+Table_Custom_Input[[#This Row],[Total labor cost]],"")</f>
        <v/>
      </c>
      <c r="P9" s="310" t="str">
        <f>IF(Table_Custom_Input[[#This Row],[Measure number]]="","",Table_Custom_Input[[#This Row],[Gross measure cost]]-Table_Custom_Input[[#This Row],[Estimated incentive]])</f>
        <v/>
      </c>
      <c r="Q9" s="311" t="str">
        <f>IFERROR('Input Refrigeration Measures'!$P9/'Input Refrigeration Measures'!$N9, "")</f>
        <v/>
      </c>
      <c r="R9" s="253"/>
      <c r="S9" s="253"/>
      <c r="T9" s="253"/>
      <c r="U9" s="253"/>
    </row>
    <row r="10" spans="2:21" s="15" customFormat="1" ht="15" x14ac:dyDescent="0.2">
      <c r="B10" s="308">
        <v>6</v>
      </c>
      <c r="C10" s="308" t="str">
        <f>IFERROR(INDEX(Table_Prescript_Meas[Measure Number], MATCH(Table_Custom_Input[[#This Row],[Refrigeration measure]], Table_Prescript_Meas[Measure Description], 0)), "")</f>
        <v/>
      </c>
      <c r="D10" s="317"/>
      <c r="E10" s="318"/>
      <c r="F10" s="308" t="str">
        <f>IFERROR(INDEX(Table_Prescript_Meas[Units], MATCH(Table_Custom_Input[[#This Row],[Measure number]], Table_Prescript_Meas[Measure Number], 0)), "")</f>
        <v/>
      </c>
      <c r="G10" s="309"/>
      <c r="H10" s="303"/>
      <c r="I10" s="303"/>
      <c r="J1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310" t="str">
        <f>IFERROR(Table_Custom_Input[[#This Row],[Number of units]]*Table_Custom_Input[[#This Row],[Per-unit incentive]],"")</f>
        <v/>
      </c>
      <c r="L10" s="311" t="str">
        <f>IFERROR(Table_Custom_Input[[#This Row],[Number of units]]*INDEX(Table_Prescript_Meas[Deemed kWh Savings], MATCH(Table_Custom_Input[[#This Row],[Measure number]], Table_Prescript_Meas[Measure Number], 0)),"" )</f>
        <v/>
      </c>
      <c r="M10" s="312" t="str">
        <f>IFERROR(Table_Custom_Input[[#This Row],[Number of units]]*INDEX(Table_Prescript_Meas[Deemed kW Savings], MATCH(Table_Custom_Input[[#This Row],[Measure number]], Table_Prescript_Meas[Measure Number], 0)),"" )</f>
        <v/>
      </c>
      <c r="N10" s="310" t="str">
        <f>IFERROR(Table_Custom_Input[[#This Row],[Energy savings (kWh)]]*Input_AvgkWhRate, "")</f>
        <v/>
      </c>
      <c r="O10" s="310" t="str">
        <f>IF(Table_Custom_Input[[#This Row],[Measure number]]&lt;&gt;"",Table_Custom_Input[[#This Row],[Total equipment cost]]+Table_Custom_Input[[#This Row],[Total labor cost]],"")</f>
        <v/>
      </c>
      <c r="P10" s="310" t="str">
        <f>IF(Table_Custom_Input[[#This Row],[Measure number]]="","",Table_Custom_Input[[#This Row],[Gross measure cost]]-Table_Custom_Input[[#This Row],[Estimated incentive]])</f>
        <v/>
      </c>
      <c r="Q10" s="311" t="str">
        <f>IFERROR('Input Refrigeration Measures'!$P10/'Input Refrigeration Measures'!$N10, "")</f>
        <v/>
      </c>
      <c r="R10" s="253"/>
      <c r="S10" s="253"/>
      <c r="T10" s="253"/>
      <c r="U10" s="253"/>
    </row>
    <row r="11" spans="2:21" s="15" customFormat="1" ht="15" x14ac:dyDescent="0.2">
      <c r="B11" s="308">
        <v>7</v>
      </c>
      <c r="C11" s="308" t="str">
        <f>IFERROR(INDEX(Table_Prescript_Meas[Measure Number], MATCH(Table_Custom_Input[[#This Row],[Refrigeration measure]], Table_Prescript_Meas[Measure Description], 0)), "")</f>
        <v/>
      </c>
      <c r="D11" s="317"/>
      <c r="E11" s="318"/>
      <c r="F11" s="308" t="str">
        <f>IFERROR(INDEX(Table_Prescript_Meas[Units], MATCH(Table_Custom_Input[[#This Row],[Measure number]], Table_Prescript_Meas[Measure Number], 0)), "")</f>
        <v/>
      </c>
      <c r="G11" s="309"/>
      <c r="H11" s="303"/>
      <c r="I11" s="303"/>
      <c r="J1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310" t="str">
        <f>IFERROR(Table_Custom_Input[[#This Row],[Number of units]]*Table_Custom_Input[[#This Row],[Per-unit incentive]],"")</f>
        <v/>
      </c>
      <c r="L11" s="311" t="str">
        <f>IFERROR(Table_Custom_Input[[#This Row],[Number of units]]*INDEX(Table_Prescript_Meas[Deemed kWh Savings], MATCH(Table_Custom_Input[[#This Row],[Measure number]], Table_Prescript_Meas[Measure Number], 0)),"" )</f>
        <v/>
      </c>
      <c r="M11" s="312" t="str">
        <f>IFERROR(Table_Custom_Input[[#This Row],[Number of units]]*INDEX(Table_Prescript_Meas[Deemed kW Savings], MATCH(Table_Custom_Input[[#This Row],[Measure number]], Table_Prescript_Meas[Measure Number], 0)),"" )</f>
        <v/>
      </c>
      <c r="N11" s="310" t="str">
        <f>IFERROR(Table_Custom_Input[[#This Row],[Energy savings (kWh)]]*Input_AvgkWhRate, "")</f>
        <v/>
      </c>
      <c r="O11" s="310" t="str">
        <f>IF(Table_Custom_Input[[#This Row],[Measure number]]&lt;&gt;"",Table_Custom_Input[[#This Row],[Total equipment cost]]+Table_Custom_Input[[#This Row],[Total labor cost]],"")</f>
        <v/>
      </c>
      <c r="P11" s="310" t="str">
        <f>IF(Table_Custom_Input[[#This Row],[Measure number]]="","",Table_Custom_Input[[#This Row],[Gross measure cost]]-Table_Custom_Input[[#This Row],[Estimated incentive]])</f>
        <v/>
      </c>
      <c r="Q11" s="311" t="str">
        <f>IFERROR('Input Refrigeration Measures'!$P11/'Input Refrigeration Measures'!$N11, "")</f>
        <v/>
      </c>
      <c r="R11" s="253"/>
      <c r="S11" s="253"/>
      <c r="T11" s="253"/>
      <c r="U11" s="253"/>
    </row>
    <row r="12" spans="2:21" s="15" customFormat="1" ht="15" x14ac:dyDescent="0.2">
      <c r="B12" s="308">
        <v>8</v>
      </c>
      <c r="C12" s="308" t="str">
        <f>IFERROR(INDEX(Table_Prescript_Meas[Measure Number], MATCH(Table_Custom_Input[[#This Row],[Refrigeration measure]], Table_Prescript_Meas[Measure Description], 0)), "")</f>
        <v/>
      </c>
      <c r="D12" s="317"/>
      <c r="E12" s="318"/>
      <c r="F12" s="308" t="str">
        <f>IFERROR(INDEX(Table_Prescript_Meas[Units], MATCH(Table_Custom_Input[[#This Row],[Measure number]], Table_Prescript_Meas[Measure Number], 0)), "")</f>
        <v/>
      </c>
      <c r="G12" s="309"/>
      <c r="H12" s="303"/>
      <c r="I12" s="303"/>
      <c r="J1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310" t="str">
        <f>IFERROR(Table_Custom_Input[[#This Row],[Number of units]]*Table_Custom_Input[[#This Row],[Per-unit incentive]],"")</f>
        <v/>
      </c>
      <c r="L12" s="311" t="str">
        <f>IFERROR(Table_Custom_Input[[#This Row],[Number of units]]*INDEX(Table_Prescript_Meas[Deemed kWh Savings], MATCH(Table_Custom_Input[[#This Row],[Measure number]], Table_Prescript_Meas[Measure Number], 0)),"" )</f>
        <v/>
      </c>
      <c r="M12" s="312" t="str">
        <f>IFERROR(Table_Custom_Input[[#This Row],[Number of units]]*INDEX(Table_Prescript_Meas[Deemed kW Savings], MATCH(Table_Custom_Input[[#This Row],[Measure number]], Table_Prescript_Meas[Measure Number], 0)),"" )</f>
        <v/>
      </c>
      <c r="N12" s="310" t="str">
        <f>IFERROR(Table_Custom_Input[[#This Row],[Energy savings (kWh)]]*Input_AvgkWhRate, "")</f>
        <v/>
      </c>
      <c r="O12" s="310" t="str">
        <f>IF(Table_Custom_Input[[#This Row],[Measure number]]&lt;&gt;"",Table_Custom_Input[[#This Row],[Total equipment cost]]+Table_Custom_Input[[#This Row],[Total labor cost]],"")</f>
        <v/>
      </c>
      <c r="P12" s="310" t="str">
        <f>IF(Table_Custom_Input[[#This Row],[Measure number]]="","",Table_Custom_Input[[#This Row],[Gross measure cost]]-Table_Custom_Input[[#This Row],[Estimated incentive]])</f>
        <v/>
      </c>
      <c r="Q12" s="311" t="str">
        <f>IFERROR('Input Refrigeration Measures'!$P12/'Input Refrigeration Measures'!$N12, "")</f>
        <v/>
      </c>
      <c r="R12" s="253"/>
      <c r="S12" s="253"/>
      <c r="T12" s="253"/>
      <c r="U12" s="253"/>
    </row>
    <row r="13" spans="2:21" s="15" customFormat="1" ht="15" x14ac:dyDescent="0.2">
      <c r="B13" s="308">
        <v>9</v>
      </c>
      <c r="C13" s="308" t="str">
        <f>IFERROR(INDEX(Table_Prescript_Meas[Measure Number], MATCH(Table_Custom_Input[[#This Row],[Refrigeration measure]], Table_Prescript_Meas[Measure Description], 0)), "")</f>
        <v/>
      </c>
      <c r="D13" s="317"/>
      <c r="E13" s="318"/>
      <c r="F13" s="308" t="str">
        <f>IFERROR(INDEX(Table_Prescript_Meas[Units], MATCH(Table_Custom_Input[[#This Row],[Measure number]], Table_Prescript_Meas[Measure Number], 0)), "")</f>
        <v/>
      </c>
      <c r="G13" s="309"/>
      <c r="H13" s="303"/>
      <c r="I13" s="303"/>
      <c r="J1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310" t="str">
        <f>IFERROR(Table_Custom_Input[[#This Row],[Number of units]]*Table_Custom_Input[[#This Row],[Per-unit incentive]],"")</f>
        <v/>
      </c>
      <c r="L13" s="311" t="str">
        <f>IFERROR(Table_Custom_Input[[#This Row],[Number of units]]*INDEX(Table_Prescript_Meas[Deemed kWh Savings], MATCH(Table_Custom_Input[[#This Row],[Measure number]], Table_Prescript_Meas[Measure Number], 0)),"" )</f>
        <v/>
      </c>
      <c r="M13" s="312" t="str">
        <f>IFERROR(Table_Custom_Input[[#This Row],[Number of units]]*INDEX(Table_Prescript_Meas[Deemed kW Savings], MATCH(Table_Custom_Input[[#This Row],[Measure number]], Table_Prescript_Meas[Measure Number], 0)),"" )</f>
        <v/>
      </c>
      <c r="N13" s="310" t="str">
        <f>IFERROR(Table_Custom_Input[[#This Row],[Energy savings (kWh)]]*Input_AvgkWhRate, "")</f>
        <v/>
      </c>
      <c r="O13" s="310" t="str">
        <f>IF(Table_Custom_Input[[#This Row],[Measure number]]&lt;&gt;"",Table_Custom_Input[[#This Row],[Total equipment cost]]+Table_Custom_Input[[#This Row],[Total labor cost]],"")</f>
        <v/>
      </c>
      <c r="P13" s="310" t="str">
        <f>IF(Table_Custom_Input[[#This Row],[Measure number]]="","",Table_Custom_Input[[#This Row],[Gross measure cost]]-Table_Custom_Input[[#This Row],[Estimated incentive]])</f>
        <v/>
      </c>
      <c r="Q13" s="311" t="str">
        <f>IFERROR('Input Refrigeration Measures'!$P13/'Input Refrigeration Measures'!$N13, "")</f>
        <v/>
      </c>
      <c r="R13" s="253"/>
      <c r="S13" s="253"/>
      <c r="T13" s="253"/>
      <c r="U13" s="253"/>
    </row>
    <row r="14" spans="2:21" s="15" customFormat="1" ht="15" x14ac:dyDescent="0.2">
      <c r="B14" s="308">
        <v>10</v>
      </c>
      <c r="C14" s="308" t="str">
        <f>IFERROR(INDEX(Table_Prescript_Meas[Measure Number], MATCH(Table_Custom_Input[[#This Row],[Refrigeration measure]], Table_Prescript_Meas[Measure Description], 0)), "")</f>
        <v/>
      </c>
      <c r="D14" s="317"/>
      <c r="E14" s="318"/>
      <c r="F14" s="308" t="str">
        <f>IFERROR(INDEX(Table_Prescript_Meas[Units], MATCH(Table_Custom_Input[[#This Row],[Measure number]], Table_Prescript_Meas[Measure Number], 0)), "")</f>
        <v/>
      </c>
      <c r="G14" s="309"/>
      <c r="H14" s="303"/>
      <c r="I14" s="303"/>
      <c r="J1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310" t="str">
        <f>IFERROR(Table_Custom_Input[[#This Row],[Number of units]]*Table_Custom_Input[[#This Row],[Per-unit incentive]],"")</f>
        <v/>
      </c>
      <c r="L14" s="311" t="str">
        <f>IFERROR(Table_Custom_Input[[#This Row],[Number of units]]*INDEX(Table_Prescript_Meas[Deemed kWh Savings], MATCH(Table_Custom_Input[[#This Row],[Measure number]], Table_Prescript_Meas[Measure Number], 0)),"" )</f>
        <v/>
      </c>
      <c r="M14" s="312" t="str">
        <f>IFERROR(Table_Custom_Input[[#This Row],[Number of units]]*INDEX(Table_Prescript_Meas[Deemed kW Savings], MATCH(Table_Custom_Input[[#This Row],[Measure number]], Table_Prescript_Meas[Measure Number], 0)),"" )</f>
        <v/>
      </c>
      <c r="N14" s="310" t="str">
        <f>IFERROR(Table_Custom_Input[[#This Row],[Energy savings (kWh)]]*Input_AvgkWhRate, "")</f>
        <v/>
      </c>
      <c r="O14" s="310" t="str">
        <f>IF(Table_Custom_Input[[#This Row],[Measure number]]&lt;&gt;"",Table_Custom_Input[[#This Row],[Total equipment cost]]+Table_Custom_Input[[#This Row],[Total labor cost]],"")</f>
        <v/>
      </c>
      <c r="P14" s="310" t="str">
        <f>IF(Table_Custom_Input[[#This Row],[Measure number]]="","",Table_Custom_Input[[#This Row],[Gross measure cost]]-Table_Custom_Input[[#This Row],[Estimated incentive]])</f>
        <v/>
      </c>
      <c r="Q14" s="311" t="str">
        <f>IFERROR('Input Refrigeration Measures'!$P14/'Input Refrigeration Measures'!$N14, "")</f>
        <v/>
      </c>
      <c r="R14" s="253"/>
      <c r="S14" s="253"/>
      <c r="T14" s="253"/>
      <c r="U14" s="253"/>
    </row>
    <row r="15" spans="2:21" s="15" customFormat="1" ht="15" x14ac:dyDescent="0.2">
      <c r="B15" s="308">
        <v>11</v>
      </c>
      <c r="C15" s="308" t="str">
        <f>IFERROR(INDEX(Table_Prescript_Meas[Measure Number], MATCH(Table_Custom_Input[[#This Row],[Refrigeration measure]], Table_Prescript_Meas[Measure Description], 0)), "")</f>
        <v/>
      </c>
      <c r="D15" s="317"/>
      <c r="E15" s="318"/>
      <c r="F15" s="308" t="str">
        <f>IFERROR(INDEX(Table_Prescript_Meas[Units], MATCH(Table_Custom_Input[[#This Row],[Measure number]], Table_Prescript_Meas[Measure Number], 0)), "")</f>
        <v/>
      </c>
      <c r="G15" s="309"/>
      <c r="H15" s="303"/>
      <c r="I15" s="303"/>
      <c r="J1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310" t="str">
        <f>IFERROR(Table_Custom_Input[[#This Row],[Number of units]]*Table_Custom_Input[[#This Row],[Per-unit incentive]],"")</f>
        <v/>
      </c>
      <c r="L15" s="311" t="str">
        <f>IFERROR(Table_Custom_Input[[#This Row],[Number of units]]*INDEX(Table_Prescript_Meas[Deemed kWh Savings], MATCH(Table_Custom_Input[[#This Row],[Measure number]], Table_Prescript_Meas[Measure Number], 0)),"" )</f>
        <v/>
      </c>
      <c r="M15" s="312" t="str">
        <f>IFERROR(Table_Custom_Input[[#This Row],[Number of units]]*INDEX(Table_Prescript_Meas[Deemed kW Savings], MATCH(Table_Custom_Input[[#This Row],[Measure number]], Table_Prescript_Meas[Measure Number], 0)),"" )</f>
        <v/>
      </c>
      <c r="N15" s="310" t="str">
        <f>IFERROR(Table_Custom_Input[[#This Row],[Energy savings (kWh)]]*Input_AvgkWhRate, "")</f>
        <v/>
      </c>
      <c r="O15" s="310" t="str">
        <f>IF(Table_Custom_Input[[#This Row],[Measure number]]&lt;&gt;"",Table_Custom_Input[[#This Row],[Total equipment cost]]+Table_Custom_Input[[#This Row],[Total labor cost]],"")</f>
        <v/>
      </c>
      <c r="P15" s="310" t="str">
        <f>IF(Table_Custom_Input[[#This Row],[Measure number]]="","",Table_Custom_Input[[#This Row],[Gross measure cost]]-Table_Custom_Input[[#This Row],[Estimated incentive]])</f>
        <v/>
      </c>
      <c r="Q15" s="311" t="str">
        <f>IFERROR('Input Refrigeration Measures'!$P15/'Input Refrigeration Measures'!$N15, "")</f>
        <v/>
      </c>
      <c r="R15" s="253"/>
      <c r="S15" s="253"/>
      <c r="T15" s="253"/>
      <c r="U15" s="253"/>
    </row>
    <row r="16" spans="2:21" s="15" customFormat="1" ht="15" x14ac:dyDescent="0.2">
      <c r="B16" s="308">
        <v>12</v>
      </c>
      <c r="C16" s="308" t="str">
        <f>IFERROR(INDEX(Table_Prescript_Meas[Measure Number], MATCH(Table_Custom_Input[[#This Row],[Refrigeration measure]], Table_Prescript_Meas[Measure Description], 0)), "")</f>
        <v/>
      </c>
      <c r="D16" s="317"/>
      <c r="E16" s="318"/>
      <c r="F16" s="308" t="str">
        <f>IFERROR(INDEX(Table_Prescript_Meas[Units], MATCH(Table_Custom_Input[[#This Row],[Measure number]], Table_Prescript_Meas[Measure Number], 0)), "")</f>
        <v/>
      </c>
      <c r="G16" s="309"/>
      <c r="H16" s="303"/>
      <c r="I16" s="303"/>
      <c r="J1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310" t="str">
        <f>IFERROR(Table_Custom_Input[[#This Row],[Number of units]]*Table_Custom_Input[[#This Row],[Per-unit incentive]],"")</f>
        <v/>
      </c>
      <c r="L16" s="311" t="str">
        <f>IFERROR(Table_Custom_Input[[#This Row],[Number of units]]*INDEX(Table_Prescript_Meas[Deemed kWh Savings], MATCH(Table_Custom_Input[[#This Row],[Measure number]], Table_Prescript_Meas[Measure Number], 0)),"" )</f>
        <v/>
      </c>
      <c r="M16" s="312" t="str">
        <f>IFERROR(Table_Custom_Input[[#This Row],[Number of units]]*INDEX(Table_Prescript_Meas[Deemed kW Savings], MATCH(Table_Custom_Input[[#This Row],[Measure number]], Table_Prescript_Meas[Measure Number], 0)),"" )</f>
        <v/>
      </c>
      <c r="N16" s="310" t="str">
        <f>IFERROR(Table_Custom_Input[[#This Row],[Energy savings (kWh)]]*Input_AvgkWhRate, "")</f>
        <v/>
      </c>
      <c r="O16" s="310" t="str">
        <f>IF(Table_Custom_Input[[#This Row],[Measure number]]&lt;&gt;"",Table_Custom_Input[[#This Row],[Total equipment cost]]+Table_Custom_Input[[#This Row],[Total labor cost]],"")</f>
        <v/>
      </c>
      <c r="P16" s="310" t="str">
        <f>IF(Table_Custom_Input[[#This Row],[Measure number]]="","",Table_Custom_Input[[#This Row],[Gross measure cost]]-Table_Custom_Input[[#This Row],[Estimated incentive]])</f>
        <v/>
      </c>
      <c r="Q16" s="311" t="str">
        <f>IFERROR('Input Refrigeration Measures'!$P16/'Input Refrigeration Measures'!$N16, "")</f>
        <v/>
      </c>
      <c r="R16" s="253"/>
      <c r="S16" s="253"/>
      <c r="T16" s="253"/>
      <c r="U16" s="253"/>
    </row>
    <row r="17" spans="2:21" s="15" customFormat="1" ht="15" x14ac:dyDescent="0.2">
      <c r="B17" s="308">
        <v>13</v>
      </c>
      <c r="C17" s="308" t="str">
        <f>IFERROR(INDEX(Table_Prescript_Meas[Measure Number], MATCH(Table_Custom_Input[[#This Row],[Refrigeration measure]], Table_Prescript_Meas[Measure Description], 0)), "")</f>
        <v/>
      </c>
      <c r="D17" s="317"/>
      <c r="E17" s="318"/>
      <c r="F17" s="308" t="str">
        <f>IFERROR(INDEX(Table_Prescript_Meas[Units], MATCH(Table_Custom_Input[[#This Row],[Measure number]], Table_Prescript_Meas[Measure Number], 0)), "")</f>
        <v/>
      </c>
      <c r="G17" s="309"/>
      <c r="H17" s="303"/>
      <c r="I17" s="303"/>
      <c r="J1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310" t="str">
        <f>IFERROR(Table_Custom_Input[[#This Row],[Number of units]]*Table_Custom_Input[[#This Row],[Per-unit incentive]],"")</f>
        <v/>
      </c>
      <c r="L17" s="311" t="str">
        <f>IFERROR(Table_Custom_Input[[#This Row],[Number of units]]*INDEX(Table_Prescript_Meas[Deemed kWh Savings], MATCH(Table_Custom_Input[[#This Row],[Measure number]], Table_Prescript_Meas[Measure Number], 0)),"" )</f>
        <v/>
      </c>
      <c r="M17" s="312" t="str">
        <f>IFERROR(Table_Custom_Input[[#This Row],[Number of units]]*INDEX(Table_Prescript_Meas[Deemed kW Savings], MATCH(Table_Custom_Input[[#This Row],[Measure number]], Table_Prescript_Meas[Measure Number], 0)),"" )</f>
        <v/>
      </c>
      <c r="N17" s="310" t="str">
        <f>IFERROR(Table_Custom_Input[[#This Row],[Energy savings (kWh)]]*Input_AvgkWhRate, "")</f>
        <v/>
      </c>
      <c r="O17" s="310" t="str">
        <f>IF(Table_Custom_Input[[#This Row],[Measure number]]&lt;&gt;"",Table_Custom_Input[[#This Row],[Total equipment cost]]+Table_Custom_Input[[#This Row],[Total labor cost]],"")</f>
        <v/>
      </c>
      <c r="P17" s="310" t="str">
        <f>IF(Table_Custom_Input[[#This Row],[Measure number]]="","",Table_Custom_Input[[#This Row],[Gross measure cost]]-Table_Custom_Input[[#This Row],[Estimated incentive]])</f>
        <v/>
      </c>
      <c r="Q17" s="311" t="str">
        <f>IFERROR('Input Refrigeration Measures'!$P17/'Input Refrigeration Measures'!$N17, "")</f>
        <v/>
      </c>
      <c r="R17" s="253"/>
      <c r="S17" s="253"/>
      <c r="T17" s="253"/>
      <c r="U17" s="253"/>
    </row>
    <row r="18" spans="2:21" s="15" customFormat="1" ht="15" x14ac:dyDescent="0.2">
      <c r="B18" s="308">
        <v>14</v>
      </c>
      <c r="C18" s="308" t="str">
        <f>IFERROR(INDEX(Table_Prescript_Meas[Measure Number], MATCH(Table_Custom_Input[[#This Row],[Refrigeration measure]], Table_Prescript_Meas[Measure Description], 0)), "")</f>
        <v/>
      </c>
      <c r="D18" s="317"/>
      <c r="E18" s="318"/>
      <c r="F18" s="308" t="str">
        <f>IFERROR(INDEX(Table_Prescript_Meas[Units], MATCH(Table_Custom_Input[[#This Row],[Measure number]], Table_Prescript_Meas[Measure Number], 0)), "")</f>
        <v/>
      </c>
      <c r="G18" s="309"/>
      <c r="H18" s="303"/>
      <c r="I18" s="303"/>
      <c r="J1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310" t="str">
        <f>IFERROR(Table_Custom_Input[[#This Row],[Number of units]]*Table_Custom_Input[[#This Row],[Per-unit incentive]],"")</f>
        <v/>
      </c>
      <c r="L18" s="311" t="str">
        <f>IFERROR(Table_Custom_Input[[#This Row],[Number of units]]*INDEX(Table_Prescript_Meas[Deemed kWh Savings], MATCH(Table_Custom_Input[[#This Row],[Measure number]], Table_Prescript_Meas[Measure Number], 0)),"" )</f>
        <v/>
      </c>
      <c r="M18" s="312" t="str">
        <f>IFERROR(Table_Custom_Input[[#This Row],[Number of units]]*INDEX(Table_Prescript_Meas[Deemed kW Savings], MATCH(Table_Custom_Input[[#This Row],[Measure number]], Table_Prescript_Meas[Measure Number], 0)),"" )</f>
        <v/>
      </c>
      <c r="N18" s="310" t="str">
        <f>IFERROR(Table_Custom_Input[[#This Row],[Energy savings (kWh)]]*Input_AvgkWhRate, "")</f>
        <v/>
      </c>
      <c r="O18" s="310" t="str">
        <f>IF(Table_Custom_Input[[#This Row],[Measure number]]&lt;&gt;"",Table_Custom_Input[[#This Row],[Total equipment cost]]+Table_Custom_Input[[#This Row],[Total labor cost]],"")</f>
        <v/>
      </c>
      <c r="P18" s="310" t="str">
        <f>IF(Table_Custom_Input[[#This Row],[Measure number]]="","",Table_Custom_Input[[#This Row],[Gross measure cost]]-Table_Custom_Input[[#This Row],[Estimated incentive]])</f>
        <v/>
      </c>
      <c r="Q18" s="311" t="str">
        <f>IFERROR('Input Refrigeration Measures'!$P18/'Input Refrigeration Measures'!$N18, "")</f>
        <v/>
      </c>
      <c r="R18" s="253"/>
      <c r="S18" s="253"/>
      <c r="T18" s="253"/>
      <c r="U18" s="253"/>
    </row>
    <row r="19" spans="2:21" s="15" customFormat="1" ht="15" x14ac:dyDescent="0.2">
      <c r="B19" s="308">
        <v>15</v>
      </c>
      <c r="C19" s="308" t="str">
        <f>IFERROR(INDEX(Table_Prescript_Meas[Measure Number], MATCH(Table_Custom_Input[[#This Row],[Refrigeration measure]], Table_Prescript_Meas[Measure Description], 0)), "")</f>
        <v/>
      </c>
      <c r="D19" s="317"/>
      <c r="E19" s="318"/>
      <c r="F19" s="308" t="str">
        <f>IFERROR(INDEX(Table_Prescript_Meas[Units], MATCH(Table_Custom_Input[[#This Row],[Measure number]], Table_Prescript_Meas[Measure Number], 0)), "")</f>
        <v/>
      </c>
      <c r="G19" s="309"/>
      <c r="H19" s="303"/>
      <c r="I19" s="303"/>
      <c r="J1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310" t="str">
        <f>IFERROR(Table_Custom_Input[[#This Row],[Number of units]]*Table_Custom_Input[[#This Row],[Per-unit incentive]],"")</f>
        <v/>
      </c>
      <c r="L19" s="311" t="str">
        <f>IFERROR(Table_Custom_Input[[#This Row],[Number of units]]*INDEX(Table_Prescript_Meas[Deemed kWh Savings], MATCH(Table_Custom_Input[[#This Row],[Measure number]], Table_Prescript_Meas[Measure Number], 0)),"" )</f>
        <v/>
      </c>
      <c r="M19" s="312" t="str">
        <f>IFERROR(Table_Custom_Input[[#This Row],[Number of units]]*INDEX(Table_Prescript_Meas[Deemed kW Savings], MATCH(Table_Custom_Input[[#This Row],[Measure number]], Table_Prescript_Meas[Measure Number], 0)),"" )</f>
        <v/>
      </c>
      <c r="N19" s="310" t="str">
        <f>IFERROR(Table_Custom_Input[[#This Row],[Energy savings (kWh)]]*Input_AvgkWhRate, "")</f>
        <v/>
      </c>
      <c r="O19" s="310" t="str">
        <f>IF(Table_Custom_Input[[#This Row],[Measure number]]&lt;&gt;"",Table_Custom_Input[[#This Row],[Total equipment cost]]+Table_Custom_Input[[#This Row],[Total labor cost]],"")</f>
        <v/>
      </c>
      <c r="P19" s="310" t="str">
        <f>IF(Table_Custom_Input[[#This Row],[Measure number]]="","",Table_Custom_Input[[#This Row],[Gross measure cost]]-Table_Custom_Input[[#This Row],[Estimated incentive]])</f>
        <v/>
      </c>
      <c r="Q19" s="311" t="str">
        <f>IFERROR('Input Refrigeration Measures'!$P19/'Input Refrigeration Measures'!$N19, "")</f>
        <v/>
      </c>
      <c r="R19" s="253"/>
      <c r="S19" s="253"/>
      <c r="T19" s="253"/>
      <c r="U19" s="253"/>
    </row>
    <row r="20" spans="2:21" s="15" customFormat="1" ht="15" x14ac:dyDescent="0.2">
      <c r="B20" s="308">
        <v>16</v>
      </c>
      <c r="C20" s="308" t="str">
        <f>IFERROR(INDEX(Table_Prescript_Meas[Measure Number], MATCH(Table_Custom_Input[[#This Row],[Refrigeration measure]], Table_Prescript_Meas[Measure Description], 0)), "")</f>
        <v/>
      </c>
      <c r="D20" s="317"/>
      <c r="E20" s="318"/>
      <c r="F20" s="308" t="str">
        <f>IFERROR(INDEX(Table_Prescript_Meas[Units], MATCH(Table_Custom_Input[[#This Row],[Measure number]], Table_Prescript_Meas[Measure Number], 0)), "")</f>
        <v/>
      </c>
      <c r="G20" s="309"/>
      <c r="H20" s="303"/>
      <c r="I20" s="303"/>
      <c r="J2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310" t="str">
        <f>IFERROR(Table_Custom_Input[[#This Row],[Number of units]]*Table_Custom_Input[[#This Row],[Per-unit incentive]],"")</f>
        <v/>
      </c>
      <c r="L20" s="311" t="str">
        <f>IFERROR(Table_Custom_Input[[#This Row],[Number of units]]*INDEX(Table_Prescript_Meas[Deemed kWh Savings], MATCH(Table_Custom_Input[[#This Row],[Measure number]], Table_Prescript_Meas[Measure Number], 0)),"" )</f>
        <v/>
      </c>
      <c r="M20" s="312" t="str">
        <f>IFERROR(Table_Custom_Input[[#This Row],[Number of units]]*INDEX(Table_Prescript_Meas[Deemed kW Savings], MATCH(Table_Custom_Input[[#This Row],[Measure number]], Table_Prescript_Meas[Measure Number], 0)),"" )</f>
        <v/>
      </c>
      <c r="N20" s="310" t="str">
        <f>IFERROR(Table_Custom_Input[[#This Row],[Energy savings (kWh)]]*Input_AvgkWhRate, "")</f>
        <v/>
      </c>
      <c r="O20" s="310" t="str">
        <f>IF(Table_Custom_Input[[#This Row],[Measure number]]&lt;&gt;"",Table_Custom_Input[[#This Row],[Total equipment cost]]+Table_Custom_Input[[#This Row],[Total labor cost]],"")</f>
        <v/>
      </c>
      <c r="P20" s="310" t="str">
        <f>IF(Table_Custom_Input[[#This Row],[Measure number]]="","",Table_Custom_Input[[#This Row],[Gross measure cost]]-Table_Custom_Input[[#This Row],[Estimated incentive]])</f>
        <v/>
      </c>
      <c r="Q20" s="311" t="str">
        <f>IFERROR('Input Refrigeration Measures'!$P20/'Input Refrigeration Measures'!$N20, "")</f>
        <v/>
      </c>
      <c r="R20" s="253"/>
      <c r="S20" s="253"/>
      <c r="T20" s="253"/>
      <c r="U20" s="253"/>
    </row>
    <row r="21" spans="2:21" s="15" customFormat="1" ht="15" x14ac:dyDescent="0.2">
      <c r="B21" s="308">
        <v>17</v>
      </c>
      <c r="C21" s="308" t="str">
        <f>IFERROR(INDEX(Table_Prescript_Meas[Measure Number], MATCH(Table_Custom_Input[[#This Row],[Refrigeration measure]], Table_Prescript_Meas[Measure Description], 0)), "")</f>
        <v/>
      </c>
      <c r="D21" s="317"/>
      <c r="E21" s="318"/>
      <c r="F21" s="308" t="str">
        <f>IFERROR(INDEX(Table_Prescript_Meas[Units], MATCH(Table_Custom_Input[[#This Row],[Measure number]], Table_Prescript_Meas[Measure Number], 0)), "")</f>
        <v/>
      </c>
      <c r="G21" s="309"/>
      <c r="H21" s="303"/>
      <c r="I21" s="303"/>
      <c r="J2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310" t="str">
        <f>IFERROR(Table_Custom_Input[[#This Row],[Number of units]]*Table_Custom_Input[[#This Row],[Per-unit incentive]],"")</f>
        <v/>
      </c>
      <c r="L21" s="311" t="str">
        <f>IFERROR(Table_Custom_Input[[#This Row],[Number of units]]*INDEX(Table_Prescript_Meas[Deemed kWh Savings], MATCH(Table_Custom_Input[[#This Row],[Measure number]], Table_Prescript_Meas[Measure Number], 0)),"" )</f>
        <v/>
      </c>
      <c r="M21" s="312" t="str">
        <f>IFERROR(Table_Custom_Input[[#This Row],[Number of units]]*INDEX(Table_Prescript_Meas[Deemed kW Savings], MATCH(Table_Custom_Input[[#This Row],[Measure number]], Table_Prescript_Meas[Measure Number], 0)),"" )</f>
        <v/>
      </c>
      <c r="N21" s="310" t="str">
        <f>IFERROR(Table_Custom_Input[[#This Row],[Energy savings (kWh)]]*Input_AvgkWhRate, "")</f>
        <v/>
      </c>
      <c r="O21" s="310" t="str">
        <f>IF(Table_Custom_Input[[#This Row],[Measure number]]&lt;&gt;"",Table_Custom_Input[[#This Row],[Total equipment cost]]+Table_Custom_Input[[#This Row],[Total labor cost]],"")</f>
        <v/>
      </c>
      <c r="P21" s="310" t="str">
        <f>IF(Table_Custom_Input[[#This Row],[Measure number]]="","",Table_Custom_Input[[#This Row],[Gross measure cost]]-Table_Custom_Input[[#This Row],[Estimated incentive]])</f>
        <v/>
      </c>
      <c r="Q21" s="311" t="str">
        <f>IFERROR('Input Refrigeration Measures'!$P21/'Input Refrigeration Measures'!$N21, "")</f>
        <v/>
      </c>
      <c r="R21" s="253"/>
      <c r="S21" s="253"/>
      <c r="T21" s="253"/>
      <c r="U21" s="253"/>
    </row>
    <row r="22" spans="2:21" s="15" customFormat="1" ht="15" x14ac:dyDescent="0.2">
      <c r="B22" s="308">
        <v>18</v>
      </c>
      <c r="C22" s="308" t="str">
        <f>IFERROR(INDEX(Table_Prescript_Meas[Measure Number], MATCH(Table_Custom_Input[[#This Row],[Refrigeration measure]], Table_Prescript_Meas[Measure Description], 0)), "")</f>
        <v/>
      </c>
      <c r="D22" s="317"/>
      <c r="E22" s="318"/>
      <c r="F22" s="308" t="str">
        <f>IFERROR(INDEX(Table_Prescript_Meas[Units], MATCH(Table_Custom_Input[[#This Row],[Measure number]], Table_Prescript_Meas[Measure Number], 0)), "")</f>
        <v/>
      </c>
      <c r="G22" s="309"/>
      <c r="H22" s="303"/>
      <c r="I22" s="303"/>
      <c r="J2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310" t="str">
        <f>IFERROR(Table_Custom_Input[[#This Row],[Number of units]]*Table_Custom_Input[[#This Row],[Per-unit incentive]],"")</f>
        <v/>
      </c>
      <c r="L22" s="311" t="str">
        <f>IFERROR(Table_Custom_Input[[#This Row],[Number of units]]*INDEX(Table_Prescript_Meas[Deemed kWh Savings], MATCH(Table_Custom_Input[[#This Row],[Measure number]], Table_Prescript_Meas[Measure Number], 0)),"" )</f>
        <v/>
      </c>
      <c r="M22" s="312" t="str">
        <f>IFERROR(Table_Custom_Input[[#This Row],[Number of units]]*INDEX(Table_Prescript_Meas[Deemed kW Savings], MATCH(Table_Custom_Input[[#This Row],[Measure number]], Table_Prescript_Meas[Measure Number], 0)),"" )</f>
        <v/>
      </c>
      <c r="N22" s="310" t="str">
        <f>IFERROR(Table_Custom_Input[[#This Row],[Energy savings (kWh)]]*Input_AvgkWhRate, "")</f>
        <v/>
      </c>
      <c r="O22" s="310" t="str">
        <f>IF(Table_Custom_Input[[#This Row],[Measure number]]&lt;&gt;"",Table_Custom_Input[[#This Row],[Total equipment cost]]+Table_Custom_Input[[#This Row],[Total labor cost]],"")</f>
        <v/>
      </c>
      <c r="P22" s="310" t="str">
        <f>IF(Table_Custom_Input[[#This Row],[Measure number]]="","",Table_Custom_Input[[#This Row],[Gross measure cost]]-Table_Custom_Input[[#This Row],[Estimated incentive]])</f>
        <v/>
      </c>
      <c r="Q22" s="311" t="str">
        <f>IFERROR('Input Refrigeration Measures'!$P22/'Input Refrigeration Measures'!$N22, "")</f>
        <v/>
      </c>
      <c r="R22" s="253"/>
      <c r="S22" s="253"/>
      <c r="T22" s="253"/>
      <c r="U22" s="253"/>
    </row>
    <row r="23" spans="2:21" s="15" customFormat="1" ht="15" x14ac:dyDescent="0.2">
      <c r="B23" s="308">
        <v>19</v>
      </c>
      <c r="C23" s="308" t="str">
        <f>IFERROR(INDEX(Table_Prescript_Meas[Measure Number], MATCH(Table_Custom_Input[[#This Row],[Refrigeration measure]], Table_Prescript_Meas[Measure Description], 0)), "")</f>
        <v/>
      </c>
      <c r="D23" s="317"/>
      <c r="E23" s="318"/>
      <c r="F23" s="308" t="str">
        <f>IFERROR(INDEX(Table_Prescript_Meas[Units], MATCH(Table_Custom_Input[[#This Row],[Measure number]], Table_Prescript_Meas[Measure Number], 0)), "")</f>
        <v/>
      </c>
      <c r="G23" s="309"/>
      <c r="H23" s="303"/>
      <c r="I23" s="303"/>
      <c r="J2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310" t="str">
        <f>IFERROR(Table_Custom_Input[[#This Row],[Number of units]]*Table_Custom_Input[[#This Row],[Per-unit incentive]],"")</f>
        <v/>
      </c>
      <c r="L23" s="311" t="str">
        <f>IFERROR(Table_Custom_Input[[#This Row],[Number of units]]*INDEX(Table_Prescript_Meas[Deemed kWh Savings], MATCH(Table_Custom_Input[[#This Row],[Measure number]], Table_Prescript_Meas[Measure Number], 0)),"" )</f>
        <v/>
      </c>
      <c r="M23" s="312" t="str">
        <f>IFERROR(Table_Custom_Input[[#This Row],[Number of units]]*INDEX(Table_Prescript_Meas[Deemed kW Savings], MATCH(Table_Custom_Input[[#This Row],[Measure number]], Table_Prescript_Meas[Measure Number], 0)),"" )</f>
        <v/>
      </c>
      <c r="N23" s="310" t="str">
        <f>IFERROR(Table_Custom_Input[[#This Row],[Energy savings (kWh)]]*Input_AvgkWhRate, "")</f>
        <v/>
      </c>
      <c r="O23" s="310" t="str">
        <f>IF(Table_Custom_Input[[#This Row],[Measure number]]&lt;&gt;"",Table_Custom_Input[[#This Row],[Total equipment cost]]+Table_Custom_Input[[#This Row],[Total labor cost]],"")</f>
        <v/>
      </c>
      <c r="P23" s="310" t="str">
        <f>IF(Table_Custom_Input[[#This Row],[Measure number]]="","",Table_Custom_Input[[#This Row],[Gross measure cost]]-Table_Custom_Input[[#This Row],[Estimated incentive]])</f>
        <v/>
      </c>
      <c r="Q23" s="311" t="str">
        <f>IFERROR('Input Refrigeration Measures'!$P23/'Input Refrigeration Measures'!$N23, "")</f>
        <v/>
      </c>
      <c r="R23" s="253"/>
      <c r="S23" s="253"/>
      <c r="T23" s="253"/>
      <c r="U23" s="253"/>
    </row>
    <row r="24" spans="2:21" s="15" customFormat="1" ht="15" x14ac:dyDescent="0.2">
      <c r="B24" s="308">
        <v>20</v>
      </c>
      <c r="C24" s="308" t="str">
        <f>IFERROR(INDEX(Table_Prescript_Meas[Measure Number], MATCH(Table_Custom_Input[[#This Row],[Refrigeration measure]], Table_Prescript_Meas[Measure Description], 0)), "")</f>
        <v/>
      </c>
      <c r="D24" s="317"/>
      <c r="E24" s="318"/>
      <c r="F24" s="308" t="str">
        <f>IFERROR(INDEX(Table_Prescript_Meas[Units], MATCH(Table_Custom_Input[[#This Row],[Measure number]], Table_Prescript_Meas[Measure Number], 0)), "")</f>
        <v/>
      </c>
      <c r="G24" s="309"/>
      <c r="H24" s="303"/>
      <c r="I24" s="303"/>
      <c r="J2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310" t="str">
        <f>IFERROR(Table_Custom_Input[[#This Row],[Number of units]]*Table_Custom_Input[[#This Row],[Per-unit incentive]],"")</f>
        <v/>
      </c>
      <c r="L24" s="311" t="str">
        <f>IFERROR(Table_Custom_Input[[#This Row],[Number of units]]*INDEX(Table_Prescript_Meas[Deemed kWh Savings], MATCH(Table_Custom_Input[[#This Row],[Measure number]], Table_Prescript_Meas[Measure Number], 0)),"" )</f>
        <v/>
      </c>
      <c r="M24" s="312" t="str">
        <f>IFERROR(Table_Custom_Input[[#This Row],[Number of units]]*INDEX(Table_Prescript_Meas[Deemed kW Savings], MATCH(Table_Custom_Input[[#This Row],[Measure number]], Table_Prescript_Meas[Measure Number], 0)),"" )</f>
        <v/>
      </c>
      <c r="N24" s="310" t="str">
        <f>IFERROR(Table_Custom_Input[[#This Row],[Energy savings (kWh)]]*Input_AvgkWhRate, "")</f>
        <v/>
      </c>
      <c r="O24" s="310" t="str">
        <f>IF(Table_Custom_Input[[#This Row],[Measure number]]&lt;&gt;"",Table_Custom_Input[[#This Row],[Total equipment cost]]+Table_Custom_Input[[#This Row],[Total labor cost]],"")</f>
        <v/>
      </c>
      <c r="P24" s="310" t="str">
        <f>IF(Table_Custom_Input[[#This Row],[Measure number]]="","",Table_Custom_Input[[#This Row],[Gross measure cost]]-Table_Custom_Input[[#This Row],[Estimated incentive]])</f>
        <v/>
      </c>
      <c r="Q24" s="311" t="str">
        <f>IFERROR('Input Refrigeration Measures'!$P24/'Input Refrigeration Measures'!$N24, "")</f>
        <v/>
      </c>
      <c r="R24" s="253"/>
      <c r="S24" s="253"/>
      <c r="T24" s="253"/>
      <c r="U24" s="253"/>
    </row>
    <row r="25" spans="2:21" s="15" customFormat="1" ht="15" x14ac:dyDescent="0.2">
      <c r="B25" s="308">
        <v>21</v>
      </c>
      <c r="C25" s="308" t="str">
        <f>IFERROR(INDEX(Table_Prescript_Meas[Measure Number], MATCH(Table_Custom_Input[[#This Row],[Refrigeration measure]], Table_Prescript_Meas[Measure Description], 0)), "")</f>
        <v/>
      </c>
      <c r="D25" s="317"/>
      <c r="E25" s="318"/>
      <c r="F25" s="308" t="str">
        <f>IFERROR(INDEX(Table_Prescript_Meas[Units], MATCH(Table_Custom_Input[[#This Row],[Measure number]], Table_Prescript_Meas[Measure Number], 0)), "")</f>
        <v/>
      </c>
      <c r="G25" s="309"/>
      <c r="H25" s="303"/>
      <c r="I25" s="303"/>
      <c r="J2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310" t="str">
        <f>IFERROR(Table_Custom_Input[[#This Row],[Number of units]]*Table_Custom_Input[[#This Row],[Per-unit incentive]],"")</f>
        <v/>
      </c>
      <c r="L25" s="311" t="str">
        <f>IFERROR(Table_Custom_Input[[#This Row],[Number of units]]*INDEX(Table_Prescript_Meas[Deemed kWh Savings], MATCH(Table_Custom_Input[[#This Row],[Measure number]], Table_Prescript_Meas[Measure Number], 0)),"" )</f>
        <v/>
      </c>
      <c r="M25" s="312" t="str">
        <f>IFERROR(Table_Custom_Input[[#This Row],[Number of units]]*INDEX(Table_Prescript_Meas[Deemed kW Savings], MATCH(Table_Custom_Input[[#This Row],[Measure number]], Table_Prescript_Meas[Measure Number], 0)),"" )</f>
        <v/>
      </c>
      <c r="N25" s="310" t="str">
        <f>IFERROR(Table_Custom_Input[[#This Row],[Energy savings (kWh)]]*Input_AvgkWhRate, "")</f>
        <v/>
      </c>
      <c r="O25" s="310" t="str">
        <f>IF(Table_Custom_Input[[#This Row],[Measure number]]&lt;&gt;"",Table_Custom_Input[[#This Row],[Total equipment cost]]+Table_Custom_Input[[#This Row],[Total labor cost]],"")</f>
        <v/>
      </c>
      <c r="P25" s="310" t="str">
        <f>IF(Table_Custom_Input[[#This Row],[Measure number]]="","",Table_Custom_Input[[#This Row],[Gross measure cost]]-Table_Custom_Input[[#This Row],[Estimated incentive]])</f>
        <v/>
      </c>
      <c r="Q25" s="311" t="str">
        <f>IFERROR('Input Refrigeration Measures'!$P25/'Input Refrigeration Measures'!$N25, "")</f>
        <v/>
      </c>
      <c r="R25" s="253"/>
      <c r="S25" s="253"/>
      <c r="T25" s="253"/>
      <c r="U25" s="253"/>
    </row>
    <row r="26" spans="2:21" s="15" customFormat="1" ht="15" x14ac:dyDescent="0.2">
      <c r="B26" s="308">
        <v>22</v>
      </c>
      <c r="C26" s="308" t="str">
        <f>IFERROR(INDEX(Table_Prescript_Meas[Measure Number], MATCH(Table_Custom_Input[[#This Row],[Refrigeration measure]], Table_Prescript_Meas[Measure Description], 0)), "")</f>
        <v/>
      </c>
      <c r="D26" s="317"/>
      <c r="E26" s="318"/>
      <c r="F26" s="308" t="str">
        <f>IFERROR(INDEX(Table_Prescript_Meas[Units], MATCH(Table_Custom_Input[[#This Row],[Measure number]], Table_Prescript_Meas[Measure Number], 0)), "")</f>
        <v/>
      </c>
      <c r="G26" s="309"/>
      <c r="H26" s="303"/>
      <c r="I26" s="303"/>
      <c r="J2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310" t="str">
        <f>IFERROR(Table_Custom_Input[[#This Row],[Number of units]]*Table_Custom_Input[[#This Row],[Per-unit incentive]],"")</f>
        <v/>
      </c>
      <c r="L26" s="311" t="str">
        <f>IFERROR(Table_Custom_Input[[#This Row],[Number of units]]*INDEX(Table_Prescript_Meas[Deemed kWh Savings], MATCH(Table_Custom_Input[[#This Row],[Measure number]], Table_Prescript_Meas[Measure Number], 0)),"" )</f>
        <v/>
      </c>
      <c r="M26" s="312" t="str">
        <f>IFERROR(Table_Custom_Input[[#This Row],[Number of units]]*INDEX(Table_Prescript_Meas[Deemed kW Savings], MATCH(Table_Custom_Input[[#This Row],[Measure number]], Table_Prescript_Meas[Measure Number], 0)),"" )</f>
        <v/>
      </c>
      <c r="N26" s="310" t="str">
        <f>IFERROR(Table_Custom_Input[[#This Row],[Energy savings (kWh)]]*Input_AvgkWhRate, "")</f>
        <v/>
      </c>
      <c r="O26" s="310" t="str">
        <f>IF(Table_Custom_Input[[#This Row],[Measure number]]&lt;&gt;"",Table_Custom_Input[[#This Row],[Total equipment cost]]+Table_Custom_Input[[#This Row],[Total labor cost]],"")</f>
        <v/>
      </c>
      <c r="P26" s="310" t="str">
        <f>IF(Table_Custom_Input[[#This Row],[Measure number]]="","",Table_Custom_Input[[#This Row],[Gross measure cost]]-Table_Custom_Input[[#This Row],[Estimated incentive]])</f>
        <v/>
      </c>
      <c r="Q26" s="311" t="str">
        <f>IFERROR('Input Refrigeration Measures'!$P26/'Input Refrigeration Measures'!$N26, "")</f>
        <v/>
      </c>
      <c r="R26" s="253"/>
      <c r="S26" s="253"/>
      <c r="T26" s="253"/>
      <c r="U26" s="253"/>
    </row>
    <row r="27" spans="2:21" s="15" customFormat="1" ht="15" x14ac:dyDescent="0.2">
      <c r="B27" s="308">
        <v>23</v>
      </c>
      <c r="C27" s="308" t="str">
        <f>IFERROR(INDEX(Table_Prescript_Meas[Measure Number], MATCH(Table_Custom_Input[[#This Row],[Refrigeration measure]], Table_Prescript_Meas[Measure Description], 0)), "")</f>
        <v/>
      </c>
      <c r="D27" s="317"/>
      <c r="E27" s="318"/>
      <c r="F27" s="308" t="str">
        <f>IFERROR(INDEX(Table_Prescript_Meas[Units], MATCH(Table_Custom_Input[[#This Row],[Measure number]], Table_Prescript_Meas[Measure Number], 0)), "")</f>
        <v/>
      </c>
      <c r="G27" s="309"/>
      <c r="H27" s="303"/>
      <c r="I27" s="303"/>
      <c r="J2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310" t="str">
        <f>IFERROR(Table_Custom_Input[[#This Row],[Number of units]]*Table_Custom_Input[[#This Row],[Per-unit incentive]],"")</f>
        <v/>
      </c>
      <c r="L27" s="311" t="str">
        <f>IFERROR(Table_Custom_Input[[#This Row],[Number of units]]*INDEX(Table_Prescript_Meas[Deemed kWh Savings], MATCH(Table_Custom_Input[[#This Row],[Measure number]], Table_Prescript_Meas[Measure Number], 0)),"" )</f>
        <v/>
      </c>
      <c r="M27" s="312" t="str">
        <f>IFERROR(Table_Custom_Input[[#This Row],[Number of units]]*INDEX(Table_Prescript_Meas[Deemed kW Savings], MATCH(Table_Custom_Input[[#This Row],[Measure number]], Table_Prescript_Meas[Measure Number], 0)),"" )</f>
        <v/>
      </c>
      <c r="N27" s="310" t="str">
        <f>IFERROR(Table_Custom_Input[[#This Row],[Energy savings (kWh)]]*Input_AvgkWhRate, "")</f>
        <v/>
      </c>
      <c r="O27" s="310" t="str">
        <f>IF(Table_Custom_Input[[#This Row],[Measure number]]&lt;&gt;"",Table_Custom_Input[[#This Row],[Total equipment cost]]+Table_Custom_Input[[#This Row],[Total labor cost]],"")</f>
        <v/>
      </c>
      <c r="P27" s="310" t="str">
        <f>IF(Table_Custom_Input[[#This Row],[Measure number]]="","",Table_Custom_Input[[#This Row],[Gross measure cost]]-Table_Custom_Input[[#This Row],[Estimated incentive]])</f>
        <v/>
      </c>
      <c r="Q27" s="311" t="str">
        <f>IFERROR('Input Refrigeration Measures'!$P27/'Input Refrigeration Measures'!$N27, "")</f>
        <v/>
      </c>
      <c r="R27" s="253"/>
      <c r="S27" s="253"/>
      <c r="T27" s="253"/>
      <c r="U27" s="253"/>
    </row>
    <row r="28" spans="2:21" s="15" customFormat="1" ht="15" x14ac:dyDescent="0.2">
      <c r="B28" s="308">
        <v>24</v>
      </c>
      <c r="C28" s="308" t="str">
        <f>IFERROR(INDEX(Table_Prescript_Meas[Measure Number], MATCH(Table_Custom_Input[[#This Row],[Refrigeration measure]], Table_Prescript_Meas[Measure Description], 0)), "")</f>
        <v/>
      </c>
      <c r="D28" s="317"/>
      <c r="E28" s="318"/>
      <c r="F28" s="308" t="str">
        <f>IFERROR(INDEX(Table_Prescript_Meas[Units], MATCH(Table_Custom_Input[[#This Row],[Measure number]], Table_Prescript_Meas[Measure Number], 0)), "")</f>
        <v/>
      </c>
      <c r="G28" s="309"/>
      <c r="H28" s="303"/>
      <c r="I28" s="303"/>
      <c r="J2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310" t="str">
        <f>IFERROR(Table_Custom_Input[[#This Row],[Number of units]]*Table_Custom_Input[[#This Row],[Per-unit incentive]],"")</f>
        <v/>
      </c>
      <c r="L28" s="311" t="str">
        <f>IFERROR(Table_Custom_Input[[#This Row],[Number of units]]*INDEX(Table_Prescript_Meas[Deemed kWh Savings], MATCH(Table_Custom_Input[[#This Row],[Measure number]], Table_Prescript_Meas[Measure Number], 0)),"" )</f>
        <v/>
      </c>
      <c r="M28" s="312" t="str">
        <f>IFERROR(Table_Custom_Input[[#This Row],[Number of units]]*INDEX(Table_Prescript_Meas[Deemed kW Savings], MATCH(Table_Custom_Input[[#This Row],[Measure number]], Table_Prescript_Meas[Measure Number], 0)),"" )</f>
        <v/>
      </c>
      <c r="N28" s="310" t="str">
        <f>IFERROR(Table_Custom_Input[[#This Row],[Energy savings (kWh)]]*Input_AvgkWhRate, "")</f>
        <v/>
      </c>
      <c r="O28" s="310" t="str">
        <f>IF(Table_Custom_Input[[#This Row],[Measure number]]&lt;&gt;"",Table_Custom_Input[[#This Row],[Total equipment cost]]+Table_Custom_Input[[#This Row],[Total labor cost]],"")</f>
        <v/>
      </c>
      <c r="P28" s="310" t="str">
        <f>IF(Table_Custom_Input[[#This Row],[Measure number]]="","",Table_Custom_Input[[#This Row],[Gross measure cost]]-Table_Custom_Input[[#This Row],[Estimated incentive]])</f>
        <v/>
      </c>
      <c r="Q28" s="311" t="str">
        <f>IFERROR('Input Refrigeration Measures'!$P28/'Input Refrigeration Measures'!$N28, "")</f>
        <v/>
      </c>
      <c r="R28" s="253"/>
      <c r="S28" s="253"/>
      <c r="T28" s="253"/>
      <c r="U28" s="253"/>
    </row>
    <row r="29" spans="2:21" s="15" customFormat="1" ht="15" x14ac:dyDescent="0.2">
      <c r="B29" s="308">
        <v>25</v>
      </c>
      <c r="C29" s="308" t="str">
        <f>IFERROR(INDEX(Table_Prescript_Meas[Measure Number], MATCH(Table_Custom_Input[[#This Row],[Refrigeration measure]], Table_Prescript_Meas[Measure Description], 0)), "")</f>
        <v/>
      </c>
      <c r="D29" s="317"/>
      <c r="E29" s="318"/>
      <c r="F29" s="308" t="str">
        <f>IFERROR(INDEX(Table_Prescript_Meas[Units], MATCH(Table_Custom_Input[[#This Row],[Measure number]], Table_Prescript_Meas[Measure Number], 0)), "")</f>
        <v/>
      </c>
      <c r="G29" s="309"/>
      <c r="H29" s="303"/>
      <c r="I29" s="303"/>
      <c r="J2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310" t="str">
        <f>IFERROR(Table_Custom_Input[[#This Row],[Number of units]]*Table_Custom_Input[[#This Row],[Per-unit incentive]],"")</f>
        <v/>
      </c>
      <c r="L29" s="311" t="str">
        <f>IFERROR(Table_Custom_Input[[#This Row],[Number of units]]*INDEX(Table_Prescript_Meas[Deemed kWh Savings], MATCH(Table_Custom_Input[[#This Row],[Measure number]], Table_Prescript_Meas[Measure Number], 0)),"" )</f>
        <v/>
      </c>
      <c r="M29" s="312" t="str">
        <f>IFERROR(Table_Custom_Input[[#This Row],[Number of units]]*INDEX(Table_Prescript_Meas[Deemed kW Savings], MATCH(Table_Custom_Input[[#This Row],[Measure number]], Table_Prescript_Meas[Measure Number], 0)),"" )</f>
        <v/>
      </c>
      <c r="N29" s="310" t="str">
        <f>IFERROR(Table_Custom_Input[[#This Row],[Energy savings (kWh)]]*Input_AvgkWhRate, "")</f>
        <v/>
      </c>
      <c r="O29" s="310" t="str">
        <f>IF(Table_Custom_Input[[#This Row],[Measure number]]&lt;&gt;"",Table_Custom_Input[[#This Row],[Total equipment cost]]+Table_Custom_Input[[#This Row],[Total labor cost]],"")</f>
        <v/>
      </c>
      <c r="P29" s="310" t="str">
        <f>IF(Table_Custom_Input[[#This Row],[Measure number]]="","",Table_Custom_Input[[#This Row],[Gross measure cost]]-Table_Custom_Input[[#This Row],[Estimated incentive]])</f>
        <v/>
      </c>
      <c r="Q29" s="311" t="str">
        <f>IFERROR('Input Refrigeration Measures'!$P29/'Input Refrigeration Measures'!$N29, "")</f>
        <v/>
      </c>
      <c r="R29" s="253"/>
      <c r="S29" s="253"/>
      <c r="T29" s="253"/>
      <c r="U29" s="253"/>
    </row>
    <row r="30" spans="2:21" s="15" customFormat="1" ht="15" x14ac:dyDescent="0.2">
      <c r="B30" s="308">
        <v>26</v>
      </c>
      <c r="C30" s="308" t="str">
        <f>IFERROR(INDEX(Table_Prescript_Meas[Measure Number], MATCH(Table_Custom_Input[[#This Row],[Refrigeration measure]], Table_Prescript_Meas[Measure Description], 0)), "")</f>
        <v/>
      </c>
      <c r="D30" s="317"/>
      <c r="E30" s="318"/>
      <c r="F30" s="308" t="str">
        <f>IFERROR(INDEX(Table_Prescript_Meas[Units], MATCH(Table_Custom_Input[[#This Row],[Measure number]], Table_Prescript_Meas[Measure Number], 0)), "")</f>
        <v/>
      </c>
      <c r="G30" s="309"/>
      <c r="H30" s="303"/>
      <c r="I30" s="303"/>
      <c r="J3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310" t="str">
        <f>IFERROR(Table_Custom_Input[[#This Row],[Number of units]]*Table_Custom_Input[[#This Row],[Per-unit incentive]],"")</f>
        <v/>
      </c>
      <c r="L30" s="311" t="str">
        <f>IFERROR(Table_Custom_Input[[#This Row],[Number of units]]*INDEX(Table_Prescript_Meas[Deemed kWh Savings], MATCH(Table_Custom_Input[[#This Row],[Measure number]], Table_Prescript_Meas[Measure Number], 0)),"" )</f>
        <v/>
      </c>
      <c r="M30" s="312" t="str">
        <f>IFERROR(Table_Custom_Input[[#This Row],[Number of units]]*INDEX(Table_Prescript_Meas[Deemed kW Savings], MATCH(Table_Custom_Input[[#This Row],[Measure number]], Table_Prescript_Meas[Measure Number], 0)),"" )</f>
        <v/>
      </c>
      <c r="N30" s="310" t="str">
        <f>IFERROR(Table_Custom_Input[[#This Row],[Energy savings (kWh)]]*Input_AvgkWhRate, "")</f>
        <v/>
      </c>
      <c r="O30" s="310" t="str">
        <f>IF(Table_Custom_Input[[#This Row],[Measure number]]&lt;&gt;"",Table_Custom_Input[[#This Row],[Total equipment cost]]+Table_Custom_Input[[#This Row],[Total labor cost]],"")</f>
        <v/>
      </c>
      <c r="P30" s="310" t="str">
        <f>IF(Table_Custom_Input[[#This Row],[Measure number]]="","",Table_Custom_Input[[#This Row],[Gross measure cost]]-Table_Custom_Input[[#This Row],[Estimated incentive]])</f>
        <v/>
      </c>
      <c r="Q30" s="311" t="str">
        <f>IFERROR('Input Refrigeration Measures'!$P30/'Input Refrigeration Measures'!$N30, "")</f>
        <v/>
      </c>
      <c r="R30" s="253"/>
      <c r="S30" s="253"/>
      <c r="T30" s="253"/>
      <c r="U30" s="253"/>
    </row>
    <row r="31" spans="2:21" s="15" customFormat="1" ht="15" x14ac:dyDescent="0.2">
      <c r="B31" s="308">
        <v>27</v>
      </c>
      <c r="C31" s="308" t="str">
        <f>IFERROR(INDEX(Table_Prescript_Meas[Measure Number], MATCH(Table_Custom_Input[[#This Row],[Refrigeration measure]], Table_Prescript_Meas[Measure Description], 0)), "")</f>
        <v/>
      </c>
      <c r="D31" s="317"/>
      <c r="E31" s="318"/>
      <c r="F31" s="308" t="str">
        <f>IFERROR(INDEX(Table_Prescript_Meas[Units], MATCH(Table_Custom_Input[[#This Row],[Measure number]], Table_Prescript_Meas[Measure Number], 0)), "")</f>
        <v/>
      </c>
      <c r="G31" s="309"/>
      <c r="H31" s="303"/>
      <c r="I31" s="303"/>
      <c r="J3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310" t="str">
        <f>IFERROR(Table_Custom_Input[[#This Row],[Number of units]]*Table_Custom_Input[[#This Row],[Per-unit incentive]],"")</f>
        <v/>
      </c>
      <c r="L31" s="311" t="str">
        <f>IFERROR(Table_Custom_Input[[#This Row],[Number of units]]*INDEX(Table_Prescript_Meas[Deemed kWh Savings], MATCH(Table_Custom_Input[[#This Row],[Measure number]], Table_Prescript_Meas[Measure Number], 0)),"" )</f>
        <v/>
      </c>
      <c r="M31" s="312" t="str">
        <f>IFERROR(Table_Custom_Input[[#This Row],[Number of units]]*INDEX(Table_Prescript_Meas[Deemed kW Savings], MATCH(Table_Custom_Input[[#This Row],[Measure number]], Table_Prescript_Meas[Measure Number], 0)),"" )</f>
        <v/>
      </c>
      <c r="N31" s="310" t="str">
        <f>IFERROR(Table_Custom_Input[[#This Row],[Energy savings (kWh)]]*Input_AvgkWhRate, "")</f>
        <v/>
      </c>
      <c r="O31" s="310" t="str">
        <f>IF(Table_Custom_Input[[#This Row],[Measure number]]&lt;&gt;"",Table_Custom_Input[[#This Row],[Total equipment cost]]+Table_Custom_Input[[#This Row],[Total labor cost]],"")</f>
        <v/>
      </c>
      <c r="P31" s="310" t="str">
        <f>IF(Table_Custom_Input[[#This Row],[Measure number]]="","",Table_Custom_Input[[#This Row],[Gross measure cost]]-Table_Custom_Input[[#This Row],[Estimated incentive]])</f>
        <v/>
      </c>
      <c r="Q31" s="311" t="str">
        <f>IFERROR('Input Refrigeration Measures'!$P31/'Input Refrigeration Measures'!$N31, "")</f>
        <v/>
      </c>
      <c r="R31" s="253"/>
      <c r="S31" s="253"/>
      <c r="T31" s="253"/>
      <c r="U31" s="253"/>
    </row>
    <row r="32" spans="2:21" s="15" customFormat="1" ht="15" x14ac:dyDescent="0.2">
      <c r="B32" s="308">
        <v>28</v>
      </c>
      <c r="C32" s="308" t="str">
        <f>IFERROR(INDEX(Table_Prescript_Meas[Measure Number], MATCH(Table_Custom_Input[[#This Row],[Refrigeration measure]], Table_Prescript_Meas[Measure Description], 0)), "")</f>
        <v/>
      </c>
      <c r="D32" s="317"/>
      <c r="E32" s="318"/>
      <c r="F32" s="308" t="str">
        <f>IFERROR(INDEX(Table_Prescript_Meas[Units], MATCH(Table_Custom_Input[[#This Row],[Measure number]], Table_Prescript_Meas[Measure Number], 0)), "")</f>
        <v/>
      </c>
      <c r="G32" s="309"/>
      <c r="H32" s="303"/>
      <c r="I32" s="303"/>
      <c r="J3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310" t="str">
        <f>IFERROR(Table_Custom_Input[[#This Row],[Number of units]]*Table_Custom_Input[[#This Row],[Per-unit incentive]],"")</f>
        <v/>
      </c>
      <c r="L32" s="311" t="str">
        <f>IFERROR(Table_Custom_Input[[#This Row],[Number of units]]*INDEX(Table_Prescript_Meas[Deemed kWh Savings], MATCH(Table_Custom_Input[[#This Row],[Measure number]], Table_Prescript_Meas[Measure Number], 0)),"" )</f>
        <v/>
      </c>
      <c r="M32" s="312" t="str">
        <f>IFERROR(Table_Custom_Input[[#This Row],[Number of units]]*INDEX(Table_Prescript_Meas[Deemed kW Savings], MATCH(Table_Custom_Input[[#This Row],[Measure number]], Table_Prescript_Meas[Measure Number], 0)),"" )</f>
        <v/>
      </c>
      <c r="N32" s="310" t="str">
        <f>IFERROR(Table_Custom_Input[[#This Row],[Energy savings (kWh)]]*Input_AvgkWhRate, "")</f>
        <v/>
      </c>
      <c r="O32" s="310" t="str">
        <f>IF(Table_Custom_Input[[#This Row],[Measure number]]&lt;&gt;"",Table_Custom_Input[[#This Row],[Total equipment cost]]+Table_Custom_Input[[#This Row],[Total labor cost]],"")</f>
        <v/>
      </c>
      <c r="P32" s="310" t="str">
        <f>IF(Table_Custom_Input[[#This Row],[Measure number]]="","",Table_Custom_Input[[#This Row],[Gross measure cost]]-Table_Custom_Input[[#This Row],[Estimated incentive]])</f>
        <v/>
      </c>
      <c r="Q32" s="311" t="str">
        <f>IFERROR('Input Refrigeration Measures'!$P32/'Input Refrigeration Measures'!$N32, "")</f>
        <v/>
      </c>
      <c r="R32" s="253"/>
      <c r="S32" s="253"/>
      <c r="T32" s="253"/>
      <c r="U32" s="253"/>
    </row>
    <row r="33" spans="2:21" s="15" customFormat="1" ht="15" x14ac:dyDescent="0.2">
      <c r="B33" s="308">
        <v>29</v>
      </c>
      <c r="C33" s="308" t="str">
        <f>IFERROR(INDEX(Table_Prescript_Meas[Measure Number], MATCH(Table_Custom_Input[[#This Row],[Refrigeration measure]], Table_Prescript_Meas[Measure Description], 0)), "")</f>
        <v/>
      </c>
      <c r="D33" s="317"/>
      <c r="E33" s="318"/>
      <c r="F33" s="308" t="str">
        <f>IFERROR(INDEX(Table_Prescript_Meas[Units], MATCH(Table_Custom_Input[[#This Row],[Measure number]], Table_Prescript_Meas[Measure Number], 0)), "")</f>
        <v/>
      </c>
      <c r="G33" s="309"/>
      <c r="H33" s="303"/>
      <c r="I33" s="303"/>
      <c r="J3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310" t="str">
        <f>IFERROR(Table_Custom_Input[[#This Row],[Number of units]]*Table_Custom_Input[[#This Row],[Per-unit incentive]],"")</f>
        <v/>
      </c>
      <c r="L33" s="311" t="str">
        <f>IFERROR(Table_Custom_Input[[#This Row],[Number of units]]*INDEX(Table_Prescript_Meas[Deemed kWh Savings], MATCH(Table_Custom_Input[[#This Row],[Measure number]], Table_Prescript_Meas[Measure Number], 0)),"" )</f>
        <v/>
      </c>
      <c r="M33" s="312" t="str">
        <f>IFERROR(Table_Custom_Input[[#This Row],[Number of units]]*INDEX(Table_Prescript_Meas[Deemed kW Savings], MATCH(Table_Custom_Input[[#This Row],[Measure number]], Table_Prescript_Meas[Measure Number], 0)),"" )</f>
        <v/>
      </c>
      <c r="N33" s="310" t="str">
        <f>IFERROR(Table_Custom_Input[[#This Row],[Energy savings (kWh)]]*Input_AvgkWhRate, "")</f>
        <v/>
      </c>
      <c r="O33" s="310" t="str">
        <f>IF(Table_Custom_Input[[#This Row],[Measure number]]&lt;&gt;"",Table_Custom_Input[[#This Row],[Total equipment cost]]+Table_Custom_Input[[#This Row],[Total labor cost]],"")</f>
        <v/>
      </c>
      <c r="P33" s="310" t="str">
        <f>IF(Table_Custom_Input[[#This Row],[Measure number]]="","",Table_Custom_Input[[#This Row],[Gross measure cost]]-Table_Custom_Input[[#This Row],[Estimated incentive]])</f>
        <v/>
      </c>
      <c r="Q33" s="311" t="str">
        <f>IFERROR('Input Refrigeration Measures'!$P33/'Input Refrigeration Measures'!$N33, "")</f>
        <v/>
      </c>
      <c r="R33" s="253"/>
      <c r="S33" s="253"/>
      <c r="T33" s="253"/>
      <c r="U33" s="253"/>
    </row>
    <row r="34" spans="2:21" s="15" customFormat="1" ht="15" x14ac:dyDescent="0.2">
      <c r="B34" s="308">
        <v>30</v>
      </c>
      <c r="C34" s="308" t="str">
        <f>IFERROR(INDEX(Table_Prescript_Meas[Measure Number], MATCH(Table_Custom_Input[[#This Row],[Refrigeration measure]], Table_Prescript_Meas[Measure Description], 0)), "")</f>
        <v/>
      </c>
      <c r="D34" s="317"/>
      <c r="E34" s="318"/>
      <c r="F34" s="308" t="str">
        <f>IFERROR(INDEX(Table_Prescript_Meas[Units], MATCH(Table_Custom_Input[[#This Row],[Measure number]], Table_Prescript_Meas[Measure Number], 0)), "")</f>
        <v/>
      </c>
      <c r="G34" s="309"/>
      <c r="H34" s="303"/>
      <c r="I34" s="303"/>
      <c r="J3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310" t="str">
        <f>IFERROR(Table_Custom_Input[[#This Row],[Number of units]]*Table_Custom_Input[[#This Row],[Per-unit incentive]],"")</f>
        <v/>
      </c>
      <c r="L34" s="311" t="str">
        <f>IFERROR(Table_Custom_Input[[#This Row],[Number of units]]*INDEX(Table_Prescript_Meas[Deemed kWh Savings], MATCH(Table_Custom_Input[[#This Row],[Measure number]], Table_Prescript_Meas[Measure Number], 0)),"" )</f>
        <v/>
      </c>
      <c r="M34" s="312" t="str">
        <f>IFERROR(Table_Custom_Input[[#This Row],[Number of units]]*INDEX(Table_Prescript_Meas[Deemed kW Savings], MATCH(Table_Custom_Input[[#This Row],[Measure number]], Table_Prescript_Meas[Measure Number], 0)),"" )</f>
        <v/>
      </c>
      <c r="N34" s="310" t="str">
        <f>IFERROR(Table_Custom_Input[[#This Row],[Energy savings (kWh)]]*Input_AvgkWhRate, "")</f>
        <v/>
      </c>
      <c r="O34" s="310" t="str">
        <f>IF(Table_Custom_Input[[#This Row],[Measure number]]&lt;&gt;"",Table_Custom_Input[[#This Row],[Total equipment cost]]+Table_Custom_Input[[#This Row],[Total labor cost]],"")</f>
        <v/>
      </c>
      <c r="P34" s="310" t="str">
        <f>IF(Table_Custom_Input[[#This Row],[Measure number]]="","",Table_Custom_Input[[#This Row],[Gross measure cost]]-Table_Custom_Input[[#This Row],[Estimated incentive]])</f>
        <v/>
      </c>
      <c r="Q34" s="311" t="str">
        <f>IFERROR('Input Refrigeration Measures'!$P34/'Input Refrigeration Measures'!$N34, "")</f>
        <v/>
      </c>
      <c r="R34" s="253"/>
      <c r="S34" s="253"/>
      <c r="T34" s="253"/>
      <c r="U34" s="253"/>
    </row>
    <row r="35" spans="2:21" s="15" customFormat="1" ht="15" x14ac:dyDescent="0.2">
      <c r="B35" s="308">
        <v>31</v>
      </c>
      <c r="C35" s="308" t="str">
        <f>IFERROR(INDEX(Table_Prescript_Meas[Measure Number], MATCH(Table_Custom_Input[[#This Row],[Refrigeration measure]], Table_Prescript_Meas[Measure Description], 0)), "")</f>
        <v/>
      </c>
      <c r="D35" s="317"/>
      <c r="E35" s="318"/>
      <c r="F35" s="308" t="str">
        <f>IFERROR(INDEX(Table_Prescript_Meas[Units], MATCH(Table_Custom_Input[[#This Row],[Measure number]], Table_Prescript_Meas[Measure Number], 0)), "")</f>
        <v/>
      </c>
      <c r="G35" s="309"/>
      <c r="H35" s="303"/>
      <c r="I35" s="303"/>
      <c r="J3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310" t="str">
        <f>IFERROR(Table_Custom_Input[[#This Row],[Number of units]]*Table_Custom_Input[[#This Row],[Per-unit incentive]],"")</f>
        <v/>
      </c>
      <c r="L35" s="311" t="str">
        <f>IFERROR(Table_Custom_Input[[#This Row],[Number of units]]*INDEX(Table_Prescript_Meas[Deemed kWh Savings], MATCH(Table_Custom_Input[[#This Row],[Measure number]], Table_Prescript_Meas[Measure Number], 0)),"" )</f>
        <v/>
      </c>
      <c r="M35" s="312" t="str">
        <f>IFERROR(Table_Custom_Input[[#This Row],[Number of units]]*INDEX(Table_Prescript_Meas[Deemed kW Savings], MATCH(Table_Custom_Input[[#This Row],[Measure number]], Table_Prescript_Meas[Measure Number], 0)),"" )</f>
        <v/>
      </c>
      <c r="N35" s="310" t="str">
        <f>IFERROR(Table_Custom_Input[[#This Row],[Energy savings (kWh)]]*Input_AvgkWhRate, "")</f>
        <v/>
      </c>
      <c r="O35" s="310" t="str">
        <f>IF(Table_Custom_Input[[#This Row],[Measure number]]&lt;&gt;"",Table_Custom_Input[[#This Row],[Total equipment cost]]+Table_Custom_Input[[#This Row],[Total labor cost]],"")</f>
        <v/>
      </c>
      <c r="P35" s="310" t="str">
        <f>IF(Table_Custom_Input[[#This Row],[Measure number]]="","",Table_Custom_Input[[#This Row],[Gross measure cost]]-Table_Custom_Input[[#This Row],[Estimated incentive]])</f>
        <v/>
      </c>
      <c r="Q35" s="311" t="str">
        <f>IFERROR('Input Refrigeration Measures'!$P35/'Input Refrigeration Measures'!$N35, "")</f>
        <v/>
      </c>
      <c r="R35" s="253"/>
      <c r="S35" s="253"/>
      <c r="T35" s="253"/>
      <c r="U35" s="253"/>
    </row>
    <row r="36" spans="2:21" s="15" customFormat="1" ht="15" x14ac:dyDescent="0.2">
      <c r="B36" s="308">
        <v>32</v>
      </c>
      <c r="C36" s="308" t="str">
        <f>IFERROR(INDEX(Table_Prescript_Meas[Measure Number], MATCH(Table_Custom_Input[[#This Row],[Refrigeration measure]], Table_Prescript_Meas[Measure Description], 0)), "")</f>
        <v/>
      </c>
      <c r="D36" s="317"/>
      <c r="E36" s="318"/>
      <c r="F36" s="308" t="str">
        <f>IFERROR(INDEX(Table_Prescript_Meas[Units], MATCH(Table_Custom_Input[[#This Row],[Measure number]], Table_Prescript_Meas[Measure Number], 0)), "")</f>
        <v/>
      </c>
      <c r="G36" s="309"/>
      <c r="H36" s="303"/>
      <c r="I36" s="303"/>
      <c r="J3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310" t="str">
        <f>IFERROR(Table_Custom_Input[[#This Row],[Number of units]]*Table_Custom_Input[[#This Row],[Per-unit incentive]],"")</f>
        <v/>
      </c>
      <c r="L36" s="311" t="str">
        <f>IFERROR(Table_Custom_Input[[#This Row],[Number of units]]*INDEX(Table_Prescript_Meas[Deemed kWh Savings], MATCH(Table_Custom_Input[[#This Row],[Measure number]], Table_Prescript_Meas[Measure Number], 0)),"" )</f>
        <v/>
      </c>
      <c r="M36" s="312" t="str">
        <f>IFERROR(Table_Custom_Input[[#This Row],[Number of units]]*INDEX(Table_Prescript_Meas[Deemed kW Savings], MATCH(Table_Custom_Input[[#This Row],[Measure number]], Table_Prescript_Meas[Measure Number], 0)),"" )</f>
        <v/>
      </c>
      <c r="N36" s="310" t="str">
        <f>IFERROR(Table_Custom_Input[[#This Row],[Energy savings (kWh)]]*Input_AvgkWhRate, "")</f>
        <v/>
      </c>
      <c r="O36" s="310" t="str">
        <f>IF(Table_Custom_Input[[#This Row],[Measure number]]&lt;&gt;"",Table_Custom_Input[[#This Row],[Total equipment cost]]+Table_Custom_Input[[#This Row],[Total labor cost]],"")</f>
        <v/>
      </c>
      <c r="P36" s="310" t="str">
        <f>IF(Table_Custom_Input[[#This Row],[Measure number]]="","",Table_Custom_Input[[#This Row],[Gross measure cost]]-Table_Custom_Input[[#This Row],[Estimated incentive]])</f>
        <v/>
      </c>
      <c r="Q36" s="311" t="str">
        <f>IFERROR('Input Refrigeration Measures'!$P36/'Input Refrigeration Measures'!$N36, "")</f>
        <v/>
      </c>
      <c r="R36" s="253"/>
      <c r="S36" s="253"/>
      <c r="T36" s="253"/>
      <c r="U36" s="253"/>
    </row>
    <row r="37" spans="2:21" s="15" customFormat="1" ht="15" x14ac:dyDescent="0.2">
      <c r="B37" s="308">
        <v>33</v>
      </c>
      <c r="C37" s="308" t="str">
        <f>IFERROR(INDEX(Table_Prescript_Meas[Measure Number], MATCH(Table_Custom_Input[[#This Row],[Refrigeration measure]], Table_Prescript_Meas[Measure Description], 0)), "")</f>
        <v/>
      </c>
      <c r="D37" s="317"/>
      <c r="E37" s="318"/>
      <c r="F37" s="308" t="str">
        <f>IFERROR(INDEX(Table_Prescript_Meas[Units], MATCH(Table_Custom_Input[[#This Row],[Measure number]], Table_Prescript_Meas[Measure Number], 0)), "")</f>
        <v/>
      </c>
      <c r="G37" s="309"/>
      <c r="H37" s="303"/>
      <c r="I37" s="303"/>
      <c r="J3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310" t="str">
        <f>IFERROR(Table_Custom_Input[[#This Row],[Number of units]]*Table_Custom_Input[[#This Row],[Per-unit incentive]],"")</f>
        <v/>
      </c>
      <c r="L37" s="311" t="str">
        <f>IFERROR(Table_Custom_Input[[#This Row],[Number of units]]*INDEX(Table_Prescript_Meas[Deemed kWh Savings], MATCH(Table_Custom_Input[[#This Row],[Measure number]], Table_Prescript_Meas[Measure Number], 0)),"" )</f>
        <v/>
      </c>
      <c r="M37" s="312" t="str">
        <f>IFERROR(Table_Custom_Input[[#This Row],[Number of units]]*INDEX(Table_Prescript_Meas[Deemed kW Savings], MATCH(Table_Custom_Input[[#This Row],[Measure number]], Table_Prescript_Meas[Measure Number], 0)),"" )</f>
        <v/>
      </c>
      <c r="N37" s="310" t="str">
        <f>IFERROR(Table_Custom_Input[[#This Row],[Energy savings (kWh)]]*Input_AvgkWhRate, "")</f>
        <v/>
      </c>
      <c r="O37" s="310" t="str">
        <f>IF(Table_Custom_Input[[#This Row],[Measure number]]&lt;&gt;"",Table_Custom_Input[[#This Row],[Total equipment cost]]+Table_Custom_Input[[#This Row],[Total labor cost]],"")</f>
        <v/>
      </c>
      <c r="P37" s="310" t="str">
        <f>IF(Table_Custom_Input[[#This Row],[Measure number]]="","",Table_Custom_Input[[#This Row],[Gross measure cost]]-Table_Custom_Input[[#This Row],[Estimated incentive]])</f>
        <v/>
      </c>
      <c r="Q37" s="311" t="str">
        <f>IFERROR('Input Refrigeration Measures'!$P37/'Input Refrigeration Measures'!$N37, "")</f>
        <v/>
      </c>
      <c r="R37" s="253"/>
      <c r="S37" s="253"/>
      <c r="T37" s="253"/>
      <c r="U37" s="253"/>
    </row>
    <row r="38" spans="2:21" s="15" customFormat="1" ht="15" x14ac:dyDescent="0.2">
      <c r="B38" s="308">
        <v>34</v>
      </c>
      <c r="C38" s="308" t="str">
        <f>IFERROR(INDEX(Table_Prescript_Meas[Measure Number], MATCH(Table_Custom_Input[[#This Row],[Refrigeration measure]], Table_Prescript_Meas[Measure Description], 0)), "")</f>
        <v/>
      </c>
      <c r="D38" s="317"/>
      <c r="E38" s="318"/>
      <c r="F38" s="308" t="str">
        <f>IFERROR(INDEX(Table_Prescript_Meas[Units], MATCH(Table_Custom_Input[[#This Row],[Measure number]], Table_Prescript_Meas[Measure Number], 0)), "")</f>
        <v/>
      </c>
      <c r="G38" s="309"/>
      <c r="H38" s="303"/>
      <c r="I38" s="303"/>
      <c r="J3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310" t="str">
        <f>IFERROR(Table_Custom_Input[[#This Row],[Number of units]]*Table_Custom_Input[[#This Row],[Per-unit incentive]],"")</f>
        <v/>
      </c>
      <c r="L38" s="311" t="str">
        <f>IFERROR(Table_Custom_Input[[#This Row],[Number of units]]*INDEX(Table_Prescript_Meas[Deemed kWh Savings], MATCH(Table_Custom_Input[[#This Row],[Measure number]], Table_Prescript_Meas[Measure Number], 0)),"" )</f>
        <v/>
      </c>
      <c r="M38" s="312" t="str">
        <f>IFERROR(Table_Custom_Input[[#This Row],[Number of units]]*INDEX(Table_Prescript_Meas[Deemed kW Savings], MATCH(Table_Custom_Input[[#This Row],[Measure number]], Table_Prescript_Meas[Measure Number], 0)),"" )</f>
        <v/>
      </c>
      <c r="N38" s="310" t="str">
        <f>IFERROR(Table_Custom_Input[[#This Row],[Energy savings (kWh)]]*Input_AvgkWhRate, "")</f>
        <v/>
      </c>
      <c r="O38" s="310" t="str">
        <f>IF(Table_Custom_Input[[#This Row],[Measure number]]&lt;&gt;"",Table_Custom_Input[[#This Row],[Total equipment cost]]+Table_Custom_Input[[#This Row],[Total labor cost]],"")</f>
        <v/>
      </c>
      <c r="P38" s="310" t="str">
        <f>IF(Table_Custom_Input[[#This Row],[Measure number]]="","",Table_Custom_Input[[#This Row],[Gross measure cost]]-Table_Custom_Input[[#This Row],[Estimated incentive]])</f>
        <v/>
      </c>
      <c r="Q38" s="311" t="str">
        <f>IFERROR('Input Refrigeration Measures'!$P38/'Input Refrigeration Measures'!$N38, "")</f>
        <v/>
      </c>
      <c r="R38" s="253"/>
      <c r="S38" s="253"/>
      <c r="T38" s="253"/>
      <c r="U38" s="253"/>
    </row>
    <row r="39" spans="2:21" s="15" customFormat="1" ht="15" x14ac:dyDescent="0.2">
      <c r="B39" s="308">
        <v>35</v>
      </c>
      <c r="C39" s="308" t="str">
        <f>IFERROR(INDEX(Table_Prescript_Meas[Measure Number], MATCH(Table_Custom_Input[[#This Row],[Refrigeration measure]], Table_Prescript_Meas[Measure Description], 0)), "")</f>
        <v/>
      </c>
      <c r="D39" s="317"/>
      <c r="E39" s="318"/>
      <c r="F39" s="308" t="str">
        <f>IFERROR(INDEX(Table_Prescript_Meas[Units], MATCH(Table_Custom_Input[[#This Row],[Measure number]], Table_Prescript_Meas[Measure Number], 0)), "")</f>
        <v/>
      </c>
      <c r="G39" s="309"/>
      <c r="H39" s="303"/>
      <c r="I39" s="303"/>
      <c r="J3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310" t="str">
        <f>IFERROR(Table_Custom_Input[[#This Row],[Number of units]]*Table_Custom_Input[[#This Row],[Per-unit incentive]],"")</f>
        <v/>
      </c>
      <c r="L39" s="311" t="str">
        <f>IFERROR(Table_Custom_Input[[#This Row],[Number of units]]*INDEX(Table_Prescript_Meas[Deemed kWh Savings], MATCH(Table_Custom_Input[[#This Row],[Measure number]], Table_Prescript_Meas[Measure Number], 0)),"" )</f>
        <v/>
      </c>
      <c r="M39" s="312" t="str">
        <f>IFERROR(Table_Custom_Input[[#This Row],[Number of units]]*INDEX(Table_Prescript_Meas[Deemed kW Savings], MATCH(Table_Custom_Input[[#This Row],[Measure number]], Table_Prescript_Meas[Measure Number], 0)),"" )</f>
        <v/>
      </c>
      <c r="N39" s="310" t="str">
        <f>IFERROR(Table_Custom_Input[[#This Row],[Energy savings (kWh)]]*Input_AvgkWhRate, "")</f>
        <v/>
      </c>
      <c r="O39" s="310" t="str">
        <f>IF(Table_Custom_Input[[#This Row],[Measure number]]&lt;&gt;"",Table_Custom_Input[[#This Row],[Total equipment cost]]+Table_Custom_Input[[#This Row],[Total labor cost]],"")</f>
        <v/>
      </c>
      <c r="P39" s="310" t="str">
        <f>IF(Table_Custom_Input[[#This Row],[Measure number]]="","",Table_Custom_Input[[#This Row],[Gross measure cost]]-Table_Custom_Input[[#This Row],[Estimated incentive]])</f>
        <v/>
      </c>
      <c r="Q39" s="311" t="str">
        <f>IFERROR('Input Refrigeration Measures'!$P39/'Input Refrigeration Measures'!$N39, "")</f>
        <v/>
      </c>
      <c r="R39" s="253"/>
      <c r="S39" s="253"/>
      <c r="T39" s="253"/>
      <c r="U39" s="253"/>
    </row>
    <row r="40" spans="2:21" s="15" customFormat="1" ht="15" x14ac:dyDescent="0.2">
      <c r="B40" s="308">
        <v>36</v>
      </c>
      <c r="C40" s="308" t="str">
        <f>IFERROR(INDEX(Table_Prescript_Meas[Measure Number], MATCH(Table_Custom_Input[[#This Row],[Refrigeration measure]], Table_Prescript_Meas[Measure Description], 0)), "")</f>
        <v/>
      </c>
      <c r="D40" s="317"/>
      <c r="E40" s="318"/>
      <c r="F40" s="308" t="str">
        <f>IFERROR(INDEX(Table_Prescript_Meas[Units], MATCH(Table_Custom_Input[[#This Row],[Measure number]], Table_Prescript_Meas[Measure Number], 0)), "")</f>
        <v/>
      </c>
      <c r="G40" s="309"/>
      <c r="H40" s="303"/>
      <c r="I40" s="303"/>
      <c r="J4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310" t="str">
        <f>IFERROR(Table_Custom_Input[[#This Row],[Number of units]]*Table_Custom_Input[[#This Row],[Per-unit incentive]],"")</f>
        <v/>
      </c>
      <c r="L40" s="311" t="str">
        <f>IFERROR(Table_Custom_Input[[#This Row],[Number of units]]*INDEX(Table_Prescript_Meas[Deemed kWh Savings], MATCH(Table_Custom_Input[[#This Row],[Measure number]], Table_Prescript_Meas[Measure Number], 0)),"" )</f>
        <v/>
      </c>
      <c r="M40" s="312" t="str">
        <f>IFERROR(Table_Custom_Input[[#This Row],[Number of units]]*INDEX(Table_Prescript_Meas[Deemed kW Savings], MATCH(Table_Custom_Input[[#This Row],[Measure number]], Table_Prescript_Meas[Measure Number], 0)),"" )</f>
        <v/>
      </c>
      <c r="N40" s="310" t="str">
        <f>IFERROR(Table_Custom_Input[[#This Row],[Energy savings (kWh)]]*Input_AvgkWhRate, "")</f>
        <v/>
      </c>
      <c r="O40" s="310" t="str">
        <f>IF(Table_Custom_Input[[#This Row],[Measure number]]&lt;&gt;"",Table_Custom_Input[[#This Row],[Total equipment cost]]+Table_Custom_Input[[#This Row],[Total labor cost]],"")</f>
        <v/>
      </c>
      <c r="P40" s="310" t="str">
        <f>IF(Table_Custom_Input[[#This Row],[Measure number]]="","",Table_Custom_Input[[#This Row],[Gross measure cost]]-Table_Custom_Input[[#This Row],[Estimated incentive]])</f>
        <v/>
      </c>
      <c r="Q40" s="311" t="str">
        <f>IFERROR('Input Refrigeration Measures'!$P40/'Input Refrigeration Measures'!$N40, "")</f>
        <v/>
      </c>
      <c r="R40" s="253"/>
      <c r="S40" s="253"/>
      <c r="T40" s="253"/>
      <c r="U40" s="253"/>
    </row>
    <row r="41" spans="2:21" s="15" customFormat="1" ht="15" x14ac:dyDescent="0.2">
      <c r="B41" s="308">
        <v>37</v>
      </c>
      <c r="C41" s="308" t="str">
        <f>IFERROR(INDEX(Table_Prescript_Meas[Measure Number], MATCH(Table_Custom_Input[[#This Row],[Refrigeration measure]], Table_Prescript_Meas[Measure Description], 0)), "")</f>
        <v/>
      </c>
      <c r="D41" s="317"/>
      <c r="E41" s="318"/>
      <c r="F41" s="308" t="str">
        <f>IFERROR(INDEX(Table_Prescript_Meas[Units], MATCH(Table_Custom_Input[[#This Row],[Measure number]], Table_Prescript_Meas[Measure Number], 0)), "")</f>
        <v/>
      </c>
      <c r="G41" s="309"/>
      <c r="H41" s="303"/>
      <c r="I41" s="303"/>
      <c r="J4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310" t="str">
        <f>IFERROR(Table_Custom_Input[[#This Row],[Number of units]]*Table_Custom_Input[[#This Row],[Per-unit incentive]],"")</f>
        <v/>
      </c>
      <c r="L41" s="311" t="str">
        <f>IFERROR(Table_Custom_Input[[#This Row],[Number of units]]*INDEX(Table_Prescript_Meas[Deemed kWh Savings], MATCH(Table_Custom_Input[[#This Row],[Measure number]], Table_Prescript_Meas[Measure Number], 0)),"" )</f>
        <v/>
      </c>
      <c r="M41" s="312" t="str">
        <f>IFERROR(Table_Custom_Input[[#This Row],[Number of units]]*INDEX(Table_Prescript_Meas[Deemed kW Savings], MATCH(Table_Custom_Input[[#This Row],[Measure number]], Table_Prescript_Meas[Measure Number], 0)),"" )</f>
        <v/>
      </c>
      <c r="N41" s="310" t="str">
        <f>IFERROR(Table_Custom_Input[[#This Row],[Energy savings (kWh)]]*Input_AvgkWhRate, "")</f>
        <v/>
      </c>
      <c r="O41" s="310" t="str">
        <f>IF(Table_Custom_Input[[#This Row],[Measure number]]&lt;&gt;"",Table_Custom_Input[[#This Row],[Total equipment cost]]+Table_Custom_Input[[#This Row],[Total labor cost]],"")</f>
        <v/>
      </c>
      <c r="P41" s="310" t="str">
        <f>IF(Table_Custom_Input[[#This Row],[Measure number]]="","",Table_Custom_Input[[#This Row],[Gross measure cost]]-Table_Custom_Input[[#This Row],[Estimated incentive]])</f>
        <v/>
      </c>
      <c r="Q41" s="311" t="str">
        <f>IFERROR('Input Refrigeration Measures'!$P41/'Input Refrigeration Measures'!$N41, "")</f>
        <v/>
      </c>
      <c r="R41" s="253"/>
      <c r="S41" s="253"/>
      <c r="T41" s="253"/>
      <c r="U41" s="253"/>
    </row>
    <row r="42" spans="2:21" s="15" customFormat="1" ht="15" x14ac:dyDescent="0.2">
      <c r="B42" s="308">
        <v>38</v>
      </c>
      <c r="C42" s="308" t="str">
        <f>IFERROR(INDEX(Table_Prescript_Meas[Measure Number], MATCH(Table_Custom_Input[[#This Row],[Refrigeration measure]], Table_Prescript_Meas[Measure Description], 0)), "")</f>
        <v/>
      </c>
      <c r="D42" s="317"/>
      <c r="E42" s="318"/>
      <c r="F42" s="308" t="str">
        <f>IFERROR(INDEX(Table_Prescript_Meas[Units], MATCH(Table_Custom_Input[[#This Row],[Measure number]], Table_Prescript_Meas[Measure Number], 0)), "")</f>
        <v/>
      </c>
      <c r="G42" s="309"/>
      <c r="H42" s="303"/>
      <c r="I42" s="303"/>
      <c r="J4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310" t="str">
        <f>IFERROR(Table_Custom_Input[[#This Row],[Number of units]]*Table_Custom_Input[[#This Row],[Per-unit incentive]],"")</f>
        <v/>
      </c>
      <c r="L42" s="311" t="str">
        <f>IFERROR(Table_Custom_Input[[#This Row],[Number of units]]*INDEX(Table_Prescript_Meas[Deemed kWh Savings], MATCH(Table_Custom_Input[[#This Row],[Measure number]], Table_Prescript_Meas[Measure Number], 0)),"" )</f>
        <v/>
      </c>
      <c r="M42" s="312" t="str">
        <f>IFERROR(Table_Custom_Input[[#This Row],[Number of units]]*INDEX(Table_Prescript_Meas[Deemed kW Savings], MATCH(Table_Custom_Input[[#This Row],[Measure number]], Table_Prescript_Meas[Measure Number], 0)),"" )</f>
        <v/>
      </c>
      <c r="N42" s="310" t="str">
        <f>IFERROR(Table_Custom_Input[[#This Row],[Energy savings (kWh)]]*Input_AvgkWhRate, "")</f>
        <v/>
      </c>
      <c r="O42" s="310" t="str">
        <f>IF(Table_Custom_Input[[#This Row],[Measure number]]&lt;&gt;"",Table_Custom_Input[[#This Row],[Total equipment cost]]+Table_Custom_Input[[#This Row],[Total labor cost]],"")</f>
        <v/>
      </c>
      <c r="P42" s="310" t="str">
        <f>IF(Table_Custom_Input[[#This Row],[Measure number]]="","",Table_Custom_Input[[#This Row],[Gross measure cost]]-Table_Custom_Input[[#This Row],[Estimated incentive]])</f>
        <v/>
      </c>
      <c r="Q42" s="311" t="str">
        <f>IFERROR('Input Refrigeration Measures'!$P42/'Input Refrigeration Measures'!$N42, "")</f>
        <v/>
      </c>
      <c r="R42" s="253"/>
      <c r="S42" s="253"/>
      <c r="T42" s="253"/>
      <c r="U42" s="253"/>
    </row>
    <row r="43" spans="2:21" s="15" customFormat="1" ht="15" x14ac:dyDescent="0.2">
      <c r="B43" s="308">
        <v>39</v>
      </c>
      <c r="C43" s="308" t="str">
        <f>IFERROR(INDEX(Table_Prescript_Meas[Measure Number], MATCH(Table_Custom_Input[[#This Row],[Refrigeration measure]], Table_Prescript_Meas[Measure Description], 0)), "")</f>
        <v/>
      </c>
      <c r="D43" s="317"/>
      <c r="E43" s="318"/>
      <c r="F43" s="308" t="str">
        <f>IFERROR(INDEX(Table_Prescript_Meas[Units], MATCH(Table_Custom_Input[[#This Row],[Measure number]], Table_Prescript_Meas[Measure Number], 0)), "")</f>
        <v/>
      </c>
      <c r="G43" s="309"/>
      <c r="H43" s="303"/>
      <c r="I43" s="303"/>
      <c r="J4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310" t="str">
        <f>IFERROR(Table_Custom_Input[[#This Row],[Number of units]]*Table_Custom_Input[[#This Row],[Per-unit incentive]],"")</f>
        <v/>
      </c>
      <c r="L43" s="311" t="str">
        <f>IFERROR(Table_Custom_Input[[#This Row],[Number of units]]*INDEX(Table_Prescript_Meas[Deemed kWh Savings], MATCH(Table_Custom_Input[[#This Row],[Measure number]], Table_Prescript_Meas[Measure Number], 0)),"" )</f>
        <v/>
      </c>
      <c r="M43" s="312" t="str">
        <f>IFERROR(Table_Custom_Input[[#This Row],[Number of units]]*INDEX(Table_Prescript_Meas[Deemed kW Savings], MATCH(Table_Custom_Input[[#This Row],[Measure number]], Table_Prescript_Meas[Measure Number], 0)),"" )</f>
        <v/>
      </c>
      <c r="N43" s="310" t="str">
        <f>IFERROR(Table_Custom_Input[[#This Row],[Energy savings (kWh)]]*Input_AvgkWhRate, "")</f>
        <v/>
      </c>
      <c r="O43" s="310" t="str">
        <f>IF(Table_Custom_Input[[#This Row],[Measure number]]&lt;&gt;"",Table_Custom_Input[[#This Row],[Total equipment cost]]+Table_Custom_Input[[#This Row],[Total labor cost]],"")</f>
        <v/>
      </c>
      <c r="P43" s="310" t="str">
        <f>IF(Table_Custom_Input[[#This Row],[Measure number]]="","",Table_Custom_Input[[#This Row],[Gross measure cost]]-Table_Custom_Input[[#This Row],[Estimated incentive]])</f>
        <v/>
      </c>
      <c r="Q43" s="311" t="str">
        <f>IFERROR('Input Refrigeration Measures'!$P43/'Input Refrigeration Measures'!$N43, "")</f>
        <v/>
      </c>
      <c r="R43" s="253"/>
      <c r="S43" s="253"/>
      <c r="T43" s="253"/>
      <c r="U43" s="253"/>
    </row>
    <row r="44" spans="2:21" s="15" customFormat="1" ht="15" x14ac:dyDescent="0.2">
      <c r="B44" s="308">
        <v>40</v>
      </c>
      <c r="C44" s="308" t="str">
        <f>IFERROR(INDEX(Table_Prescript_Meas[Measure Number], MATCH(Table_Custom_Input[[#This Row],[Refrigeration measure]], Table_Prescript_Meas[Measure Description], 0)), "")</f>
        <v/>
      </c>
      <c r="D44" s="317"/>
      <c r="E44" s="318"/>
      <c r="F44" s="308" t="str">
        <f>IFERROR(INDEX(Table_Prescript_Meas[Units], MATCH(Table_Custom_Input[[#This Row],[Measure number]], Table_Prescript_Meas[Measure Number], 0)), "")</f>
        <v/>
      </c>
      <c r="G44" s="309"/>
      <c r="H44" s="303"/>
      <c r="I44" s="303"/>
      <c r="J4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310" t="str">
        <f>IFERROR(Table_Custom_Input[[#This Row],[Number of units]]*Table_Custom_Input[[#This Row],[Per-unit incentive]],"")</f>
        <v/>
      </c>
      <c r="L44" s="311" t="str">
        <f>IFERROR(Table_Custom_Input[[#This Row],[Number of units]]*INDEX(Table_Prescript_Meas[Deemed kWh Savings], MATCH(Table_Custom_Input[[#This Row],[Measure number]], Table_Prescript_Meas[Measure Number], 0)),"" )</f>
        <v/>
      </c>
      <c r="M44" s="312" t="str">
        <f>IFERROR(Table_Custom_Input[[#This Row],[Number of units]]*INDEX(Table_Prescript_Meas[Deemed kW Savings], MATCH(Table_Custom_Input[[#This Row],[Measure number]], Table_Prescript_Meas[Measure Number], 0)),"" )</f>
        <v/>
      </c>
      <c r="N44" s="310" t="str">
        <f>IFERROR(Table_Custom_Input[[#This Row],[Energy savings (kWh)]]*Input_AvgkWhRate, "")</f>
        <v/>
      </c>
      <c r="O44" s="310" t="str">
        <f>IF(Table_Custom_Input[[#This Row],[Measure number]]&lt;&gt;"",Table_Custom_Input[[#This Row],[Total equipment cost]]+Table_Custom_Input[[#This Row],[Total labor cost]],"")</f>
        <v/>
      </c>
      <c r="P44" s="310" t="str">
        <f>IF(Table_Custom_Input[[#This Row],[Measure number]]="","",Table_Custom_Input[[#This Row],[Gross measure cost]]-Table_Custom_Input[[#This Row],[Estimated incentive]])</f>
        <v/>
      </c>
      <c r="Q44" s="311" t="str">
        <f>IFERROR('Input Refrigeration Measures'!$P44/'Input Refrigeration Measures'!$N44, "")</f>
        <v/>
      </c>
      <c r="R44" s="253"/>
      <c r="S44" s="253"/>
      <c r="T44" s="253"/>
      <c r="U44" s="253"/>
    </row>
    <row r="45" spans="2:21" s="15" customFormat="1" ht="15" x14ac:dyDescent="0.2">
      <c r="B45" s="308">
        <v>41</v>
      </c>
      <c r="C45" s="308" t="str">
        <f>IFERROR(INDEX(Table_Prescript_Meas[Measure Number], MATCH(Table_Custom_Input[[#This Row],[Refrigeration measure]], Table_Prescript_Meas[Measure Description], 0)), "")</f>
        <v/>
      </c>
      <c r="D45" s="317"/>
      <c r="E45" s="318"/>
      <c r="F45" s="308" t="str">
        <f>IFERROR(INDEX(Table_Prescript_Meas[Units], MATCH(Table_Custom_Input[[#This Row],[Measure number]], Table_Prescript_Meas[Measure Number], 0)), "")</f>
        <v/>
      </c>
      <c r="G45" s="309"/>
      <c r="H45" s="303"/>
      <c r="I45" s="303"/>
      <c r="J45"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310" t="str">
        <f>IFERROR(Table_Custom_Input[[#This Row],[Number of units]]*Table_Custom_Input[[#This Row],[Per-unit incentive]],"")</f>
        <v/>
      </c>
      <c r="L45" s="311" t="str">
        <f>IFERROR(Table_Custom_Input[[#This Row],[Number of units]]*INDEX(Table_Prescript_Meas[Deemed kWh Savings], MATCH(Table_Custom_Input[[#This Row],[Measure number]], Table_Prescript_Meas[Measure Number], 0)),"" )</f>
        <v/>
      </c>
      <c r="M45" s="312" t="str">
        <f>IFERROR(Table_Custom_Input[[#This Row],[Number of units]]*INDEX(Table_Prescript_Meas[Deemed kW Savings], MATCH(Table_Custom_Input[[#This Row],[Measure number]], Table_Prescript_Meas[Measure Number], 0)),"" )</f>
        <v/>
      </c>
      <c r="N45" s="310" t="str">
        <f>IFERROR(Table_Custom_Input[[#This Row],[Energy savings (kWh)]]*Input_AvgkWhRate, "")</f>
        <v/>
      </c>
      <c r="O45" s="310" t="str">
        <f>IF(Table_Custom_Input[[#This Row],[Measure number]]&lt;&gt;"",Table_Custom_Input[[#This Row],[Total equipment cost]]+Table_Custom_Input[[#This Row],[Total labor cost]],"")</f>
        <v/>
      </c>
      <c r="P45" s="310" t="str">
        <f>IF(Table_Custom_Input[[#This Row],[Measure number]]="","",Table_Custom_Input[[#This Row],[Gross measure cost]]-Table_Custom_Input[[#This Row],[Estimated incentive]])</f>
        <v/>
      </c>
      <c r="Q45" s="311" t="str">
        <f>IFERROR('Input Refrigeration Measures'!$P45/'Input Refrigeration Measures'!$N45, "")</f>
        <v/>
      </c>
      <c r="R45" s="253"/>
      <c r="S45" s="253"/>
      <c r="T45" s="253"/>
      <c r="U45" s="253"/>
    </row>
    <row r="46" spans="2:21" s="15" customFormat="1" ht="15" x14ac:dyDescent="0.2">
      <c r="B46" s="308">
        <v>42</v>
      </c>
      <c r="C46" s="308" t="str">
        <f>IFERROR(INDEX(Table_Prescript_Meas[Measure Number], MATCH(Table_Custom_Input[[#This Row],[Refrigeration measure]], Table_Prescript_Meas[Measure Description], 0)), "")</f>
        <v/>
      </c>
      <c r="D46" s="317"/>
      <c r="E46" s="318"/>
      <c r="F46" s="308" t="str">
        <f>IFERROR(INDEX(Table_Prescript_Meas[Units], MATCH(Table_Custom_Input[[#This Row],[Measure number]], Table_Prescript_Meas[Measure Number], 0)), "")</f>
        <v/>
      </c>
      <c r="G46" s="309"/>
      <c r="H46" s="303"/>
      <c r="I46" s="303"/>
      <c r="J46"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310" t="str">
        <f>IFERROR(Table_Custom_Input[[#This Row],[Number of units]]*Table_Custom_Input[[#This Row],[Per-unit incentive]],"")</f>
        <v/>
      </c>
      <c r="L46" s="311" t="str">
        <f>IFERROR(Table_Custom_Input[[#This Row],[Number of units]]*INDEX(Table_Prescript_Meas[Deemed kWh Savings], MATCH(Table_Custom_Input[[#This Row],[Measure number]], Table_Prescript_Meas[Measure Number], 0)),"" )</f>
        <v/>
      </c>
      <c r="M46" s="312" t="str">
        <f>IFERROR(Table_Custom_Input[[#This Row],[Number of units]]*INDEX(Table_Prescript_Meas[Deemed kW Savings], MATCH(Table_Custom_Input[[#This Row],[Measure number]], Table_Prescript_Meas[Measure Number], 0)),"" )</f>
        <v/>
      </c>
      <c r="N46" s="310" t="str">
        <f>IFERROR(Table_Custom_Input[[#This Row],[Energy savings (kWh)]]*Input_AvgkWhRate, "")</f>
        <v/>
      </c>
      <c r="O46" s="310" t="str">
        <f>IF(Table_Custom_Input[[#This Row],[Measure number]]&lt;&gt;"",Table_Custom_Input[[#This Row],[Total equipment cost]]+Table_Custom_Input[[#This Row],[Total labor cost]],"")</f>
        <v/>
      </c>
      <c r="P46" s="310" t="str">
        <f>IF(Table_Custom_Input[[#This Row],[Measure number]]="","",Table_Custom_Input[[#This Row],[Gross measure cost]]-Table_Custom_Input[[#This Row],[Estimated incentive]])</f>
        <v/>
      </c>
      <c r="Q46" s="311" t="str">
        <f>IFERROR('Input Refrigeration Measures'!$P46/'Input Refrigeration Measures'!$N46, "")</f>
        <v/>
      </c>
      <c r="R46" s="253"/>
      <c r="S46" s="253"/>
      <c r="T46" s="253"/>
      <c r="U46" s="253"/>
    </row>
    <row r="47" spans="2:21" s="15" customFormat="1" ht="15" x14ac:dyDescent="0.2">
      <c r="B47" s="308">
        <v>43</v>
      </c>
      <c r="C47" s="308" t="str">
        <f>IFERROR(INDEX(Table_Prescript_Meas[Measure Number], MATCH(Table_Custom_Input[[#This Row],[Refrigeration measure]], Table_Prescript_Meas[Measure Description], 0)), "")</f>
        <v/>
      </c>
      <c r="D47" s="317"/>
      <c r="E47" s="318"/>
      <c r="F47" s="308" t="str">
        <f>IFERROR(INDEX(Table_Prescript_Meas[Units], MATCH(Table_Custom_Input[[#This Row],[Measure number]], Table_Prescript_Meas[Measure Number], 0)), "")</f>
        <v/>
      </c>
      <c r="G47" s="309"/>
      <c r="H47" s="303"/>
      <c r="I47" s="303"/>
      <c r="J47"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310" t="str">
        <f>IFERROR(Table_Custom_Input[[#This Row],[Number of units]]*Table_Custom_Input[[#This Row],[Per-unit incentive]],"")</f>
        <v/>
      </c>
      <c r="L47" s="311" t="str">
        <f>IFERROR(Table_Custom_Input[[#This Row],[Number of units]]*INDEX(Table_Prescript_Meas[Deemed kWh Savings], MATCH(Table_Custom_Input[[#This Row],[Measure number]], Table_Prescript_Meas[Measure Number], 0)),"" )</f>
        <v/>
      </c>
      <c r="M47" s="312" t="str">
        <f>IFERROR(Table_Custom_Input[[#This Row],[Number of units]]*INDEX(Table_Prescript_Meas[Deemed kW Savings], MATCH(Table_Custom_Input[[#This Row],[Measure number]], Table_Prescript_Meas[Measure Number], 0)),"" )</f>
        <v/>
      </c>
      <c r="N47" s="310" t="str">
        <f>IFERROR(Table_Custom_Input[[#This Row],[Energy savings (kWh)]]*Input_AvgkWhRate, "")</f>
        <v/>
      </c>
      <c r="O47" s="310" t="str">
        <f>IF(Table_Custom_Input[[#This Row],[Measure number]]&lt;&gt;"",Table_Custom_Input[[#This Row],[Total equipment cost]]+Table_Custom_Input[[#This Row],[Total labor cost]],"")</f>
        <v/>
      </c>
      <c r="P47" s="310" t="str">
        <f>IF(Table_Custom_Input[[#This Row],[Measure number]]="","",Table_Custom_Input[[#This Row],[Gross measure cost]]-Table_Custom_Input[[#This Row],[Estimated incentive]])</f>
        <v/>
      </c>
      <c r="Q47" s="311" t="str">
        <f>IFERROR('Input Refrigeration Measures'!$P47/'Input Refrigeration Measures'!$N47, "")</f>
        <v/>
      </c>
      <c r="R47" s="253"/>
      <c r="S47" s="253"/>
      <c r="T47" s="253"/>
      <c r="U47" s="253"/>
    </row>
    <row r="48" spans="2:21" s="15" customFormat="1" ht="15" x14ac:dyDescent="0.2">
      <c r="B48" s="308">
        <v>44</v>
      </c>
      <c r="C48" s="308" t="str">
        <f>IFERROR(INDEX(Table_Prescript_Meas[Measure Number], MATCH(Table_Custom_Input[[#This Row],[Refrigeration measure]], Table_Prescript_Meas[Measure Description], 0)), "")</f>
        <v/>
      </c>
      <c r="D48" s="317"/>
      <c r="E48" s="318"/>
      <c r="F48" s="308" t="str">
        <f>IFERROR(INDEX(Table_Prescript_Meas[Units], MATCH(Table_Custom_Input[[#This Row],[Measure number]], Table_Prescript_Meas[Measure Number], 0)), "")</f>
        <v/>
      </c>
      <c r="G48" s="309"/>
      <c r="H48" s="303"/>
      <c r="I48" s="303"/>
      <c r="J48"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310" t="str">
        <f>IFERROR(Table_Custom_Input[[#This Row],[Number of units]]*Table_Custom_Input[[#This Row],[Per-unit incentive]],"")</f>
        <v/>
      </c>
      <c r="L48" s="311" t="str">
        <f>IFERROR(Table_Custom_Input[[#This Row],[Number of units]]*INDEX(Table_Prescript_Meas[Deemed kWh Savings], MATCH(Table_Custom_Input[[#This Row],[Measure number]], Table_Prescript_Meas[Measure Number], 0)),"" )</f>
        <v/>
      </c>
      <c r="M48" s="312" t="str">
        <f>IFERROR(Table_Custom_Input[[#This Row],[Number of units]]*INDEX(Table_Prescript_Meas[Deemed kW Savings], MATCH(Table_Custom_Input[[#This Row],[Measure number]], Table_Prescript_Meas[Measure Number], 0)),"" )</f>
        <v/>
      </c>
      <c r="N48" s="310" t="str">
        <f>IFERROR(Table_Custom_Input[[#This Row],[Energy savings (kWh)]]*Input_AvgkWhRate, "")</f>
        <v/>
      </c>
      <c r="O48" s="310" t="str">
        <f>IF(Table_Custom_Input[[#This Row],[Measure number]]&lt;&gt;"",Table_Custom_Input[[#This Row],[Total equipment cost]]+Table_Custom_Input[[#This Row],[Total labor cost]],"")</f>
        <v/>
      </c>
      <c r="P48" s="310" t="str">
        <f>IF(Table_Custom_Input[[#This Row],[Measure number]]="","",Table_Custom_Input[[#This Row],[Gross measure cost]]-Table_Custom_Input[[#This Row],[Estimated incentive]])</f>
        <v/>
      </c>
      <c r="Q48" s="311" t="str">
        <f>IFERROR('Input Refrigeration Measures'!$P48/'Input Refrigeration Measures'!$N48, "")</f>
        <v/>
      </c>
      <c r="R48" s="253"/>
      <c r="S48" s="253"/>
      <c r="T48" s="253"/>
      <c r="U48" s="253"/>
    </row>
    <row r="49" spans="2:21" s="15" customFormat="1" ht="15" x14ac:dyDescent="0.2">
      <c r="B49" s="308">
        <v>45</v>
      </c>
      <c r="C49" s="308" t="str">
        <f>IFERROR(INDEX(Table_Prescript_Meas[Measure Number], MATCH(Table_Custom_Input[[#This Row],[Refrigeration measure]], Table_Prescript_Meas[Measure Description], 0)), "")</f>
        <v/>
      </c>
      <c r="D49" s="317"/>
      <c r="E49" s="318"/>
      <c r="F49" s="308" t="str">
        <f>IFERROR(INDEX(Table_Prescript_Meas[Units], MATCH(Table_Custom_Input[[#This Row],[Measure number]], Table_Prescript_Meas[Measure Number], 0)), "")</f>
        <v/>
      </c>
      <c r="G49" s="309"/>
      <c r="H49" s="303"/>
      <c r="I49" s="303"/>
      <c r="J49"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310" t="str">
        <f>IFERROR(Table_Custom_Input[[#This Row],[Number of units]]*Table_Custom_Input[[#This Row],[Per-unit incentive]],"")</f>
        <v/>
      </c>
      <c r="L49" s="311" t="str">
        <f>IFERROR(Table_Custom_Input[[#This Row],[Number of units]]*INDEX(Table_Prescript_Meas[Deemed kWh Savings], MATCH(Table_Custom_Input[[#This Row],[Measure number]], Table_Prescript_Meas[Measure Number], 0)),"" )</f>
        <v/>
      </c>
      <c r="M49" s="312" t="str">
        <f>IFERROR(Table_Custom_Input[[#This Row],[Number of units]]*INDEX(Table_Prescript_Meas[Deemed kW Savings], MATCH(Table_Custom_Input[[#This Row],[Measure number]], Table_Prescript_Meas[Measure Number], 0)),"" )</f>
        <v/>
      </c>
      <c r="N49" s="310" t="str">
        <f>IFERROR(Table_Custom_Input[[#This Row],[Energy savings (kWh)]]*Input_AvgkWhRate, "")</f>
        <v/>
      </c>
      <c r="O49" s="310" t="str">
        <f>IF(Table_Custom_Input[[#This Row],[Measure number]]&lt;&gt;"",Table_Custom_Input[[#This Row],[Total equipment cost]]+Table_Custom_Input[[#This Row],[Total labor cost]],"")</f>
        <v/>
      </c>
      <c r="P49" s="310" t="str">
        <f>IF(Table_Custom_Input[[#This Row],[Measure number]]="","",Table_Custom_Input[[#This Row],[Gross measure cost]]-Table_Custom_Input[[#This Row],[Estimated incentive]])</f>
        <v/>
      </c>
      <c r="Q49" s="311" t="str">
        <f>IFERROR('Input Refrigeration Measures'!$P49/'Input Refrigeration Measures'!$N49, "")</f>
        <v/>
      </c>
      <c r="R49" s="253"/>
      <c r="S49" s="253"/>
      <c r="T49" s="253"/>
      <c r="U49" s="253"/>
    </row>
    <row r="50" spans="2:21" s="15" customFormat="1" ht="15" x14ac:dyDescent="0.2">
      <c r="B50" s="308">
        <v>46</v>
      </c>
      <c r="C50" s="308" t="str">
        <f>IFERROR(INDEX(Table_Prescript_Meas[Measure Number], MATCH(Table_Custom_Input[[#This Row],[Refrigeration measure]], Table_Prescript_Meas[Measure Description], 0)), "")</f>
        <v/>
      </c>
      <c r="D50" s="317"/>
      <c r="E50" s="318"/>
      <c r="F50" s="308" t="str">
        <f>IFERROR(INDEX(Table_Prescript_Meas[Units], MATCH(Table_Custom_Input[[#This Row],[Measure number]], Table_Prescript_Meas[Measure Number], 0)), "")</f>
        <v/>
      </c>
      <c r="G50" s="309"/>
      <c r="H50" s="303"/>
      <c r="I50" s="303"/>
      <c r="J50"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310" t="str">
        <f>IFERROR(Table_Custom_Input[[#This Row],[Number of units]]*Table_Custom_Input[[#This Row],[Per-unit incentive]],"")</f>
        <v/>
      </c>
      <c r="L50" s="311" t="str">
        <f>IFERROR(Table_Custom_Input[[#This Row],[Number of units]]*INDEX(Table_Prescript_Meas[Deemed kWh Savings], MATCH(Table_Custom_Input[[#This Row],[Measure number]], Table_Prescript_Meas[Measure Number], 0)),"" )</f>
        <v/>
      </c>
      <c r="M50" s="312" t="str">
        <f>IFERROR(Table_Custom_Input[[#This Row],[Number of units]]*INDEX(Table_Prescript_Meas[Deemed kW Savings], MATCH(Table_Custom_Input[[#This Row],[Measure number]], Table_Prescript_Meas[Measure Number], 0)),"" )</f>
        <v/>
      </c>
      <c r="N50" s="310" t="str">
        <f>IFERROR(Table_Custom_Input[[#This Row],[Energy savings (kWh)]]*Input_AvgkWhRate, "")</f>
        <v/>
      </c>
      <c r="O50" s="310" t="str">
        <f>IF(Table_Custom_Input[[#This Row],[Measure number]]&lt;&gt;"",Table_Custom_Input[[#This Row],[Total equipment cost]]+Table_Custom_Input[[#This Row],[Total labor cost]],"")</f>
        <v/>
      </c>
      <c r="P50" s="310" t="str">
        <f>IF(Table_Custom_Input[[#This Row],[Measure number]]="","",Table_Custom_Input[[#This Row],[Gross measure cost]]-Table_Custom_Input[[#This Row],[Estimated incentive]])</f>
        <v/>
      </c>
      <c r="Q50" s="311" t="str">
        <f>IFERROR('Input Refrigeration Measures'!$P50/'Input Refrigeration Measures'!$N50, "")</f>
        <v/>
      </c>
      <c r="R50" s="253"/>
      <c r="S50" s="253"/>
      <c r="T50" s="253"/>
      <c r="U50" s="253"/>
    </row>
    <row r="51" spans="2:21" s="15" customFormat="1" ht="15" x14ac:dyDescent="0.2">
      <c r="B51" s="308">
        <v>47</v>
      </c>
      <c r="C51" s="308" t="str">
        <f>IFERROR(INDEX(Table_Prescript_Meas[Measure Number], MATCH(Table_Custom_Input[[#This Row],[Refrigeration measure]], Table_Prescript_Meas[Measure Description], 0)), "")</f>
        <v/>
      </c>
      <c r="D51" s="317"/>
      <c r="E51" s="318"/>
      <c r="F51" s="308" t="str">
        <f>IFERROR(INDEX(Table_Prescript_Meas[Units], MATCH(Table_Custom_Input[[#This Row],[Measure number]], Table_Prescript_Meas[Measure Number], 0)), "")</f>
        <v/>
      </c>
      <c r="G51" s="309"/>
      <c r="H51" s="303"/>
      <c r="I51" s="303"/>
      <c r="J51"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310" t="str">
        <f>IFERROR(Table_Custom_Input[[#This Row],[Number of units]]*Table_Custom_Input[[#This Row],[Per-unit incentive]],"")</f>
        <v/>
      </c>
      <c r="L51" s="311" t="str">
        <f>IFERROR(Table_Custom_Input[[#This Row],[Number of units]]*INDEX(Table_Prescript_Meas[Deemed kWh Savings], MATCH(Table_Custom_Input[[#This Row],[Measure number]], Table_Prescript_Meas[Measure Number], 0)),"" )</f>
        <v/>
      </c>
      <c r="M51" s="312" t="str">
        <f>IFERROR(Table_Custom_Input[[#This Row],[Number of units]]*INDEX(Table_Prescript_Meas[Deemed kW Savings], MATCH(Table_Custom_Input[[#This Row],[Measure number]], Table_Prescript_Meas[Measure Number], 0)),"" )</f>
        <v/>
      </c>
      <c r="N51" s="310" t="str">
        <f>IFERROR(Table_Custom_Input[[#This Row],[Energy savings (kWh)]]*Input_AvgkWhRate, "")</f>
        <v/>
      </c>
      <c r="O51" s="310" t="str">
        <f>IF(Table_Custom_Input[[#This Row],[Measure number]]&lt;&gt;"",Table_Custom_Input[[#This Row],[Total equipment cost]]+Table_Custom_Input[[#This Row],[Total labor cost]],"")</f>
        <v/>
      </c>
      <c r="P51" s="310" t="str">
        <f>IF(Table_Custom_Input[[#This Row],[Measure number]]="","",Table_Custom_Input[[#This Row],[Gross measure cost]]-Table_Custom_Input[[#This Row],[Estimated incentive]])</f>
        <v/>
      </c>
      <c r="Q51" s="311" t="str">
        <f>IFERROR('Input Refrigeration Measures'!$P51/'Input Refrigeration Measures'!$N51, "")</f>
        <v/>
      </c>
      <c r="R51" s="253"/>
      <c r="S51" s="253"/>
      <c r="T51" s="253"/>
      <c r="U51" s="253"/>
    </row>
    <row r="52" spans="2:21" s="15" customFormat="1" ht="15" x14ac:dyDescent="0.2">
      <c r="B52" s="308">
        <v>48</v>
      </c>
      <c r="C52" s="308" t="str">
        <f>IFERROR(INDEX(Table_Prescript_Meas[Measure Number], MATCH(Table_Custom_Input[[#This Row],[Refrigeration measure]], Table_Prescript_Meas[Measure Description], 0)), "")</f>
        <v/>
      </c>
      <c r="D52" s="317"/>
      <c r="E52" s="318"/>
      <c r="F52" s="308" t="str">
        <f>IFERROR(INDEX(Table_Prescript_Meas[Units], MATCH(Table_Custom_Input[[#This Row],[Measure number]], Table_Prescript_Meas[Measure Number], 0)), "")</f>
        <v/>
      </c>
      <c r="G52" s="309"/>
      <c r="H52" s="303"/>
      <c r="I52" s="303"/>
      <c r="J52"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310" t="str">
        <f>IFERROR(Table_Custom_Input[[#This Row],[Number of units]]*Table_Custom_Input[[#This Row],[Per-unit incentive]],"")</f>
        <v/>
      </c>
      <c r="L52" s="311" t="str">
        <f>IFERROR(Table_Custom_Input[[#This Row],[Number of units]]*INDEX(Table_Prescript_Meas[Deemed kWh Savings], MATCH(Table_Custom_Input[[#This Row],[Measure number]], Table_Prescript_Meas[Measure Number], 0)),"" )</f>
        <v/>
      </c>
      <c r="M52" s="312" t="str">
        <f>IFERROR(Table_Custom_Input[[#This Row],[Number of units]]*INDEX(Table_Prescript_Meas[Deemed kW Savings], MATCH(Table_Custom_Input[[#This Row],[Measure number]], Table_Prescript_Meas[Measure Number], 0)),"" )</f>
        <v/>
      </c>
      <c r="N52" s="310" t="str">
        <f>IFERROR(Table_Custom_Input[[#This Row],[Energy savings (kWh)]]*Input_AvgkWhRate, "")</f>
        <v/>
      </c>
      <c r="O52" s="310" t="str">
        <f>IF(Table_Custom_Input[[#This Row],[Measure number]]&lt;&gt;"",Table_Custom_Input[[#This Row],[Total equipment cost]]+Table_Custom_Input[[#This Row],[Total labor cost]],"")</f>
        <v/>
      </c>
      <c r="P52" s="310" t="str">
        <f>IF(Table_Custom_Input[[#This Row],[Measure number]]="","",Table_Custom_Input[[#This Row],[Gross measure cost]]-Table_Custom_Input[[#This Row],[Estimated incentive]])</f>
        <v/>
      </c>
      <c r="Q52" s="311" t="str">
        <f>IFERROR('Input Refrigeration Measures'!$P52/'Input Refrigeration Measures'!$N52, "")</f>
        <v/>
      </c>
      <c r="R52" s="253"/>
      <c r="S52" s="253"/>
      <c r="T52" s="253"/>
      <c r="U52" s="253"/>
    </row>
    <row r="53" spans="2:21" s="15" customFormat="1" ht="15" x14ac:dyDescent="0.2">
      <c r="B53" s="308">
        <v>49</v>
      </c>
      <c r="C53" s="308" t="str">
        <f>IFERROR(INDEX(Table_Prescript_Meas[Measure Number], MATCH(Table_Custom_Input[[#This Row],[Refrigeration measure]], Table_Prescript_Meas[Measure Description], 0)), "")</f>
        <v/>
      </c>
      <c r="D53" s="317"/>
      <c r="E53" s="318"/>
      <c r="F53" s="308" t="str">
        <f>IFERROR(INDEX(Table_Prescript_Meas[Units], MATCH(Table_Custom_Input[[#This Row],[Measure number]], Table_Prescript_Meas[Measure Number], 0)), "")</f>
        <v/>
      </c>
      <c r="G53" s="309"/>
      <c r="H53" s="303"/>
      <c r="I53" s="303"/>
      <c r="J53"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310" t="str">
        <f>IFERROR(Table_Custom_Input[[#This Row],[Number of units]]*Table_Custom_Input[[#This Row],[Per-unit incentive]],"")</f>
        <v/>
      </c>
      <c r="L53" s="311" t="str">
        <f>IFERROR(Table_Custom_Input[[#This Row],[Number of units]]*INDEX(Table_Prescript_Meas[Deemed kWh Savings], MATCH(Table_Custom_Input[[#This Row],[Measure number]], Table_Prescript_Meas[Measure Number], 0)),"" )</f>
        <v/>
      </c>
      <c r="M53" s="312" t="str">
        <f>IFERROR(Table_Custom_Input[[#This Row],[Number of units]]*INDEX(Table_Prescript_Meas[Deemed kW Savings], MATCH(Table_Custom_Input[[#This Row],[Measure number]], Table_Prescript_Meas[Measure Number], 0)),"" )</f>
        <v/>
      </c>
      <c r="N53" s="310" t="str">
        <f>IFERROR(Table_Custom_Input[[#This Row],[Energy savings (kWh)]]*Input_AvgkWhRate, "")</f>
        <v/>
      </c>
      <c r="O53" s="310" t="str">
        <f>IF(Table_Custom_Input[[#This Row],[Measure number]]&lt;&gt;"",Table_Custom_Input[[#This Row],[Total equipment cost]]+Table_Custom_Input[[#This Row],[Total labor cost]],"")</f>
        <v/>
      </c>
      <c r="P53" s="310" t="str">
        <f>IF(Table_Custom_Input[[#This Row],[Measure number]]="","",Table_Custom_Input[[#This Row],[Gross measure cost]]-Table_Custom_Input[[#This Row],[Estimated incentive]])</f>
        <v/>
      </c>
      <c r="Q53" s="311" t="str">
        <f>IFERROR('Input Refrigeration Measures'!$P53/'Input Refrigeration Measures'!$N53, "")</f>
        <v/>
      </c>
      <c r="R53" s="253"/>
      <c r="S53" s="253"/>
      <c r="T53" s="253"/>
      <c r="U53" s="253"/>
    </row>
    <row r="54" spans="2:21" s="15" customFormat="1" ht="15" x14ac:dyDescent="0.2">
      <c r="B54" s="308">
        <v>50</v>
      </c>
      <c r="C54" s="308" t="str">
        <f>IFERROR(INDEX(Table_Prescript_Meas[Measure Number], MATCH(Table_Custom_Input[[#This Row],[Refrigeration measure]], Table_Prescript_Meas[Measure Description], 0)), "")</f>
        <v/>
      </c>
      <c r="D54" s="317"/>
      <c r="E54" s="318"/>
      <c r="F54" s="308" t="str">
        <f>IFERROR(INDEX(Table_Prescript_Meas[Units], MATCH(Table_Custom_Input[[#This Row],[Measure number]], Table_Prescript_Meas[Measure Number], 0)), "")</f>
        <v/>
      </c>
      <c r="G54" s="309"/>
      <c r="H54" s="303"/>
      <c r="I54" s="303"/>
      <c r="J54" s="31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310" t="str">
        <f>IFERROR(Table_Custom_Input[[#This Row],[Number of units]]*Table_Custom_Input[[#This Row],[Per-unit incentive]],"")</f>
        <v/>
      </c>
      <c r="L54" s="311" t="str">
        <f>IFERROR(Table_Custom_Input[[#This Row],[Number of units]]*INDEX(Table_Prescript_Meas[Deemed kWh Savings], MATCH(Table_Custom_Input[[#This Row],[Measure number]], Table_Prescript_Meas[Measure Number], 0)),"" )</f>
        <v/>
      </c>
      <c r="M54" s="312" t="str">
        <f>IFERROR(Table_Custom_Input[[#This Row],[Number of units]]*INDEX(Table_Prescript_Meas[Deemed kW Savings], MATCH(Table_Custom_Input[[#This Row],[Measure number]], Table_Prescript_Meas[Measure Number], 0)),"" )</f>
        <v/>
      </c>
      <c r="N54" s="310" t="str">
        <f>IFERROR(Table_Custom_Input[[#This Row],[Energy savings (kWh)]]*Input_AvgkWhRate, "")</f>
        <v/>
      </c>
      <c r="O54" s="310" t="str">
        <f>IF(Table_Custom_Input[[#This Row],[Measure number]]&lt;&gt;"",Table_Custom_Input[[#This Row],[Total equipment cost]]+Table_Custom_Input[[#This Row],[Total labor cost]],"")</f>
        <v/>
      </c>
      <c r="P54" s="310" t="str">
        <f>IF(Table_Custom_Input[[#This Row],[Measure number]]="","",Table_Custom_Input[[#This Row],[Gross measure cost]]-Table_Custom_Input[[#This Row],[Estimated incentive]])</f>
        <v/>
      </c>
      <c r="Q54" s="311" t="str">
        <f>IFERROR('Input Refrigeration Measures'!$P54/'Input Refrigeration Measures'!$N54, "")</f>
        <v/>
      </c>
      <c r="R54" s="253"/>
      <c r="S54" s="253"/>
      <c r="T54" s="253"/>
      <c r="U54" s="253"/>
    </row>
    <row r="55" spans="2:21" s="15" customFormat="1" ht="15" x14ac:dyDescent="0.2">
      <c r="B55" s="7"/>
      <c r="C55" s="7"/>
      <c r="D55" s="7"/>
      <c r="E55" s="7"/>
      <c r="F55" s="7"/>
      <c r="G55" s="7"/>
      <c r="H55" s="11"/>
      <c r="I55" s="11"/>
      <c r="J55" s="11"/>
      <c r="K55" s="7"/>
      <c r="L55" s="7"/>
      <c r="M55" s="7"/>
      <c r="N55" s="7"/>
      <c r="O55" s="7"/>
      <c r="P55" s="7"/>
      <c r="Q55" s="7"/>
      <c r="R55" s="253"/>
      <c r="S55" s="253"/>
      <c r="T55" s="253"/>
      <c r="U55" s="253"/>
    </row>
    <row r="56" spans="2:21" s="253" customFormat="1" x14ac:dyDescent="0.2"/>
    <row r="57" spans="2:21" s="253" customFormat="1" x14ac:dyDescent="0.2">
      <c r="B57" s="253" t="s">
        <v>644</v>
      </c>
    </row>
    <row r="58" spans="2:21" s="253" customFormat="1" x14ac:dyDescent="0.2">
      <c r="B58" s="253" t="str">
        <f>Value_Application_Version</f>
        <v>Version 5.2</v>
      </c>
    </row>
    <row r="59" spans="2:21" s="253" customFormat="1" x14ac:dyDescent="0.2"/>
    <row r="60" spans="2:21" s="15" customFormat="1" ht="15" x14ac:dyDescent="0.2">
      <c r="B60" s="7"/>
      <c r="C60" s="7"/>
      <c r="D60" s="7"/>
      <c r="E60" s="7"/>
      <c r="F60" s="7"/>
      <c r="G60" s="7"/>
      <c r="H60" s="11"/>
      <c r="I60" s="11"/>
      <c r="J60" s="11"/>
      <c r="K60" s="7"/>
      <c r="L60" s="7"/>
      <c r="M60" s="7"/>
      <c r="N60" s="7"/>
      <c r="O60" s="7"/>
      <c r="P60" s="7"/>
      <c r="Q60" s="7"/>
      <c r="R60" s="253"/>
      <c r="S60" s="253"/>
      <c r="T60" s="253"/>
      <c r="U60" s="253"/>
    </row>
    <row r="61" spans="2:21" s="15" customFormat="1" ht="15" x14ac:dyDescent="0.2">
      <c r="B61" s="7"/>
      <c r="C61" s="7"/>
      <c r="D61" s="7"/>
      <c r="E61" s="7"/>
      <c r="F61" s="7"/>
      <c r="G61" s="7"/>
      <c r="H61" s="11"/>
      <c r="I61" s="11"/>
      <c r="J61" s="11"/>
      <c r="K61" s="7"/>
      <c r="L61" s="7"/>
      <c r="M61" s="7"/>
      <c r="N61" s="7"/>
      <c r="O61" s="7"/>
      <c r="P61" s="7"/>
      <c r="Q61" s="7"/>
      <c r="R61" s="253"/>
      <c r="S61" s="253"/>
      <c r="T61" s="253"/>
      <c r="U61" s="253"/>
    </row>
    <row r="62" spans="2:21" s="15" customFormat="1" ht="15" x14ac:dyDescent="0.2">
      <c r="B62" s="7"/>
      <c r="C62" s="7"/>
      <c r="D62" s="7"/>
      <c r="E62" s="7"/>
      <c r="F62" s="7"/>
      <c r="G62" s="7"/>
      <c r="H62" s="11"/>
      <c r="I62" s="11"/>
      <c r="J62" s="11"/>
      <c r="K62" s="7"/>
      <c r="L62" s="7"/>
      <c r="M62" s="7"/>
      <c r="N62" s="7"/>
      <c r="O62" s="7"/>
      <c r="P62" s="7"/>
      <c r="Q62" s="7"/>
      <c r="R62" s="253"/>
      <c r="S62" s="253"/>
      <c r="T62" s="253"/>
      <c r="U62" s="253"/>
    </row>
    <row r="63" spans="2:21" s="15" customFormat="1" ht="15" x14ac:dyDescent="0.2">
      <c r="B63" s="7"/>
      <c r="C63" s="7"/>
      <c r="D63" s="7"/>
      <c r="E63" s="7"/>
      <c r="F63" s="7"/>
      <c r="G63" s="7"/>
      <c r="H63" s="11"/>
      <c r="I63" s="11"/>
      <c r="J63" s="11"/>
      <c r="K63" s="7"/>
      <c r="L63" s="7"/>
      <c r="M63" s="7"/>
      <c r="N63" s="7"/>
      <c r="O63" s="7"/>
      <c r="P63" s="7"/>
      <c r="Q63" s="7"/>
      <c r="R63" s="253"/>
      <c r="S63" s="253"/>
      <c r="T63" s="253"/>
      <c r="U63" s="253"/>
    </row>
    <row r="64" spans="2:21" s="15" customFormat="1" ht="15" x14ac:dyDescent="0.2">
      <c r="B64" s="7"/>
      <c r="C64" s="7"/>
      <c r="D64" s="7"/>
      <c r="E64" s="7"/>
      <c r="F64" s="7"/>
      <c r="G64" s="7"/>
      <c r="H64" s="11"/>
      <c r="I64" s="11"/>
      <c r="J64" s="11"/>
      <c r="K64" s="7"/>
      <c r="L64" s="7"/>
      <c r="M64" s="7"/>
      <c r="N64" s="7"/>
      <c r="O64" s="7"/>
      <c r="P64" s="7"/>
      <c r="Q64" s="7"/>
      <c r="R64" s="253"/>
      <c r="S64" s="253"/>
      <c r="T64" s="253"/>
      <c r="U64" s="253"/>
    </row>
    <row r="65" spans="2:21" s="15" customFormat="1" ht="15" x14ac:dyDescent="0.2">
      <c r="B65" s="7"/>
      <c r="C65" s="7"/>
      <c r="D65" s="7"/>
      <c r="E65" s="7"/>
      <c r="F65" s="7"/>
      <c r="G65" s="7"/>
      <c r="H65" s="11"/>
      <c r="I65" s="11"/>
      <c r="J65" s="11"/>
      <c r="K65" s="7"/>
      <c r="L65" s="7"/>
      <c r="M65" s="7"/>
      <c r="N65" s="7"/>
      <c r="O65" s="7"/>
      <c r="P65" s="7"/>
      <c r="Q65" s="7"/>
      <c r="R65" s="253"/>
      <c r="S65" s="253"/>
      <c r="T65" s="253"/>
      <c r="U65" s="253"/>
    </row>
    <row r="66" spans="2:21" s="15" customFormat="1" ht="15" x14ac:dyDescent="0.2">
      <c r="B66" s="7"/>
      <c r="C66" s="7"/>
      <c r="D66" s="7"/>
      <c r="E66" s="7"/>
      <c r="F66" s="7"/>
      <c r="G66" s="7"/>
      <c r="H66" s="11"/>
      <c r="I66" s="11"/>
      <c r="J66" s="11"/>
      <c r="K66" s="7"/>
      <c r="L66" s="7"/>
      <c r="M66" s="7"/>
      <c r="N66" s="7"/>
      <c r="O66" s="7"/>
      <c r="P66" s="7"/>
      <c r="Q66" s="7"/>
      <c r="R66" s="253"/>
      <c r="S66" s="253"/>
      <c r="T66" s="253"/>
      <c r="U66" s="253"/>
    </row>
    <row r="67" spans="2:21" s="15" customFormat="1" ht="15" x14ac:dyDescent="0.2">
      <c r="B67" s="7"/>
      <c r="C67" s="7"/>
      <c r="D67" s="7"/>
      <c r="E67" s="7"/>
      <c r="F67" s="7"/>
      <c r="G67" s="7"/>
      <c r="H67" s="11"/>
      <c r="I67" s="11"/>
      <c r="J67" s="11"/>
      <c r="K67" s="7"/>
      <c r="L67" s="7"/>
      <c r="M67" s="7"/>
      <c r="N67" s="7"/>
      <c r="O67" s="7"/>
      <c r="P67" s="7"/>
      <c r="Q67" s="7"/>
      <c r="R67" s="253"/>
      <c r="S67" s="253"/>
      <c r="T67" s="253"/>
      <c r="U67" s="253"/>
    </row>
    <row r="68" spans="2:21" s="15" customFormat="1" ht="15" x14ac:dyDescent="0.2">
      <c r="B68" s="7"/>
      <c r="C68" s="7"/>
      <c r="D68" s="7"/>
      <c r="E68" s="7"/>
      <c r="F68" s="7"/>
      <c r="G68" s="7"/>
      <c r="H68" s="11"/>
      <c r="I68" s="11"/>
      <c r="J68" s="11"/>
      <c r="K68" s="7"/>
      <c r="L68" s="7"/>
      <c r="M68" s="7"/>
      <c r="N68" s="7"/>
      <c r="O68" s="7"/>
      <c r="P68" s="7"/>
      <c r="Q68" s="7"/>
      <c r="R68" s="253"/>
      <c r="S68" s="253"/>
      <c r="T68" s="253"/>
      <c r="U68" s="253"/>
    </row>
    <row r="69" spans="2:21" s="15" customFormat="1" ht="15" x14ac:dyDescent="0.2">
      <c r="B69" s="7"/>
      <c r="C69" s="7"/>
      <c r="D69" s="7"/>
      <c r="E69" s="7"/>
      <c r="F69" s="7"/>
      <c r="G69" s="7"/>
      <c r="H69" s="11"/>
      <c r="I69" s="11"/>
      <c r="J69" s="11"/>
      <c r="K69" s="7"/>
      <c r="L69" s="7"/>
      <c r="M69" s="7"/>
      <c r="N69" s="7"/>
      <c r="O69" s="7"/>
      <c r="P69" s="7"/>
      <c r="Q69" s="7"/>
      <c r="R69" s="253"/>
      <c r="S69" s="253"/>
      <c r="T69" s="253"/>
      <c r="U69" s="253"/>
    </row>
    <row r="70" spans="2:21" s="15" customFormat="1" ht="15" x14ac:dyDescent="0.2">
      <c r="B70" s="7"/>
      <c r="C70" s="7"/>
      <c r="D70" s="7"/>
      <c r="E70" s="7"/>
      <c r="F70" s="7"/>
      <c r="G70" s="7"/>
      <c r="H70" s="11"/>
      <c r="I70" s="11"/>
      <c r="J70" s="11"/>
      <c r="K70" s="7"/>
      <c r="L70" s="7"/>
      <c r="M70" s="7"/>
      <c r="N70" s="7"/>
      <c r="O70" s="7"/>
      <c r="P70" s="7"/>
      <c r="Q70" s="7"/>
      <c r="R70" s="253"/>
      <c r="S70" s="253"/>
      <c r="T70" s="253"/>
      <c r="U70" s="253"/>
    </row>
    <row r="71" spans="2:21" s="15" customFormat="1" ht="15" x14ac:dyDescent="0.2">
      <c r="B71" s="7"/>
      <c r="C71" s="7"/>
      <c r="D71" s="7"/>
      <c r="E71" s="7"/>
      <c r="F71" s="7"/>
      <c r="G71" s="7"/>
      <c r="H71" s="11"/>
      <c r="I71" s="11"/>
      <c r="J71" s="11"/>
      <c r="K71" s="7"/>
      <c r="L71" s="7"/>
      <c r="M71" s="7"/>
      <c r="N71" s="7"/>
      <c r="O71" s="7"/>
      <c r="P71" s="7"/>
      <c r="Q71" s="7"/>
      <c r="R71" s="253"/>
      <c r="S71" s="253"/>
      <c r="T71" s="253"/>
      <c r="U71" s="253"/>
    </row>
    <row r="72" spans="2:21" s="15" customFormat="1" ht="15" x14ac:dyDescent="0.2">
      <c r="B72" s="7"/>
      <c r="C72" s="7"/>
      <c r="D72" s="7"/>
      <c r="E72" s="7"/>
      <c r="F72" s="7"/>
      <c r="G72" s="7"/>
      <c r="H72" s="11"/>
      <c r="I72" s="11"/>
      <c r="J72" s="11"/>
      <c r="K72" s="7"/>
      <c r="L72" s="7"/>
      <c r="M72" s="7"/>
      <c r="N72" s="7"/>
      <c r="O72" s="7"/>
      <c r="P72" s="7"/>
      <c r="Q72" s="7"/>
      <c r="R72" s="253"/>
      <c r="S72" s="253"/>
      <c r="T72" s="253"/>
      <c r="U72" s="253"/>
    </row>
    <row r="73" spans="2:21" s="15" customFormat="1" ht="15" x14ac:dyDescent="0.2">
      <c r="B73" s="7"/>
      <c r="C73" s="7"/>
      <c r="D73" s="7"/>
      <c r="E73" s="7"/>
      <c r="F73" s="7"/>
      <c r="G73" s="7"/>
      <c r="H73" s="11"/>
      <c r="I73" s="11"/>
      <c r="J73" s="11"/>
      <c r="K73" s="7"/>
      <c r="L73" s="7"/>
      <c r="M73" s="7"/>
      <c r="N73" s="7"/>
      <c r="O73" s="7"/>
      <c r="P73" s="7"/>
      <c r="Q73" s="7"/>
      <c r="R73" s="253"/>
      <c r="S73" s="253"/>
      <c r="T73" s="253"/>
      <c r="U73" s="253"/>
    </row>
    <row r="74" spans="2:21" s="15" customFormat="1" ht="15" x14ac:dyDescent="0.2">
      <c r="B74" s="7"/>
      <c r="C74" s="7"/>
      <c r="D74" s="7"/>
      <c r="E74" s="7"/>
      <c r="F74" s="7"/>
      <c r="G74" s="7"/>
      <c r="H74" s="11"/>
      <c r="I74" s="11"/>
      <c r="J74" s="11"/>
      <c r="K74" s="7"/>
      <c r="L74" s="7"/>
      <c r="M74" s="7"/>
      <c r="N74" s="7"/>
      <c r="O74" s="7"/>
      <c r="P74" s="7"/>
      <c r="Q74" s="7"/>
      <c r="R74" s="253"/>
      <c r="S74" s="253"/>
      <c r="T74" s="253"/>
      <c r="U74" s="253"/>
    </row>
    <row r="75" spans="2:21" s="15" customFormat="1" ht="15" x14ac:dyDescent="0.2">
      <c r="B75" s="7"/>
      <c r="C75" s="7"/>
      <c r="D75" s="7"/>
      <c r="E75" s="7"/>
      <c r="F75" s="7"/>
      <c r="G75" s="7"/>
      <c r="H75" s="11"/>
      <c r="I75" s="11"/>
      <c r="J75" s="11"/>
      <c r="K75" s="7"/>
      <c r="L75" s="7"/>
      <c r="M75" s="7"/>
      <c r="N75" s="7"/>
      <c r="O75" s="7"/>
      <c r="P75" s="7"/>
      <c r="Q75" s="7"/>
      <c r="R75" s="253"/>
      <c r="S75" s="253"/>
      <c r="T75" s="253"/>
      <c r="U75" s="253"/>
    </row>
    <row r="76" spans="2:21" s="15" customFormat="1" ht="15" x14ac:dyDescent="0.2">
      <c r="B76" s="7"/>
      <c r="C76" s="7"/>
      <c r="D76" s="7"/>
      <c r="E76" s="7"/>
      <c r="F76" s="7"/>
      <c r="G76" s="7"/>
      <c r="H76" s="11"/>
      <c r="I76" s="11"/>
      <c r="J76" s="11"/>
      <c r="K76" s="7"/>
      <c r="L76" s="7"/>
      <c r="M76" s="7"/>
      <c r="N76" s="7"/>
      <c r="O76" s="7"/>
      <c r="P76" s="7"/>
      <c r="Q76" s="7"/>
      <c r="R76" s="253"/>
      <c r="S76" s="253"/>
      <c r="T76" s="253"/>
      <c r="U76" s="253"/>
    </row>
    <row r="77" spans="2:21" s="15" customFormat="1" ht="15" x14ac:dyDescent="0.2">
      <c r="B77" s="7"/>
      <c r="C77" s="7"/>
      <c r="D77" s="7"/>
      <c r="E77" s="7"/>
      <c r="F77" s="7"/>
      <c r="G77" s="7"/>
      <c r="H77" s="11"/>
      <c r="I77" s="11"/>
      <c r="J77" s="11"/>
      <c r="K77" s="7"/>
      <c r="L77" s="7"/>
      <c r="M77" s="7"/>
      <c r="N77" s="7"/>
      <c r="O77" s="7"/>
      <c r="P77" s="7"/>
      <c r="Q77" s="7"/>
      <c r="R77" s="253"/>
      <c r="S77" s="253"/>
      <c r="T77" s="253"/>
      <c r="U77" s="253"/>
    </row>
    <row r="78" spans="2:21" s="15" customFormat="1" ht="15" x14ac:dyDescent="0.2">
      <c r="B78" s="7"/>
      <c r="C78" s="7"/>
      <c r="D78" s="7"/>
      <c r="E78" s="7"/>
      <c r="F78" s="7"/>
      <c r="G78" s="7"/>
      <c r="H78" s="11"/>
      <c r="I78" s="11"/>
      <c r="J78" s="11"/>
      <c r="K78" s="7"/>
      <c r="L78" s="7"/>
      <c r="M78" s="7"/>
      <c r="N78" s="7"/>
      <c r="O78" s="7"/>
      <c r="P78" s="7"/>
      <c r="Q78" s="7"/>
      <c r="R78" s="253"/>
      <c r="S78" s="253"/>
      <c r="T78" s="253"/>
      <c r="U78" s="253"/>
    </row>
    <row r="79" spans="2:21" s="15" customFormat="1" ht="15" x14ac:dyDescent="0.2">
      <c r="B79" s="7"/>
      <c r="C79" s="7"/>
      <c r="D79" s="7"/>
      <c r="E79" s="7"/>
      <c r="F79" s="7"/>
      <c r="G79" s="7"/>
      <c r="H79" s="11"/>
      <c r="I79" s="11"/>
      <c r="J79" s="11"/>
      <c r="K79" s="7"/>
      <c r="L79" s="7"/>
      <c r="M79" s="7"/>
      <c r="N79" s="7"/>
      <c r="O79" s="7"/>
      <c r="P79" s="7"/>
      <c r="Q79" s="7"/>
      <c r="R79" s="253"/>
      <c r="S79" s="253"/>
      <c r="T79" s="253"/>
      <c r="U79" s="253"/>
    </row>
    <row r="80" spans="2:21" s="15" customFormat="1" ht="15" x14ac:dyDescent="0.2">
      <c r="B80" s="7"/>
      <c r="C80" s="7"/>
      <c r="D80" s="7"/>
      <c r="E80" s="7"/>
      <c r="F80" s="7"/>
      <c r="G80" s="7"/>
      <c r="H80" s="11"/>
      <c r="I80" s="11"/>
      <c r="J80" s="11"/>
      <c r="K80" s="7"/>
      <c r="L80" s="7"/>
      <c r="M80" s="7"/>
      <c r="N80" s="7"/>
      <c r="O80" s="7"/>
      <c r="P80" s="7"/>
      <c r="Q80" s="7"/>
      <c r="R80" s="253"/>
      <c r="S80" s="253"/>
      <c r="T80" s="253"/>
      <c r="U80" s="253"/>
    </row>
    <row r="81" spans="2:21" s="15" customFormat="1" ht="15" x14ac:dyDescent="0.2">
      <c r="B81" s="7"/>
      <c r="C81" s="7"/>
      <c r="D81" s="7"/>
      <c r="E81" s="7"/>
      <c r="F81" s="7"/>
      <c r="G81" s="7"/>
      <c r="H81" s="11"/>
      <c r="I81" s="11"/>
      <c r="J81" s="11"/>
      <c r="K81" s="7"/>
      <c r="L81" s="7"/>
      <c r="M81" s="7"/>
      <c r="N81" s="7"/>
      <c r="O81" s="7"/>
      <c r="P81" s="7"/>
      <c r="Q81" s="7"/>
      <c r="R81" s="253"/>
      <c r="S81" s="253"/>
      <c r="T81" s="253"/>
      <c r="U81" s="253"/>
    </row>
    <row r="82" spans="2:21" s="15" customFormat="1" ht="15" x14ac:dyDescent="0.2">
      <c r="B82" s="7"/>
      <c r="C82" s="7"/>
      <c r="D82" s="7"/>
      <c r="E82" s="7"/>
      <c r="F82" s="7"/>
      <c r="G82" s="7"/>
      <c r="H82" s="11"/>
      <c r="I82" s="11"/>
      <c r="J82" s="11"/>
      <c r="K82" s="7"/>
      <c r="L82" s="7"/>
      <c r="M82" s="7"/>
      <c r="N82" s="7"/>
      <c r="O82" s="7"/>
      <c r="P82" s="7"/>
      <c r="Q82" s="7"/>
      <c r="R82" s="253"/>
      <c r="S82" s="253"/>
      <c r="T82" s="253"/>
      <c r="U82" s="253"/>
    </row>
    <row r="83" spans="2:21" s="15" customFormat="1" ht="15" x14ac:dyDescent="0.2">
      <c r="B83" s="7"/>
      <c r="C83" s="7"/>
      <c r="D83" s="7"/>
      <c r="E83" s="7"/>
      <c r="F83" s="7"/>
      <c r="G83" s="7"/>
      <c r="H83" s="11"/>
      <c r="I83" s="11"/>
      <c r="J83" s="11"/>
      <c r="K83" s="7"/>
      <c r="L83" s="7"/>
      <c r="M83" s="7"/>
      <c r="N83" s="7"/>
      <c r="O83" s="7"/>
      <c r="P83" s="7"/>
      <c r="Q83" s="7"/>
      <c r="R83" s="253"/>
      <c r="S83" s="253"/>
      <c r="T83" s="253"/>
      <c r="U83" s="253"/>
    </row>
    <row r="84" spans="2:21" s="15" customFormat="1" ht="15" x14ac:dyDescent="0.2">
      <c r="B84" s="7"/>
      <c r="C84" s="7"/>
      <c r="D84" s="7"/>
      <c r="E84" s="7"/>
      <c r="F84" s="7"/>
      <c r="G84" s="7"/>
      <c r="H84" s="11"/>
      <c r="I84" s="11"/>
      <c r="J84" s="11"/>
      <c r="K84" s="7"/>
      <c r="L84" s="7"/>
      <c r="M84" s="7"/>
      <c r="N84" s="7"/>
      <c r="O84" s="7"/>
      <c r="P84" s="7"/>
      <c r="Q84" s="7"/>
      <c r="R84" s="253"/>
      <c r="S84" s="253"/>
      <c r="T84" s="253"/>
      <c r="U84" s="253"/>
    </row>
    <row r="85" spans="2:21" s="15" customFormat="1" ht="15" x14ac:dyDescent="0.2">
      <c r="B85" s="7"/>
      <c r="C85" s="7"/>
      <c r="D85" s="7"/>
      <c r="E85" s="7"/>
      <c r="F85" s="7"/>
      <c r="G85" s="7"/>
      <c r="H85" s="11"/>
      <c r="I85" s="11"/>
      <c r="J85" s="11"/>
      <c r="K85" s="7"/>
      <c r="L85" s="7"/>
      <c r="M85" s="7"/>
      <c r="N85" s="7"/>
      <c r="O85" s="7"/>
      <c r="P85" s="7"/>
      <c r="Q85" s="7"/>
      <c r="R85" s="253"/>
      <c r="S85" s="253"/>
      <c r="T85" s="253"/>
      <c r="U85" s="253"/>
    </row>
    <row r="86" spans="2:21" s="15" customFormat="1" ht="15" x14ac:dyDescent="0.2">
      <c r="B86" s="7"/>
      <c r="C86" s="7"/>
      <c r="D86" s="7"/>
      <c r="E86" s="7"/>
      <c r="F86" s="7"/>
      <c r="G86" s="7"/>
      <c r="H86" s="11"/>
      <c r="I86" s="11"/>
      <c r="J86" s="11"/>
      <c r="K86" s="7"/>
      <c r="L86" s="7"/>
      <c r="M86" s="7"/>
      <c r="N86" s="7"/>
      <c r="O86" s="7"/>
      <c r="P86" s="7"/>
      <c r="Q86" s="7"/>
      <c r="R86" s="253"/>
      <c r="S86" s="253"/>
      <c r="T86" s="253"/>
      <c r="U86" s="253"/>
    </row>
    <row r="87" spans="2:21" s="15" customFormat="1" ht="15" x14ac:dyDescent="0.2">
      <c r="B87" s="7"/>
      <c r="C87" s="7"/>
      <c r="D87" s="7"/>
      <c r="E87" s="7"/>
      <c r="F87" s="7"/>
      <c r="G87" s="7"/>
      <c r="H87" s="11"/>
      <c r="I87" s="11"/>
      <c r="J87" s="11"/>
      <c r="K87" s="7"/>
      <c r="L87" s="7"/>
      <c r="M87" s="7"/>
      <c r="N87" s="7"/>
      <c r="O87" s="7"/>
      <c r="P87" s="7"/>
      <c r="Q87" s="7"/>
      <c r="R87" s="253"/>
      <c r="S87" s="253"/>
      <c r="T87" s="253"/>
      <c r="U87" s="253"/>
    </row>
    <row r="88" spans="2:21" s="15" customFormat="1" ht="15" x14ac:dyDescent="0.2">
      <c r="B88" s="7"/>
      <c r="C88" s="7"/>
      <c r="D88" s="7"/>
      <c r="E88" s="7"/>
      <c r="F88" s="7"/>
      <c r="G88" s="7"/>
      <c r="H88" s="11"/>
      <c r="I88" s="11"/>
      <c r="J88" s="11"/>
      <c r="K88" s="7"/>
      <c r="L88" s="7"/>
      <c r="M88" s="7"/>
      <c r="N88" s="7"/>
      <c r="O88" s="7"/>
      <c r="P88" s="7"/>
      <c r="Q88" s="7"/>
      <c r="R88" s="253"/>
      <c r="S88" s="253"/>
      <c r="T88" s="253"/>
      <c r="U88" s="253"/>
    </row>
    <row r="89" spans="2:21" s="15" customFormat="1" ht="15" x14ac:dyDescent="0.2">
      <c r="B89" s="7"/>
      <c r="C89" s="7"/>
      <c r="D89" s="7"/>
      <c r="E89" s="7"/>
      <c r="F89" s="7"/>
      <c r="G89" s="7"/>
      <c r="H89" s="11"/>
      <c r="I89" s="11"/>
      <c r="J89" s="11"/>
      <c r="K89" s="7"/>
      <c r="L89" s="7"/>
      <c r="M89" s="7"/>
      <c r="N89" s="7"/>
      <c r="O89" s="7"/>
      <c r="P89" s="7"/>
      <c r="Q89" s="7"/>
      <c r="R89" s="253"/>
      <c r="S89" s="253"/>
      <c r="T89" s="253"/>
      <c r="U89" s="253"/>
    </row>
    <row r="90" spans="2:21" s="15" customFormat="1" ht="15" x14ac:dyDescent="0.2">
      <c r="B90" s="7"/>
      <c r="C90" s="7"/>
      <c r="D90" s="7"/>
      <c r="E90" s="7"/>
      <c r="F90" s="7"/>
      <c r="G90" s="7"/>
      <c r="H90" s="11"/>
      <c r="I90" s="11"/>
      <c r="J90" s="11"/>
      <c r="K90" s="7"/>
      <c r="L90" s="7"/>
      <c r="M90" s="7"/>
      <c r="N90" s="7"/>
      <c r="O90" s="7"/>
      <c r="P90" s="7"/>
      <c r="Q90" s="7"/>
      <c r="R90" s="253"/>
      <c r="S90" s="253"/>
      <c r="T90" s="253"/>
      <c r="U90" s="253"/>
    </row>
    <row r="91" spans="2:21" s="15" customFormat="1" ht="15" x14ac:dyDescent="0.2">
      <c r="B91" s="7"/>
      <c r="C91" s="7"/>
      <c r="D91" s="7"/>
      <c r="E91" s="7"/>
      <c r="F91" s="7"/>
      <c r="G91" s="7"/>
      <c r="H91" s="11"/>
      <c r="I91" s="11"/>
      <c r="J91" s="11"/>
      <c r="K91" s="7"/>
      <c r="L91" s="7"/>
      <c r="M91" s="7"/>
      <c r="N91" s="7"/>
      <c r="O91" s="7"/>
      <c r="P91" s="7"/>
      <c r="Q91" s="7"/>
      <c r="R91" s="253"/>
      <c r="S91" s="253"/>
      <c r="T91" s="253"/>
      <c r="U91" s="253"/>
    </row>
    <row r="92" spans="2:21" s="15" customFormat="1" ht="15" x14ac:dyDescent="0.2">
      <c r="B92" s="7"/>
      <c r="C92" s="7"/>
      <c r="D92" s="7"/>
      <c r="E92" s="7"/>
      <c r="F92" s="7"/>
      <c r="G92" s="7"/>
      <c r="H92" s="11"/>
      <c r="I92" s="11"/>
      <c r="J92" s="11"/>
      <c r="K92" s="7"/>
      <c r="L92" s="7"/>
      <c r="M92" s="7"/>
      <c r="N92" s="7"/>
      <c r="O92" s="7"/>
      <c r="P92" s="7"/>
      <c r="Q92" s="7"/>
      <c r="R92" s="253"/>
      <c r="S92" s="253"/>
      <c r="T92" s="253"/>
      <c r="U92" s="253"/>
    </row>
    <row r="93" spans="2:21" s="15" customFormat="1" ht="15" x14ac:dyDescent="0.2">
      <c r="B93" s="7"/>
      <c r="C93" s="7"/>
      <c r="D93" s="7"/>
      <c r="E93" s="7"/>
      <c r="F93" s="7"/>
      <c r="G93" s="7"/>
      <c r="H93" s="11"/>
      <c r="I93" s="11"/>
      <c r="J93" s="11"/>
      <c r="K93" s="7"/>
      <c r="L93" s="7"/>
      <c r="M93" s="7"/>
      <c r="N93" s="7"/>
      <c r="O93" s="7"/>
      <c r="P93" s="7"/>
      <c r="Q93" s="7"/>
      <c r="R93" s="253"/>
      <c r="S93" s="253"/>
      <c r="T93" s="253"/>
      <c r="U93" s="253"/>
    </row>
    <row r="94" spans="2:21" s="15" customFormat="1" ht="15" x14ac:dyDescent="0.2">
      <c r="B94" s="7"/>
      <c r="C94" s="7"/>
      <c r="D94" s="7"/>
      <c r="E94" s="7"/>
      <c r="F94" s="7"/>
      <c r="G94" s="7"/>
      <c r="H94" s="11"/>
      <c r="I94" s="11"/>
      <c r="J94" s="11"/>
      <c r="K94" s="7"/>
      <c r="L94" s="7"/>
      <c r="M94" s="7"/>
      <c r="N94" s="7"/>
      <c r="O94" s="7"/>
      <c r="P94" s="7"/>
      <c r="Q94" s="7"/>
      <c r="R94" s="253"/>
      <c r="S94" s="253"/>
      <c r="T94" s="253"/>
      <c r="U94" s="253"/>
    </row>
    <row r="95" spans="2:21" s="15" customFormat="1" ht="15" x14ac:dyDescent="0.2">
      <c r="B95" s="7"/>
      <c r="C95" s="7"/>
      <c r="D95" s="7"/>
      <c r="E95" s="7"/>
      <c r="F95" s="7"/>
      <c r="G95" s="7"/>
      <c r="H95" s="11"/>
      <c r="I95" s="11"/>
      <c r="J95" s="11"/>
      <c r="K95" s="7"/>
      <c r="L95" s="7"/>
      <c r="M95" s="7"/>
      <c r="N95" s="7"/>
      <c r="O95" s="7"/>
      <c r="P95" s="7"/>
      <c r="Q95" s="7"/>
      <c r="R95" s="253"/>
      <c r="S95" s="253"/>
      <c r="T95" s="253"/>
      <c r="U95" s="253"/>
    </row>
    <row r="96" spans="2:21" s="15" customFormat="1" ht="15" x14ac:dyDescent="0.2">
      <c r="B96" s="7"/>
      <c r="C96" s="7"/>
      <c r="D96" s="7"/>
      <c r="E96" s="7"/>
      <c r="F96" s="7"/>
      <c r="G96" s="7"/>
      <c r="H96" s="11"/>
      <c r="I96" s="11"/>
      <c r="J96" s="11"/>
      <c r="K96" s="7"/>
      <c r="L96" s="7"/>
      <c r="M96" s="7"/>
      <c r="N96" s="7"/>
      <c r="O96" s="7"/>
      <c r="P96" s="7"/>
      <c r="Q96" s="7"/>
      <c r="R96" s="253"/>
      <c r="S96" s="253"/>
      <c r="T96" s="253"/>
      <c r="U96" s="253"/>
    </row>
    <row r="97" spans="2:21" s="15" customFormat="1" ht="15" x14ac:dyDescent="0.2">
      <c r="B97" s="7"/>
      <c r="C97" s="7"/>
      <c r="D97" s="7"/>
      <c r="E97" s="7"/>
      <c r="F97" s="7"/>
      <c r="G97" s="7"/>
      <c r="H97" s="11"/>
      <c r="I97" s="11"/>
      <c r="J97" s="11"/>
      <c r="K97" s="7"/>
      <c r="L97" s="7"/>
      <c r="M97" s="7"/>
      <c r="N97" s="7"/>
      <c r="O97" s="7"/>
      <c r="P97" s="7"/>
      <c r="Q97" s="7"/>
      <c r="R97" s="253"/>
      <c r="S97" s="253"/>
      <c r="T97" s="253"/>
      <c r="U97" s="253"/>
    </row>
    <row r="98" spans="2:21" s="15" customFormat="1" ht="15" x14ac:dyDescent="0.2">
      <c r="B98" s="7"/>
      <c r="C98" s="7"/>
      <c r="D98" s="7"/>
      <c r="E98" s="7"/>
      <c r="F98" s="7"/>
      <c r="G98" s="7"/>
      <c r="H98" s="11"/>
      <c r="I98" s="11"/>
      <c r="J98" s="11"/>
      <c r="K98" s="7"/>
      <c r="L98" s="7"/>
      <c r="M98" s="7"/>
      <c r="N98" s="7"/>
      <c r="O98" s="7"/>
      <c r="P98" s="7"/>
      <c r="Q98" s="7"/>
      <c r="R98" s="253"/>
      <c r="S98" s="253"/>
      <c r="T98" s="253"/>
      <c r="U98" s="253"/>
    </row>
    <row r="99" spans="2:21" s="15" customFormat="1" ht="15" x14ac:dyDescent="0.2">
      <c r="B99" s="7"/>
      <c r="C99" s="7"/>
      <c r="D99" s="7"/>
      <c r="E99" s="7"/>
      <c r="F99" s="7"/>
      <c r="G99" s="7"/>
      <c r="H99" s="11"/>
      <c r="I99" s="11"/>
      <c r="J99" s="11"/>
      <c r="K99" s="7"/>
      <c r="L99" s="7"/>
      <c r="M99" s="7"/>
      <c r="N99" s="7"/>
      <c r="O99" s="7"/>
      <c r="P99" s="7"/>
      <c r="Q99" s="7"/>
      <c r="R99" s="253"/>
      <c r="S99" s="253"/>
      <c r="T99" s="253"/>
      <c r="U99" s="253"/>
    </row>
    <row r="100" spans="2:21" s="15" customFormat="1" ht="15" x14ac:dyDescent="0.2">
      <c r="B100" s="7"/>
      <c r="C100" s="7"/>
      <c r="D100" s="7"/>
      <c r="E100" s="7"/>
      <c r="F100" s="7"/>
      <c r="G100" s="7"/>
      <c r="H100" s="11"/>
      <c r="I100" s="11"/>
      <c r="J100" s="11"/>
      <c r="K100" s="7"/>
      <c r="L100" s="7"/>
      <c r="M100" s="7"/>
      <c r="N100" s="7"/>
      <c r="O100" s="7"/>
      <c r="P100" s="7"/>
      <c r="Q100" s="7"/>
      <c r="R100" s="253"/>
      <c r="S100" s="253"/>
      <c r="T100" s="253"/>
      <c r="U100" s="253"/>
    </row>
    <row r="101" spans="2:21" s="15" customFormat="1" ht="15" x14ac:dyDescent="0.2">
      <c r="B101" s="7"/>
      <c r="C101" s="7"/>
      <c r="D101" s="7"/>
      <c r="E101" s="7"/>
      <c r="F101" s="7"/>
      <c r="G101" s="7"/>
      <c r="H101" s="11"/>
      <c r="I101" s="11"/>
      <c r="J101" s="11"/>
      <c r="K101" s="7"/>
      <c r="L101" s="7"/>
      <c r="M101" s="7"/>
      <c r="N101" s="7"/>
      <c r="O101" s="7"/>
      <c r="P101" s="7"/>
      <c r="Q101" s="7"/>
      <c r="R101" s="253"/>
      <c r="S101" s="253"/>
      <c r="T101" s="253"/>
      <c r="U101" s="253"/>
    </row>
    <row r="102" spans="2:21" s="15" customFormat="1" ht="15" x14ac:dyDescent="0.2">
      <c r="B102" s="7"/>
      <c r="C102" s="7"/>
      <c r="D102" s="7"/>
      <c r="E102" s="7"/>
      <c r="F102" s="7"/>
      <c r="G102" s="7"/>
      <c r="H102" s="11"/>
      <c r="I102" s="11"/>
      <c r="J102" s="11"/>
      <c r="K102" s="7"/>
      <c r="L102" s="7"/>
      <c r="M102" s="7"/>
      <c r="N102" s="7"/>
      <c r="O102" s="7"/>
      <c r="P102" s="7"/>
      <c r="Q102" s="7"/>
      <c r="R102" s="253"/>
      <c r="S102" s="253"/>
      <c r="T102" s="253"/>
      <c r="U102" s="253"/>
    </row>
    <row r="103" spans="2:21" s="15" customFormat="1" ht="15" x14ac:dyDescent="0.2">
      <c r="B103" s="7"/>
      <c r="C103" s="7"/>
      <c r="D103" s="7"/>
      <c r="E103" s="7"/>
      <c r="F103" s="7"/>
      <c r="G103" s="7"/>
      <c r="H103" s="11"/>
      <c r="I103" s="11"/>
      <c r="J103" s="11"/>
      <c r="K103" s="7"/>
      <c r="L103" s="7"/>
      <c r="M103" s="7"/>
      <c r="N103" s="7"/>
      <c r="O103" s="7"/>
      <c r="P103" s="7"/>
      <c r="Q103" s="7"/>
      <c r="R103" s="253"/>
      <c r="S103" s="253"/>
      <c r="T103" s="253"/>
      <c r="U103" s="253"/>
    </row>
    <row r="104" spans="2:21" s="15" customFormat="1" ht="15" x14ac:dyDescent="0.2">
      <c r="B104" s="7"/>
      <c r="C104" s="7"/>
      <c r="D104" s="7"/>
      <c r="E104" s="7"/>
      <c r="F104" s="7"/>
      <c r="G104" s="7"/>
      <c r="H104" s="11"/>
      <c r="I104" s="11"/>
      <c r="J104" s="11"/>
      <c r="K104" s="7"/>
      <c r="L104" s="7"/>
      <c r="M104" s="7"/>
      <c r="N104" s="7"/>
      <c r="O104" s="7"/>
      <c r="P104" s="7"/>
      <c r="Q104" s="7"/>
      <c r="R104" s="253"/>
      <c r="S104" s="253"/>
      <c r="T104" s="253"/>
      <c r="U104" s="253"/>
    </row>
  </sheetData>
  <sheetProtection algorithmName="SHA-512" hashValue="uoyFDeCQVPXtHkOnPed6gjN4Lwz7zJ7fatfB4nBr4UpsY1ck7hQ85Rf9lTIZV4jq5dWx4uBDhqStaOnfJuDjjQ==" saltValue="psDL8qJ8CNKT8TUtH/PhNg==" spinCount="100000" sheet="1" selectLockedCells="1"/>
  <mergeCells count="2">
    <mergeCell ref="G3:I3"/>
    <mergeCell ref="B2:N2"/>
  </mergeCells>
  <conditionalFormatting sqref="G5:J54">
    <cfRule type="expression" dxfId="197" priority="1">
      <formula>$E5=""</formula>
    </cfRule>
  </conditionalFormatting>
  <dataValidations count="1">
    <dataValidation type="list" allowBlank="1" showInputMessage="1" showErrorMessage="1" sqref="E5:E54"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8.85546875" style="253" customWidth="1"/>
    <col min="4" max="4" width="17.28515625" style="253" customWidth="1"/>
    <col min="5" max="6" width="29.85546875" style="253" customWidth="1"/>
    <col min="7" max="7" width="11.5703125" style="253" customWidth="1"/>
    <col min="8" max="8" width="12.42578125" style="253" customWidth="1"/>
    <col min="9" max="9" width="9.85546875" style="253" customWidth="1"/>
    <col min="10" max="10" width="10" style="253" customWidth="1"/>
    <col min="11" max="11" width="11" style="253" customWidth="1"/>
    <col min="12" max="12" width="12" style="253" customWidth="1"/>
    <col min="13" max="13" width="11.85546875" style="253" customWidth="1"/>
    <col min="14" max="15" width="10.28515625" style="253" customWidth="1"/>
    <col min="16" max="16" width="13.42578125" style="253" customWidth="1"/>
    <col min="17" max="17" width="9.5703125" style="253" customWidth="1"/>
    <col min="18" max="16384" width="9.140625" style="253"/>
  </cols>
  <sheetData>
    <row r="1" spans="1:39" ht="52.5" customHeight="1" x14ac:dyDescent="0.2"/>
    <row r="2" spans="1:39" s="255" customFormat="1" ht="37.5" customHeight="1" x14ac:dyDescent="0.2">
      <c r="B2" s="374" t="s">
        <v>756</v>
      </c>
      <c r="C2" s="374"/>
      <c r="D2" s="374"/>
      <c r="E2" s="374"/>
      <c r="F2" s="374"/>
      <c r="G2" s="374"/>
      <c r="H2" s="374"/>
      <c r="I2" s="374"/>
      <c r="J2" s="374"/>
      <c r="K2" s="374"/>
      <c r="L2" s="374"/>
      <c r="M2" s="374"/>
      <c r="N2" s="374"/>
      <c r="O2" s="254"/>
      <c r="P2" s="254"/>
      <c r="Q2" s="254"/>
    </row>
    <row r="3" spans="1:39" x14ac:dyDescent="0.2">
      <c r="A3" s="269"/>
      <c r="G3" s="381" t="s">
        <v>31</v>
      </c>
      <c r="H3" s="382"/>
      <c r="I3" s="383"/>
      <c r="J3" s="305" t="s">
        <v>32</v>
      </c>
      <c r="K3" s="313">
        <f>SUM(Table_Controls_Input[Estimated incentive])</f>
        <v>0</v>
      </c>
      <c r="L3" s="314">
        <f>SUM(Table_Controls_Input[Energy savings (kWh)])</f>
        <v>0</v>
      </c>
      <c r="M3" s="315">
        <f>SUM(Table_Controls_Input[Demand reduction (kW)])</f>
        <v>0</v>
      </c>
      <c r="N3" s="316">
        <f>SUM(Table_Controls_Input[Cost savings])</f>
        <v>0</v>
      </c>
      <c r="O3" s="316">
        <f>SUM(Table_Controls_Input[Gross measure cost])</f>
        <v>0</v>
      </c>
      <c r="P3" s="316">
        <f>SUM(Table_Controls_Input[Net measure cost])</f>
        <v>0</v>
      </c>
      <c r="Q3" s="306" t="str">
        <f>IFERROR(P3/N3,"")</f>
        <v/>
      </c>
      <c r="R3" s="269"/>
      <c r="S3" s="269"/>
      <c r="T3" s="269"/>
      <c r="U3" s="269"/>
      <c r="V3" s="269"/>
      <c r="W3" s="269"/>
      <c r="X3" s="269"/>
      <c r="Y3" s="269"/>
      <c r="Z3" s="269"/>
      <c r="AA3" s="269"/>
      <c r="AB3" s="269"/>
      <c r="AC3" s="269"/>
      <c r="AD3" s="269"/>
      <c r="AE3" s="269"/>
      <c r="AF3" s="269"/>
      <c r="AG3" s="269"/>
      <c r="AH3" s="269"/>
      <c r="AI3" s="269"/>
      <c r="AJ3" s="269"/>
      <c r="AK3" s="269"/>
      <c r="AL3" s="269"/>
      <c r="AM3" s="269"/>
    </row>
    <row r="4" spans="1:39" s="245" customFormat="1" ht="38.25" x14ac:dyDescent="0.2">
      <c r="A4" s="292"/>
      <c r="B4" s="293" t="s">
        <v>801</v>
      </c>
      <c r="C4" s="294" t="s">
        <v>723</v>
      </c>
      <c r="D4" s="295" t="s">
        <v>724</v>
      </c>
      <c r="E4" s="294" t="s">
        <v>757</v>
      </c>
      <c r="F4" s="290" t="s">
        <v>752</v>
      </c>
      <c r="G4" s="297" t="s">
        <v>753</v>
      </c>
      <c r="H4" s="297" t="s">
        <v>732</v>
      </c>
      <c r="I4" s="297" t="s">
        <v>733</v>
      </c>
      <c r="J4" s="290" t="s">
        <v>734</v>
      </c>
      <c r="K4" s="290" t="s">
        <v>735</v>
      </c>
      <c r="L4" s="290" t="s">
        <v>736</v>
      </c>
      <c r="M4" s="290" t="s">
        <v>737</v>
      </c>
      <c r="N4" s="290" t="s">
        <v>738</v>
      </c>
      <c r="O4" s="290" t="s">
        <v>739</v>
      </c>
      <c r="P4" s="290" t="s">
        <v>740</v>
      </c>
      <c r="Q4" s="290" t="s">
        <v>741</v>
      </c>
      <c r="R4" s="292"/>
      <c r="S4" s="292"/>
      <c r="T4" s="292"/>
      <c r="U4" s="292"/>
      <c r="V4" s="292"/>
      <c r="W4" s="292"/>
      <c r="X4" s="292"/>
      <c r="Y4" s="292"/>
      <c r="Z4" s="292"/>
      <c r="AA4" s="292"/>
      <c r="AB4" s="292"/>
      <c r="AC4" s="292"/>
      <c r="AD4" s="292"/>
      <c r="AE4" s="292"/>
      <c r="AF4" s="292"/>
      <c r="AG4" s="292"/>
      <c r="AH4" s="292"/>
      <c r="AI4" s="292"/>
      <c r="AJ4" s="292"/>
      <c r="AK4" s="292"/>
      <c r="AL4" s="292"/>
      <c r="AM4" s="292"/>
    </row>
    <row r="5" spans="1:39" x14ac:dyDescent="0.2">
      <c r="A5" s="273"/>
      <c r="B5" s="307">
        <v>1</v>
      </c>
      <c r="C5" s="308" t="str">
        <f>IFERROR(INDEX(Table_Prescript_Meas[Measure Number], MATCH(E5, Table_Prescript_Meas[Measure Description], 0)), "")</f>
        <v/>
      </c>
      <c r="D5" s="317"/>
      <c r="E5" s="318"/>
      <c r="F5" s="308" t="str">
        <f>IFERROR(INDEX(Table_Prescript_Meas[Units], MATCH(Table_Controls_Input[[#This Row],[Measure number]], Table_Prescript_Meas[Measure Number], 0)), "")</f>
        <v/>
      </c>
      <c r="G5" s="309"/>
      <c r="H5" s="303"/>
      <c r="I5" s="303"/>
      <c r="J5"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310" t="str">
        <f>IFERROR(Table_Controls_Input[[#This Row],[Number of units]]*Table_Controls_Input[[#This Row],[Per-unit incentive]], "")</f>
        <v/>
      </c>
      <c r="L5" s="311" t="str">
        <f>IFERROR(Table_Controls_Input[[#This Row],[Number of units]]*INDEX(Table_Prescript_Meas[Deemed kWh Savings], MATCH(Table_Controls_Input[[#This Row],[Measure number]], Table_Prescript_Meas[Measure Number], 0)),"" )</f>
        <v/>
      </c>
      <c r="M5" s="312" t="str">
        <f>IFERROR(Table_Controls_Input[[#This Row],[Number of units]]*INDEX(Table_Prescript_Meas[Deemed kW Savings], MATCH(Table_Controls_Input[[#This Row],[Measure number]], Table_Prescript_Meas[Measure Number], 0)),"" )</f>
        <v/>
      </c>
      <c r="N5" s="310" t="str">
        <f t="shared" ref="N5" si="0">IFERROR(L5*Input_AvgkWhRate, "")</f>
        <v/>
      </c>
      <c r="O5" s="310" t="str">
        <f>IF(Table_Controls_Input[[#This Row],[Measure number]]="", "", Table_Controls_Input[[#This Row],[Total equipment cost]]+Table_Controls_Input[[#This Row],[Total labor cost]])</f>
        <v/>
      </c>
      <c r="P5" s="310" t="str">
        <f>IFERROR(Table_Controls_Input[[#This Row],[Gross measure cost]]-Table_Controls_Input[[#This Row],[Estimated incentive]], "")</f>
        <v/>
      </c>
      <c r="Q5" s="311" t="str">
        <f t="shared" ref="Q5:Q34" si="1">IFERROR($P5/$N5,"")</f>
        <v/>
      </c>
      <c r="R5" s="273"/>
      <c r="S5" s="273"/>
      <c r="T5" s="273"/>
      <c r="U5" s="273"/>
      <c r="V5" s="273"/>
      <c r="W5" s="273"/>
      <c r="X5" s="273"/>
      <c r="Y5" s="273"/>
      <c r="Z5" s="273"/>
      <c r="AA5" s="273"/>
      <c r="AB5" s="273"/>
      <c r="AC5" s="273"/>
      <c r="AD5" s="273"/>
      <c r="AE5" s="273"/>
      <c r="AF5" s="273"/>
      <c r="AG5" s="273"/>
      <c r="AH5" s="273"/>
      <c r="AI5" s="273"/>
      <c r="AJ5" s="273"/>
      <c r="AK5" s="273"/>
      <c r="AL5" s="273"/>
      <c r="AM5" s="273"/>
    </row>
    <row r="6" spans="1:39" x14ac:dyDescent="0.2">
      <c r="A6" s="273"/>
      <c r="B6" s="307">
        <v>2</v>
      </c>
      <c r="C6" s="308" t="str">
        <f>IFERROR(INDEX(Table_Prescript_Meas[Measure Number], MATCH(E6, Table_Prescript_Meas[Measure Description], 0)), "")</f>
        <v/>
      </c>
      <c r="D6" s="317"/>
      <c r="E6" s="318"/>
      <c r="F6" s="308" t="str">
        <f>IFERROR(INDEX(Table_Prescript_Meas[Units], MATCH(Table_Controls_Input[[#This Row],[Measure number]], Table_Prescript_Meas[Measure Number], 0)), "")</f>
        <v/>
      </c>
      <c r="G6" s="309"/>
      <c r="H6" s="303"/>
      <c r="I6" s="303"/>
      <c r="J6"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310" t="str">
        <f>IFERROR(Table_Controls_Input[[#This Row],[Number of units]]*Table_Controls_Input[[#This Row],[Per-unit incentive]], "")</f>
        <v/>
      </c>
      <c r="L6" s="311" t="str">
        <f>IFERROR(Table_Controls_Input[[#This Row],[Number of units]]*INDEX(Table_Prescript_Meas[Deemed kWh Savings], MATCH(Table_Controls_Input[[#This Row],[Measure number]], Table_Prescript_Meas[Measure Number], 0)),"" )</f>
        <v/>
      </c>
      <c r="M6" s="312" t="str">
        <f>IFERROR(Table_Controls_Input[[#This Row],[Number of units]]*INDEX(Table_Prescript_Meas[Deemed kW Savings], MATCH(Table_Controls_Input[[#This Row],[Measure number]], Table_Prescript_Meas[Measure Number], 0)),"" )</f>
        <v/>
      </c>
      <c r="N6" s="310" t="str">
        <f t="shared" ref="N6:N34" si="2">IFERROR(L6*Input_AvgkWhRate, "")</f>
        <v/>
      </c>
      <c r="O6" s="310" t="str">
        <f>IF(Table_Controls_Input[[#This Row],[Measure number]]="", "", Table_Controls_Input[[#This Row],[Total equipment cost]]+Table_Controls_Input[[#This Row],[Total labor cost]])</f>
        <v/>
      </c>
      <c r="P6" s="310" t="str">
        <f>IFERROR(Table_Controls_Input[[#This Row],[Gross measure cost]]-Table_Controls_Input[[#This Row],[Estimated incentive]], "")</f>
        <v/>
      </c>
      <c r="Q6" s="311" t="str">
        <f t="shared" si="1"/>
        <v/>
      </c>
      <c r="R6" s="273"/>
      <c r="S6" s="273"/>
      <c r="T6" s="273"/>
      <c r="U6" s="273"/>
      <c r="V6" s="273"/>
      <c r="W6" s="273"/>
      <c r="X6" s="273"/>
      <c r="Y6" s="273"/>
      <c r="Z6" s="273"/>
      <c r="AA6" s="273"/>
      <c r="AB6" s="273"/>
      <c r="AC6" s="273"/>
      <c r="AD6" s="273"/>
      <c r="AE6" s="273"/>
      <c r="AF6" s="273"/>
      <c r="AG6" s="273"/>
      <c r="AH6" s="273"/>
      <c r="AI6" s="273"/>
      <c r="AJ6" s="273"/>
      <c r="AK6" s="273"/>
      <c r="AL6" s="273"/>
      <c r="AM6" s="273"/>
    </row>
    <row r="7" spans="1:39" x14ac:dyDescent="0.2">
      <c r="A7" s="273"/>
      <c r="B7" s="307">
        <v>3</v>
      </c>
      <c r="C7" s="308" t="str">
        <f>IFERROR(INDEX(Table_Prescript_Meas[Measure Number], MATCH(E7, Table_Prescript_Meas[Measure Description], 0)), "")</f>
        <v/>
      </c>
      <c r="D7" s="317"/>
      <c r="E7" s="318"/>
      <c r="F7" s="308" t="str">
        <f>IFERROR(INDEX(Table_Prescript_Meas[Units], MATCH(Table_Controls_Input[[#This Row],[Measure number]], Table_Prescript_Meas[Measure Number], 0)), "")</f>
        <v/>
      </c>
      <c r="G7" s="309"/>
      <c r="H7" s="303"/>
      <c r="I7" s="303"/>
      <c r="J7"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310" t="str">
        <f>IFERROR(Table_Controls_Input[[#This Row],[Number of units]]*Table_Controls_Input[[#This Row],[Per-unit incentive]], "")</f>
        <v/>
      </c>
      <c r="L7" s="311" t="str">
        <f>IFERROR(Table_Controls_Input[[#This Row],[Number of units]]*INDEX(Table_Prescript_Meas[Deemed kWh Savings], MATCH(Table_Controls_Input[[#This Row],[Measure number]], Table_Prescript_Meas[Measure Number], 0)),"" )</f>
        <v/>
      </c>
      <c r="M7" s="312" t="str">
        <f>IFERROR(Table_Controls_Input[[#This Row],[Number of units]]*INDEX(Table_Prescript_Meas[Deemed kW Savings], MATCH(Table_Controls_Input[[#This Row],[Measure number]], Table_Prescript_Meas[Measure Number], 0)),"" )</f>
        <v/>
      </c>
      <c r="N7" s="310" t="str">
        <f t="shared" si="2"/>
        <v/>
      </c>
      <c r="O7" s="310" t="str">
        <f>IF(Table_Controls_Input[[#This Row],[Measure number]]="", "", Table_Controls_Input[[#This Row],[Total equipment cost]]+Table_Controls_Input[[#This Row],[Total labor cost]])</f>
        <v/>
      </c>
      <c r="P7" s="310" t="str">
        <f>IFERROR(Table_Controls_Input[[#This Row],[Gross measure cost]]-Table_Controls_Input[[#This Row],[Estimated incentive]], "")</f>
        <v/>
      </c>
      <c r="Q7" s="311" t="str">
        <f t="shared" si="1"/>
        <v/>
      </c>
      <c r="R7" s="273"/>
      <c r="S7" s="273"/>
      <c r="T7" s="273"/>
      <c r="U7" s="273"/>
      <c r="V7" s="273"/>
      <c r="W7" s="273"/>
      <c r="X7" s="273"/>
      <c r="Y7" s="273"/>
      <c r="Z7" s="273"/>
      <c r="AA7" s="273"/>
      <c r="AB7" s="273"/>
      <c r="AC7" s="273"/>
      <c r="AD7" s="273"/>
      <c r="AE7" s="273"/>
      <c r="AF7" s="273"/>
      <c r="AG7" s="273"/>
      <c r="AH7" s="273"/>
      <c r="AI7" s="273"/>
      <c r="AJ7" s="273"/>
      <c r="AK7" s="273"/>
      <c r="AL7" s="273"/>
      <c r="AM7" s="273"/>
    </row>
    <row r="8" spans="1:39" x14ac:dyDescent="0.2">
      <c r="A8" s="273"/>
      <c r="B8" s="307">
        <v>4</v>
      </c>
      <c r="C8" s="308" t="str">
        <f>IFERROR(INDEX(Table_Prescript_Meas[Measure Number], MATCH(E8, Table_Prescript_Meas[Measure Description], 0)), "")</f>
        <v/>
      </c>
      <c r="D8" s="317"/>
      <c r="E8" s="318"/>
      <c r="F8" s="308" t="str">
        <f>IFERROR(INDEX(Table_Prescript_Meas[Units], MATCH(Table_Controls_Input[[#This Row],[Measure number]], Table_Prescript_Meas[Measure Number], 0)), "")</f>
        <v/>
      </c>
      <c r="G8" s="309"/>
      <c r="H8" s="303"/>
      <c r="I8" s="303"/>
      <c r="J8"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310" t="str">
        <f>IFERROR(Table_Controls_Input[[#This Row],[Number of units]]*Table_Controls_Input[[#This Row],[Per-unit incentive]], "")</f>
        <v/>
      </c>
      <c r="L8" s="311" t="str">
        <f>IFERROR(Table_Controls_Input[[#This Row],[Number of units]]*INDEX(Table_Prescript_Meas[Deemed kWh Savings], MATCH(Table_Controls_Input[[#This Row],[Measure number]], Table_Prescript_Meas[Measure Number], 0)),"" )</f>
        <v/>
      </c>
      <c r="M8" s="312" t="str">
        <f>IFERROR(Table_Controls_Input[[#This Row],[Number of units]]*INDEX(Table_Prescript_Meas[Deemed kW Savings], MATCH(Table_Controls_Input[[#This Row],[Measure number]], Table_Prescript_Meas[Measure Number], 0)),"" )</f>
        <v/>
      </c>
      <c r="N8" s="310" t="str">
        <f t="shared" si="2"/>
        <v/>
      </c>
      <c r="O8" s="310" t="str">
        <f>IF(Table_Controls_Input[[#This Row],[Measure number]]="", "", Table_Controls_Input[[#This Row],[Total equipment cost]]+Table_Controls_Input[[#This Row],[Total labor cost]])</f>
        <v/>
      </c>
      <c r="P8" s="310" t="str">
        <f>IFERROR(Table_Controls_Input[[#This Row],[Gross measure cost]]-Table_Controls_Input[[#This Row],[Estimated incentive]], "")</f>
        <v/>
      </c>
      <c r="Q8" s="311" t="str">
        <f t="shared" si="1"/>
        <v/>
      </c>
      <c r="R8" s="273"/>
      <c r="S8" s="273"/>
      <c r="T8" s="273"/>
      <c r="U8" s="273"/>
      <c r="V8" s="273"/>
      <c r="W8" s="273"/>
      <c r="X8" s="273"/>
      <c r="Y8" s="273"/>
      <c r="Z8" s="273"/>
      <c r="AA8" s="273"/>
      <c r="AB8" s="273"/>
      <c r="AC8" s="273"/>
      <c r="AD8" s="273"/>
      <c r="AE8" s="273"/>
      <c r="AF8" s="273"/>
      <c r="AG8" s="273"/>
      <c r="AH8" s="273"/>
      <c r="AI8" s="273"/>
      <c r="AJ8" s="273"/>
      <c r="AK8" s="273"/>
      <c r="AL8" s="273"/>
      <c r="AM8" s="273"/>
    </row>
    <row r="9" spans="1:39" x14ac:dyDescent="0.2">
      <c r="A9" s="273"/>
      <c r="B9" s="307">
        <v>5</v>
      </c>
      <c r="C9" s="308" t="str">
        <f>IFERROR(INDEX(Table_Prescript_Meas[Measure Number], MATCH(E9, Table_Prescript_Meas[Measure Description], 0)), "")</f>
        <v/>
      </c>
      <c r="D9" s="317"/>
      <c r="E9" s="318"/>
      <c r="F9" s="308" t="str">
        <f>IFERROR(INDEX(Table_Prescript_Meas[Units], MATCH(Table_Controls_Input[[#This Row],[Measure number]], Table_Prescript_Meas[Measure Number], 0)), "")</f>
        <v/>
      </c>
      <c r="G9" s="309"/>
      <c r="H9" s="303"/>
      <c r="I9" s="303"/>
      <c r="J9"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310" t="str">
        <f>IFERROR(Table_Controls_Input[[#This Row],[Number of units]]*Table_Controls_Input[[#This Row],[Per-unit incentive]], "")</f>
        <v/>
      </c>
      <c r="L9" s="311" t="str">
        <f>IFERROR(Table_Controls_Input[[#This Row],[Number of units]]*INDEX(Table_Prescript_Meas[Deemed kWh Savings], MATCH(Table_Controls_Input[[#This Row],[Measure number]], Table_Prescript_Meas[Measure Number], 0)),"" )</f>
        <v/>
      </c>
      <c r="M9" s="312" t="str">
        <f>IFERROR(Table_Controls_Input[[#This Row],[Number of units]]*INDEX(Table_Prescript_Meas[Deemed kW Savings], MATCH(Table_Controls_Input[[#This Row],[Measure number]], Table_Prescript_Meas[Measure Number], 0)),"" )</f>
        <v/>
      </c>
      <c r="N9" s="310" t="str">
        <f t="shared" si="2"/>
        <v/>
      </c>
      <c r="O9" s="310" t="str">
        <f>IF(Table_Controls_Input[[#This Row],[Measure number]]="", "", Table_Controls_Input[[#This Row],[Total equipment cost]]+Table_Controls_Input[[#This Row],[Total labor cost]])</f>
        <v/>
      </c>
      <c r="P9" s="310" t="str">
        <f>IFERROR(Table_Controls_Input[[#This Row],[Gross measure cost]]-Table_Controls_Input[[#This Row],[Estimated incentive]], "")</f>
        <v/>
      </c>
      <c r="Q9" s="311" t="str">
        <f t="shared" si="1"/>
        <v/>
      </c>
      <c r="R9" s="273"/>
      <c r="S9" s="273"/>
      <c r="T9" s="273"/>
      <c r="U9" s="273"/>
      <c r="V9" s="273"/>
      <c r="W9" s="273"/>
      <c r="X9" s="273"/>
      <c r="Y9" s="273"/>
      <c r="Z9" s="273"/>
      <c r="AA9" s="273"/>
      <c r="AB9" s="273"/>
      <c r="AC9" s="273"/>
      <c r="AD9" s="273"/>
      <c r="AE9" s="273"/>
      <c r="AF9" s="273"/>
      <c r="AG9" s="273"/>
      <c r="AH9" s="273"/>
      <c r="AI9" s="273"/>
      <c r="AJ9" s="273"/>
      <c r="AK9" s="273"/>
      <c r="AL9" s="273"/>
      <c r="AM9" s="273"/>
    </row>
    <row r="10" spans="1:39" x14ac:dyDescent="0.2">
      <c r="A10" s="273"/>
      <c r="B10" s="307">
        <v>6</v>
      </c>
      <c r="C10" s="308" t="str">
        <f>IFERROR(INDEX(Table_Prescript_Meas[Measure Number], MATCH(E10, Table_Prescript_Meas[Measure Description], 0)), "")</f>
        <v/>
      </c>
      <c r="D10" s="317"/>
      <c r="E10" s="318"/>
      <c r="F10" s="308" t="str">
        <f>IFERROR(INDEX(Table_Prescript_Meas[Units], MATCH(Table_Controls_Input[[#This Row],[Measure number]], Table_Prescript_Meas[Measure Number], 0)), "")</f>
        <v/>
      </c>
      <c r="G10" s="309"/>
      <c r="H10" s="303"/>
      <c r="I10" s="303"/>
      <c r="J10"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310" t="str">
        <f>IFERROR(Table_Controls_Input[[#This Row],[Number of units]]*Table_Controls_Input[[#This Row],[Per-unit incentive]], "")</f>
        <v/>
      </c>
      <c r="L10" s="311" t="str">
        <f>IFERROR(Table_Controls_Input[[#This Row],[Number of units]]*INDEX(Table_Prescript_Meas[Deemed kWh Savings], MATCH(Table_Controls_Input[[#This Row],[Measure number]], Table_Prescript_Meas[Measure Number], 0)),"" )</f>
        <v/>
      </c>
      <c r="M10" s="312" t="str">
        <f>IFERROR(Table_Controls_Input[[#This Row],[Number of units]]*INDEX(Table_Prescript_Meas[Deemed kW Savings], MATCH(Table_Controls_Input[[#This Row],[Measure number]], Table_Prescript_Meas[Measure Number], 0)),"" )</f>
        <v/>
      </c>
      <c r="N10" s="310" t="str">
        <f t="shared" si="2"/>
        <v/>
      </c>
      <c r="O10" s="310" t="str">
        <f>IF(Table_Controls_Input[[#This Row],[Measure number]]="", "", Table_Controls_Input[[#This Row],[Total equipment cost]]+Table_Controls_Input[[#This Row],[Total labor cost]])</f>
        <v/>
      </c>
      <c r="P10" s="310" t="str">
        <f>IFERROR(Table_Controls_Input[[#This Row],[Gross measure cost]]-Table_Controls_Input[[#This Row],[Estimated incentive]], "")</f>
        <v/>
      </c>
      <c r="Q10" s="311" t="str">
        <f t="shared" si="1"/>
        <v/>
      </c>
      <c r="R10" s="273"/>
      <c r="S10" s="273"/>
      <c r="T10" s="273"/>
      <c r="U10" s="273"/>
      <c r="V10" s="273"/>
      <c r="W10" s="273"/>
      <c r="X10" s="273"/>
      <c r="Y10" s="273"/>
      <c r="Z10" s="273"/>
      <c r="AA10" s="273"/>
      <c r="AB10" s="273"/>
      <c r="AC10" s="273"/>
      <c r="AD10" s="273"/>
      <c r="AE10" s="273"/>
      <c r="AF10" s="273"/>
      <c r="AG10" s="273"/>
      <c r="AH10" s="273"/>
      <c r="AI10" s="273"/>
      <c r="AJ10" s="273"/>
      <c r="AK10" s="273"/>
      <c r="AL10" s="273"/>
      <c r="AM10" s="273"/>
    </row>
    <row r="11" spans="1:39" x14ac:dyDescent="0.2">
      <c r="A11" s="273"/>
      <c r="B11" s="307">
        <v>7</v>
      </c>
      <c r="C11" s="308" t="str">
        <f>IFERROR(INDEX(Table_Prescript_Meas[Measure Number], MATCH(E11, Table_Prescript_Meas[Measure Description], 0)), "")</f>
        <v/>
      </c>
      <c r="D11" s="317"/>
      <c r="E11" s="318"/>
      <c r="F11" s="308" t="str">
        <f>IFERROR(INDEX(Table_Prescript_Meas[Units], MATCH(Table_Controls_Input[[#This Row],[Measure number]], Table_Prescript_Meas[Measure Number], 0)), "")</f>
        <v/>
      </c>
      <c r="G11" s="309"/>
      <c r="H11" s="303"/>
      <c r="I11" s="303"/>
      <c r="J11"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310" t="str">
        <f>IFERROR(Table_Controls_Input[[#This Row],[Number of units]]*Table_Controls_Input[[#This Row],[Per-unit incentive]], "")</f>
        <v/>
      </c>
      <c r="L11" s="311" t="str">
        <f>IFERROR(Table_Controls_Input[[#This Row],[Number of units]]*INDEX(Table_Prescript_Meas[Deemed kWh Savings], MATCH(Table_Controls_Input[[#This Row],[Measure number]], Table_Prescript_Meas[Measure Number], 0)),"" )</f>
        <v/>
      </c>
      <c r="M11" s="312" t="str">
        <f>IFERROR(Table_Controls_Input[[#This Row],[Number of units]]*INDEX(Table_Prescript_Meas[Deemed kW Savings], MATCH(Table_Controls_Input[[#This Row],[Measure number]], Table_Prescript_Meas[Measure Number], 0)),"" )</f>
        <v/>
      </c>
      <c r="N11" s="310" t="str">
        <f t="shared" si="2"/>
        <v/>
      </c>
      <c r="O11" s="310" t="str">
        <f>IF(Table_Controls_Input[[#This Row],[Measure number]]="", "", Table_Controls_Input[[#This Row],[Total equipment cost]]+Table_Controls_Input[[#This Row],[Total labor cost]])</f>
        <v/>
      </c>
      <c r="P11" s="310" t="str">
        <f>IFERROR(Table_Controls_Input[[#This Row],[Gross measure cost]]-Table_Controls_Input[[#This Row],[Estimated incentive]], "")</f>
        <v/>
      </c>
      <c r="Q11" s="311" t="str">
        <f t="shared" si="1"/>
        <v/>
      </c>
      <c r="R11" s="273"/>
      <c r="S11" s="273"/>
      <c r="T11" s="273"/>
      <c r="U11" s="273"/>
      <c r="V11" s="273"/>
      <c r="W11" s="273"/>
      <c r="X11" s="273"/>
      <c r="Y11" s="273"/>
      <c r="Z11" s="273"/>
      <c r="AA11" s="273"/>
      <c r="AB11" s="273"/>
      <c r="AC11" s="273"/>
      <c r="AD11" s="273"/>
      <c r="AE11" s="273"/>
      <c r="AF11" s="273"/>
      <c r="AG11" s="273"/>
      <c r="AH11" s="273"/>
      <c r="AI11" s="273"/>
      <c r="AJ11" s="273"/>
      <c r="AK11" s="273"/>
      <c r="AL11" s="273"/>
      <c r="AM11" s="273"/>
    </row>
    <row r="12" spans="1:39" x14ac:dyDescent="0.2">
      <c r="A12" s="273"/>
      <c r="B12" s="307">
        <v>8</v>
      </c>
      <c r="C12" s="308" t="str">
        <f>IFERROR(INDEX(Table_Prescript_Meas[Measure Number], MATCH(E12, Table_Prescript_Meas[Measure Description], 0)), "")</f>
        <v/>
      </c>
      <c r="D12" s="317"/>
      <c r="E12" s="318"/>
      <c r="F12" s="308" t="str">
        <f>IFERROR(INDEX(Table_Prescript_Meas[Units], MATCH(Table_Controls_Input[[#This Row],[Measure number]], Table_Prescript_Meas[Measure Number], 0)), "")</f>
        <v/>
      </c>
      <c r="G12" s="309"/>
      <c r="H12" s="303"/>
      <c r="I12" s="303"/>
      <c r="J12"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310" t="str">
        <f>IFERROR(Table_Controls_Input[[#This Row],[Number of units]]*Table_Controls_Input[[#This Row],[Per-unit incentive]], "")</f>
        <v/>
      </c>
      <c r="L12" s="311" t="str">
        <f>IFERROR(Table_Controls_Input[[#This Row],[Number of units]]*INDEX(Table_Prescript_Meas[Deemed kWh Savings], MATCH(Table_Controls_Input[[#This Row],[Measure number]], Table_Prescript_Meas[Measure Number], 0)),"" )</f>
        <v/>
      </c>
      <c r="M12" s="312" t="str">
        <f>IFERROR(Table_Controls_Input[[#This Row],[Number of units]]*INDEX(Table_Prescript_Meas[Deemed kW Savings], MATCH(Table_Controls_Input[[#This Row],[Measure number]], Table_Prescript_Meas[Measure Number], 0)),"" )</f>
        <v/>
      </c>
      <c r="N12" s="310" t="str">
        <f t="shared" si="2"/>
        <v/>
      </c>
      <c r="O12" s="310" t="str">
        <f>IF(Table_Controls_Input[[#This Row],[Measure number]]="", "", Table_Controls_Input[[#This Row],[Total equipment cost]]+Table_Controls_Input[[#This Row],[Total labor cost]])</f>
        <v/>
      </c>
      <c r="P12" s="310" t="str">
        <f>IFERROR(Table_Controls_Input[[#This Row],[Gross measure cost]]-Table_Controls_Input[[#This Row],[Estimated incentive]], "")</f>
        <v/>
      </c>
      <c r="Q12" s="311" t="str">
        <f t="shared" si="1"/>
        <v/>
      </c>
      <c r="R12" s="273"/>
      <c r="S12" s="273"/>
      <c r="T12" s="273"/>
      <c r="U12" s="273"/>
      <c r="V12" s="273"/>
      <c r="W12" s="273"/>
      <c r="X12" s="273"/>
      <c r="Y12" s="273"/>
      <c r="Z12" s="273"/>
      <c r="AA12" s="273"/>
      <c r="AB12" s="273"/>
      <c r="AC12" s="273"/>
      <c r="AD12" s="273"/>
      <c r="AE12" s="273"/>
      <c r="AF12" s="273"/>
      <c r="AG12" s="273"/>
      <c r="AH12" s="273"/>
      <c r="AI12" s="273"/>
      <c r="AJ12" s="273"/>
      <c r="AK12" s="273"/>
      <c r="AL12" s="273"/>
      <c r="AM12" s="273"/>
    </row>
    <row r="13" spans="1:39" x14ac:dyDescent="0.2">
      <c r="A13" s="273"/>
      <c r="B13" s="307">
        <v>9</v>
      </c>
      <c r="C13" s="308" t="str">
        <f>IFERROR(INDEX(Table_Prescript_Meas[Measure Number], MATCH(E13, Table_Prescript_Meas[Measure Description], 0)), "")</f>
        <v/>
      </c>
      <c r="D13" s="317"/>
      <c r="E13" s="318"/>
      <c r="F13" s="308" t="str">
        <f>IFERROR(INDEX(Table_Prescript_Meas[Units], MATCH(Table_Controls_Input[[#This Row],[Measure number]], Table_Prescript_Meas[Measure Number], 0)), "")</f>
        <v/>
      </c>
      <c r="G13" s="309"/>
      <c r="H13" s="303"/>
      <c r="I13" s="303"/>
      <c r="J13"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310" t="str">
        <f>IFERROR(Table_Controls_Input[[#This Row],[Number of units]]*Table_Controls_Input[[#This Row],[Per-unit incentive]], "")</f>
        <v/>
      </c>
      <c r="L13" s="311" t="str">
        <f>IFERROR(Table_Controls_Input[[#This Row],[Number of units]]*INDEX(Table_Prescript_Meas[Deemed kWh Savings], MATCH(Table_Controls_Input[[#This Row],[Measure number]], Table_Prescript_Meas[Measure Number], 0)),"" )</f>
        <v/>
      </c>
      <c r="M13" s="312" t="str">
        <f>IFERROR(Table_Controls_Input[[#This Row],[Number of units]]*INDEX(Table_Prescript_Meas[Deemed kW Savings], MATCH(Table_Controls_Input[[#This Row],[Measure number]], Table_Prescript_Meas[Measure Number], 0)),"" )</f>
        <v/>
      </c>
      <c r="N13" s="310" t="str">
        <f t="shared" si="2"/>
        <v/>
      </c>
      <c r="O13" s="310" t="str">
        <f>IF(Table_Controls_Input[[#This Row],[Measure number]]="", "", Table_Controls_Input[[#This Row],[Total equipment cost]]+Table_Controls_Input[[#This Row],[Total labor cost]])</f>
        <v/>
      </c>
      <c r="P13" s="310" t="str">
        <f>IFERROR(Table_Controls_Input[[#This Row],[Gross measure cost]]-Table_Controls_Input[[#This Row],[Estimated incentive]], "")</f>
        <v/>
      </c>
      <c r="Q13" s="311" t="str">
        <f t="shared" si="1"/>
        <v/>
      </c>
      <c r="R13" s="273"/>
      <c r="S13" s="273"/>
      <c r="T13" s="273"/>
      <c r="U13" s="273"/>
      <c r="V13" s="273"/>
      <c r="W13" s="273"/>
      <c r="X13" s="273"/>
      <c r="Y13" s="273"/>
      <c r="Z13" s="273"/>
      <c r="AA13" s="273"/>
      <c r="AB13" s="273"/>
      <c r="AC13" s="273"/>
      <c r="AD13" s="273"/>
      <c r="AE13" s="273"/>
      <c r="AF13" s="273"/>
      <c r="AG13" s="273"/>
      <c r="AH13" s="273"/>
      <c r="AI13" s="273"/>
      <c r="AJ13" s="273"/>
      <c r="AK13" s="273"/>
      <c r="AL13" s="273"/>
      <c r="AM13" s="273"/>
    </row>
    <row r="14" spans="1:39" x14ac:dyDescent="0.2">
      <c r="A14" s="273"/>
      <c r="B14" s="307">
        <v>10</v>
      </c>
      <c r="C14" s="308" t="str">
        <f>IFERROR(INDEX(Table_Prescript_Meas[Measure Number], MATCH(E14, Table_Prescript_Meas[Measure Description], 0)), "")</f>
        <v/>
      </c>
      <c r="D14" s="317"/>
      <c r="E14" s="318"/>
      <c r="F14" s="308" t="str">
        <f>IFERROR(INDEX(Table_Prescript_Meas[Units], MATCH(Table_Controls_Input[[#This Row],[Measure number]], Table_Prescript_Meas[Measure Number], 0)), "")</f>
        <v/>
      </c>
      <c r="G14" s="309"/>
      <c r="H14" s="303"/>
      <c r="I14" s="303"/>
      <c r="J14"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310" t="str">
        <f>IFERROR(Table_Controls_Input[[#This Row],[Number of units]]*Table_Controls_Input[[#This Row],[Per-unit incentive]], "")</f>
        <v/>
      </c>
      <c r="L14" s="311" t="str">
        <f>IFERROR(Table_Controls_Input[[#This Row],[Number of units]]*INDEX(Table_Prescript_Meas[Deemed kWh Savings], MATCH(Table_Controls_Input[[#This Row],[Measure number]], Table_Prescript_Meas[Measure Number], 0)),"" )</f>
        <v/>
      </c>
      <c r="M14" s="312" t="str">
        <f>IFERROR(Table_Controls_Input[[#This Row],[Number of units]]*INDEX(Table_Prescript_Meas[Deemed kW Savings], MATCH(Table_Controls_Input[[#This Row],[Measure number]], Table_Prescript_Meas[Measure Number], 0)),"" )</f>
        <v/>
      </c>
      <c r="N14" s="310" t="str">
        <f t="shared" si="2"/>
        <v/>
      </c>
      <c r="O14" s="310" t="str">
        <f>IF(Table_Controls_Input[[#This Row],[Measure number]]="", "", Table_Controls_Input[[#This Row],[Total equipment cost]]+Table_Controls_Input[[#This Row],[Total labor cost]])</f>
        <v/>
      </c>
      <c r="P14" s="310" t="str">
        <f>IFERROR(Table_Controls_Input[[#This Row],[Gross measure cost]]-Table_Controls_Input[[#This Row],[Estimated incentive]], "")</f>
        <v/>
      </c>
      <c r="Q14" s="311" t="str">
        <f t="shared" si="1"/>
        <v/>
      </c>
      <c r="R14" s="273"/>
      <c r="S14" s="273"/>
      <c r="T14" s="273"/>
      <c r="U14" s="273"/>
      <c r="V14" s="273"/>
      <c r="W14" s="273"/>
      <c r="X14" s="273"/>
      <c r="Y14" s="273"/>
      <c r="Z14" s="273"/>
      <c r="AA14" s="273"/>
      <c r="AB14" s="273"/>
      <c r="AC14" s="273"/>
      <c r="AD14" s="273"/>
      <c r="AE14" s="273"/>
      <c r="AF14" s="273"/>
      <c r="AG14" s="273"/>
      <c r="AH14" s="273"/>
      <c r="AI14" s="273"/>
      <c r="AJ14" s="273"/>
      <c r="AK14" s="273"/>
      <c r="AL14" s="273"/>
      <c r="AM14" s="273"/>
    </row>
    <row r="15" spans="1:39" x14ac:dyDescent="0.2">
      <c r="A15" s="273"/>
      <c r="B15" s="307">
        <v>11</v>
      </c>
      <c r="C15" s="308" t="str">
        <f>IFERROR(INDEX(Table_Prescript_Meas[Measure Number], MATCH(E15, Table_Prescript_Meas[Measure Description], 0)), "")</f>
        <v/>
      </c>
      <c r="D15" s="317"/>
      <c r="E15" s="318"/>
      <c r="F15" s="308" t="str">
        <f>IFERROR(INDEX(Table_Prescript_Meas[Units], MATCH(Table_Controls_Input[[#This Row],[Measure number]], Table_Prescript_Meas[Measure Number], 0)), "")</f>
        <v/>
      </c>
      <c r="G15" s="309"/>
      <c r="H15" s="303"/>
      <c r="I15" s="303"/>
      <c r="J15"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310" t="str">
        <f>IFERROR(Table_Controls_Input[[#This Row],[Number of units]]*Table_Controls_Input[[#This Row],[Per-unit incentive]], "")</f>
        <v/>
      </c>
      <c r="L15" s="311" t="str">
        <f>IFERROR(Table_Controls_Input[[#This Row],[Number of units]]*INDEX(Table_Prescript_Meas[Deemed kWh Savings], MATCH(Table_Controls_Input[[#This Row],[Measure number]], Table_Prescript_Meas[Measure Number], 0)),"" )</f>
        <v/>
      </c>
      <c r="M15" s="312" t="str">
        <f>IFERROR(Table_Controls_Input[[#This Row],[Number of units]]*INDEX(Table_Prescript_Meas[Deemed kW Savings], MATCH(Table_Controls_Input[[#This Row],[Measure number]], Table_Prescript_Meas[Measure Number], 0)),"" )</f>
        <v/>
      </c>
      <c r="N15" s="310" t="str">
        <f t="shared" si="2"/>
        <v/>
      </c>
      <c r="O15" s="310" t="str">
        <f>IF(Table_Controls_Input[[#This Row],[Measure number]]="", "", Table_Controls_Input[[#This Row],[Total equipment cost]]+Table_Controls_Input[[#This Row],[Total labor cost]])</f>
        <v/>
      </c>
      <c r="P15" s="310" t="str">
        <f>IFERROR(Table_Controls_Input[[#This Row],[Gross measure cost]]-Table_Controls_Input[[#This Row],[Estimated incentive]], "")</f>
        <v/>
      </c>
      <c r="Q15" s="311" t="str">
        <f t="shared" si="1"/>
        <v/>
      </c>
      <c r="R15" s="273"/>
      <c r="S15" s="273"/>
      <c r="T15" s="273"/>
      <c r="U15" s="273"/>
      <c r="V15" s="273"/>
      <c r="W15" s="273"/>
      <c r="X15" s="273"/>
      <c r="Y15" s="273"/>
      <c r="Z15" s="273"/>
      <c r="AA15" s="273"/>
      <c r="AB15" s="273"/>
      <c r="AC15" s="273"/>
      <c r="AD15" s="273"/>
      <c r="AE15" s="273"/>
      <c r="AF15" s="273"/>
      <c r="AG15" s="273"/>
      <c r="AH15" s="273"/>
      <c r="AI15" s="273"/>
      <c r="AJ15" s="273"/>
      <c r="AK15" s="273"/>
      <c r="AL15" s="273"/>
      <c r="AM15" s="273"/>
    </row>
    <row r="16" spans="1:39" x14ac:dyDescent="0.2">
      <c r="A16" s="273"/>
      <c r="B16" s="307">
        <v>12</v>
      </c>
      <c r="C16" s="308" t="str">
        <f>IFERROR(INDEX(Table_Prescript_Meas[Measure Number], MATCH(E16, Table_Prescript_Meas[Measure Description], 0)), "")</f>
        <v/>
      </c>
      <c r="D16" s="317"/>
      <c r="E16" s="318"/>
      <c r="F16" s="308" t="str">
        <f>IFERROR(INDEX(Table_Prescript_Meas[Units], MATCH(Table_Controls_Input[[#This Row],[Measure number]], Table_Prescript_Meas[Measure Number], 0)), "")</f>
        <v/>
      </c>
      <c r="G16" s="309"/>
      <c r="H16" s="303"/>
      <c r="I16" s="303"/>
      <c r="J16"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310" t="str">
        <f>IFERROR(Table_Controls_Input[[#This Row],[Number of units]]*Table_Controls_Input[[#This Row],[Per-unit incentive]], "")</f>
        <v/>
      </c>
      <c r="L16" s="311" t="str">
        <f>IFERROR(Table_Controls_Input[[#This Row],[Number of units]]*INDEX(Table_Prescript_Meas[Deemed kWh Savings], MATCH(Table_Controls_Input[[#This Row],[Measure number]], Table_Prescript_Meas[Measure Number], 0)),"" )</f>
        <v/>
      </c>
      <c r="M16" s="312" t="str">
        <f>IFERROR(Table_Controls_Input[[#This Row],[Number of units]]*INDEX(Table_Prescript_Meas[Deemed kW Savings], MATCH(Table_Controls_Input[[#This Row],[Measure number]], Table_Prescript_Meas[Measure Number], 0)),"" )</f>
        <v/>
      </c>
      <c r="N16" s="310" t="str">
        <f t="shared" si="2"/>
        <v/>
      </c>
      <c r="O16" s="310" t="str">
        <f>IF(Table_Controls_Input[[#This Row],[Measure number]]="", "", Table_Controls_Input[[#This Row],[Total equipment cost]]+Table_Controls_Input[[#This Row],[Total labor cost]])</f>
        <v/>
      </c>
      <c r="P16" s="310" t="str">
        <f>IFERROR(Table_Controls_Input[[#This Row],[Gross measure cost]]-Table_Controls_Input[[#This Row],[Estimated incentive]], "")</f>
        <v/>
      </c>
      <c r="Q16" s="311" t="str">
        <f t="shared" si="1"/>
        <v/>
      </c>
      <c r="R16" s="273"/>
      <c r="S16" s="273"/>
      <c r="T16" s="273"/>
      <c r="U16" s="273"/>
      <c r="V16" s="273"/>
      <c r="W16" s="273"/>
      <c r="X16" s="273"/>
      <c r="Y16" s="273"/>
      <c r="Z16" s="273"/>
      <c r="AA16" s="273"/>
      <c r="AB16" s="273"/>
      <c r="AC16" s="273"/>
      <c r="AD16" s="273"/>
      <c r="AE16" s="273"/>
      <c r="AF16" s="273"/>
      <c r="AG16" s="273"/>
      <c r="AH16" s="273"/>
      <c r="AI16" s="273"/>
      <c r="AJ16" s="273"/>
      <c r="AK16" s="273"/>
      <c r="AL16" s="273"/>
      <c r="AM16" s="273"/>
    </row>
    <row r="17" spans="1:39" x14ac:dyDescent="0.2">
      <c r="A17" s="273"/>
      <c r="B17" s="307">
        <v>13</v>
      </c>
      <c r="C17" s="308" t="str">
        <f>IFERROR(INDEX(Table_Prescript_Meas[Measure Number], MATCH(E17, Table_Prescript_Meas[Measure Description], 0)), "")</f>
        <v/>
      </c>
      <c r="D17" s="317"/>
      <c r="E17" s="318"/>
      <c r="F17" s="308" t="str">
        <f>IFERROR(INDEX(Table_Prescript_Meas[Units], MATCH(Table_Controls_Input[[#This Row],[Measure number]], Table_Prescript_Meas[Measure Number], 0)), "")</f>
        <v/>
      </c>
      <c r="G17" s="309"/>
      <c r="H17" s="303"/>
      <c r="I17" s="303"/>
      <c r="J17"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310" t="str">
        <f>IFERROR(Table_Controls_Input[[#This Row],[Number of units]]*Table_Controls_Input[[#This Row],[Per-unit incentive]], "")</f>
        <v/>
      </c>
      <c r="L17" s="311" t="str">
        <f>IFERROR(Table_Controls_Input[[#This Row],[Number of units]]*INDEX(Table_Prescript_Meas[Deemed kWh Savings], MATCH(Table_Controls_Input[[#This Row],[Measure number]], Table_Prescript_Meas[Measure Number], 0)),"" )</f>
        <v/>
      </c>
      <c r="M17" s="312" t="str">
        <f>IFERROR(Table_Controls_Input[[#This Row],[Number of units]]*INDEX(Table_Prescript_Meas[Deemed kW Savings], MATCH(Table_Controls_Input[[#This Row],[Measure number]], Table_Prescript_Meas[Measure Number], 0)),"" )</f>
        <v/>
      </c>
      <c r="N17" s="310" t="str">
        <f t="shared" si="2"/>
        <v/>
      </c>
      <c r="O17" s="310" t="str">
        <f>IF(Table_Controls_Input[[#This Row],[Measure number]]="", "", Table_Controls_Input[[#This Row],[Total equipment cost]]+Table_Controls_Input[[#This Row],[Total labor cost]])</f>
        <v/>
      </c>
      <c r="P17" s="310" t="str">
        <f>IFERROR(Table_Controls_Input[[#This Row],[Gross measure cost]]-Table_Controls_Input[[#This Row],[Estimated incentive]], "")</f>
        <v/>
      </c>
      <c r="Q17" s="311" t="str">
        <f t="shared" si="1"/>
        <v/>
      </c>
      <c r="R17" s="273"/>
      <c r="S17" s="273"/>
      <c r="T17" s="273"/>
      <c r="U17" s="273"/>
      <c r="V17" s="273"/>
      <c r="W17" s="273"/>
      <c r="X17" s="273"/>
      <c r="Y17" s="273"/>
      <c r="Z17" s="273"/>
      <c r="AA17" s="273"/>
      <c r="AB17" s="273"/>
      <c r="AC17" s="273"/>
      <c r="AD17" s="273"/>
      <c r="AE17" s="273"/>
      <c r="AF17" s="273"/>
      <c r="AG17" s="273"/>
      <c r="AH17" s="273"/>
      <c r="AI17" s="273"/>
      <c r="AJ17" s="273"/>
      <c r="AK17" s="273"/>
      <c r="AL17" s="273"/>
      <c r="AM17" s="273"/>
    </row>
    <row r="18" spans="1:39" x14ac:dyDescent="0.2">
      <c r="A18" s="273"/>
      <c r="B18" s="307">
        <v>14</v>
      </c>
      <c r="C18" s="308" t="str">
        <f>IFERROR(INDEX(Table_Prescript_Meas[Measure Number], MATCH(E18, Table_Prescript_Meas[Measure Description], 0)), "")</f>
        <v/>
      </c>
      <c r="D18" s="317"/>
      <c r="E18" s="318"/>
      <c r="F18" s="308" t="str">
        <f>IFERROR(INDEX(Table_Prescript_Meas[Units], MATCH(Table_Controls_Input[[#This Row],[Measure number]], Table_Prescript_Meas[Measure Number], 0)), "")</f>
        <v/>
      </c>
      <c r="G18" s="309"/>
      <c r="H18" s="303"/>
      <c r="I18" s="303"/>
      <c r="J18"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310" t="str">
        <f>IFERROR(Table_Controls_Input[[#This Row],[Number of units]]*Table_Controls_Input[[#This Row],[Per-unit incentive]], "")</f>
        <v/>
      </c>
      <c r="L18" s="311" t="str">
        <f>IFERROR(Table_Controls_Input[[#This Row],[Number of units]]*INDEX(Table_Prescript_Meas[Deemed kWh Savings], MATCH(Table_Controls_Input[[#This Row],[Measure number]], Table_Prescript_Meas[Measure Number], 0)),"" )</f>
        <v/>
      </c>
      <c r="M18" s="312" t="str">
        <f>IFERROR(Table_Controls_Input[[#This Row],[Number of units]]*INDEX(Table_Prescript_Meas[Deemed kW Savings], MATCH(Table_Controls_Input[[#This Row],[Measure number]], Table_Prescript_Meas[Measure Number], 0)),"" )</f>
        <v/>
      </c>
      <c r="N18" s="310" t="str">
        <f t="shared" si="2"/>
        <v/>
      </c>
      <c r="O18" s="310" t="str">
        <f>IF(Table_Controls_Input[[#This Row],[Measure number]]="", "", Table_Controls_Input[[#This Row],[Total equipment cost]]+Table_Controls_Input[[#This Row],[Total labor cost]])</f>
        <v/>
      </c>
      <c r="P18" s="310" t="str">
        <f>IFERROR(Table_Controls_Input[[#This Row],[Gross measure cost]]-Table_Controls_Input[[#This Row],[Estimated incentive]], "")</f>
        <v/>
      </c>
      <c r="Q18" s="311" t="str">
        <f t="shared" si="1"/>
        <v/>
      </c>
      <c r="R18" s="273"/>
      <c r="S18" s="273"/>
      <c r="T18" s="273"/>
      <c r="U18" s="273"/>
      <c r="V18" s="273"/>
      <c r="W18" s="273"/>
      <c r="X18" s="273"/>
      <c r="Y18" s="273"/>
      <c r="Z18" s="273"/>
      <c r="AA18" s="273"/>
      <c r="AB18" s="273"/>
      <c r="AC18" s="273"/>
      <c r="AD18" s="273"/>
      <c r="AE18" s="273"/>
      <c r="AF18" s="273"/>
      <c r="AG18" s="273"/>
      <c r="AH18" s="273"/>
      <c r="AI18" s="273"/>
      <c r="AJ18" s="273"/>
      <c r="AK18" s="273"/>
      <c r="AL18" s="273"/>
      <c r="AM18" s="273"/>
    </row>
    <row r="19" spans="1:39" x14ac:dyDescent="0.2">
      <c r="A19" s="273"/>
      <c r="B19" s="307">
        <v>15</v>
      </c>
      <c r="C19" s="308" t="str">
        <f>IFERROR(INDEX(Table_Prescript_Meas[Measure Number], MATCH(E19, Table_Prescript_Meas[Measure Description], 0)), "")</f>
        <v/>
      </c>
      <c r="D19" s="317"/>
      <c r="E19" s="318"/>
      <c r="F19" s="308" t="str">
        <f>IFERROR(INDEX(Table_Prescript_Meas[Units], MATCH(Table_Controls_Input[[#This Row],[Measure number]], Table_Prescript_Meas[Measure Number], 0)), "")</f>
        <v/>
      </c>
      <c r="G19" s="309"/>
      <c r="H19" s="303"/>
      <c r="I19" s="303"/>
      <c r="J19"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310" t="str">
        <f>IFERROR(Table_Controls_Input[[#This Row],[Number of units]]*Table_Controls_Input[[#This Row],[Per-unit incentive]], "")</f>
        <v/>
      </c>
      <c r="L19" s="311" t="str">
        <f>IFERROR(Table_Controls_Input[[#This Row],[Number of units]]*INDEX(Table_Prescript_Meas[Deemed kWh Savings], MATCH(Table_Controls_Input[[#This Row],[Measure number]], Table_Prescript_Meas[Measure Number], 0)),"" )</f>
        <v/>
      </c>
      <c r="M19" s="312" t="str">
        <f>IFERROR(Table_Controls_Input[[#This Row],[Number of units]]*INDEX(Table_Prescript_Meas[Deemed kW Savings], MATCH(Table_Controls_Input[[#This Row],[Measure number]], Table_Prescript_Meas[Measure Number], 0)),"" )</f>
        <v/>
      </c>
      <c r="N19" s="310" t="str">
        <f t="shared" si="2"/>
        <v/>
      </c>
      <c r="O19" s="310" t="str">
        <f>IF(Table_Controls_Input[[#This Row],[Measure number]]="", "", Table_Controls_Input[[#This Row],[Total equipment cost]]+Table_Controls_Input[[#This Row],[Total labor cost]])</f>
        <v/>
      </c>
      <c r="P19" s="310" t="str">
        <f>IFERROR(Table_Controls_Input[[#This Row],[Gross measure cost]]-Table_Controls_Input[[#This Row],[Estimated incentive]], "")</f>
        <v/>
      </c>
      <c r="Q19" s="311" t="str">
        <f t="shared" si="1"/>
        <v/>
      </c>
      <c r="R19" s="273"/>
      <c r="S19" s="273"/>
      <c r="T19" s="273"/>
      <c r="U19" s="273"/>
      <c r="V19" s="273"/>
      <c r="W19" s="273"/>
      <c r="X19" s="273"/>
      <c r="Y19" s="273"/>
      <c r="Z19" s="273"/>
      <c r="AA19" s="273"/>
      <c r="AB19" s="273"/>
      <c r="AC19" s="273"/>
      <c r="AD19" s="273"/>
      <c r="AE19" s="273"/>
      <c r="AF19" s="273"/>
      <c r="AG19" s="273"/>
      <c r="AH19" s="273"/>
      <c r="AI19" s="273"/>
      <c r="AJ19" s="273"/>
      <c r="AK19" s="273"/>
      <c r="AL19" s="273"/>
      <c r="AM19" s="273"/>
    </row>
    <row r="20" spans="1:39" x14ac:dyDescent="0.2">
      <c r="A20" s="273"/>
      <c r="B20" s="307">
        <v>16</v>
      </c>
      <c r="C20" s="308" t="str">
        <f>IFERROR(INDEX(Table_Prescript_Meas[Measure Number], MATCH(E20, Table_Prescript_Meas[Measure Description], 0)), "")</f>
        <v/>
      </c>
      <c r="D20" s="317"/>
      <c r="E20" s="318"/>
      <c r="F20" s="308" t="str">
        <f>IFERROR(INDEX(Table_Prescript_Meas[Units], MATCH(Table_Controls_Input[[#This Row],[Measure number]], Table_Prescript_Meas[Measure Number], 0)), "")</f>
        <v/>
      </c>
      <c r="G20" s="309"/>
      <c r="H20" s="303"/>
      <c r="I20" s="303"/>
      <c r="J20"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310" t="str">
        <f>IFERROR(Table_Controls_Input[[#This Row],[Number of units]]*Table_Controls_Input[[#This Row],[Per-unit incentive]], "")</f>
        <v/>
      </c>
      <c r="L20" s="311" t="str">
        <f>IFERROR(Table_Controls_Input[[#This Row],[Number of units]]*INDEX(Table_Prescript_Meas[Deemed kWh Savings], MATCH(Table_Controls_Input[[#This Row],[Measure number]], Table_Prescript_Meas[Measure Number], 0)),"" )</f>
        <v/>
      </c>
      <c r="M20" s="312" t="str">
        <f>IFERROR(Table_Controls_Input[[#This Row],[Number of units]]*INDEX(Table_Prescript_Meas[Deemed kW Savings], MATCH(Table_Controls_Input[[#This Row],[Measure number]], Table_Prescript_Meas[Measure Number], 0)),"" )</f>
        <v/>
      </c>
      <c r="N20" s="310" t="str">
        <f t="shared" si="2"/>
        <v/>
      </c>
      <c r="O20" s="310" t="str">
        <f>IF(Table_Controls_Input[[#This Row],[Measure number]]="", "", Table_Controls_Input[[#This Row],[Total equipment cost]]+Table_Controls_Input[[#This Row],[Total labor cost]])</f>
        <v/>
      </c>
      <c r="P20" s="310" t="str">
        <f>IFERROR(Table_Controls_Input[[#This Row],[Gross measure cost]]-Table_Controls_Input[[#This Row],[Estimated incentive]], "")</f>
        <v/>
      </c>
      <c r="Q20" s="311" t="str">
        <f t="shared" si="1"/>
        <v/>
      </c>
      <c r="R20" s="273"/>
      <c r="S20" s="273"/>
      <c r="T20" s="273"/>
      <c r="U20" s="273"/>
      <c r="V20" s="273"/>
      <c r="W20" s="273"/>
      <c r="X20" s="273"/>
      <c r="Y20" s="273"/>
      <c r="Z20" s="273"/>
      <c r="AA20" s="273"/>
      <c r="AB20" s="273"/>
      <c r="AC20" s="273"/>
      <c r="AD20" s="273"/>
      <c r="AE20" s="273"/>
      <c r="AF20" s="273"/>
      <c r="AG20" s="273"/>
      <c r="AH20" s="273"/>
      <c r="AI20" s="273"/>
      <c r="AJ20" s="273"/>
      <c r="AK20" s="273"/>
      <c r="AL20" s="273"/>
      <c r="AM20" s="273"/>
    </row>
    <row r="21" spans="1:39" x14ac:dyDescent="0.2">
      <c r="A21" s="273"/>
      <c r="B21" s="307">
        <v>17</v>
      </c>
      <c r="C21" s="308" t="str">
        <f>IFERROR(INDEX(Table_Prescript_Meas[Measure Number], MATCH(E21, Table_Prescript_Meas[Measure Description], 0)), "")</f>
        <v/>
      </c>
      <c r="D21" s="317"/>
      <c r="E21" s="318"/>
      <c r="F21" s="308" t="str">
        <f>IFERROR(INDEX(Table_Prescript_Meas[Units], MATCH(Table_Controls_Input[[#This Row],[Measure number]], Table_Prescript_Meas[Measure Number], 0)), "")</f>
        <v/>
      </c>
      <c r="G21" s="309"/>
      <c r="H21" s="303"/>
      <c r="I21" s="303"/>
      <c r="J21"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310" t="str">
        <f>IFERROR(Table_Controls_Input[[#This Row],[Number of units]]*Table_Controls_Input[[#This Row],[Per-unit incentive]], "")</f>
        <v/>
      </c>
      <c r="L21" s="311" t="str">
        <f>IFERROR(Table_Controls_Input[[#This Row],[Number of units]]*INDEX(Table_Prescript_Meas[Deemed kWh Savings], MATCH(Table_Controls_Input[[#This Row],[Measure number]], Table_Prescript_Meas[Measure Number], 0)),"" )</f>
        <v/>
      </c>
      <c r="M21" s="312" t="str">
        <f>IFERROR(Table_Controls_Input[[#This Row],[Number of units]]*INDEX(Table_Prescript_Meas[Deemed kW Savings], MATCH(Table_Controls_Input[[#This Row],[Measure number]], Table_Prescript_Meas[Measure Number], 0)),"" )</f>
        <v/>
      </c>
      <c r="N21" s="310" t="str">
        <f t="shared" si="2"/>
        <v/>
      </c>
      <c r="O21" s="310" t="str">
        <f>IF(Table_Controls_Input[[#This Row],[Measure number]]="", "", Table_Controls_Input[[#This Row],[Total equipment cost]]+Table_Controls_Input[[#This Row],[Total labor cost]])</f>
        <v/>
      </c>
      <c r="P21" s="310" t="str">
        <f>IFERROR(Table_Controls_Input[[#This Row],[Gross measure cost]]-Table_Controls_Input[[#This Row],[Estimated incentive]], "")</f>
        <v/>
      </c>
      <c r="Q21" s="311" t="str">
        <f t="shared" si="1"/>
        <v/>
      </c>
      <c r="R21" s="273"/>
      <c r="S21" s="273"/>
      <c r="T21" s="273"/>
      <c r="U21" s="273"/>
      <c r="V21" s="273"/>
      <c r="W21" s="273"/>
      <c r="X21" s="273"/>
      <c r="Y21" s="273"/>
      <c r="Z21" s="273"/>
      <c r="AA21" s="273"/>
      <c r="AB21" s="273"/>
      <c r="AC21" s="273"/>
      <c r="AD21" s="273"/>
      <c r="AE21" s="273"/>
      <c r="AF21" s="273"/>
      <c r="AG21" s="273"/>
      <c r="AH21" s="273"/>
      <c r="AI21" s="273"/>
      <c r="AJ21" s="273"/>
      <c r="AK21" s="273"/>
      <c r="AL21" s="273"/>
      <c r="AM21" s="273"/>
    </row>
    <row r="22" spans="1:39" x14ac:dyDescent="0.2">
      <c r="A22" s="273"/>
      <c r="B22" s="307">
        <v>18</v>
      </c>
      <c r="C22" s="308" t="str">
        <f>IFERROR(INDEX(Table_Prescript_Meas[Measure Number], MATCH(E22, Table_Prescript_Meas[Measure Description], 0)), "")</f>
        <v/>
      </c>
      <c r="D22" s="317"/>
      <c r="E22" s="318"/>
      <c r="F22" s="308" t="str">
        <f>IFERROR(INDEX(Table_Prescript_Meas[Units], MATCH(Table_Controls_Input[[#This Row],[Measure number]], Table_Prescript_Meas[Measure Number], 0)), "")</f>
        <v/>
      </c>
      <c r="G22" s="309"/>
      <c r="H22" s="303"/>
      <c r="I22" s="303"/>
      <c r="J22"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310" t="str">
        <f>IFERROR(Table_Controls_Input[[#This Row],[Number of units]]*Table_Controls_Input[[#This Row],[Per-unit incentive]], "")</f>
        <v/>
      </c>
      <c r="L22" s="311" t="str">
        <f>IFERROR(Table_Controls_Input[[#This Row],[Number of units]]*INDEX(Table_Prescript_Meas[Deemed kWh Savings], MATCH(Table_Controls_Input[[#This Row],[Measure number]], Table_Prescript_Meas[Measure Number], 0)),"" )</f>
        <v/>
      </c>
      <c r="M22" s="312" t="str">
        <f>IFERROR(Table_Controls_Input[[#This Row],[Number of units]]*INDEX(Table_Prescript_Meas[Deemed kW Savings], MATCH(Table_Controls_Input[[#This Row],[Measure number]], Table_Prescript_Meas[Measure Number], 0)),"" )</f>
        <v/>
      </c>
      <c r="N22" s="310" t="str">
        <f t="shared" si="2"/>
        <v/>
      </c>
      <c r="O22" s="310" t="str">
        <f>IF(Table_Controls_Input[[#This Row],[Measure number]]="", "", Table_Controls_Input[[#This Row],[Total equipment cost]]+Table_Controls_Input[[#This Row],[Total labor cost]])</f>
        <v/>
      </c>
      <c r="P22" s="310" t="str">
        <f>IFERROR(Table_Controls_Input[[#This Row],[Gross measure cost]]-Table_Controls_Input[[#This Row],[Estimated incentive]], "")</f>
        <v/>
      </c>
      <c r="Q22" s="311" t="str">
        <f t="shared" si="1"/>
        <v/>
      </c>
      <c r="R22" s="273"/>
      <c r="S22" s="273"/>
      <c r="T22" s="273"/>
      <c r="U22" s="273"/>
      <c r="V22" s="273"/>
      <c r="W22" s="273"/>
      <c r="X22" s="273"/>
      <c r="Y22" s="273"/>
      <c r="Z22" s="273"/>
      <c r="AA22" s="273"/>
      <c r="AB22" s="273"/>
      <c r="AC22" s="273"/>
      <c r="AD22" s="273"/>
      <c r="AE22" s="273"/>
      <c r="AF22" s="273"/>
      <c r="AG22" s="273"/>
      <c r="AH22" s="273"/>
      <c r="AI22" s="273"/>
      <c r="AJ22" s="273"/>
      <c r="AK22" s="273"/>
      <c r="AL22" s="273"/>
      <c r="AM22" s="273"/>
    </row>
    <row r="23" spans="1:39" x14ac:dyDescent="0.2">
      <c r="A23" s="273"/>
      <c r="B23" s="307">
        <v>19</v>
      </c>
      <c r="C23" s="308" t="str">
        <f>IFERROR(INDEX(Table_Prescript_Meas[Measure Number], MATCH(E23, Table_Prescript_Meas[Measure Description], 0)), "")</f>
        <v/>
      </c>
      <c r="D23" s="317"/>
      <c r="E23" s="318"/>
      <c r="F23" s="308" t="str">
        <f>IFERROR(INDEX(Table_Prescript_Meas[Units], MATCH(Table_Controls_Input[[#This Row],[Measure number]], Table_Prescript_Meas[Measure Number], 0)), "")</f>
        <v/>
      </c>
      <c r="G23" s="309"/>
      <c r="H23" s="303"/>
      <c r="I23" s="303"/>
      <c r="J23"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310" t="str">
        <f>IFERROR(Table_Controls_Input[[#This Row],[Number of units]]*Table_Controls_Input[[#This Row],[Per-unit incentive]], "")</f>
        <v/>
      </c>
      <c r="L23" s="311" t="str">
        <f>IFERROR(Table_Controls_Input[[#This Row],[Number of units]]*INDEX(Table_Prescript_Meas[Deemed kWh Savings], MATCH(Table_Controls_Input[[#This Row],[Measure number]], Table_Prescript_Meas[Measure Number], 0)),"" )</f>
        <v/>
      </c>
      <c r="M23" s="312" t="str">
        <f>IFERROR(Table_Controls_Input[[#This Row],[Number of units]]*INDEX(Table_Prescript_Meas[Deemed kW Savings], MATCH(Table_Controls_Input[[#This Row],[Measure number]], Table_Prescript_Meas[Measure Number], 0)),"" )</f>
        <v/>
      </c>
      <c r="N23" s="310" t="str">
        <f t="shared" si="2"/>
        <v/>
      </c>
      <c r="O23" s="310" t="str">
        <f>IF(Table_Controls_Input[[#This Row],[Measure number]]="", "", Table_Controls_Input[[#This Row],[Total equipment cost]]+Table_Controls_Input[[#This Row],[Total labor cost]])</f>
        <v/>
      </c>
      <c r="P23" s="310" t="str">
        <f>IFERROR(Table_Controls_Input[[#This Row],[Gross measure cost]]-Table_Controls_Input[[#This Row],[Estimated incentive]], "")</f>
        <v/>
      </c>
      <c r="Q23" s="311" t="str">
        <f t="shared" si="1"/>
        <v/>
      </c>
      <c r="R23" s="273"/>
      <c r="S23" s="273"/>
      <c r="T23" s="273"/>
      <c r="U23" s="273"/>
      <c r="V23" s="273"/>
      <c r="W23" s="273"/>
      <c r="X23" s="273"/>
      <c r="Y23" s="273"/>
      <c r="Z23" s="273"/>
      <c r="AA23" s="273"/>
      <c r="AB23" s="273"/>
      <c r="AC23" s="273"/>
      <c r="AD23" s="273"/>
      <c r="AE23" s="273"/>
      <c r="AF23" s="273"/>
      <c r="AG23" s="273"/>
      <c r="AH23" s="273"/>
      <c r="AI23" s="273"/>
      <c r="AJ23" s="273"/>
      <c r="AK23" s="273"/>
      <c r="AL23" s="273"/>
      <c r="AM23" s="273"/>
    </row>
    <row r="24" spans="1:39" x14ac:dyDescent="0.2">
      <c r="A24" s="273"/>
      <c r="B24" s="307">
        <v>20</v>
      </c>
      <c r="C24" s="308" t="str">
        <f>IFERROR(INDEX(Table_Prescript_Meas[Measure Number], MATCH(E24, Table_Prescript_Meas[Measure Description], 0)), "")</f>
        <v/>
      </c>
      <c r="D24" s="317"/>
      <c r="E24" s="318"/>
      <c r="F24" s="308" t="str">
        <f>IFERROR(INDEX(Table_Prescript_Meas[Units], MATCH(Table_Controls_Input[[#This Row],[Measure number]], Table_Prescript_Meas[Measure Number], 0)), "")</f>
        <v/>
      </c>
      <c r="G24" s="309"/>
      <c r="H24" s="303"/>
      <c r="I24" s="303"/>
      <c r="J24"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310" t="str">
        <f>IFERROR(Table_Controls_Input[[#This Row],[Number of units]]*Table_Controls_Input[[#This Row],[Per-unit incentive]], "")</f>
        <v/>
      </c>
      <c r="L24" s="311" t="str">
        <f>IFERROR(Table_Controls_Input[[#This Row],[Number of units]]*INDEX(Table_Prescript_Meas[Deemed kWh Savings], MATCH(Table_Controls_Input[[#This Row],[Measure number]], Table_Prescript_Meas[Measure Number], 0)),"" )</f>
        <v/>
      </c>
      <c r="M24" s="312" t="str">
        <f>IFERROR(Table_Controls_Input[[#This Row],[Number of units]]*INDEX(Table_Prescript_Meas[Deemed kW Savings], MATCH(Table_Controls_Input[[#This Row],[Measure number]], Table_Prescript_Meas[Measure Number], 0)),"" )</f>
        <v/>
      </c>
      <c r="N24" s="310" t="str">
        <f t="shared" si="2"/>
        <v/>
      </c>
      <c r="O24" s="310" t="str">
        <f>IF(Table_Controls_Input[[#This Row],[Measure number]]="", "", Table_Controls_Input[[#This Row],[Total equipment cost]]+Table_Controls_Input[[#This Row],[Total labor cost]])</f>
        <v/>
      </c>
      <c r="P24" s="310" t="str">
        <f>IFERROR(Table_Controls_Input[[#This Row],[Gross measure cost]]-Table_Controls_Input[[#This Row],[Estimated incentive]], "")</f>
        <v/>
      </c>
      <c r="Q24" s="311" t="str">
        <f t="shared" si="1"/>
        <v/>
      </c>
      <c r="R24" s="273"/>
      <c r="S24" s="273"/>
      <c r="T24" s="273"/>
      <c r="U24" s="273"/>
      <c r="V24" s="273"/>
      <c r="W24" s="273"/>
      <c r="X24" s="273"/>
      <c r="Y24" s="273"/>
      <c r="Z24" s="273"/>
      <c r="AA24" s="273"/>
      <c r="AB24" s="273"/>
      <c r="AC24" s="273"/>
      <c r="AD24" s="273"/>
      <c r="AE24" s="273"/>
      <c r="AF24" s="273"/>
      <c r="AG24" s="273"/>
      <c r="AH24" s="273"/>
      <c r="AI24" s="273"/>
      <c r="AJ24" s="273"/>
      <c r="AK24" s="273"/>
      <c r="AL24" s="273"/>
      <c r="AM24" s="273"/>
    </row>
    <row r="25" spans="1:39" x14ac:dyDescent="0.2">
      <c r="A25" s="273"/>
      <c r="B25" s="307">
        <v>21</v>
      </c>
      <c r="C25" s="308" t="str">
        <f>IFERROR(INDEX(Table_Prescript_Meas[Measure Number], MATCH(E25, Table_Prescript_Meas[Measure Description], 0)), "")</f>
        <v/>
      </c>
      <c r="D25" s="317"/>
      <c r="E25" s="318"/>
      <c r="F25" s="308" t="str">
        <f>IFERROR(INDEX(Table_Prescript_Meas[Units], MATCH(Table_Controls_Input[[#This Row],[Measure number]], Table_Prescript_Meas[Measure Number], 0)), "")</f>
        <v/>
      </c>
      <c r="G25" s="309"/>
      <c r="H25" s="303"/>
      <c r="I25" s="303"/>
      <c r="J25"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310" t="str">
        <f>IFERROR(Table_Controls_Input[[#This Row],[Number of units]]*Table_Controls_Input[[#This Row],[Per-unit incentive]], "")</f>
        <v/>
      </c>
      <c r="L25" s="311" t="str">
        <f>IFERROR(Table_Controls_Input[[#This Row],[Number of units]]*INDEX(Table_Prescript_Meas[Deemed kWh Savings], MATCH(Table_Controls_Input[[#This Row],[Measure number]], Table_Prescript_Meas[Measure Number], 0)),"" )</f>
        <v/>
      </c>
      <c r="M25" s="312" t="str">
        <f>IFERROR(Table_Controls_Input[[#This Row],[Number of units]]*INDEX(Table_Prescript_Meas[Deemed kW Savings], MATCH(Table_Controls_Input[[#This Row],[Measure number]], Table_Prescript_Meas[Measure Number], 0)),"" )</f>
        <v/>
      </c>
      <c r="N25" s="310" t="str">
        <f t="shared" si="2"/>
        <v/>
      </c>
      <c r="O25" s="310" t="str">
        <f>IF(Table_Controls_Input[[#This Row],[Measure number]]="", "", Table_Controls_Input[[#This Row],[Total equipment cost]]+Table_Controls_Input[[#This Row],[Total labor cost]])</f>
        <v/>
      </c>
      <c r="P25" s="310" t="str">
        <f>IFERROR(Table_Controls_Input[[#This Row],[Gross measure cost]]-Table_Controls_Input[[#This Row],[Estimated incentive]], "")</f>
        <v/>
      </c>
      <c r="Q25" s="311" t="str">
        <f t="shared" si="1"/>
        <v/>
      </c>
      <c r="R25" s="273"/>
      <c r="S25" s="273"/>
      <c r="T25" s="273"/>
      <c r="U25" s="273"/>
      <c r="V25" s="273"/>
      <c r="W25" s="273"/>
      <c r="X25" s="273"/>
      <c r="Y25" s="273"/>
      <c r="Z25" s="273"/>
      <c r="AA25" s="273"/>
      <c r="AB25" s="273"/>
      <c r="AC25" s="273"/>
      <c r="AD25" s="273"/>
      <c r="AE25" s="273"/>
      <c r="AF25" s="273"/>
      <c r="AG25" s="273"/>
      <c r="AH25" s="273"/>
      <c r="AI25" s="273"/>
      <c r="AJ25" s="273"/>
      <c r="AK25" s="273"/>
      <c r="AL25" s="273"/>
      <c r="AM25" s="273"/>
    </row>
    <row r="26" spans="1:39" x14ac:dyDescent="0.2">
      <c r="A26" s="273"/>
      <c r="B26" s="307">
        <v>22</v>
      </c>
      <c r="C26" s="308" t="str">
        <f>IFERROR(INDEX(Table_Prescript_Meas[Measure Number], MATCH(E26, Table_Prescript_Meas[Measure Description], 0)), "")</f>
        <v/>
      </c>
      <c r="D26" s="317"/>
      <c r="E26" s="318"/>
      <c r="F26" s="308" t="str">
        <f>IFERROR(INDEX(Table_Prescript_Meas[Units], MATCH(Table_Controls_Input[[#This Row],[Measure number]], Table_Prescript_Meas[Measure Number], 0)), "")</f>
        <v/>
      </c>
      <c r="G26" s="309"/>
      <c r="H26" s="303"/>
      <c r="I26" s="303"/>
      <c r="J26"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310" t="str">
        <f>IFERROR(Table_Controls_Input[[#This Row],[Number of units]]*Table_Controls_Input[[#This Row],[Per-unit incentive]], "")</f>
        <v/>
      </c>
      <c r="L26" s="311" t="str">
        <f>IFERROR(Table_Controls_Input[[#This Row],[Number of units]]*INDEX(Table_Prescript_Meas[Deemed kWh Savings], MATCH(Table_Controls_Input[[#This Row],[Measure number]], Table_Prescript_Meas[Measure Number], 0)),"" )</f>
        <v/>
      </c>
      <c r="M26" s="312" t="str">
        <f>IFERROR(Table_Controls_Input[[#This Row],[Number of units]]*INDEX(Table_Prescript_Meas[Deemed kW Savings], MATCH(Table_Controls_Input[[#This Row],[Measure number]], Table_Prescript_Meas[Measure Number], 0)),"" )</f>
        <v/>
      </c>
      <c r="N26" s="310" t="str">
        <f t="shared" si="2"/>
        <v/>
      </c>
      <c r="O26" s="310" t="str">
        <f>IF(Table_Controls_Input[[#This Row],[Measure number]]="", "", Table_Controls_Input[[#This Row],[Total equipment cost]]+Table_Controls_Input[[#This Row],[Total labor cost]])</f>
        <v/>
      </c>
      <c r="P26" s="310" t="str">
        <f>IFERROR(Table_Controls_Input[[#This Row],[Gross measure cost]]-Table_Controls_Input[[#This Row],[Estimated incentive]], "")</f>
        <v/>
      </c>
      <c r="Q26" s="311" t="str">
        <f t="shared" si="1"/>
        <v/>
      </c>
      <c r="R26" s="273"/>
      <c r="S26" s="273"/>
      <c r="T26" s="273"/>
      <c r="U26" s="273"/>
      <c r="V26" s="273"/>
      <c r="W26" s="273"/>
      <c r="X26" s="273"/>
      <c r="Y26" s="273"/>
      <c r="Z26" s="273"/>
      <c r="AA26" s="273"/>
      <c r="AB26" s="273"/>
      <c r="AC26" s="273"/>
      <c r="AD26" s="273"/>
      <c r="AE26" s="273"/>
      <c r="AF26" s="273"/>
      <c r="AG26" s="273"/>
      <c r="AH26" s="273"/>
      <c r="AI26" s="273"/>
      <c r="AJ26" s="273"/>
      <c r="AK26" s="273"/>
      <c r="AL26" s="273"/>
      <c r="AM26" s="273"/>
    </row>
    <row r="27" spans="1:39" x14ac:dyDescent="0.2">
      <c r="A27" s="273"/>
      <c r="B27" s="307">
        <v>23</v>
      </c>
      <c r="C27" s="308" t="str">
        <f>IFERROR(INDEX(Table_Prescript_Meas[Measure Number], MATCH(E27, Table_Prescript_Meas[Measure Description], 0)), "")</f>
        <v/>
      </c>
      <c r="D27" s="317"/>
      <c r="E27" s="318"/>
      <c r="F27" s="308" t="str">
        <f>IFERROR(INDEX(Table_Prescript_Meas[Units], MATCH(Table_Controls_Input[[#This Row],[Measure number]], Table_Prescript_Meas[Measure Number], 0)), "")</f>
        <v/>
      </c>
      <c r="G27" s="309"/>
      <c r="H27" s="303"/>
      <c r="I27" s="303"/>
      <c r="J27"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310" t="str">
        <f>IFERROR(Table_Controls_Input[[#This Row],[Number of units]]*Table_Controls_Input[[#This Row],[Per-unit incentive]], "")</f>
        <v/>
      </c>
      <c r="L27" s="311" t="str">
        <f>IFERROR(Table_Controls_Input[[#This Row],[Number of units]]*INDEX(Table_Prescript_Meas[Deemed kWh Savings], MATCH(Table_Controls_Input[[#This Row],[Measure number]], Table_Prescript_Meas[Measure Number], 0)),"" )</f>
        <v/>
      </c>
      <c r="M27" s="312" t="str">
        <f>IFERROR(Table_Controls_Input[[#This Row],[Number of units]]*INDEX(Table_Prescript_Meas[Deemed kW Savings], MATCH(Table_Controls_Input[[#This Row],[Measure number]], Table_Prescript_Meas[Measure Number], 0)),"" )</f>
        <v/>
      </c>
      <c r="N27" s="310" t="str">
        <f t="shared" si="2"/>
        <v/>
      </c>
      <c r="O27" s="310" t="str">
        <f>IF(Table_Controls_Input[[#This Row],[Measure number]]="", "", Table_Controls_Input[[#This Row],[Total equipment cost]]+Table_Controls_Input[[#This Row],[Total labor cost]])</f>
        <v/>
      </c>
      <c r="P27" s="310" t="str">
        <f>IFERROR(Table_Controls_Input[[#This Row],[Gross measure cost]]-Table_Controls_Input[[#This Row],[Estimated incentive]], "")</f>
        <v/>
      </c>
      <c r="Q27" s="311" t="str">
        <f t="shared" si="1"/>
        <v/>
      </c>
      <c r="R27" s="273"/>
      <c r="S27" s="273"/>
      <c r="T27" s="273"/>
      <c r="U27" s="273"/>
      <c r="V27" s="273"/>
      <c r="W27" s="273"/>
      <c r="X27" s="273"/>
      <c r="Y27" s="273"/>
      <c r="Z27" s="273"/>
      <c r="AA27" s="273"/>
      <c r="AB27" s="273"/>
      <c r="AC27" s="273"/>
      <c r="AD27" s="273"/>
      <c r="AE27" s="273"/>
      <c r="AF27" s="273"/>
      <c r="AG27" s="273"/>
      <c r="AH27" s="273"/>
      <c r="AI27" s="273"/>
      <c r="AJ27" s="273"/>
      <c r="AK27" s="273"/>
      <c r="AL27" s="273"/>
      <c r="AM27" s="273"/>
    </row>
    <row r="28" spans="1:39" x14ac:dyDescent="0.2">
      <c r="A28" s="273"/>
      <c r="B28" s="307">
        <v>24</v>
      </c>
      <c r="C28" s="308" t="str">
        <f>IFERROR(INDEX(Table_Prescript_Meas[Measure Number], MATCH(E28, Table_Prescript_Meas[Measure Description], 0)), "")</f>
        <v/>
      </c>
      <c r="D28" s="317"/>
      <c r="E28" s="318"/>
      <c r="F28" s="308" t="str">
        <f>IFERROR(INDEX(Table_Prescript_Meas[Units], MATCH(Table_Controls_Input[[#This Row],[Measure number]], Table_Prescript_Meas[Measure Number], 0)), "")</f>
        <v/>
      </c>
      <c r="G28" s="309"/>
      <c r="H28" s="303"/>
      <c r="I28" s="303"/>
      <c r="J28"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310" t="str">
        <f>IFERROR(Table_Controls_Input[[#This Row],[Number of units]]*Table_Controls_Input[[#This Row],[Per-unit incentive]], "")</f>
        <v/>
      </c>
      <c r="L28" s="311" t="str">
        <f>IFERROR(Table_Controls_Input[[#This Row],[Number of units]]*INDEX(Table_Prescript_Meas[Deemed kWh Savings], MATCH(Table_Controls_Input[[#This Row],[Measure number]], Table_Prescript_Meas[Measure Number], 0)),"" )</f>
        <v/>
      </c>
      <c r="M28" s="312" t="str">
        <f>IFERROR(Table_Controls_Input[[#This Row],[Number of units]]*INDEX(Table_Prescript_Meas[Deemed kW Savings], MATCH(Table_Controls_Input[[#This Row],[Measure number]], Table_Prescript_Meas[Measure Number], 0)),"" )</f>
        <v/>
      </c>
      <c r="N28" s="310" t="str">
        <f t="shared" si="2"/>
        <v/>
      </c>
      <c r="O28" s="310" t="str">
        <f>IF(Table_Controls_Input[[#This Row],[Measure number]]="", "", Table_Controls_Input[[#This Row],[Total equipment cost]]+Table_Controls_Input[[#This Row],[Total labor cost]])</f>
        <v/>
      </c>
      <c r="P28" s="310" t="str">
        <f>IFERROR(Table_Controls_Input[[#This Row],[Gross measure cost]]-Table_Controls_Input[[#This Row],[Estimated incentive]], "")</f>
        <v/>
      </c>
      <c r="Q28" s="311" t="str">
        <f t="shared" si="1"/>
        <v/>
      </c>
      <c r="R28" s="273"/>
      <c r="S28" s="273"/>
      <c r="T28" s="273"/>
      <c r="U28" s="273"/>
      <c r="V28" s="273"/>
      <c r="W28" s="273"/>
      <c r="X28" s="273"/>
      <c r="Y28" s="273"/>
      <c r="Z28" s="273"/>
      <c r="AA28" s="273"/>
      <c r="AB28" s="273"/>
      <c r="AC28" s="273"/>
      <c r="AD28" s="273"/>
      <c r="AE28" s="273"/>
      <c r="AF28" s="273"/>
      <c r="AG28" s="273"/>
      <c r="AH28" s="273"/>
      <c r="AI28" s="273"/>
      <c r="AJ28" s="273"/>
      <c r="AK28" s="273"/>
      <c r="AL28" s="273"/>
      <c r="AM28" s="273"/>
    </row>
    <row r="29" spans="1:39" x14ac:dyDescent="0.2">
      <c r="A29" s="273"/>
      <c r="B29" s="307">
        <v>25</v>
      </c>
      <c r="C29" s="308" t="str">
        <f>IFERROR(INDEX(Table_Prescript_Meas[Measure Number], MATCH(E29, Table_Prescript_Meas[Measure Description], 0)), "")</f>
        <v/>
      </c>
      <c r="D29" s="317"/>
      <c r="E29" s="318"/>
      <c r="F29" s="308" t="str">
        <f>IFERROR(INDEX(Table_Prescript_Meas[Units], MATCH(Table_Controls_Input[[#This Row],[Measure number]], Table_Prescript_Meas[Measure Number], 0)), "")</f>
        <v/>
      </c>
      <c r="G29" s="309"/>
      <c r="H29" s="303"/>
      <c r="I29" s="303"/>
      <c r="J29"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310" t="str">
        <f>IFERROR(Table_Controls_Input[[#This Row],[Number of units]]*Table_Controls_Input[[#This Row],[Per-unit incentive]], "")</f>
        <v/>
      </c>
      <c r="L29" s="311" t="str">
        <f>IFERROR(Table_Controls_Input[[#This Row],[Number of units]]*INDEX(Table_Prescript_Meas[Deemed kWh Savings], MATCH(Table_Controls_Input[[#This Row],[Measure number]], Table_Prescript_Meas[Measure Number], 0)),"" )</f>
        <v/>
      </c>
      <c r="M29" s="312" t="str">
        <f>IFERROR(Table_Controls_Input[[#This Row],[Number of units]]*INDEX(Table_Prescript_Meas[Deemed kW Savings], MATCH(Table_Controls_Input[[#This Row],[Measure number]], Table_Prescript_Meas[Measure Number], 0)),"" )</f>
        <v/>
      </c>
      <c r="N29" s="310" t="str">
        <f t="shared" si="2"/>
        <v/>
      </c>
      <c r="O29" s="310" t="str">
        <f>IF(Table_Controls_Input[[#This Row],[Measure number]]="", "", Table_Controls_Input[[#This Row],[Total equipment cost]]+Table_Controls_Input[[#This Row],[Total labor cost]])</f>
        <v/>
      </c>
      <c r="P29" s="310" t="str">
        <f>IFERROR(Table_Controls_Input[[#This Row],[Gross measure cost]]-Table_Controls_Input[[#This Row],[Estimated incentive]], "")</f>
        <v/>
      </c>
      <c r="Q29" s="311" t="str">
        <f t="shared" si="1"/>
        <v/>
      </c>
      <c r="R29" s="273"/>
      <c r="S29" s="273"/>
      <c r="T29" s="273"/>
      <c r="U29" s="273"/>
      <c r="V29" s="273"/>
      <c r="W29" s="273"/>
      <c r="X29" s="273"/>
      <c r="Y29" s="273"/>
      <c r="Z29" s="273"/>
      <c r="AA29" s="273"/>
      <c r="AB29" s="273"/>
      <c r="AC29" s="273"/>
      <c r="AD29" s="273"/>
      <c r="AE29" s="273"/>
      <c r="AF29" s="273"/>
      <c r="AG29" s="273"/>
      <c r="AH29" s="273"/>
      <c r="AI29" s="273"/>
      <c r="AJ29" s="273"/>
      <c r="AK29" s="273"/>
      <c r="AL29" s="273"/>
      <c r="AM29" s="273"/>
    </row>
    <row r="30" spans="1:39" x14ac:dyDescent="0.2">
      <c r="A30" s="273"/>
      <c r="B30" s="307">
        <v>26</v>
      </c>
      <c r="C30" s="308" t="str">
        <f>IFERROR(INDEX(Table_Prescript_Meas[Measure Number], MATCH(E30, Table_Prescript_Meas[Measure Description], 0)), "")</f>
        <v/>
      </c>
      <c r="D30" s="317"/>
      <c r="E30" s="318"/>
      <c r="F30" s="308" t="str">
        <f>IFERROR(INDEX(Table_Prescript_Meas[Units], MATCH(Table_Controls_Input[[#This Row],[Measure number]], Table_Prescript_Meas[Measure Number], 0)), "")</f>
        <v/>
      </c>
      <c r="G30" s="309"/>
      <c r="H30" s="303"/>
      <c r="I30" s="303"/>
      <c r="J30"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310" t="str">
        <f>IFERROR(Table_Controls_Input[[#This Row],[Number of units]]*Table_Controls_Input[[#This Row],[Per-unit incentive]], "")</f>
        <v/>
      </c>
      <c r="L30" s="311" t="str">
        <f>IFERROR(Table_Controls_Input[[#This Row],[Number of units]]*INDEX(Table_Prescript_Meas[Deemed kWh Savings], MATCH(Table_Controls_Input[[#This Row],[Measure number]], Table_Prescript_Meas[Measure Number], 0)),"" )</f>
        <v/>
      </c>
      <c r="M30" s="312" t="str">
        <f>IFERROR(Table_Controls_Input[[#This Row],[Number of units]]*INDEX(Table_Prescript_Meas[Deemed kW Savings], MATCH(Table_Controls_Input[[#This Row],[Measure number]], Table_Prescript_Meas[Measure Number], 0)),"" )</f>
        <v/>
      </c>
      <c r="N30" s="310" t="str">
        <f t="shared" si="2"/>
        <v/>
      </c>
      <c r="O30" s="310" t="str">
        <f>IF(Table_Controls_Input[[#This Row],[Measure number]]="", "", Table_Controls_Input[[#This Row],[Total equipment cost]]+Table_Controls_Input[[#This Row],[Total labor cost]])</f>
        <v/>
      </c>
      <c r="P30" s="310" t="str">
        <f>IFERROR(Table_Controls_Input[[#This Row],[Gross measure cost]]-Table_Controls_Input[[#This Row],[Estimated incentive]], "")</f>
        <v/>
      </c>
      <c r="Q30" s="311" t="str">
        <f t="shared" si="1"/>
        <v/>
      </c>
      <c r="R30" s="273"/>
      <c r="S30" s="273"/>
      <c r="T30" s="273"/>
      <c r="U30" s="273"/>
      <c r="V30" s="273"/>
      <c r="W30" s="273"/>
      <c r="X30" s="273"/>
      <c r="Y30" s="273"/>
      <c r="Z30" s="273"/>
      <c r="AA30" s="273"/>
      <c r="AB30" s="273"/>
      <c r="AC30" s="273"/>
      <c r="AD30" s="273"/>
      <c r="AE30" s="273"/>
      <c r="AF30" s="273"/>
      <c r="AG30" s="273"/>
      <c r="AH30" s="273"/>
      <c r="AI30" s="273"/>
      <c r="AJ30" s="273"/>
      <c r="AK30" s="273"/>
      <c r="AL30" s="273"/>
      <c r="AM30" s="273"/>
    </row>
    <row r="31" spans="1:39" x14ac:dyDescent="0.2">
      <c r="A31" s="269"/>
      <c r="B31" s="307">
        <v>27</v>
      </c>
      <c r="C31" s="308" t="str">
        <f>IFERROR(INDEX(Table_Prescript_Meas[Measure Number], MATCH(E31, Table_Prescript_Meas[Measure Description], 0)), "")</f>
        <v/>
      </c>
      <c r="D31" s="317"/>
      <c r="E31" s="318"/>
      <c r="F31" s="308" t="str">
        <f>IFERROR(INDEX(Table_Prescript_Meas[Units], MATCH(Table_Controls_Input[[#This Row],[Measure number]], Table_Prescript_Meas[Measure Number], 0)), "")</f>
        <v/>
      </c>
      <c r="G31" s="309"/>
      <c r="H31" s="303"/>
      <c r="I31" s="303"/>
      <c r="J31"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310" t="str">
        <f>IFERROR(Table_Controls_Input[[#This Row],[Number of units]]*Table_Controls_Input[[#This Row],[Per-unit incentive]], "")</f>
        <v/>
      </c>
      <c r="L31" s="311" t="str">
        <f>IFERROR(Table_Controls_Input[[#This Row],[Number of units]]*INDEX(Table_Prescript_Meas[Deemed kWh Savings], MATCH(Table_Controls_Input[[#This Row],[Measure number]], Table_Prescript_Meas[Measure Number], 0)),"" )</f>
        <v/>
      </c>
      <c r="M31" s="312" t="str">
        <f>IFERROR(Table_Controls_Input[[#This Row],[Number of units]]*INDEX(Table_Prescript_Meas[Deemed kW Savings], MATCH(Table_Controls_Input[[#This Row],[Measure number]], Table_Prescript_Meas[Measure Number], 0)),"" )</f>
        <v/>
      </c>
      <c r="N31" s="310" t="str">
        <f t="shared" si="2"/>
        <v/>
      </c>
      <c r="O31" s="310" t="str">
        <f>IF(Table_Controls_Input[[#This Row],[Measure number]]="", "", Table_Controls_Input[[#This Row],[Total equipment cost]]+Table_Controls_Input[[#This Row],[Total labor cost]])</f>
        <v/>
      </c>
      <c r="P31" s="310" t="str">
        <f>IFERROR(Table_Controls_Input[[#This Row],[Gross measure cost]]-Table_Controls_Input[[#This Row],[Estimated incentive]], "")</f>
        <v/>
      </c>
      <c r="Q31" s="311" t="str">
        <f t="shared" si="1"/>
        <v/>
      </c>
      <c r="R31" s="269"/>
      <c r="S31" s="269"/>
      <c r="T31" s="269"/>
      <c r="U31" s="269"/>
      <c r="V31" s="269"/>
      <c r="W31" s="269"/>
      <c r="X31" s="269"/>
      <c r="Y31" s="269"/>
      <c r="Z31" s="269"/>
      <c r="AA31" s="269"/>
      <c r="AB31" s="269"/>
      <c r="AC31" s="269"/>
      <c r="AD31" s="269"/>
      <c r="AE31" s="269"/>
      <c r="AF31" s="269"/>
      <c r="AG31" s="269"/>
      <c r="AH31" s="269"/>
      <c r="AI31" s="269"/>
      <c r="AJ31" s="269"/>
      <c r="AK31" s="269"/>
      <c r="AL31" s="269"/>
      <c r="AM31" s="269"/>
    </row>
    <row r="32" spans="1:39" x14ac:dyDescent="0.2">
      <c r="A32" s="269"/>
      <c r="B32" s="307">
        <v>28</v>
      </c>
      <c r="C32" s="308" t="str">
        <f>IFERROR(INDEX(Table_Prescript_Meas[Measure Number], MATCH(E32, Table_Prescript_Meas[Measure Description], 0)), "")</f>
        <v/>
      </c>
      <c r="D32" s="317"/>
      <c r="E32" s="318"/>
      <c r="F32" s="308" t="str">
        <f>IFERROR(INDEX(Table_Prescript_Meas[Units], MATCH(Table_Controls_Input[[#This Row],[Measure number]], Table_Prescript_Meas[Measure Number], 0)), "")</f>
        <v/>
      </c>
      <c r="G32" s="309"/>
      <c r="H32" s="303"/>
      <c r="I32" s="303"/>
      <c r="J32"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310" t="str">
        <f>IFERROR(Table_Controls_Input[[#This Row],[Number of units]]*Table_Controls_Input[[#This Row],[Per-unit incentive]], "")</f>
        <v/>
      </c>
      <c r="L32" s="311" t="str">
        <f>IFERROR(Table_Controls_Input[[#This Row],[Number of units]]*INDEX(Table_Prescript_Meas[Deemed kWh Savings], MATCH(Table_Controls_Input[[#This Row],[Measure number]], Table_Prescript_Meas[Measure Number], 0)),"" )</f>
        <v/>
      </c>
      <c r="M32" s="312" t="str">
        <f>IFERROR(Table_Controls_Input[[#This Row],[Number of units]]*INDEX(Table_Prescript_Meas[Deemed kW Savings], MATCH(Table_Controls_Input[[#This Row],[Measure number]], Table_Prescript_Meas[Measure Number], 0)),"" )</f>
        <v/>
      </c>
      <c r="N32" s="310" t="str">
        <f t="shared" si="2"/>
        <v/>
      </c>
      <c r="O32" s="310" t="str">
        <f>IF(Table_Controls_Input[[#This Row],[Measure number]]="", "", Table_Controls_Input[[#This Row],[Total equipment cost]]+Table_Controls_Input[[#This Row],[Total labor cost]])</f>
        <v/>
      </c>
      <c r="P32" s="310" t="str">
        <f>IFERROR(Table_Controls_Input[[#This Row],[Gross measure cost]]-Table_Controls_Input[[#This Row],[Estimated incentive]], "")</f>
        <v/>
      </c>
      <c r="Q32" s="311" t="str">
        <f t="shared" si="1"/>
        <v/>
      </c>
      <c r="R32" s="269"/>
      <c r="S32" s="269"/>
      <c r="T32" s="269"/>
      <c r="U32" s="269"/>
      <c r="V32" s="269"/>
      <c r="W32" s="269"/>
      <c r="X32" s="269"/>
      <c r="Y32" s="269"/>
      <c r="Z32" s="269"/>
      <c r="AA32" s="269"/>
      <c r="AB32" s="269"/>
      <c r="AC32" s="269"/>
      <c r="AD32" s="269"/>
      <c r="AE32" s="269"/>
      <c r="AF32" s="269"/>
      <c r="AG32" s="269"/>
      <c r="AH32" s="269"/>
      <c r="AI32" s="269"/>
      <c r="AJ32" s="269"/>
      <c r="AK32" s="269"/>
      <c r="AL32" s="269"/>
      <c r="AM32" s="269"/>
    </row>
    <row r="33" spans="1:39" x14ac:dyDescent="0.2">
      <c r="A33" s="269"/>
      <c r="B33" s="307">
        <v>29</v>
      </c>
      <c r="C33" s="308" t="str">
        <f>IFERROR(INDEX(Table_Prescript_Meas[Measure Number], MATCH(E33, Table_Prescript_Meas[Measure Description], 0)), "")</f>
        <v/>
      </c>
      <c r="D33" s="317"/>
      <c r="E33" s="318"/>
      <c r="F33" s="308" t="str">
        <f>IFERROR(INDEX(Table_Prescript_Meas[Units], MATCH(Table_Controls_Input[[#This Row],[Measure number]], Table_Prescript_Meas[Measure Number], 0)), "")</f>
        <v/>
      </c>
      <c r="G33" s="309"/>
      <c r="H33" s="303"/>
      <c r="I33" s="303"/>
      <c r="J33"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310" t="str">
        <f>IFERROR(Table_Controls_Input[[#This Row],[Number of units]]*Table_Controls_Input[[#This Row],[Per-unit incentive]], "")</f>
        <v/>
      </c>
      <c r="L33" s="311" t="str">
        <f>IFERROR(Table_Controls_Input[[#This Row],[Number of units]]*INDEX(Table_Prescript_Meas[Deemed kWh Savings], MATCH(Table_Controls_Input[[#This Row],[Measure number]], Table_Prescript_Meas[Measure Number], 0)),"" )</f>
        <v/>
      </c>
      <c r="M33" s="312" t="str">
        <f>IFERROR(Table_Controls_Input[[#This Row],[Number of units]]*INDEX(Table_Prescript_Meas[Deemed kW Savings], MATCH(Table_Controls_Input[[#This Row],[Measure number]], Table_Prescript_Meas[Measure Number], 0)),"" )</f>
        <v/>
      </c>
      <c r="N33" s="310" t="str">
        <f t="shared" si="2"/>
        <v/>
      </c>
      <c r="O33" s="310" t="str">
        <f>IF(Table_Controls_Input[[#This Row],[Measure number]]="", "", Table_Controls_Input[[#This Row],[Total equipment cost]]+Table_Controls_Input[[#This Row],[Total labor cost]])</f>
        <v/>
      </c>
      <c r="P33" s="310" t="str">
        <f>IFERROR(Table_Controls_Input[[#This Row],[Gross measure cost]]-Table_Controls_Input[[#This Row],[Estimated incentive]], "")</f>
        <v/>
      </c>
      <c r="Q33" s="311" t="str">
        <f t="shared" si="1"/>
        <v/>
      </c>
      <c r="R33" s="269"/>
      <c r="S33" s="269"/>
      <c r="T33" s="269"/>
      <c r="U33" s="269"/>
      <c r="V33" s="269"/>
      <c r="W33" s="269"/>
      <c r="X33" s="269"/>
      <c r="Y33" s="269"/>
      <c r="Z33" s="269"/>
      <c r="AA33" s="269"/>
      <c r="AB33" s="269"/>
      <c r="AC33" s="269"/>
      <c r="AD33" s="269"/>
      <c r="AE33" s="269"/>
      <c r="AF33" s="269"/>
      <c r="AG33" s="269"/>
      <c r="AH33" s="269"/>
      <c r="AI33" s="269"/>
      <c r="AJ33" s="269"/>
      <c r="AK33" s="269"/>
      <c r="AL33" s="269"/>
      <c r="AM33" s="269"/>
    </row>
    <row r="34" spans="1:39" x14ac:dyDescent="0.2">
      <c r="A34" s="269"/>
      <c r="B34" s="307">
        <v>30</v>
      </c>
      <c r="C34" s="308" t="str">
        <f>IFERROR(INDEX(Table_Prescript_Meas[Measure Number], MATCH(E34, Table_Prescript_Meas[Measure Description], 0)), "")</f>
        <v/>
      </c>
      <c r="D34" s="317"/>
      <c r="E34" s="318"/>
      <c r="F34" s="308" t="str">
        <f>IFERROR(INDEX(Table_Prescript_Meas[Units], MATCH(Table_Controls_Input[[#This Row],[Measure number]], Table_Prescript_Meas[Measure Number], 0)), "")</f>
        <v/>
      </c>
      <c r="G34" s="309"/>
      <c r="H34" s="303"/>
      <c r="I34" s="303"/>
      <c r="J34" s="31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310" t="str">
        <f>IFERROR(Table_Controls_Input[[#This Row],[Number of units]]*Table_Controls_Input[[#This Row],[Per-unit incentive]], "")</f>
        <v/>
      </c>
      <c r="L34" s="311" t="str">
        <f>IFERROR(Table_Controls_Input[[#This Row],[Number of units]]*INDEX(Table_Prescript_Meas[Deemed kWh Savings], MATCH(Table_Controls_Input[[#This Row],[Measure number]], Table_Prescript_Meas[Measure Number], 0)),"" )</f>
        <v/>
      </c>
      <c r="M34" s="312" t="str">
        <f>IFERROR(Table_Controls_Input[[#This Row],[Number of units]]*INDEX(Table_Prescript_Meas[Deemed kW Savings], MATCH(Table_Controls_Input[[#This Row],[Measure number]], Table_Prescript_Meas[Measure Number], 0)),"" )</f>
        <v/>
      </c>
      <c r="N34" s="310" t="str">
        <f t="shared" si="2"/>
        <v/>
      </c>
      <c r="O34" s="310" t="str">
        <f>IF(Table_Controls_Input[[#This Row],[Measure number]]="", "", Table_Controls_Input[[#This Row],[Total equipment cost]]+Table_Controls_Input[[#This Row],[Total labor cost]])</f>
        <v/>
      </c>
      <c r="P34" s="310" t="str">
        <f>IFERROR(Table_Controls_Input[[#This Row],[Gross measure cost]]-Table_Controls_Input[[#This Row],[Estimated incentive]], "")</f>
        <v/>
      </c>
      <c r="Q34" s="311" t="str">
        <f t="shared" si="1"/>
        <v/>
      </c>
      <c r="R34" s="269"/>
      <c r="S34" s="269"/>
      <c r="T34" s="269"/>
      <c r="U34" s="269"/>
      <c r="V34" s="269"/>
      <c r="W34" s="269"/>
      <c r="X34" s="269"/>
      <c r="Y34" s="269"/>
      <c r="Z34" s="269"/>
      <c r="AA34" s="269"/>
      <c r="AB34" s="269"/>
      <c r="AC34" s="269"/>
      <c r="AD34" s="269"/>
      <c r="AE34" s="269"/>
      <c r="AF34" s="269"/>
      <c r="AG34" s="269"/>
      <c r="AH34" s="269"/>
      <c r="AI34" s="269"/>
      <c r="AJ34" s="269"/>
      <c r="AK34" s="269"/>
      <c r="AL34" s="269"/>
      <c r="AM34" s="269"/>
    </row>
    <row r="35" spans="1:39" x14ac:dyDescent="0.2">
      <c r="A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row>
    <row r="36" spans="1:39" x14ac:dyDescent="0.2"/>
    <row r="37" spans="1:39" x14ac:dyDescent="0.2">
      <c r="B37" s="253" t="s">
        <v>644</v>
      </c>
    </row>
    <row r="38" spans="1:39" x14ac:dyDescent="0.2">
      <c r="B38" s="253" t="str">
        <f>Value_Application_Version</f>
        <v>Version 5.2</v>
      </c>
    </row>
    <row r="39" spans="1:39" x14ac:dyDescent="0.2"/>
    <row r="40" spans="1:39" x14ac:dyDescent="0.2">
      <c r="A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row>
    <row r="41" spans="1:39" x14ac:dyDescent="0.2">
      <c r="A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row>
    <row r="42" spans="1:39" x14ac:dyDescent="0.2">
      <c r="A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row>
    <row r="43" spans="1:39" x14ac:dyDescent="0.2">
      <c r="A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row>
    <row r="44" spans="1:39" x14ac:dyDescent="0.2">
      <c r="A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row>
    <row r="45" spans="1:39" x14ac:dyDescent="0.2">
      <c r="A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row>
    <row r="46" spans="1:39" x14ac:dyDescent="0.2">
      <c r="A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row>
    <row r="47" spans="1:39" x14ac:dyDescent="0.2">
      <c r="A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row>
    <row r="48" spans="1:39" x14ac:dyDescent="0.2">
      <c r="A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row>
    <row r="49" spans="1:39" x14ac:dyDescent="0.2">
      <c r="A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row>
    <row r="50" spans="1:39" x14ac:dyDescent="0.2">
      <c r="A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row>
    <row r="51" spans="1:39" x14ac:dyDescent="0.2">
      <c r="A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row>
    <row r="52" spans="1:39" x14ac:dyDescent="0.2">
      <c r="A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row>
    <row r="53" spans="1:39" x14ac:dyDescent="0.2">
      <c r="A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row>
    <row r="54" spans="1:39" x14ac:dyDescent="0.2">
      <c r="A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row>
    <row r="55" spans="1:39" x14ac:dyDescent="0.2">
      <c r="A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row>
    <row r="56" spans="1:39" x14ac:dyDescent="0.2">
      <c r="A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row>
    <row r="57" spans="1:39" x14ac:dyDescent="0.2">
      <c r="A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row>
    <row r="58" spans="1:39" x14ac:dyDescent="0.2">
      <c r="A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row>
    <row r="59" spans="1:39" x14ac:dyDescent="0.2">
      <c r="A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row>
    <row r="60" spans="1:39" x14ac:dyDescent="0.2">
      <c r="A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row>
    <row r="61" spans="1:39" x14ac:dyDescent="0.2">
      <c r="A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row>
    <row r="62" spans="1:39" x14ac:dyDescent="0.2">
      <c r="A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row>
    <row r="63" spans="1:39" x14ac:dyDescent="0.2">
      <c r="A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row>
    <row r="64" spans="1:39" x14ac:dyDescent="0.2">
      <c r="A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row>
    <row r="65" spans="1:39" x14ac:dyDescent="0.2">
      <c r="A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row>
    <row r="66" spans="1:39" x14ac:dyDescent="0.2">
      <c r="A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row>
    <row r="67" spans="1:39" x14ac:dyDescent="0.2">
      <c r="A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row>
    <row r="68" spans="1:39" x14ac:dyDescent="0.2">
      <c r="A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row>
    <row r="69" spans="1:39" x14ac:dyDescent="0.2">
      <c r="A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row>
    <row r="70" spans="1:39" x14ac:dyDescent="0.2">
      <c r="A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x14ac:dyDescent="0.2">
      <c r="A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row>
    <row r="72" spans="1:39" x14ac:dyDescent="0.2">
      <c r="A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row>
    <row r="73" spans="1:39" x14ac:dyDescent="0.2">
      <c r="A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row>
    <row r="74" spans="1:39" x14ac:dyDescent="0.2">
      <c r="A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row>
    <row r="75" spans="1:39" x14ac:dyDescent="0.2">
      <c r="A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row>
    <row r="76" spans="1:39" x14ac:dyDescent="0.2">
      <c r="A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row>
    <row r="77" spans="1:39" x14ac:dyDescent="0.2">
      <c r="A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row>
    <row r="78" spans="1:39" x14ac:dyDescent="0.2">
      <c r="A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row>
    <row r="79" spans="1:39" x14ac:dyDescent="0.2">
      <c r="A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row>
    <row r="80" spans="1:39" x14ac:dyDescent="0.2">
      <c r="A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row>
    <row r="81" spans="1:39" x14ac:dyDescent="0.2">
      <c r="A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row>
    <row r="82" spans="1:39" x14ac:dyDescent="0.2">
      <c r="A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row>
    <row r="83" spans="1:39" x14ac:dyDescent="0.2">
      <c r="A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row>
    <row r="84" spans="1:39" x14ac:dyDescent="0.2">
      <c r="A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row>
    <row r="85" spans="1:39" x14ac:dyDescent="0.2">
      <c r="A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row>
    <row r="86" spans="1:39" x14ac:dyDescent="0.2">
      <c r="A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row>
    <row r="87" spans="1:39" x14ac:dyDescent="0.2">
      <c r="A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row>
    <row r="88" spans="1:39" x14ac:dyDescent="0.2">
      <c r="A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row>
    <row r="89" spans="1:39" x14ac:dyDescent="0.2">
      <c r="A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row>
    <row r="90" spans="1:39" x14ac:dyDescent="0.2">
      <c r="A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row>
    <row r="91" spans="1:39" x14ac:dyDescent="0.2">
      <c r="A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row>
    <row r="92" spans="1:39" x14ac:dyDescent="0.2">
      <c r="A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row>
    <row r="93" spans="1:39" x14ac:dyDescent="0.2">
      <c r="A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row>
    <row r="94" spans="1:39" x14ac:dyDescent="0.2">
      <c r="A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row>
    <row r="95" spans="1:39" x14ac:dyDescent="0.2">
      <c r="A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row>
    <row r="96" spans="1:39" x14ac:dyDescent="0.2">
      <c r="A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row>
    <row r="97" spans="1:39" x14ac:dyDescent="0.2">
      <c r="A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row>
    <row r="98" spans="1:39" x14ac:dyDescent="0.2">
      <c r="A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row>
    <row r="99" spans="1:39" x14ac:dyDescent="0.2">
      <c r="A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row>
    <row r="100" spans="1:39" x14ac:dyDescent="0.2">
      <c r="A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row>
    <row r="101" spans="1:39" x14ac:dyDescent="0.2">
      <c r="A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row>
    <row r="102" spans="1:39" x14ac:dyDescent="0.2">
      <c r="A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row>
    <row r="103" spans="1:39" x14ac:dyDescent="0.2">
      <c r="A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row>
    <row r="104" spans="1:39" x14ac:dyDescent="0.2">
      <c r="A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row>
    <row r="105" spans="1:39" x14ac:dyDescent="0.2">
      <c r="A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row>
    <row r="106" spans="1:39" x14ac:dyDescent="0.2">
      <c r="A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row>
    <row r="107" spans="1:39" x14ac:dyDescent="0.2">
      <c r="A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row>
    <row r="108" spans="1:39" x14ac:dyDescent="0.2">
      <c r="A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row>
    <row r="109" spans="1:39" x14ac:dyDescent="0.2">
      <c r="A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row>
    <row r="110" spans="1:39" x14ac:dyDescent="0.2">
      <c r="A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row>
    <row r="111" spans="1:39" x14ac:dyDescent="0.2">
      <c r="A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row>
    <row r="112" spans="1:39" x14ac:dyDescent="0.2">
      <c r="A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row>
    <row r="113" spans="1:39" x14ac:dyDescent="0.2">
      <c r="A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row>
    <row r="114" spans="1:39" x14ac:dyDescent="0.2">
      <c r="A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row>
    <row r="115" spans="1:39" x14ac:dyDescent="0.2">
      <c r="A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row>
    <row r="116" spans="1:39" x14ac:dyDescent="0.2">
      <c r="A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row>
    <row r="117" spans="1:39" x14ac:dyDescent="0.2">
      <c r="A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row>
    <row r="118" spans="1:39" x14ac:dyDescent="0.2">
      <c r="A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row>
    <row r="119" spans="1:39" x14ac:dyDescent="0.2">
      <c r="A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row>
    <row r="120" spans="1:39" x14ac:dyDescent="0.2">
      <c r="A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row>
    <row r="121" spans="1:39" x14ac:dyDescent="0.2">
      <c r="A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row>
    <row r="122" spans="1:39" x14ac:dyDescent="0.2">
      <c r="A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row>
    <row r="123" spans="1:39" x14ac:dyDescent="0.2">
      <c r="A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row>
    <row r="124" spans="1:39" x14ac:dyDescent="0.2">
      <c r="A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row>
    <row r="125" spans="1:39" x14ac:dyDescent="0.2">
      <c r="A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row>
    <row r="126" spans="1:39" x14ac:dyDescent="0.2">
      <c r="A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row>
    <row r="127" spans="1:39" x14ac:dyDescent="0.2">
      <c r="A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row>
    <row r="128" spans="1:39" x14ac:dyDescent="0.2">
      <c r="A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row>
    <row r="129" spans="1:39" x14ac:dyDescent="0.2">
      <c r="A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row>
    <row r="130" spans="1:39" x14ac:dyDescent="0.2">
      <c r="A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row>
    <row r="131" spans="1:39" x14ac:dyDescent="0.2">
      <c r="A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row>
    <row r="132" spans="1:39" x14ac:dyDescent="0.2">
      <c r="A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row>
    <row r="133" spans="1:39" x14ac:dyDescent="0.2">
      <c r="A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row>
    <row r="134" spans="1:39" x14ac:dyDescent="0.2">
      <c r="A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row>
    <row r="135" spans="1:39" x14ac:dyDescent="0.2">
      <c r="A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row>
    <row r="136" spans="1:39" x14ac:dyDescent="0.2">
      <c r="A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row>
    <row r="137" spans="1:39" x14ac:dyDescent="0.2">
      <c r="A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row>
    <row r="138" spans="1:39" x14ac:dyDescent="0.2">
      <c r="A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row>
    <row r="139" spans="1:39" x14ac:dyDescent="0.2">
      <c r="A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row>
    <row r="140" spans="1:39" x14ac:dyDescent="0.2">
      <c r="A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row>
    <row r="141" spans="1:39" x14ac:dyDescent="0.2">
      <c r="A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row>
    <row r="142" spans="1:39" x14ac:dyDescent="0.2">
      <c r="A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row>
    <row r="143" spans="1:39" x14ac:dyDescent="0.2">
      <c r="A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row>
    <row r="144" spans="1:39" x14ac:dyDescent="0.2">
      <c r="A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row>
    <row r="145" spans="1:39" x14ac:dyDescent="0.2">
      <c r="A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row>
    <row r="146" spans="1:39" x14ac:dyDescent="0.2">
      <c r="A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row>
    <row r="147" spans="1:39" x14ac:dyDescent="0.2">
      <c r="A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row>
    <row r="148" spans="1:39" x14ac:dyDescent="0.2">
      <c r="A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row>
    <row r="149" spans="1:39" x14ac:dyDescent="0.2">
      <c r="A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row>
    <row r="150" spans="1:39" x14ac:dyDescent="0.2">
      <c r="A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row>
    <row r="151" spans="1:39" x14ac:dyDescent="0.2">
      <c r="A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row>
    <row r="152" spans="1:39" x14ac:dyDescent="0.2">
      <c r="A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row>
    <row r="153" spans="1:39" x14ac:dyDescent="0.2">
      <c r="A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row>
    <row r="154" spans="1:39" x14ac:dyDescent="0.2">
      <c r="A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row>
    <row r="155" spans="1:39" x14ac:dyDescent="0.2">
      <c r="A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row>
    <row r="156" spans="1:39" x14ac:dyDescent="0.2">
      <c r="A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row>
    <row r="157" spans="1:39" x14ac:dyDescent="0.2">
      <c r="A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row>
    <row r="158" spans="1:39" x14ac:dyDescent="0.2">
      <c r="A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row>
    <row r="159" spans="1:39" x14ac:dyDescent="0.2">
      <c r="A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row>
    <row r="160" spans="1:39" x14ac:dyDescent="0.2">
      <c r="A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row>
    <row r="161" spans="1:39" x14ac:dyDescent="0.2">
      <c r="A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row>
    <row r="162" spans="1:39" x14ac:dyDescent="0.2">
      <c r="A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row>
    <row r="163" spans="1:39" x14ac:dyDescent="0.2">
      <c r="A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row>
    <row r="164" spans="1:39" x14ac:dyDescent="0.2">
      <c r="A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row>
    <row r="165" spans="1:39" x14ac:dyDescent="0.2">
      <c r="A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row>
    <row r="166" spans="1:39" x14ac:dyDescent="0.2">
      <c r="A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row>
    <row r="167" spans="1:39" x14ac:dyDescent="0.2">
      <c r="A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row>
    <row r="168" spans="1:39" x14ac:dyDescent="0.2">
      <c r="A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row>
    <row r="169" spans="1:39" x14ac:dyDescent="0.2">
      <c r="A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row>
    <row r="170" spans="1:39" x14ac:dyDescent="0.2">
      <c r="A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row>
    <row r="171" spans="1:39" x14ac:dyDescent="0.2">
      <c r="A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row>
    <row r="172" spans="1:39" x14ac:dyDescent="0.2">
      <c r="A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row>
    <row r="173" spans="1:39" x14ac:dyDescent="0.2">
      <c r="A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row>
    <row r="174" spans="1:39" x14ac:dyDescent="0.2">
      <c r="A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row>
    <row r="175" spans="1:39" x14ac:dyDescent="0.2">
      <c r="A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row>
    <row r="176" spans="1:39" x14ac:dyDescent="0.2">
      <c r="A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row>
    <row r="177" spans="1:39" x14ac:dyDescent="0.2">
      <c r="A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row>
    <row r="178" spans="1:39" x14ac:dyDescent="0.2">
      <c r="A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row>
    <row r="179" spans="1:39" x14ac:dyDescent="0.2">
      <c r="A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row>
    <row r="180" spans="1:39" x14ac:dyDescent="0.2">
      <c r="A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row>
    <row r="181" spans="1:39" x14ac:dyDescent="0.2">
      <c r="A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row>
    <row r="182" spans="1:39" x14ac:dyDescent="0.2">
      <c r="A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row>
    <row r="183" spans="1:39" x14ac:dyDescent="0.2">
      <c r="A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row>
    <row r="184" spans="1:39" x14ac:dyDescent="0.2">
      <c r="A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row>
    <row r="185" spans="1:39" x14ac:dyDescent="0.2">
      <c r="A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row>
    <row r="186" spans="1:39" x14ac:dyDescent="0.2">
      <c r="A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row>
    <row r="187" spans="1:39" x14ac:dyDescent="0.2">
      <c r="A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row>
    <row r="188" spans="1:39" x14ac:dyDescent="0.2">
      <c r="A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row>
    <row r="189" spans="1:39" x14ac:dyDescent="0.2">
      <c r="A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row>
    <row r="190" spans="1:39" x14ac:dyDescent="0.2">
      <c r="A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row>
    <row r="191" spans="1:39" x14ac:dyDescent="0.2">
      <c r="A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row>
    <row r="192" spans="1:39" x14ac:dyDescent="0.2">
      <c r="A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row>
    <row r="193" spans="1:39" x14ac:dyDescent="0.2">
      <c r="A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row>
    <row r="194" spans="1:39" x14ac:dyDescent="0.2">
      <c r="A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row>
    <row r="195" spans="1:39" x14ac:dyDescent="0.2">
      <c r="A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row>
    <row r="196" spans="1:39" x14ac:dyDescent="0.2">
      <c r="A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row>
    <row r="197" spans="1:39" x14ac:dyDescent="0.2">
      <c r="A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row>
    <row r="198" spans="1:39" x14ac:dyDescent="0.2">
      <c r="A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row>
    <row r="199" spans="1:39" x14ac:dyDescent="0.2">
      <c r="A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row>
    <row r="200" spans="1:39" x14ac:dyDescent="0.2">
      <c r="A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row>
    <row r="201" spans="1:39" x14ac:dyDescent="0.2">
      <c r="A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row>
    <row r="202" spans="1:39" x14ac:dyDescent="0.2">
      <c r="A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row>
    <row r="203" spans="1:39" x14ac:dyDescent="0.2">
      <c r="A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row>
    <row r="204" spans="1:39" x14ac:dyDescent="0.2">
      <c r="A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row>
  </sheetData>
  <sheetProtection algorithmName="SHA-512" hashValue="GSktzLBKa99BDkcq+d9QjzQKgwCloCP3KmBLDzXv5JSK8uEtEyvJyilq+XVPdAydTPpQ14YsrXtkZXkDI2Sg7g==" saltValue="YtwYppwhAmwiO67tmIbWmA==" spinCount="100000" sheet="1" selectLockedCells="1"/>
  <mergeCells count="2">
    <mergeCell ref="G3:I3"/>
    <mergeCell ref="B2:N2"/>
  </mergeCells>
  <conditionalFormatting sqref="G5:I34">
    <cfRule type="expression" dxfId="176"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5"/>
  <sheetViews>
    <sheetView showGridLines="0" showRowColHeaders="0" workbookViewId="0">
      <selection activeCell="D6" sqref="D6"/>
    </sheetView>
  </sheetViews>
  <sheetFormatPr defaultColWidth="9.140625" defaultRowHeight="12.75" customHeight="1" x14ac:dyDescent="0.2"/>
  <cols>
    <col min="1" max="1" width="2.140625" style="253" customWidth="1"/>
    <col min="2" max="2" width="5.28515625" style="253" customWidth="1"/>
    <col min="3" max="3" width="9" style="253" customWidth="1"/>
    <col min="4" max="4" width="17.42578125" style="253" customWidth="1"/>
    <col min="5" max="6" width="29.85546875" style="253" customWidth="1"/>
    <col min="7" max="7" width="11.5703125" style="253" customWidth="1"/>
    <col min="8" max="8" width="12.42578125" style="253" customWidth="1"/>
    <col min="9" max="9" width="10.5703125" style="253" customWidth="1"/>
    <col min="10" max="10" width="10" style="253" customWidth="1"/>
    <col min="11" max="11" width="11" style="253" customWidth="1"/>
    <col min="12" max="12" width="12" style="253" customWidth="1"/>
    <col min="13" max="13" width="11.85546875" style="253" customWidth="1"/>
    <col min="14" max="15" width="10.28515625" style="253" customWidth="1"/>
    <col min="16" max="16" width="13.42578125" style="253" customWidth="1"/>
    <col min="17" max="17" width="9.5703125" style="253" customWidth="1"/>
    <col min="18" max="16384" width="9.140625" style="253"/>
  </cols>
  <sheetData>
    <row r="1" spans="1:39" ht="53.25" customHeight="1" x14ac:dyDescent="0.2"/>
    <row r="2" spans="1:39" s="255" customFormat="1" ht="37.5" customHeight="1" x14ac:dyDescent="0.2">
      <c r="B2" s="374" t="s">
        <v>758</v>
      </c>
      <c r="C2" s="374"/>
      <c r="D2" s="374"/>
      <c r="E2" s="374"/>
      <c r="F2" s="374"/>
      <c r="G2" s="374"/>
      <c r="H2" s="374"/>
      <c r="I2" s="374"/>
      <c r="J2" s="374"/>
      <c r="K2" s="374"/>
      <c r="L2" s="374"/>
      <c r="M2" s="374"/>
      <c r="N2" s="374"/>
      <c r="O2" s="254"/>
      <c r="P2" s="254"/>
      <c r="Q2" s="254"/>
    </row>
    <row r="3" spans="1:39" x14ac:dyDescent="0.2">
      <c r="K3" s="269"/>
    </row>
    <row r="4" spans="1:39" x14ac:dyDescent="0.2">
      <c r="A4" s="269"/>
      <c r="G4" s="381" t="s">
        <v>31</v>
      </c>
      <c r="H4" s="382"/>
      <c r="I4" s="383"/>
      <c r="J4" s="305" t="s">
        <v>32</v>
      </c>
      <c r="K4" s="313">
        <f>SUM(Table_Controls_Input22[Estimated incentive])</f>
        <v>0</v>
      </c>
      <c r="L4" s="314">
        <f>SUM(Table_Controls_Input22[Energy savings (kWh)])</f>
        <v>0</v>
      </c>
      <c r="M4" s="315">
        <f>SUM(Table_Controls_Input22[Demand reduction (kW)])</f>
        <v>0</v>
      </c>
      <c r="N4" s="316">
        <f>SUM(Table_Controls_Input22[Cost savings])</f>
        <v>0</v>
      </c>
      <c r="O4" s="316">
        <f>SUM(Table_Controls_Input22[Gross measure cost])</f>
        <v>0</v>
      </c>
      <c r="P4" s="316">
        <f>SUM(Table_Controls_Input22[Net measure cost])</f>
        <v>0</v>
      </c>
      <c r="Q4" s="306" t="str">
        <f>IFERROR(P4/N4,"")</f>
        <v/>
      </c>
      <c r="R4" s="269"/>
      <c r="S4" s="269"/>
      <c r="T4" s="269"/>
      <c r="U4" s="269"/>
      <c r="V4" s="269"/>
      <c r="W4" s="269"/>
      <c r="X4" s="269"/>
      <c r="Y4" s="269"/>
      <c r="Z4" s="269"/>
      <c r="AA4" s="269"/>
      <c r="AB4" s="269"/>
      <c r="AC4" s="269"/>
      <c r="AD4" s="269"/>
      <c r="AE4" s="269"/>
      <c r="AF4" s="269"/>
      <c r="AG4" s="269"/>
      <c r="AH4" s="269"/>
      <c r="AI4" s="269"/>
      <c r="AJ4" s="269"/>
      <c r="AK4" s="269"/>
      <c r="AL4" s="269"/>
      <c r="AM4" s="269"/>
    </row>
    <row r="5" spans="1:39" s="245" customFormat="1" ht="38.25" x14ac:dyDescent="0.2">
      <c r="A5" s="292"/>
      <c r="B5" s="293" t="s">
        <v>801</v>
      </c>
      <c r="C5" s="294" t="s">
        <v>723</v>
      </c>
      <c r="D5" s="295" t="s">
        <v>724</v>
      </c>
      <c r="E5" s="294" t="s">
        <v>759</v>
      </c>
      <c r="F5" s="290" t="s">
        <v>752</v>
      </c>
      <c r="G5" s="297" t="s">
        <v>753</v>
      </c>
      <c r="H5" s="297" t="s">
        <v>732</v>
      </c>
      <c r="I5" s="297" t="s">
        <v>733</v>
      </c>
      <c r="J5" s="290" t="s">
        <v>734</v>
      </c>
      <c r="K5" s="290" t="s">
        <v>735</v>
      </c>
      <c r="L5" s="290" t="s">
        <v>736</v>
      </c>
      <c r="M5" s="290" t="s">
        <v>737</v>
      </c>
      <c r="N5" s="290" t="s">
        <v>738</v>
      </c>
      <c r="O5" s="290" t="s">
        <v>739</v>
      </c>
      <c r="P5" s="290" t="s">
        <v>740</v>
      </c>
      <c r="Q5" s="290" t="s">
        <v>741</v>
      </c>
      <c r="R5" s="292"/>
      <c r="S5" s="292"/>
      <c r="T5" s="292"/>
      <c r="U5" s="292"/>
      <c r="V5" s="292"/>
      <c r="W5" s="292"/>
      <c r="X5" s="292"/>
      <c r="Y5" s="292"/>
      <c r="Z5" s="292"/>
      <c r="AA5" s="292"/>
      <c r="AB5" s="292"/>
      <c r="AC5" s="292"/>
      <c r="AD5" s="292"/>
      <c r="AE5" s="292"/>
      <c r="AF5" s="292"/>
      <c r="AG5" s="292"/>
      <c r="AH5" s="292"/>
      <c r="AI5" s="292"/>
      <c r="AJ5" s="292"/>
      <c r="AK5" s="292"/>
      <c r="AL5" s="292"/>
      <c r="AM5" s="292"/>
    </row>
    <row r="6" spans="1:39" x14ac:dyDescent="0.2">
      <c r="A6" s="273"/>
      <c r="B6" s="307">
        <v>1</v>
      </c>
      <c r="C6" s="308" t="str">
        <f>IFERROR(INDEX(Table_Prescript_Meas[Measure Number], MATCH(E6, Table_Prescript_Meas[Measure Description], 0)), "")</f>
        <v/>
      </c>
      <c r="D6" s="317"/>
      <c r="E6" s="318"/>
      <c r="F6" s="308" t="str">
        <f>IFERROR(INDEX(Table_Prescript_Meas[Units], MATCH(Table_Controls_Input22[[#This Row],[Measure number]], Table_Prescript_Meas[Measure Number], 0)), "")</f>
        <v/>
      </c>
      <c r="G6" s="309"/>
      <c r="H6" s="303"/>
      <c r="I6" s="303"/>
      <c r="J6"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310" t="str">
        <f>IFERROR(Table_Controls_Input22[[#This Row],[Number of units]]*Table_Controls_Input22[[#This Row],[Per-unit incentive]], "")</f>
        <v/>
      </c>
      <c r="L6" s="311" t="str">
        <f>IFERROR(Table_Controls_Input22[[#This Row],[Number of units]]*INDEX(Table_Prescript_Meas[Deemed kWh Savings], MATCH(Table_Controls_Input22[[#This Row],[Measure number]], Table_Prescript_Meas[Measure Number], 0)),"" )</f>
        <v/>
      </c>
      <c r="M6" s="312" t="str">
        <f>IFERROR(Table_Controls_Input22[[#This Row],[Number of units]]*INDEX(Table_Prescript_Meas[Deemed kW Savings], MATCH(Table_Controls_Input22[[#This Row],[Measure number]], Table_Prescript_Meas[Measure Number], 0)),"" )</f>
        <v/>
      </c>
      <c r="N6" s="310" t="str">
        <f t="shared" ref="N6" si="0">IFERROR(L6*Input_AvgkWhRate, "")</f>
        <v/>
      </c>
      <c r="O6" s="310" t="str">
        <f>IF(Table_Controls_Input22[[#This Row],[Measure number]]="", "", Table_Controls_Input22[[#This Row],[Total equipment cost]]+Table_Controls_Input22[[#This Row],[Total labor cost]])</f>
        <v/>
      </c>
      <c r="P6" s="310" t="str">
        <f>IFERROR(Table_Controls_Input22[[#This Row],[Gross measure cost]]-Table_Controls_Input22[[#This Row],[Estimated incentive]], "")</f>
        <v/>
      </c>
      <c r="Q6" s="311" t="str">
        <f t="shared" ref="Q6:Q35" si="1">IFERROR($P6/$N6,"")</f>
        <v/>
      </c>
      <c r="R6" s="273"/>
      <c r="S6" s="273"/>
      <c r="T6" s="273"/>
      <c r="U6" s="273"/>
      <c r="V6" s="273"/>
      <c r="W6" s="273"/>
      <c r="X6" s="273"/>
      <c r="Y6" s="273"/>
      <c r="Z6" s="273"/>
      <c r="AA6" s="273"/>
      <c r="AB6" s="273"/>
      <c r="AC6" s="273"/>
      <c r="AD6" s="273"/>
      <c r="AE6" s="273"/>
      <c r="AF6" s="273"/>
      <c r="AG6" s="273"/>
      <c r="AH6" s="273"/>
      <c r="AI6" s="273"/>
      <c r="AJ6" s="273"/>
      <c r="AK6" s="273"/>
      <c r="AL6" s="273"/>
      <c r="AM6" s="273"/>
    </row>
    <row r="7" spans="1:39" x14ac:dyDescent="0.2">
      <c r="A7" s="273"/>
      <c r="B7" s="307">
        <v>2</v>
      </c>
      <c r="C7" s="308" t="str">
        <f>IFERROR(INDEX(Table_Prescript_Meas[Measure Number], MATCH(E7, Table_Prescript_Meas[Measure Description], 0)), "")</f>
        <v/>
      </c>
      <c r="D7" s="317"/>
      <c r="E7" s="318"/>
      <c r="F7" s="308" t="str">
        <f>IFERROR(INDEX(Table_Prescript_Meas[Units], MATCH(Table_Controls_Input22[[#This Row],[Measure number]], Table_Prescript_Meas[Measure Number], 0)), "")</f>
        <v/>
      </c>
      <c r="G7" s="309"/>
      <c r="H7" s="303"/>
      <c r="I7" s="303"/>
      <c r="J7"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310" t="str">
        <f>IFERROR(Table_Controls_Input22[[#This Row],[Number of units]]*Table_Controls_Input22[[#This Row],[Per-unit incentive]], "")</f>
        <v/>
      </c>
      <c r="L7" s="311" t="str">
        <f>IFERROR(Table_Controls_Input22[[#This Row],[Number of units]]*INDEX(Table_Prescript_Meas[Deemed kWh Savings], MATCH(Table_Controls_Input22[[#This Row],[Measure number]], Table_Prescript_Meas[Measure Number], 0)),"" )</f>
        <v/>
      </c>
      <c r="M7" s="312" t="str">
        <f>IFERROR(Table_Controls_Input22[[#This Row],[Number of units]]*INDEX(Table_Prescript_Meas[Deemed kW Savings], MATCH(Table_Controls_Input22[[#This Row],[Measure number]], Table_Prescript_Meas[Measure Number], 0)),"" )</f>
        <v/>
      </c>
      <c r="N7" s="310" t="str">
        <f t="shared" ref="N7:N35" si="2">IFERROR(L7*Input_AvgkWhRate, "")</f>
        <v/>
      </c>
      <c r="O7" s="310" t="str">
        <f>IF(Table_Controls_Input22[[#This Row],[Measure number]]="", "", Table_Controls_Input22[[#This Row],[Total equipment cost]]+Table_Controls_Input22[[#This Row],[Total labor cost]])</f>
        <v/>
      </c>
      <c r="P7" s="310" t="str">
        <f>IFERROR(Table_Controls_Input22[[#This Row],[Gross measure cost]]-Table_Controls_Input22[[#This Row],[Estimated incentive]], "")</f>
        <v/>
      </c>
      <c r="Q7" s="311" t="str">
        <f t="shared" si="1"/>
        <v/>
      </c>
      <c r="R7" s="273"/>
      <c r="S7" s="273"/>
      <c r="T7" s="273"/>
      <c r="U7" s="273"/>
      <c r="V7" s="273"/>
      <c r="W7" s="273"/>
      <c r="X7" s="273"/>
      <c r="Y7" s="273"/>
      <c r="Z7" s="273"/>
      <c r="AA7" s="273"/>
      <c r="AB7" s="273"/>
      <c r="AC7" s="273"/>
      <c r="AD7" s="273"/>
      <c r="AE7" s="273"/>
      <c r="AF7" s="273"/>
      <c r="AG7" s="273"/>
      <c r="AH7" s="273"/>
      <c r="AI7" s="273"/>
      <c r="AJ7" s="273"/>
      <c r="AK7" s="273"/>
      <c r="AL7" s="273"/>
      <c r="AM7" s="273"/>
    </row>
    <row r="8" spans="1:39" x14ac:dyDescent="0.2">
      <c r="A8" s="273"/>
      <c r="B8" s="307">
        <v>3</v>
      </c>
      <c r="C8" s="308" t="str">
        <f>IFERROR(INDEX(Table_Prescript_Meas[Measure Number], MATCH(E8, Table_Prescript_Meas[Measure Description], 0)), "")</f>
        <v/>
      </c>
      <c r="D8" s="317"/>
      <c r="E8" s="318"/>
      <c r="F8" s="308" t="str">
        <f>IFERROR(INDEX(Table_Prescript_Meas[Units], MATCH(Table_Controls_Input22[[#This Row],[Measure number]], Table_Prescript_Meas[Measure Number], 0)), "")</f>
        <v/>
      </c>
      <c r="G8" s="309"/>
      <c r="H8" s="303"/>
      <c r="I8" s="303"/>
      <c r="J8"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310" t="str">
        <f>IFERROR(Table_Controls_Input22[[#This Row],[Number of units]]*Table_Controls_Input22[[#This Row],[Per-unit incentive]], "")</f>
        <v/>
      </c>
      <c r="L8" s="311" t="str">
        <f>IFERROR(Table_Controls_Input22[[#This Row],[Number of units]]*INDEX(Table_Prescript_Meas[Deemed kWh Savings], MATCH(Table_Controls_Input22[[#This Row],[Measure number]], Table_Prescript_Meas[Measure Number], 0)),"" )</f>
        <v/>
      </c>
      <c r="M8" s="312" t="str">
        <f>IFERROR(Table_Controls_Input22[[#This Row],[Number of units]]*INDEX(Table_Prescript_Meas[Deemed kW Savings], MATCH(Table_Controls_Input22[[#This Row],[Measure number]], Table_Prescript_Meas[Measure Number], 0)),"" )</f>
        <v/>
      </c>
      <c r="N8" s="310" t="str">
        <f t="shared" si="2"/>
        <v/>
      </c>
      <c r="O8" s="310" t="str">
        <f>IF(Table_Controls_Input22[[#This Row],[Measure number]]="", "", Table_Controls_Input22[[#This Row],[Total equipment cost]]+Table_Controls_Input22[[#This Row],[Total labor cost]])</f>
        <v/>
      </c>
      <c r="P8" s="310" t="str">
        <f>IFERROR(Table_Controls_Input22[[#This Row],[Gross measure cost]]-Table_Controls_Input22[[#This Row],[Estimated incentive]], "")</f>
        <v/>
      </c>
      <c r="Q8" s="311" t="str">
        <f t="shared" si="1"/>
        <v/>
      </c>
      <c r="R8" s="273"/>
      <c r="S8" s="273"/>
      <c r="T8" s="273"/>
      <c r="U8" s="273"/>
      <c r="V8" s="273"/>
      <c r="W8" s="273"/>
      <c r="X8" s="273"/>
      <c r="Y8" s="273"/>
      <c r="Z8" s="273"/>
      <c r="AA8" s="273"/>
      <c r="AB8" s="273"/>
      <c r="AC8" s="273"/>
      <c r="AD8" s="273"/>
      <c r="AE8" s="273"/>
      <c r="AF8" s="273"/>
      <c r="AG8" s="273"/>
      <c r="AH8" s="273"/>
      <c r="AI8" s="273"/>
      <c r="AJ8" s="273"/>
      <c r="AK8" s="273"/>
      <c r="AL8" s="273"/>
      <c r="AM8" s="273"/>
    </row>
    <row r="9" spans="1:39" x14ac:dyDescent="0.2">
      <c r="A9" s="273"/>
      <c r="B9" s="307">
        <v>4</v>
      </c>
      <c r="C9" s="308" t="str">
        <f>IFERROR(INDEX(Table_Prescript_Meas[Measure Number], MATCH(E9, Table_Prescript_Meas[Measure Description], 0)), "")</f>
        <v/>
      </c>
      <c r="D9" s="317"/>
      <c r="E9" s="318"/>
      <c r="F9" s="308" t="str">
        <f>IFERROR(INDEX(Table_Prescript_Meas[Units], MATCH(Table_Controls_Input22[[#This Row],[Measure number]], Table_Prescript_Meas[Measure Number], 0)), "")</f>
        <v/>
      </c>
      <c r="G9" s="309"/>
      <c r="H9" s="303"/>
      <c r="I9" s="303"/>
      <c r="J9"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310" t="str">
        <f>IFERROR(Table_Controls_Input22[[#This Row],[Number of units]]*Table_Controls_Input22[[#This Row],[Per-unit incentive]], "")</f>
        <v/>
      </c>
      <c r="L9" s="311" t="str">
        <f>IFERROR(Table_Controls_Input22[[#This Row],[Number of units]]*INDEX(Table_Prescript_Meas[Deemed kWh Savings], MATCH(Table_Controls_Input22[[#This Row],[Measure number]], Table_Prescript_Meas[Measure Number], 0)),"" )</f>
        <v/>
      </c>
      <c r="M9" s="312" t="str">
        <f>IFERROR(Table_Controls_Input22[[#This Row],[Number of units]]*INDEX(Table_Prescript_Meas[Deemed kW Savings], MATCH(Table_Controls_Input22[[#This Row],[Measure number]], Table_Prescript_Meas[Measure Number], 0)),"" )</f>
        <v/>
      </c>
      <c r="N9" s="310" t="str">
        <f t="shared" si="2"/>
        <v/>
      </c>
      <c r="O9" s="310" t="str">
        <f>IF(Table_Controls_Input22[[#This Row],[Measure number]]="", "", Table_Controls_Input22[[#This Row],[Total equipment cost]]+Table_Controls_Input22[[#This Row],[Total labor cost]])</f>
        <v/>
      </c>
      <c r="P9" s="310" t="str">
        <f>IFERROR(Table_Controls_Input22[[#This Row],[Gross measure cost]]-Table_Controls_Input22[[#This Row],[Estimated incentive]], "")</f>
        <v/>
      </c>
      <c r="Q9" s="311" t="str">
        <f t="shared" si="1"/>
        <v/>
      </c>
      <c r="R9" s="273"/>
      <c r="S9" s="273"/>
      <c r="T9" s="273"/>
      <c r="U9" s="273"/>
      <c r="V9" s="273"/>
      <c r="W9" s="273"/>
      <c r="X9" s="273"/>
      <c r="Y9" s="273"/>
      <c r="Z9" s="273"/>
      <c r="AA9" s="273"/>
      <c r="AB9" s="273"/>
      <c r="AC9" s="273"/>
      <c r="AD9" s="273"/>
      <c r="AE9" s="273"/>
      <c r="AF9" s="273"/>
      <c r="AG9" s="273"/>
      <c r="AH9" s="273"/>
      <c r="AI9" s="273"/>
      <c r="AJ9" s="273"/>
      <c r="AK9" s="273"/>
      <c r="AL9" s="273"/>
      <c r="AM9" s="273"/>
    </row>
    <row r="10" spans="1:39" x14ac:dyDescent="0.2">
      <c r="A10" s="273"/>
      <c r="B10" s="307">
        <v>5</v>
      </c>
      <c r="C10" s="308" t="str">
        <f>IFERROR(INDEX(Table_Prescript_Meas[Measure Number], MATCH(E10, Table_Prescript_Meas[Measure Description], 0)), "")</f>
        <v/>
      </c>
      <c r="D10" s="317"/>
      <c r="E10" s="318"/>
      <c r="F10" s="308" t="str">
        <f>IFERROR(INDEX(Table_Prescript_Meas[Units], MATCH(Table_Controls_Input22[[#This Row],[Measure number]], Table_Prescript_Meas[Measure Number], 0)), "")</f>
        <v/>
      </c>
      <c r="G10" s="309"/>
      <c r="H10" s="303"/>
      <c r="I10" s="303"/>
      <c r="J10"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310" t="str">
        <f>IFERROR(Table_Controls_Input22[[#This Row],[Number of units]]*Table_Controls_Input22[[#This Row],[Per-unit incentive]], "")</f>
        <v/>
      </c>
      <c r="L10" s="311" t="str">
        <f>IFERROR(Table_Controls_Input22[[#This Row],[Number of units]]*INDEX(Table_Prescript_Meas[Deemed kWh Savings], MATCH(Table_Controls_Input22[[#This Row],[Measure number]], Table_Prescript_Meas[Measure Number], 0)),"" )</f>
        <v/>
      </c>
      <c r="M10" s="312" t="str">
        <f>IFERROR(Table_Controls_Input22[[#This Row],[Number of units]]*INDEX(Table_Prescript_Meas[Deemed kW Savings], MATCH(Table_Controls_Input22[[#This Row],[Measure number]], Table_Prescript_Meas[Measure Number], 0)),"" )</f>
        <v/>
      </c>
      <c r="N10" s="310" t="str">
        <f t="shared" si="2"/>
        <v/>
      </c>
      <c r="O10" s="310" t="str">
        <f>IF(Table_Controls_Input22[[#This Row],[Measure number]]="", "", Table_Controls_Input22[[#This Row],[Total equipment cost]]+Table_Controls_Input22[[#This Row],[Total labor cost]])</f>
        <v/>
      </c>
      <c r="P10" s="310" t="str">
        <f>IFERROR(Table_Controls_Input22[[#This Row],[Gross measure cost]]-Table_Controls_Input22[[#This Row],[Estimated incentive]], "")</f>
        <v/>
      </c>
      <c r="Q10" s="311" t="str">
        <f t="shared" si="1"/>
        <v/>
      </c>
      <c r="R10" s="273"/>
      <c r="S10" s="273"/>
      <c r="T10" s="273"/>
      <c r="U10" s="273"/>
      <c r="V10" s="273"/>
      <c r="W10" s="273"/>
      <c r="X10" s="273"/>
      <c r="Y10" s="273"/>
      <c r="Z10" s="273"/>
      <c r="AA10" s="273"/>
      <c r="AB10" s="273"/>
      <c r="AC10" s="273"/>
      <c r="AD10" s="273"/>
      <c r="AE10" s="273"/>
      <c r="AF10" s="273"/>
      <c r="AG10" s="273"/>
      <c r="AH10" s="273"/>
      <c r="AI10" s="273"/>
      <c r="AJ10" s="273"/>
      <c r="AK10" s="273"/>
      <c r="AL10" s="273"/>
      <c r="AM10" s="273"/>
    </row>
    <row r="11" spans="1:39" x14ac:dyDescent="0.2">
      <c r="A11" s="273"/>
      <c r="B11" s="307">
        <v>6</v>
      </c>
      <c r="C11" s="308" t="str">
        <f>IFERROR(INDEX(Table_Prescript_Meas[Measure Number], MATCH(E11, Table_Prescript_Meas[Measure Description], 0)), "")</f>
        <v/>
      </c>
      <c r="D11" s="317"/>
      <c r="E11" s="318"/>
      <c r="F11" s="308" t="str">
        <f>IFERROR(INDEX(Table_Prescript_Meas[Units], MATCH(Table_Controls_Input22[[#This Row],[Measure number]], Table_Prescript_Meas[Measure Number], 0)), "")</f>
        <v/>
      </c>
      <c r="G11" s="309"/>
      <c r="H11" s="303"/>
      <c r="I11" s="303"/>
      <c r="J11"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310" t="str">
        <f>IFERROR(Table_Controls_Input22[[#This Row],[Number of units]]*Table_Controls_Input22[[#This Row],[Per-unit incentive]], "")</f>
        <v/>
      </c>
      <c r="L11" s="311" t="str">
        <f>IFERROR(Table_Controls_Input22[[#This Row],[Number of units]]*INDEX(Table_Prescript_Meas[Deemed kWh Savings], MATCH(Table_Controls_Input22[[#This Row],[Measure number]], Table_Prescript_Meas[Measure Number], 0)),"" )</f>
        <v/>
      </c>
      <c r="M11" s="312" t="str">
        <f>IFERROR(Table_Controls_Input22[[#This Row],[Number of units]]*INDEX(Table_Prescript_Meas[Deemed kW Savings], MATCH(Table_Controls_Input22[[#This Row],[Measure number]], Table_Prescript_Meas[Measure Number], 0)),"" )</f>
        <v/>
      </c>
      <c r="N11" s="310" t="str">
        <f t="shared" si="2"/>
        <v/>
      </c>
      <c r="O11" s="310" t="str">
        <f>IF(Table_Controls_Input22[[#This Row],[Measure number]]="", "", Table_Controls_Input22[[#This Row],[Total equipment cost]]+Table_Controls_Input22[[#This Row],[Total labor cost]])</f>
        <v/>
      </c>
      <c r="P11" s="310" t="str">
        <f>IFERROR(Table_Controls_Input22[[#This Row],[Gross measure cost]]-Table_Controls_Input22[[#This Row],[Estimated incentive]], "")</f>
        <v/>
      </c>
      <c r="Q11" s="311" t="str">
        <f t="shared" si="1"/>
        <v/>
      </c>
      <c r="R11" s="273"/>
      <c r="S11" s="273"/>
      <c r="T11" s="273"/>
      <c r="U11" s="273"/>
      <c r="V11" s="273"/>
      <c r="W11" s="273"/>
      <c r="X11" s="273"/>
      <c r="Y11" s="273"/>
      <c r="Z11" s="273"/>
      <c r="AA11" s="273"/>
      <c r="AB11" s="273"/>
      <c r="AC11" s="273"/>
      <c r="AD11" s="273"/>
      <c r="AE11" s="273"/>
      <c r="AF11" s="273"/>
      <c r="AG11" s="273"/>
      <c r="AH11" s="273"/>
      <c r="AI11" s="273"/>
      <c r="AJ11" s="273"/>
      <c r="AK11" s="273"/>
      <c r="AL11" s="273"/>
      <c r="AM11" s="273"/>
    </row>
    <row r="12" spans="1:39" x14ac:dyDescent="0.2">
      <c r="A12" s="273"/>
      <c r="B12" s="307">
        <v>7</v>
      </c>
      <c r="C12" s="308" t="str">
        <f>IFERROR(INDEX(Table_Prescript_Meas[Measure Number], MATCH(E12, Table_Prescript_Meas[Measure Description], 0)), "")</f>
        <v/>
      </c>
      <c r="D12" s="317"/>
      <c r="E12" s="318"/>
      <c r="F12" s="308" t="str">
        <f>IFERROR(INDEX(Table_Prescript_Meas[Units], MATCH(Table_Controls_Input22[[#This Row],[Measure number]], Table_Prescript_Meas[Measure Number], 0)), "")</f>
        <v/>
      </c>
      <c r="G12" s="309"/>
      <c r="H12" s="303"/>
      <c r="I12" s="303"/>
      <c r="J12"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310" t="str">
        <f>IFERROR(Table_Controls_Input22[[#This Row],[Number of units]]*Table_Controls_Input22[[#This Row],[Per-unit incentive]], "")</f>
        <v/>
      </c>
      <c r="L12" s="311" t="str">
        <f>IFERROR(Table_Controls_Input22[[#This Row],[Number of units]]*INDEX(Table_Prescript_Meas[Deemed kWh Savings], MATCH(Table_Controls_Input22[[#This Row],[Measure number]], Table_Prescript_Meas[Measure Number], 0)),"" )</f>
        <v/>
      </c>
      <c r="M12" s="312" t="str">
        <f>IFERROR(Table_Controls_Input22[[#This Row],[Number of units]]*INDEX(Table_Prescript_Meas[Deemed kW Savings], MATCH(Table_Controls_Input22[[#This Row],[Measure number]], Table_Prescript_Meas[Measure Number], 0)),"" )</f>
        <v/>
      </c>
      <c r="N12" s="310" t="str">
        <f t="shared" si="2"/>
        <v/>
      </c>
      <c r="O12" s="310" t="str">
        <f>IF(Table_Controls_Input22[[#This Row],[Measure number]]="", "", Table_Controls_Input22[[#This Row],[Total equipment cost]]+Table_Controls_Input22[[#This Row],[Total labor cost]])</f>
        <v/>
      </c>
      <c r="P12" s="310" t="str">
        <f>IFERROR(Table_Controls_Input22[[#This Row],[Gross measure cost]]-Table_Controls_Input22[[#This Row],[Estimated incentive]], "")</f>
        <v/>
      </c>
      <c r="Q12" s="311" t="str">
        <f t="shared" si="1"/>
        <v/>
      </c>
      <c r="R12" s="273"/>
      <c r="S12" s="273"/>
      <c r="T12" s="273"/>
      <c r="U12" s="273"/>
      <c r="V12" s="273"/>
      <c r="W12" s="273"/>
      <c r="X12" s="273"/>
      <c r="Y12" s="273"/>
      <c r="Z12" s="273"/>
      <c r="AA12" s="273"/>
      <c r="AB12" s="273"/>
      <c r="AC12" s="273"/>
      <c r="AD12" s="273"/>
      <c r="AE12" s="273"/>
      <c r="AF12" s="273"/>
      <c r="AG12" s="273"/>
      <c r="AH12" s="273"/>
      <c r="AI12" s="273"/>
      <c r="AJ12" s="273"/>
      <c r="AK12" s="273"/>
      <c r="AL12" s="273"/>
      <c r="AM12" s="273"/>
    </row>
    <row r="13" spans="1:39" x14ac:dyDescent="0.2">
      <c r="A13" s="273"/>
      <c r="B13" s="307">
        <v>8</v>
      </c>
      <c r="C13" s="308" t="str">
        <f>IFERROR(INDEX(Table_Prescript_Meas[Measure Number], MATCH(E13, Table_Prescript_Meas[Measure Description], 0)), "")</f>
        <v/>
      </c>
      <c r="D13" s="317"/>
      <c r="E13" s="318"/>
      <c r="F13" s="308" t="str">
        <f>IFERROR(INDEX(Table_Prescript_Meas[Units], MATCH(Table_Controls_Input22[[#This Row],[Measure number]], Table_Prescript_Meas[Measure Number], 0)), "")</f>
        <v/>
      </c>
      <c r="G13" s="309"/>
      <c r="H13" s="303"/>
      <c r="I13" s="303"/>
      <c r="J13"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310" t="str">
        <f>IFERROR(Table_Controls_Input22[[#This Row],[Number of units]]*Table_Controls_Input22[[#This Row],[Per-unit incentive]], "")</f>
        <v/>
      </c>
      <c r="L13" s="311" t="str">
        <f>IFERROR(Table_Controls_Input22[[#This Row],[Number of units]]*INDEX(Table_Prescript_Meas[Deemed kWh Savings], MATCH(Table_Controls_Input22[[#This Row],[Measure number]], Table_Prescript_Meas[Measure Number], 0)),"" )</f>
        <v/>
      </c>
      <c r="M13" s="312" t="str">
        <f>IFERROR(Table_Controls_Input22[[#This Row],[Number of units]]*INDEX(Table_Prescript_Meas[Deemed kW Savings], MATCH(Table_Controls_Input22[[#This Row],[Measure number]], Table_Prescript_Meas[Measure Number], 0)),"" )</f>
        <v/>
      </c>
      <c r="N13" s="310" t="str">
        <f t="shared" si="2"/>
        <v/>
      </c>
      <c r="O13" s="310" t="str">
        <f>IF(Table_Controls_Input22[[#This Row],[Measure number]]="", "", Table_Controls_Input22[[#This Row],[Total equipment cost]]+Table_Controls_Input22[[#This Row],[Total labor cost]])</f>
        <v/>
      </c>
      <c r="P13" s="310" t="str">
        <f>IFERROR(Table_Controls_Input22[[#This Row],[Gross measure cost]]-Table_Controls_Input22[[#This Row],[Estimated incentive]], "")</f>
        <v/>
      </c>
      <c r="Q13" s="311" t="str">
        <f t="shared" si="1"/>
        <v/>
      </c>
      <c r="R13" s="273"/>
      <c r="S13" s="273"/>
      <c r="T13" s="273"/>
      <c r="U13" s="273"/>
      <c r="V13" s="273"/>
      <c r="W13" s="273"/>
      <c r="X13" s="273"/>
      <c r="Y13" s="273"/>
      <c r="Z13" s="273"/>
      <c r="AA13" s="273"/>
      <c r="AB13" s="273"/>
      <c r="AC13" s="273"/>
      <c r="AD13" s="273"/>
      <c r="AE13" s="273"/>
      <c r="AF13" s="273"/>
      <c r="AG13" s="273"/>
      <c r="AH13" s="273"/>
      <c r="AI13" s="273"/>
      <c r="AJ13" s="273"/>
      <c r="AK13" s="273"/>
      <c r="AL13" s="273"/>
      <c r="AM13" s="273"/>
    </row>
    <row r="14" spans="1:39" x14ac:dyDescent="0.2">
      <c r="A14" s="273"/>
      <c r="B14" s="307">
        <v>9</v>
      </c>
      <c r="C14" s="308" t="str">
        <f>IFERROR(INDEX(Table_Prescript_Meas[Measure Number], MATCH(E14, Table_Prescript_Meas[Measure Description], 0)), "")</f>
        <v/>
      </c>
      <c r="D14" s="317"/>
      <c r="E14" s="318"/>
      <c r="F14" s="308" t="str">
        <f>IFERROR(INDEX(Table_Prescript_Meas[Units], MATCH(Table_Controls_Input22[[#This Row],[Measure number]], Table_Prescript_Meas[Measure Number], 0)), "")</f>
        <v/>
      </c>
      <c r="G14" s="309"/>
      <c r="H14" s="303"/>
      <c r="I14" s="303"/>
      <c r="J14"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310" t="str">
        <f>IFERROR(Table_Controls_Input22[[#This Row],[Number of units]]*Table_Controls_Input22[[#This Row],[Per-unit incentive]], "")</f>
        <v/>
      </c>
      <c r="L14" s="311" t="str">
        <f>IFERROR(Table_Controls_Input22[[#This Row],[Number of units]]*INDEX(Table_Prescript_Meas[Deemed kWh Savings], MATCH(Table_Controls_Input22[[#This Row],[Measure number]], Table_Prescript_Meas[Measure Number], 0)),"" )</f>
        <v/>
      </c>
      <c r="M14" s="312" t="str">
        <f>IFERROR(Table_Controls_Input22[[#This Row],[Number of units]]*INDEX(Table_Prescript_Meas[Deemed kW Savings], MATCH(Table_Controls_Input22[[#This Row],[Measure number]], Table_Prescript_Meas[Measure Number], 0)),"" )</f>
        <v/>
      </c>
      <c r="N14" s="310" t="str">
        <f t="shared" si="2"/>
        <v/>
      </c>
      <c r="O14" s="310" t="str">
        <f>IF(Table_Controls_Input22[[#This Row],[Measure number]]="", "", Table_Controls_Input22[[#This Row],[Total equipment cost]]+Table_Controls_Input22[[#This Row],[Total labor cost]])</f>
        <v/>
      </c>
      <c r="P14" s="310" t="str">
        <f>IFERROR(Table_Controls_Input22[[#This Row],[Gross measure cost]]-Table_Controls_Input22[[#This Row],[Estimated incentive]], "")</f>
        <v/>
      </c>
      <c r="Q14" s="311" t="str">
        <f t="shared" si="1"/>
        <v/>
      </c>
      <c r="R14" s="273"/>
      <c r="S14" s="273"/>
      <c r="T14" s="273"/>
      <c r="U14" s="273"/>
      <c r="V14" s="273"/>
      <c r="W14" s="273"/>
      <c r="X14" s="273"/>
      <c r="Y14" s="273"/>
      <c r="Z14" s="273"/>
      <c r="AA14" s="273"/>
      <c r="AB14" s="273"/>
      <c r="AC14" s="273"/>
      <c r="AD14" s="273"/>
      <c r="AE14" s="273"/>
      <c r="AF14" s="273"/>
      <c r="AG14" s="273"/>
      <c r="AH14" s="273"/>
      <c r="AI14" s="273"/>
      <c r="AJ14" s="273"/>
      <c r="AK14" s="273"/>
      <c r="AL14" s="273"/>
      <c r="AM14" s="273"/>
    </row>
    <row r="15" spans="1:39" x14ac:dyDescent="0.2">
      <c r="A15" s="273"/>
      <c r="B15" s="307">
        <v>10</v>
      </c>
      <c r="C15" s="308" t="str">
        <f>IFERROR(INDEX(Table_Prescript_Meas[Measure Number], MATCH(E15, Table_Prescript_Meas[Measure Description], 0)), "")</f>
        <v/>
      </c>
      <c r="D15" s="317"/>
      <c r="E15" s="318"/>
      <c r="F15" s="308" t="str">
        <f>IFERROR(INDEX(Table_Prescript_Meas[Units], MATCH(Table_Controls_Input22[[#This Row],[Measure number]], Table_Prescript_Meas[Measure Number], 0)), "")</f>
        <v/>
      </c>
      <c r="G15" s="309"/>
      <c r="H15" s="303"/>
      <c r="I15" s="303"/>
      <c r="J15"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310" t="str">
        <f>IFERROR(Table_Controls_Input22[[#This Row],[Number of units]]*Table_Controls_Input22[[#This Row],[Per-unit incentive]], "")</f>
        <v/>
      </c>
      <c r="L15" s="311" t="str">
        <f>IFERROR(Table_Controls_Input22[[#This Row],[Number of units]]*INDEX(Table_Prescript_Meas[Deemed kWh Savings], MATCH(Table_Controls_Input22[[#This Row],[Measure number]], Table_Prescript_Meas[Measure Number], 0)),"" )</f>
        <v/>
      </c>
      <c r="M15" s="312" t="str">
        <f>IFERROR(Table_Controls_Input22[[#This Row],[Number of units]]*INDEX(Table_Prescript_Meas[Deemed kW Savings], MATCH(Table_Controls_Input22[[#This Row],[Measure number]], Table_Prescript_Meas[Measure Number], 0)),"" )</f>
        <v/>
      </c>
      <c r="N15" s="310" t="str">
        <f t="shared" si="2"/>
        <v/>
      </c>
      <c r="O15" s="310" t="str">
        <f>IF(Table_Controls_Input22[[#This Row],[Measure number]]="", "", Table_Controls_Input22[[#This Row],[Total equipment cost]]+Table_Controls_Input22[[#This Row],[Total labor cost]])</f>
        <v/>
      </c>
      <c r="P15" s="310" t="str">
        <f>IFERROR(Table_Controls_Input22[[#This Row],[Gross measure cost]]-Table_Controls_Input22[[#This Row],[Estimated incentive]], "")</f>
        <v/>
      </c>
      <c r="Q15" s="311" t="str">
        <f t="shared" si="1"/>
        <v/>
      </c>
      <c r="R15" s="273"/>
      <c r="S15" s="273"/>
      <c r="T15" s="273"/>
      <c r="U15" s="273"/>
      <c r="V15" s="273"/>
      <c r="W15" s="273"/>
      <c r="X15" s="273"/>
      <c r="Y15" s="273"/>
      <c r="Z15" s="273"/>
      <c r="AA15" s="273"/>
      <c r="AB15" s="273"/>
      <c r="AC15" s="273"/>
      <c r="AD15" s="273"/>
      <c r="AE15" s="273"/>
      <c r="AF15" s="273"/>
      <c r="AG15" s="273"/>
      <c r="AH15" s="273"/>
      <c r="AI15" s="273"/>
      <c r="AJ15" s="273"/>
      <c r="AK15" s="273"/>
      <c r="AL15" s="273"/>
      <c r="AM15" s="273"/>
    </row>
    <row r="16" spans="1:39" x14ac:dyDescent="0.2">
      <c r="A16" s="273"/>
      <c r="B16" s="307">
        <v>11</v>
      </c>
      <c r="C16" s="308" t="str">
        <f>IFERROR(INDEX(Table_Prescript_Meas[Measure Number], MATCH(E16, Table_Prescript_Meas[Measure Description], 0)), "")</f>
        <v/>
      </c>
      <c r="D16" s="317"/>
      <c r="E16" s="318"/>
      <c r="F16" s="308" t="str">
        <f>IFERROR(INDEX(Table_Prescript_Meas[Units], MATCH(Table_Controls_Input22[[#This Row],[Measure number]], Table_Prescript_Meas[Measure Number], 0)), "")</f>
        <v/>
      </c>
      <c r="G16" s="309"/>
      <c r="H16" s="303"/>
      <c r="I16" s="303"/>
      <c r="J16"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310" t="str">
        <f>IFERROR(Table_Controls_Input22[[#This Row],[Number of units]]*Table_Controls_Input22[[#This Row],[Per-unit incentive]], "")</f>
        <v/>
      </c>
      <c r="L16" s="311" t="str">
        <f>IFERROR(Table_Controls_Input22[[#This Row],[Number of units]]*INDEX(Table_Prescript_Meas[Deemed kWh Savings], MATCH(Table_Controls_Input22[[#This Row],[Measure number]], Table_Prescript_Meas[Measure Number], 0)),"" )</f>
        <v/>
      </c>
      <c r="M16" s="312" t="str">
        <f>IFERROR(Table_Controls_Input22[[#This Row],[Number of units]]*INDEX(Table_Prescript_Meas[Deemed kW Savings], MATCH(Table_Controls_Input22[[#This Row],[Measure number]], Table_Prescript_Meas[Measure Number], 0)),"" )</f>
        <v/>
      </c>
      <c r="N16" s="310" t="str">
        <f t="shared" si="2"/>
        <v/>
      </c>
      <c r="O16" s="310" t="str">
        <f>IF(Table_Controls_Input22[[#This Row],[Measure number]]="", "", Table_Controls_Input22[[#This Row],[Total equipment cost]]+Table_Controls_Input22[[#This Row],[Total labor cost]])</f>
        <v/>
      </c>
      <c r="P16" s="310" t="str">
        <f>IFERROR(Table_Controls_Input22[[#This Row],[Gross measure cost]]-Table_Controls_Input22[[#This Row],[Estimated incentive]], "")</f>
        <v/>
      </c>
      <c r="Q16" s="311" t="str">
        <f t="shared" si="1"/>
        <v/>
      </c>
      <c r="R16" s="273"/>
      <c r="S16" s="273"/>
      <c r="T16" s="273"/>
      <c r="U16" s="273"/>
      <c r="V16" s="273"/>
      <c r="W16" s="273"/>
      <c r="X16" s="273"/>
      <c r="Y16" s="273"/>
      <c r="Z16" s="273"/>
      <c r="AA16" s="273"/>
      <c r="AB16" s="273"/>
      <c r="AC16" s="273"/>
      <c r="AD16" s="273"/>
      <c r="AE16" s="273"/>
      <c r="AF16" s="273"/>
      <c r="AG16" s="273"/>
      <c r="AH16" s="273"/>
      <c r="AI16" s="273"/>
      <c r="AJ16" s="273"/>
      <c r="AK16" s="273"/>
      <c r="AL16" s="273"/>
      <c r="AM16" s="273"/>
    </row>
    <row r="17" spans="1:39" x14ac:dyDescent="0.2">
      <c r="A17" s="273"/>
      <c r="B17" s="307">
        <v>12</v>
      </c>
      <c r="C17" s="308" t="str">
        <f>IFERROR(INDEX(Table_Prescript_Meas[Measure Number], MATCH(E17, Table_Prescript_Meas[Measure Description], 0)), "")</f>
        <v/>
      </c>
      <c r="D17" s="317"/>
      <c r="E17" s="318"/>
      <c r="F17" s="308" t="str">
        <f>IFERROR(INDEX(Table_Prescript_Meas[Units], MATCH(Table_Controls_Input22[[#This Row],[Measure number]], Table_Prescript_Meas[Measure Number], 0)), "")</f>
        <v/>
      </c>
      <c r="G17" s="309"/>
      <c r="H17" s="303"/>
      <c r="I17" s="303"/>
      <c r="J17"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310" t="str">
        <f>IFERROR(Table_Controls_Input22[[#This Row],[Number of units]]*Table_Controls_Input22[[#This Row],[Per-unit incentive]], "")</f>
        <v/>
      </c>
      <c r="L17" s="311" t="str">
        <f>IFERROR(Table_Controls_Input22[[#This Row],[Number of units]]*INDEX(Table_Prescript_Meas[Deemed kWh Savings], MATCH(Table_Controls_Input22[[#This Row],[Measure number]], Table_Prescript_Meas[Measure Number], 0)),"" )</f>
        <v/>
      </c>
      <c r="M17" s="312" t="str">
        <f>IFERROR(Table_Controls_Input22[[#This Row],[Number of units]]*INDEX(Table_Prescript_Meas[Deemed kW Savings], MATCH(Table_Controls_Input22[[#This Row],[Measure number]], Table_Prescript_Meas[Measure Number], 0)),"" )</f>
        <v/>
      </c>
      <c r="N17" s="310" t="str">
        <f t="shared" si="2"/>
        <v/>
      </c>
      <c r="O17" s="310" t="str">
        <f>IF(Table_Controls_Input22[[#This Row],[Measure number]]="", "", Table_Controls_Input22[[#This Row],[Total equipment cost]]+Table_Controls_Input22[[#This Row],[Total labor cost]])</f>
        <v/>
      </c>
      <c r="P17" s="310" t="str">
        <f>IFERROR(Table_Controls_Input22[[#This Row],[Gross measure cost]]-Table_Controls_Input22[[#This Row],[Estimated incentive]], "")</f>
        <v/>
      </c>
      <c r="Q17" s="311" t="str">
        <f t="shared" si="1"/>
        <v/>
      </c>
      <c r="R17" s="273"/>
      <c r="S17" s="273"/>
      <c r="T17" s="273"/>
      <c r="U17" s="273"/>
      <c r="V17" s="273"/>
      <c r="W17" s="273"/>
      <c r="X17" s="273"/>
      <c r="Y17" s="273"/>
      <c r="Z17" s="273"/>
      <c r="AA17" s="273"/>
      <c r="AB17" s="273"/>
      <c r="AC17" s="273"/>
      <c r="AD17" s="273"/>
      <c r="AE17" s="273"/>
      <c r="AF17" s="273"/>
      <c r="AG17" s="273"/>
      <c r="AH17" s="273"/>
      <c r="AI17" s="273"/>
      <c r="AJ17" s="273"/>
      <c r="AK17" s="273"/>
      <c r="AL17" s="273"/>
      <c r="AM17" s="273"/>
    </row>
    <row r="18" spans="1:39" x14ac:dyDescent="0.2">
      <c r="A18" s="273"/>
      <c r="B18" s="307">
        <v>13</v>
      </c>
      <c r="C18" s="308" t="str">
        <f>IFERROR(INDEX(Table_Prescript_Meas[Measure Number], MATCH(E18, Table_Prescript_Meas[Measure Description], 0)), "")</f>
        <v/>
      </c>
      <c r="D18" s="317"/>
      <c r="E18" s="318"/>
      <c r="F18" s="308" t="str">
        <f>IFERROR(INDEX(Table_Prescript_Meas[Units], MATCH(Table_Controls_Input22[[#This Row],[Measure number]], Table_Prescript_Meas[Measure Number], 0)), "")</f>
        <v/>
      </c>
      <c r="G18" s="309"/>
      <c r="H18" s="303"/>
      <c r="I18" s="303"/>
      <c r="J18"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310" t="str">
        <f>IFERROR(Table_Controls_Input22[[#This Row],[Number of units]]*Table_Controls_Input22[[#This Row],[Per-unit incentive]], "")</f>
        <v/>
      </c>
      <c r="L18" s="311" t="str">
        <f>IFERROR(Table_Controls_Input22[[#This Row],[Number of units]]*INDEX(Table_Prescript_Meas[Deemed kWh Savings], MATCH(Table_Controls_Input22[[#This Row],[Measure number]], Table_Prescript_Meas[Measure Number], 0)),"" )</f>
        <v/>
      </c>
      <c r="M18" s="312" t="str">
        <f>IFERROR(Table_Controls_Input22[[#This Row],[Number of units]]*INDEX(Table_Prescript_Meas[Deemed kW Savings], MATCH(Table_Controls_Input22[[#This Row],[Measure number]], Table_Prescript_Meas[Measure Number], 0)),"" )</f>
        <v/>
      </c>
      <c r="N18" s="310" t="str">
        <f t="shared" si="2"/>
        <v/>
      </c>
      <c r="O18" s="310" t="str">
        <f>IF(Table_Controls_Input22[[#This Row],[Measure number]]="", "", Table_Controls_Input22[[#This Row],[Total equipment cost]]+Table_Controls_Input22[[#This Row],[Total labor cost]])</f>
        <v/>
      </c>
      <c r="P18" s="310" t="str">
        <f>IFERROR(Table_Controls_Input22[[#This Row],[Gross measure cost]]-Table_Controls_Input22[[#This Row],[Estimated incentive]], "")</f>
        <v/>
      </c>
      <c r="Q18" s="311" t="str">
        <f t="shared" si="1"/>
        <v/>
      </c>
      <c r="R18" s="273"/>
      <c r="S18" s="273"/>
      <c r="T18" s="273"/>
      <c r="U18" s="273"/>
      <c r="V18" s="273"/>
      <c r="W18" s="273"/>
      <c r="X18" s="273"/>
      <c r="Y18" s="273"/>
      <c r="Z18" s="273"/>
      <c r="AA18" s="273"/>
      <c r="AB18" s="273"/>
      <c r="AC18" s="273"/>
      <c r="AD18" s="273"/>
      <c r="AE18" s="273"/>
      <c r="AF18" s="273"/>
      <c r="AG18" s="273"/>
      <c r="AH18" s="273"/>
      <c r="AI18" s="273"/>
      <c r="AJ18" s="273"/>
      <c r="AK18" s="273"/>
      <c r="AL18" s="273"/>
      <c r="AM18" s="273"/>
    </row>
    <row r="19" spans="1:39" x14ac:dyDescent="0.2">
      <c r="A19" s="273"/>
      <c r="B19" s="307">
        <v>14</v>
      </c>
      <c r="C19" s="308" t="str">
        <f>IFERROR(INDEX(Table_Prescript_Meas[Measure Number], MATCH(E19, Table_Prescript_Meas[Measure Description], 0)), "")</f>
        <v/>
      </c>
      <c r="D19" s="317"/>
      <c r="E19" s="318"/>
      <c r="F19" s="308" t="str">
        <f>IFERROR(INDEX(Table_Prescript_Meas[Units], MATCH(Table_Controls_Input22[[#This Row],[Measure number]], Table_Prescript_Meas[Measure Number], 0)), "")</f>
        <v/>
      </c>
      <c r="G19" s="309"/>
      <c r="H19" s="303"/>
      <c r="I19" s="303"/>
      <c r="J19"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310" t="str">
        <f>IFERROR(Table_Controls_Input22[[#This Row],[Number of units]]*Table_Controls_Input22[[#This Row],[Per-unit incentive]], "")</f>
        <v/>
      </c>
      <c r="L19" s="311" t="str">
        <f>IFERROR(Table_Controls_Input22[[#This Row],[Number of units]]*INDEX(Table_Prescript_Meas[Deemed kWh Savings], MATCH(Table_Controls_Input22[[#This Row],[Measure number]], Table_Prescript_Meas[Measure Number], 0)),"" )</f>
        <v/>
      </c>
      <c r="M19" s="312" t="str">
        <f>IFERROR(Table_Controls_Input22[[#This Row],[Number of units]]*INDEX(Table_Prescript_Meas[Deemed kW Savings], MATCH(Table_Controls_Input22[[#This Row],[Measure number]], Table_Prescript_Meas[Measure Number], 0)),"" )</f>
        <v/>
      </c>
      <c r="N19" s="310" t="str">
        <f t="shared" si="2"/>
        <v/>
      </c>
      <c r="O19" s="310" t="str">
        <f>IF(Table_Controls_Input22[[#This Row],[Measure number]]="", "", Table_Controls_Input22[[#This Row],[Total equipment cost]]+Table_Controls_Input22[[#This Row],[Total labor cost]])</f>
        <v/>
      </c>
      <c r="P19" s="310" t="str">
        <f>IFERROR(Table_Controls_Input22[[#This Row],[Gross measure cost]]-Table_Controls_Input22[[#This Row],[Estimated incentive]], "")</f>
        <v/>
      </c>
      <c r="Q19" s="311" t="str">
        <f t="shared" si="1"/>
        <v/>
      </c>
      <c r="R19" s="273"/>
      <c r="S19" s="273"/>
      <c r="T19" s="273"/>
      <c r="U19" s="273"/>
      <c r="V19" s="273"/>
      <c r="W19" s="273"/>
      <c r="X19" s="273"/>
      <c r="Y19" s="273"/>
      <c r="Z19" s="273"/>
      <c r="AA19" s="273"/>
      <c r="AB19" s="273"/>
      <c r="AC19" s="273"/>
      <c r="AD19" s="273"/>
      <c r="AE19" s="273"/>
      <c r="AF19" s="273"/>
      <c r="AG19" s="273"/>
      <c r="AH19" s="273"/>
      <c r="AI19" s="273"/>
      <c r="AJ19" s="273"/>
      <c r="AK19" s="273"/>
      <c r="AL19" s="273"/>
      <c r="AM19" s="273"/>
    </row>
    <row r="20" spans="1:39" x14ac:dyDescent="0.2">
      <c r="A20" s="273"/>
      <c r="B20" s="307">
        <v>15</v>
      </c>
      <c r="C20" s="308" t="str">
        <f>IFERROR(INDEX(Table_Prescript_Meas[Measure Number], MATCH(E20, Table_Prescript_Meas[Measure Description], 0)), "")</f>
        <v/>
      </c>
      <c r="D20" s="317"/>
      <c r="E20" s="318"/>
      <c r="F20" s="308" t="str">
        <f>IFERROR(INDEX(Table_Prescript_Meas[Units], MATCH(Table_Controls_Input22[[#This Row],[Measure number]], Table_Prescript_Meas[Measure Number], 0)), "")</f>
        <v/>
      </c>
      <c r="G20" s="309"/>
      <c r="H20" s="303"/>
      <c r="I20" s="303"/>
      <c r="J20"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310" t="str">
        <f>IFERROR(Table_Controls_Input22[[#This Row],[Number of units]]*Table_Controls_Input22[[#This Row],[Per-unit incentive]], "")</f>
        <v/>
      </c>
      <c r="L20" s="311" t="str">
        <f>IFERROR(Table_Controls_Input22[[#This Row],[Number of units]]*INDEX(Table_Prescript_Meas[Deemed kWh Savings], MATCH(Table_Controls_Input22[[#This Row],[Measure number]], Table_Prescript_Meas[Measure Number], 0)),"" )</f>
        <v/>
      </c>
      <c r="M20" s="312" t="str">
        <f>IFERROR(Table_Controls_Input22[[#This Row],[Number of units]]*INDEX(Table_Prescript_Meas[Deemed kW Savings], MATCH(Table_Controls_Input22[[#This Row],[Measure number]], Table_Prescript_Meas[Measure Number], 0)),"" )</f>
        <v/>
      </c>
      <c r="N20" s="310" t="str">
        <f t="shared" si="2"/>
        <v/>
      </c>
      <c r="O20" s="310" t="str">
        <f>IF(Table_Controls_Input22[[#This Row],[Measure number]]="", "", Table_Controls_Input22[[#This Row],[Total equipment cost]]+Table_Controls_Input22[[#This Row],[Total labor cost]])</f>
        <v/>
      </c>
      <c r="P20" s="310" t="str">
        <f>IFERROR(Table_Controls_Input22[[#This Row],[Gross measure cost]]-Table_Controls_Input22[[#This Row],[Estimated incentive]], "")</f>
        <v/>
      </c>
      <c r="Q20" s="311" t="str">
        <f t="shared" si="1"/>
        <v/>
      </c>
      <c r="R20" s="273"/>
      <c r="S20" s="273"/>
      <c r="T20" s="273"/>
      <c r="U20" s="273"/>
      <c r="V20" s="273"/>
      <c r="W20" s="273"/>
      <c r="X20" s="273"/>
      <c r="Y20" s="273"/>
      <c r="Z20" s="273"/>
      <c r="AA20" s="273"/>
      <c r="AB20" s="273"/>
      <c r="AC20" s="273"/>
      <c r="AD20" s="273"/>
      <c r="AE20" s="273"/>
      <c r="AF20" s="273"/>
      <c r="AG20" s="273"/>
      <c r="AH20" s="273"/>
      <c r="AI20" s="273"/>
      <c r="AJ20" s="273"/>
      <c r="AK20" s="273"/>
      <c r="AL20" s="273"/>
      <c r="AM20" s="273"/>
    </row>
    <row r="21" spans="1:39" x14ac:dyDescent="0.2">
      <c r="A21" s="273"/>
      <c r="B21" s="307">
        <v>16</v>
      </c>
      <c r="C21" s="308" t="str">
        <f>IFERROR(INDEX(Table_Prescript_Meas[Measure Number], MATCH(E21, Table_Prescript_Meas[Measure Description], 0)), "")</f>
        <v/>
      </c>
      <c r="D21" s="317"/>
      <c r="E21" s="318"/>
      <c r="F21" s="308" t="str">
        <f>IFERROR(INDEX(Table_Prescript_Meas[Units], MATCH(Table_Controls_Input22[[#This Row],[Measure number]], Table_Prescript_Meas[Measure Number], 0)), "")</f>
        <v/>
      </c>
      <c r="G21" s="309"/>
      <c r="H21" s="303"/>
      <c r="I21" s="303"/>
      <c r="J21"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310" t="str">
        <f>IFERROR(Table_Controls_Input22[[#This Row],[Number of units]]*Table_Controls_Input22[[#This Row],[Per-unit incentive]], "")</f>
        <v/>
      </c>
      <c r="L21" s="311" t="str">
        <f>IFERROR(Table_Controls_Input22[[#This Row],[Number of units]]*INDEX(Table_Prescript_Meas[Deemed kWh Savings], MATCH(Table_Controls_Input22[[#This Row],[Measure number]], Table_Prescript_Meas[Measure Number], 0)),"" )</f>
        <v/>
      </c>
      <c r="M21" s="312" t="str">
        <f>IFERROR(Table_Controls_Input22[[#This Row],[Number of units]]*INDEX(Table_Prescript_Meas[Deemed kW Savings], MATCH(Table_Controls_Input22[[#This Row],[Measure number]], Table_Prescript_Meas[Measure Number], 0)),"" )</f>
        <v/>
      </c>
      <c r="N21" s="310" t="str">
        <f t="shared" si="2"/>
        <v/>
      </c>
      <c r="O21" s="310" t="str">
        <f>IF(Table_Controls_Input22[[#This Row],[Measure number]]="", "", Table_Controls_Input22[[#This Row],[Total equipment cost]]+Table_Controls_Input22[[#This Row],[Total labor cost]])</f>
        <v/>
      </c>
      <c r="P21" s="310" t="str">
        <f>IFERROR(Table_Controls_Input22[[#This Row],[Gross measure cost]]-Table_Controls_Input22[[#This Row],[Estimated incentive]], "")</f>
        <v/>
      </c>
      <c r="Q21" s="311" t="str">
        <f t="shared" si="1"/>
        <v/>
      </c>
      <c r="R21" s="273"/>
      <c r="S21" s="273"/>
      <c r="T21" s="273"/>
      <c r="U21" s="273"/>
      <c r="V21" s="273"/>
      <c r="W21" s="273"/>
      <c r="X21" s="273"/>
      <c r="Y21" s="273"/>
      <c r="Z21" s="273"/>
      <c r="AA21" s="273"/>
      <c r="AB21" s="273"/>
      <c r="AC21" s="273"/>
      <c r="AD21" s="273"/>
      <c r="AE21" s="273"/>
      <c r="AF21" s="273"/>
      <c r="AG21" s="273"/>
      <c r="AH21" s="273"/>
      <c r="AI21" s="273"/>
      <c r="AJ21" s="273"/>
      <c r="AK21" s="273"/>
      <c r="AL21" s="273"/>
      <c r="AM21" s="273"/>
    </row>
    <row r="22" spans="1:39" x14ac:dyDescent="0.2">
      <c r="A22" s="273"/>
      <c r="B22" s="307">
        <v>17</v>
      </c>
      <c r="C22" s="308" t="str">
        <f>IFERROR(INDEX(Table_Prescript_Meas[Measure Number], MATCH(E22, Table_Prescript_Meas[Measure Description], 0)), "")</f>
        <v/>
      </c>
      <c r="D22" s="317"/>
      <c r="E22" s="318"/>
      <c r="F22" s="308" t="str">
        <f>IFERROR(INDEX(Table_Prescript_Meas[Units], MATCH(Table_Controls_Input22[[#This Row],[Measure number]], Table_Prescript_Meas[Measure Number], 0)), "")</f>
        <v/>
      </c>
      <c r="G22" s="309"/>
      <c r="H22" s="303"/>
      <c r="I22" s="303"/>
      <c r="J22"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310" t="str">
        <f>IFERROR(Table_Controls_Input22[[#This Row],[Number of units]]*Table_Controls_Input22[[#This Row],[Per-unit incentive]], "")</f>
        <v/>
      </c>
      <c r="L22" s="311" t="str">
        <f>IFERROR(Table_Controls_Input22[[#This Row],[Number of units]]*INDEX(Table_Prescript_Meas[Deemed kWh Savings], MATCH(Table_Controls_Input22[[#This Row],[Measure number]], Table_Prescript_Meas[Measure Number], 0)),"" )</f>
        <v/>
      </c>
      <c r="M22" s="312" t="str">
        <f>IFERROR(Table_Controls_Input22[[#This Row],[Number of units]]*INDEX(Table_Prescript_Meas[Deemed kW Savings], MATCH(Table_Controls_Input22[[#This Row],[Measure number]], Table_Prescript_Meas[Measure Number], 0)),"" )</f>
        <v/>
      </c>
      <c r="N22" s="310" t="str">
        <f t="shared" si="2"/>
        <v/>
      </c>
      <c r="O22" s="310" t="str">
        <f>IF(Table_Controls_Input22[[#This Row],[Measure number]]="", "", Table_Controls_Input22[[#This Row],[Total equipment cost]]+Table_Controls_Input22[[#This Row],[Total labor cost]])</f>
        <v/>
      </c>
      <c r="P22" s="310" t="str">
        <f>IFERROR(Table_Controls_Input22[[#This Row],[Gross measure cost]]-Table_Controls_Input22[[#This Row],[Estimated incentive]], "")</f>
        <v/>
      </c>
      <c r="Q22" s="311" t="str">
        <f t="shared" si="1"/>
        <v/>
      </c>
      <c r="R22" s="273"/>
      <c r="S22" s="273"/>
      <c r="T22" s="273"/>
      <c r="U22" s="273"/>
      <c r="V22" s="273"/>
      <c r="W22" s="273"/>
      <c r="X22" s="273"/>
      <c r="Y22" s="273"/>
      <c r="Z22" s="273"/>
      <c r="AA22" s="273"/>
      <c r="AB22" s="273"/>
      <c r="AC22" s="273"/>
      <c r="AD22" s="273"/>
      <c r="AE22" s="273"/>
      <c r="AF22" s="273"/>
      <c r="AG22" s="273"/>
      <c r="AH22" s="273"/>
      <c r="AI22" s="273"/>
      <c r="AJ22" s="273"/>
      <c r="AK22" s="273"/>
      <c r="AL22" s="273"/>
      <c r="AM22" s="273"/>
    </row>
    <row r="23" spans="1:39" x14ac:dyDescent="0.2">
      <c r="A23" s="273"/>
      <c r="B23" s="307">
        <v>18</v>
      </c>
      <c r="C23" s="308" t="str">
        <f>IFERROR(INDEX(Table_Prescript_Meas[Measure Number], MATCH(E23, Table_Prescript_Meas[Measure Description], 0)), "")</f>
        <v/>
      </c>
      <c r="D23" s="317"/>
      <c r="E23" s="318"/>
      <c r="F23" s="308" t="str">
        <f>IFERROR(INDEX(Table_Prescript_Meas[Units], MATCH(Table_Controls_Input22[[#This Row],[Measure number]], Table_Prescript_Meas[Measure Number], 0)), "")</f>
        <v/>
      </c>
      <c r="G23" s="309"/>
      <c r="H23" s="303"/>
      <c r="I23" s="303"/>
      <c r="J23"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310" t="str">
        <f>IFERROR(Table_Controls_Input22[[#This Row],[Number of units]]*Table_Controls_Input22[[#This Row],[Per-unit incentive]], "")</f>
        <v/>
      </c>
      <c r="L23" s="311" t="str">
        <f>IFERROR(Table_Controls_Input22[[#This Row],[Number of units]]*INDEX(Table_Prescript_Meas[Deemed kWh Savings], MATCH(Table_Controls_Input22[[#This Row],[Measure number]], Table_Prescript_Meas[Measure Number], 0)),"" )</f>
        <v/>
      </c>
      <c r="M23" s="312" t="str">
        <f>IFERROR(Table_Controls_Input22[[#This Row],[Number of units]]*INDEX(Table_Prescript_Meas[Deemed kW Savings], MATCH(Table_Controls_Input22[[#This Row],[Measure number]], Table_Prescript_Meas[Measure Number], 0)),"" )</f>
        <v/>
      </c>
      <c r="N23" s="310" t="str">
        <f t="shared" si="2"/>
        <v/>
      </c>
      <c r="O23" s="310" t="str">
        <f>IF(Table_Controls_Input22[[#This Row],[Measure number]]="", "", Table_Controls_Input22[[#This Row],[Total equipment cost]]+Table_Controls_Input22[[#This Row],[Total labor cost]])</f>
        <v/>
      </c>
      <c r="P23" s="310" t="str">
        <f>IFERROR(Table_Controls_Input22[[#This Row],[Gross measure cost]]-Table_Controls_Input22[[#This Row],[Estimated incentive]], "")</f>
        <v/>
      </c>
      <c r="Q23" s="311" t="str">
        <f t="shared" si="1"/>
        <v/>
      </c>
      <c r="R23" s="273"/>
      <c r="S23" s="273"/>
      <c r="T23" s="273"/>
      <c r="U23" s="273"/>
      <c r="V23" s="273"/>
      <c r="W23" s="273"/>
      <c r="X23" s="273"/>
      <c r="Y23" s="273"/>
      <c r="Z23" s="273"/>
      <c r="AA23" s="273"/>
      <c r="AB23" s="273"/>
      <c r="AC23" s="273"/>
      <c r="AD23" s="273"/>
      <c r="AE23" s="273"/>
      <c r="AF23" s="273"/>
      <c r="AG23" s="273"/>
      <c r="AH23" s="273"/>
      <c r="AI23" s="273"/>
      <c r="AJ23" s="273"/>
      <c r="AK23" s="273"/>
      <c r="AL23" s="273"/>
      <c r="AM23" s="273"/>
    </row>
    <row r="24" spans="1:39" x14ac:dyDescent="0.2">
      <c r="A24" s="273"/>
      <c r="B24" s="307">
        <v>19</v>
      </c>
      <c r="C24" s="308" t="str">
        <f>IFERROR(INDEX(Table_Prescript_Meas[Measure Number], MATCH(E24, Table_Prescript_Meas[Measure Description], 0)), "")</f>
        <v/>
      </c>
      <c r="D24" s="317"/>
      <c r="E24" s="318"/>
      <c r="F24" s="308" t="str">
        <f>IFERROR(INDEX(Table_Prescript_Meas[Units], MATCH(Table_Controls_Input22[[#This Row],[Measure number]], Table_Prescript_Meas[Measure Number], 0)), "")</f>
        <v/>
      </c>
      <c r="G24" s="309"/>
      <c r="H24" s="303"/>
      <c r="I24" s="303"/>
      <c r="J24"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310" t="str">
        <f>IFERROR(Table_Controls_Input22[[#This Row],[Number of units]]*Table_Controls_Input22[[#This Row],[Per-unit incentive]], "")</f>
        <v/>
      </c>
      <c r="L24" s="311" t="str">
        <f>IFERROR(Table_Controls_Input22[[#This Row],[Number of units]]*INDEX(Table_Prescript_Meas[Deemed kWh Savings], MATCH(Table_Controls_Input22[[#This Row],[Measure number]], Table_Prescript_Meas[Measure Number], 0)),"" )</f>
        <v/>
      </c>
      <c r="M24" s="312" t="str">
        <f>IFERROR(Table_Controls_Input22[[#This Row],[Number of units]]*INDEX(Table_Prescript_Meas[Deemed kW Savings], MATCH(Table_Controls_Input22[[#This Row],[Measure number]], Table_Prescript_Meas[Measure Number], 0)),"" )</f>
        <v/>
      </c>
      <c r="N24" s="310" t="str">
        <f t="shared" si="2"/>
        <v/>
      </c>
      <c r="O24" s="310" t="str">
        <f>IF(Table_Controls_Input22[[#This Row],[Measure number]]="", "", Table_Controls_Input22[[#This Row],[Total equipment cost]]+Table_Controls_Input22[[#This Row],[Total labor cost]])</f>
        <v/>
      </c>
      <c r="P24" s="310" t="str">
        <f>IFERROR(Table_Controls_Input22[[#This Row],[Gross measure cost]]-Table_Controls_Input22[[#This Row],[Estimated incentive]], "")</f>
        <v/>
      </c>
      <c r="Q24" s="311" t="str">
        <f t="shared" si="1"/>
        <v/>
      </c>
      <c r="R24" s="273"/>
      <c r="S24" s="273"/>
      <c r="T24" s="273"/>
      <c r="U24" s="273"/>
      <c r="V24" s="273"/>
      <c r="W24" s="273"/>
      <c r="X24" s="273"/>
      <c r="Y24" s="273"/>
      <c r="Z24" s="273"/>
      <c r="AA24" s="273"/>
      <c r="AB24" s="273"/>
      <c r="AC24" s="273"/>
      <c r="AD24" s="273"/>
      <c r="AE24" s="273"/>
      <c r="AF24" s="273"/>
      <c r="AG24" s="273"/>
      <c r="AH24" s="273"/>
      <c r="AI24" s="273"/>
      <c r="AJ24" s="273"/>
      <c r="AK24" s="273"/>
      <c r="AL24" s="273"/>
      <c r="AM24" s="273"/>
    </row>
    <row r="25" spans="1:39" x14ac:dyDescent="0.2">
      <c r="A25" s="273"/>
      <c r="B25" s="307">
        <v>20</v>
      </c>
      <c r="C25" s="308" t="str">
        <f>IFERROR(INDEX(Table_Prescript_Meas[Measure Number], MATCH(E25, Table_Prescript_Meas[Measure Description], 0)), "")</f>
        <v/>
      </c>
      <c r="D25" s="317"/>
      <c r="E25" s="318"/>
      <c r="F25" s="308" t="str">
        <f>IFERROR(INDEX(Table_Prescript_Meas[Units], MATCH(Table_Controls_Input22[[#This Row],[Measure number]], Table_Prescript_Meas[Measure Number], 0)), "")</f>
        <v/>
      </c>
      <c r="G25" s="309"/>
      <c r="H25" s="303"/>
      <c r="I25" s="303"/>
      <c r="J25"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310" t="str">
        <f>IFERROR(Table_Controls_Input22[[#This Row],[Number of units]]*Table_Controls_Input22[[#This Row],[Per-unit incentive]], "")</f>
        <v/>
      </c>
      <c r="L25" s="311" t="str">
        <f>IFERROR(Table_Controls_Input22[[#This Row],[Number of units]]*INDEX(Table_Prescript_Meas[Deemed kWh Savings], MATCH(Table_Controls_Input22[[#This Row],[Measure number]], Table_Prescript_Meas[Measure Number], 0)),"" )</f>
        <v/>
      </c>
      <c r="M25" s="312" t="str">
        <f>IFERROR(Table_Controls_Input22[[#This Row],[Number of units]]*INDEX(Table_Prescript_Meas[Deemed kW Savings], MATCH(Table_Controls_Input22[[#This Row],[Measure number]], Table_Prescript_Meas[Measure Number], 0)),"" )</f>
        <v/>
      </c>
      <c r="N25" s="310" t="str">
        <f t="shared" si="2"/>
        <v/>
      </c>
      <c r="O25" s="310" t="str">
        <f>IF(Table_Controls_Input22[[#This Row],[Measure number]]="", "", Table_Controls_Input22[[#This Row],[Total equipment cost]]+Table_Controls_Input22[[#This Row],[Total labor cost]])</f>
        <v/>
      </c>
      <c r="P25" s="310" t="str">
        <f>IFERROR(Table_Controls_Input22[[#This Row],[Gross measure cost]]-Table_Controls_Input22[[#This Row],[Estimated incentive]], "")</f>
        <v/>
      </c>
      <c r="Q25" s="311" t="str">
        <f t="shared" si="1"/>
        <v/>
      </c>
      <c r="R25" s="273"/>
      <c r="S25" s="273"/>
      <c r="T25" s="273"/>
      <c r="U25" s="273"/>
      <c r="V25" s="273"/>
      <c r="W25" s="273"/>
      <c r="X25" s="273"/>
      <c r="Y25" s="273"/>
      <c r="Z25" s="273"/>
      <c r="AA25" s="273"/>
      <c r="AB25" s="273"/>
      <c r="AC25" s="273"/>
      <c r="AD25" s="273"/>
      <c r="AE25" s="273"/>
      <c r="AF25" s="273"/>
      <c r="AG25" s="273"/>
      <c r="AH25" s="273"/>
      <c r="AI25" s="273"/>
      <c r="AJ25" s="273"/>
      <c r="AK25" s="273"/>
      <c r="AL25" s="273"/>
      <c r="AM25" s="273"/>
    </row>
    <row r="26" spans="1:39" x14ac:dyDescent="0.2">
      <c r="A26" s="273"/>
      <c r="B26" s="307">
        <v>21</v>
      </c>
      <c r="C26" s="308" t="str">
        <f>IFERROR(INDEX(Table_Prescript_Meas[Measure Number], MATCH(E26, Table_Prescript_Meas[Measure Description], 0)), "")</f>
        <v/>
      </c>
      <c r="D26" s="317"/>
      <c r="E26" s="318"/>
      <c r="F26" s="308" t="str">
        <f>IFERROR(INDEX(Table_Prescript_Meas[Units], MATCH(Table_Controls_Input22[[#This Row],[Measure number]], Table_Prescript_Meas[Measure Number], 0)), "")</f>
        <v/>
      </c>
      <c r="G26" s="309"/>
      <c r="H26" s="303"/>
      <c r="I26" s="303"/>
      <c r="J26"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310" t="str">
        <f>IFERROR(Table_Controls_Input22[[#This Row],[Number of units]]*Table_Controls_Input22[[#This Row],[Per-unit incentive]], "")</f>
        <v/>
      </c>
      <c r="L26" s="311" t="str">
        <f>IFERROR(Table_Controls_Input22[[#This Row],[Number of units]]*INDEX(Table_Prescript_Meas[Deemed kWh Savings], MATCH(Table_Controls_Input22[[#This Row],[Measure number]], Table_Prescript_Meas[Measure Number], 0)),"" )</f>
        <v/>
      </c>
      <c r="M26" s="312" t="str">
        <f>IFERROR(Table_Controls_Input22[[#This Row],[Number of units]]*INDEX(Table_Prescript_Meas[Deemed kW Savings], MATCH(Table_Controls_Input22[[#This Row],[Measure number]], Table_Prescript_Meas[Measure Number], 0)),"" )</f>
        <v/>
      </c>
      <c r="N26" s="310" t="str">
        <f t="shared" si="2"/>
        <v/>
      </c>
      <c r="O26" s="310" t="str">
        <f>IF(Table_Controls_Input22[[#This Row],[Measure number]]="", "", Table_Controls_Input22[[#This Row],[Total equipment cost]]+Table_Controls_Input22[[#This Row],[Total labor cost]])</f>
        <v/>
      </c>
      <c r="P26" s="310" t="str">
        <f>IFERROR(Table_Controls_Input22[[#This Row],[Gross measure cost]]-Table_Controls_Input22[[#This Row],[Estimated incentive]], "")</f>
        <v/>
      </c>
      <c r="Q26" s="311" t="str">
        <f t="shared" si="1"/>
        <v/>
      </c>
      <c r="R26" s="273"/>
      <c r="S26" s="273"/>
      <c r="T26" s="273"/>
      <c r="U26" s="273"/>
      <c r="V26" s="273"/>
      <c r="W26" s="273"/>
      <c r="X26" s="273"/>
      <c r="Y26" s="273"/>
      <c r="Z26" s="273"/>
      <c r="AA26" s="273"/>
      <c r="AB26" s="273"/>
      <c r="AC26" s="273"/>
      <c r="AD26" s="273"/>
      <c r="AE26" s="273"/>
      <c r="AF26" s="273"/>
      <c r="AG26" s="273"/>
      <c r="AH26" s="273"/>
      <c r="AI26" s="273"/>
      <c r="AJ26" s="273"/>
      <c r="AK26" s="273"/>
      <c r="AL26" s="273"/>
      <c r="AM26" s="273"/>
    </row>
    <row r="27" spans="1:39" x14ac:dyDescent="0.2">
      <c r="A27" s="273"/>
      <c r="B27" s="307">
        <v>22</v>
      </c>
      <c r="C27" s="308" t="str">
        <f>IFERROR(INDEX(Table_Prescript_Meas[Measure Number], MATCH(E27, Table_Prescript_Meas[Measure Description], 0)), "")</f>
        <v/>
      </c>
      <c r="D27" s="317"/>
      <c r="E27" s="318"/>
      <c r="F27" s="308" t="str">
        <f>IFERROR(INDEX(Table_Prescript_Meas[Units], MATCH(Table_Controls_Input22[[#This Row],[Measure number]], Table_Prescript_Meas[Measure Number], 0)), "")</f>
        <v/>
      </c>
      <c r="G27" s="309"/>
      <c r="H27" s="303"/>
      <c r="I27" s="303"/>
      <c r="J27"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310" t="str">
        <f>IFERROR(Table_Controls_Input22[[#This Row],[Number of units]]*Table_Controls_Input22[[#This Row],[Per-unit incentive]], "")</f>
        <v/>
      </c>
      <c r="L27" s="311" t="str">
        <f>IFERROR(Table_Controls_Input22[[#This Row],[Number of units]]*INDEX(Table_Prescript_Meas[Deemed kWh Savings], MATCH(Table_Controls_Input22[[#This Row],[Measure number]], Table_Prescript_Meas[Measure Number], 0)),"" )</f>
        <v/>
      </c>
      <c r="M27" s="312" t="str">
        <f>IFERROR(Table_Controls_Input22[[#This Row],[Number of units]]*INDEX(Table_Prescript_Meas[Deemed kW Savings], MATCH(Table_Controls_Input22[[#This Row],[Measure number]], Table_Prescript_Meas[Measure Number], 0)),"" )</f>
        <v/>
      </c>
      <c r="N27" s="310" t="str">
        <f t="shared" si="2"/>
        <v/>
      </c>
      <c r="O27" s="310" t="str">
        <f>IF(Table_Controls_Input22[[#This Row],[Measure number]]="", "", Table_Controls_Input22[[#This Row],[Total equipment cost]]+Table_Controls_Input22[[#This Row],[Total labor cost]])</f>
        <v/>
      </c>
      <c r="P27" s="310" t="str">
        <f>IFERROR(Table_Controls_Input22[[#This Row],[Gross measure cost]]-Table_Controls_Input22[[#This Row],[Estimated incentive]], "")</f>
        <v/>
      </c>
      <c r="Q27" s="311" t="str">
        <f t="shared" si="1"/>
        <v/>
      </c>
      <c r="R27" s="273"/>
      <c r="S27" s="273"/>
      <c r="T27" s="273"/>
      <c r="U27" s="273"/>
      <c r="V27" s="273"/>
      <c r="W27" s="273"/>
      <c r="X27" s="273"/>
      <c r="Y27" s="273"/>
      <c r="Z27" s="273"/>
      <c r="AA27" s="273"/>
      <c r="AB27" s="273"/>
      <c r="AC27" s="273"/>
      <c r="AD27" s="273"/>
      <c r="AE27" s="273"/>
      <c r="AF27" s="273"/>
      <c r="AG27" s="273"/>
      <c r="AH27" s="273"/>
      <c r="AI27" s="273"/>
      <c r="AJ27" s="273"/>
      <c r="AK27" s="273"/>
      <c r="AL27" s="273"/>
      <c r="AM27" s="273"/>
    </row>
    <row r="28" spans="1:39" x14ac:dyDescent="0.2">
      <c r="A28" s="273"/>
      <c r="B28" s="307">
        <v>23</v>
      </c>
      <c r="C28" s="308" t="str">
        <f>IFERROR(INDEX(Table_Prescript_Meas[Measure Number], MATCH(E28, Table_Prescript_Meas[Measure Description], 0)), "")</f>
        <v/>
      </c>
      <c r="D28" s="317"/>
      <c r="E28" s="318"/>
      <c r="F28" s="308" t="str">
        <f>IFERROR(INDEX(Table_Prescript_Meas[Units], MATCH(Table_Controls_Input22[[#This Row],[Measure number]], Table_Prescript_Meas[Measure Number], 0)), "")</f>
        <v/>
      </c>
      <c r="G28" s="309"/>
      <c r="H28" s="303"/>
      <c r="I28" s="303"/>
      <c r="J28"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310" t="str">
        <f>IFERROR(Table_Controls_Input22[[#This Row],[Number of units]]*Table_Controls_Input22[[#This Row],[Per-unit incentive]], "")</f>
        <v/>
      </c>
      <c r="L28" s="311" t="str">
        <f>IFERROR(Table_Controls_Input22[[#This Row],[Number of units]]*INDEX(Table_Prescript_Meas[Deemed kWh Savings], MATCH(Table_Controls_Input22[[#This Row],[Measure number]], Table_Prescript_Meas[Measure Number], 0)),"" )</f>
        <v/>
      </c>
      <c r="M28" s="312" t="str">
        <f>IFERROR(Table_Controls_Input22[[#This Row],[Number of units]]*INDEX(Table_Prescript_Meas[Deemed kW Savings], MATCH(Table_Controls_Input22[[#This Row],[Measure number]], Table_Prescript_Meas[Measure Number], 0)),"" )</f>
        <v/>
      </c>
      <c r="N28" s="310" t="str">
        <f t="shared" si="2"/>
        <v/>
      </c>
      <c r="O28" s="310" t="str">
        <f>IF(Table_Controls_Input22[[#This Row],[Measure number]]="", "", Table_Controls_Input22[[#This Row],[Total equipment cost]]+Table_Controls_Input22[[#This Row],[Total labor cost]])</f>
        <v/>
      </c>
      <c r="P28" s="310" t="str">
        <f>IFERROR(Table_Controls_Input22[[#This Row],[Gross measure cost]]-Table_Controls_Input22[[#This Row],[Estimated incentive]], "")</f>
        <v/>
      </c>
      <c r="Q28" s="311" t="str">
        <f t="shared" si="1"/>
        <v/>
      </c>
      <c r="R28" s="273"/>
      <c r="S28" s="273"/>
      <c r="T28" s="273"/>
      <c r="U28" s="273"/>
      <c r="V28" s="273"/>
      <c r="W28" s="273"/>
      <c r="X28" s="273"/>
      <c r="Y28" s="273"/>
      <c r="Z28" s="273"/>
      <c r="AA28" s="273"/>
      <c r="AB28" s="273"/>
      <c r="AC28" s="273"/>
      <c r="AD28" s="273"/>
      <c r="AE28" s="273"/>
      <c r="AF28" s="273"/>
      <c r="AG28" s="273"/>
      <c r="AH28" s="273"/>
      <c r="AI28" s="273"/>
      <c r="AJ28" s="273"/>
      <c r="AK28" s="273"/>
      <c r="AL28" s="273"/>
      <c r="AM28" s="273"/>
    </row>
    <row r="29" spans="1:39" x14ac:dyDescent="0.2">
      <c r="A29" s="273"/>
      <c r="B29" s="307">
        <v>24</v>
      </c>
      <c r="C29" s="308" t="str">
        <f>IFERROR(INDEX(Table_Prescript_Meas[Measure Number], MATCH(E29, Table_Prescript_Meas[Measure Description], 0)), "")</f>
        <v/>
      </c>
      <c r="D29" s="317"/>
      <c r="E29" s="318"/>
      <c r="F29" s="308" t="str">
        <f>IFERROR(INDEX(Table_Prescript_Meas[Units], MATCH(Table_Controls_Input22[[#This Row],[Measure number]], Table_Prescript_Meas[Measure Number], 0)), "")</f>
        <v/>
      </c>
      <c r="G29" s="309"/>
      <c r="H29" s="303"/>
      <c r="I29" s="303"/>
      <c r="J29"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310" t="str">
        <f>IFERROR(Table_Controls_Input22[[#This Row],[Number of units]]*Table_Controls_Input22[[#This Row],[Per-unit incentive]], "")</f>
        <v/>
      </c>
      <c r="L29" s="311" t="str">
        <f>IFERROR(Table_Controls_Input22[[#This Row],[Number of units]]*INDEX(Table_Prescript_Meas[Deemed kWh Savings], MATCH(Table_Controls_Input22[[#This Row],[Measure number]], Table_Prescript_Meas[Measure Number], 0)),"" )</f>
        <v/>
      </c>
      <c r="M29" s="312" t="str">
        <f>IFERROR(Table_Controls_Input22[[#This Row],[Number of units]]*INDEX(Table_Prescript_Meas[Deemed kW Savings], MATCH(Table_Controls_Input22[[#This Row],[Measure number]], Table_Prescript_Meas[Measure Number], 0)),"" )</f>
        <v/>
      </c>
      <c r="N29" s="310" t="str">
        <f t="shared" si="2"/>
        <v/>
      </c>
      <c r="O29" s="310" t="str">
        <f>IF(Table_Controls_Input22[[#This Row],[Measure number]]="", "", Table_Controls_Input22[[#This Row],[Total equipment cost]]+Table_Controls_Input22[[#This Row],[Total labor cost]])</f>
        <v/>
      </c>
      <c r="P29" s="310" t="str">
        <f>IFERROR(Table_Controls_Input22[[#This Row],[Gross measure cost]]-Table_Controls_Input22[[#This Row],[Estimated incentive]], "")</f>
        <v/>
      </c>
      <c r="Q29" s="311" t="str">
        <f t="shared" si="1"/>
        <v/>
      </c>
      <c r="R29" s="273"/>
      <c r="S29" s="273"/>
      <c r="T29" s="273"/>
      <c r="U29" s="273"/>
      <c r="V29" s="273"/>
      <c r="W29" s="273"/>
      <c r="X29" s="273"/>
      <c r="Y29" s="273"/>
      <c r="Z29" s="273"/>
      <c r="AA29" s="273"/>
      <c r="AB29" s="273"/>
      <c r="AC29" s="273"/>
      <c r="AD29" s="273"/>
      <c r="AE29" s="273"/>
      <c r="AF29" s="273"/>
      <c r="AG29" s="273"/>
      <c r="AH29" s="273"/>
      <c r="AI29" s="273"/>
      <c r="AJ29" s="273"/>
      <c r="AK29" s="273"/>
      <c r="AL29" s="273"/>
      <c r="AM29" s="273"/>
    </row>
    <row r="30" spans="1:39" x14ac:dyDescent="0.2">
      <c r="A30" s="273"/>
      <c r="B30" s="307">
        <v>25</v>
      </c>
      <c r="C30" s="308" t="str">
        <f>IFERROR(INDEX(Table_Prescript_Meas[Measure Number], MATCH(E30, Table_Prescript_Meas[Measure Description], 0)), "")</f>
        <v/>
      </c>
      <c r="D30" s="317"/>
      <c r="E30" s="318"/>
      <c r="F30" s="308" t="str">
        <f>IFERROR(INDEX(Table_Prescript_Meas[Units], MATCH(Table_Controls_Input22[[#This Row],[Measure number]], Table_Prescript_Meas[Measure Number], 0)), "")</f>
        <v/>
      </c>
      <c r="G30" s="309"/>
      <c r="H30" s="303"/>
      <c r="I30" s="303"/>
      <c r="J30"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310" t="str">
        <f>IFERROR(Table_Controls_Input22[[#This Row],[Number of units]]*Table_Controls_Input22[[#This Row],[Per-unit incentive]], "")</f>
        <v/>
      </c>
      <c r="L30" s="311" t="str">
        <f>IFERROR(Table_Controls_Input22[[#This Row],[Number of units]]*INDEX(Table_Prescript_Meas[Deemed kWh Savings], MATCH(Table_Controls_Input22[[#This Row],[Measure number]], Table_Prescript_Meas[Measure Number], 0)),"" )</f>
        <v/>
      </c>
      <c r="M30" s="312" t="str">
        <f>IFERROR(Table_Controls_Input22[[#This Row],[Number of units]]*INDEX(Table_Prescript_Meas[Deemed kW Savings], MATCH(Table_Controls_Input22[[#This Row],[Measure number]], Table_Prescript_Meas[Measure Number], 0)),"" )</f>
        <v/>
      </c>
      <c r="N30" s="310" t="str">
        <f t="shared" si="2"/>
        <v/>
      </c>
      <c r="O30" s="310" t="str">
        <f>IF(Table_Controls_Input22[[#This Row],[Measure number]]="", "", Table_Controls_Input22[[#This Row],[Total equipment cost]]+Table_Controls_Input22[[#This Row],[Total labor cost]])</f>
        <v/>
      </c>
      <c r="P30" s="310" t="str">
        <f>IFERROR(Table_Controls_Input22[[#This Row],[Gross measure cost]]-Table_Controls_Input22[[#This Row],[Estimated incentive]], "")</f>
        <v/>
      </c>
      <c r="Q30" s="311" t="str">
        <f t="shared" si="1"/>
        <v/>
      </c>
      <c r="R30" s="273"/>
      <c r="S30" s="273"/>
      <c r="T30" s="273"/>
      <c r="U30" s="273"/>
      <c r="V30" s="273"/>
      <c r="W30" s="273"/>
      <c r="X30" s="273"/>
      <c r="Y30" s="273"/>
      <c r="Z30" s="273"/>
      <c r="AA30" s="273"/>
      <c r="AB30" s="273"/>
      <c r="AC30" s="273"/>
      <c r="AD30" s="273"/>
      <c r="AE30" s="273"/>
      <c r="AF30" s="273"/>
      <c r="AG30" s="273"/>
      <c r="AH30" s="273"/>
      <c r="AI30" s="273"/>
      <c r="AJ30" s="273"/>
      <c r="AK30" s="273"/>
      <c r="AL30" s="273"/>
      <c r="AM30" s="273"/>
    </row>
    <row r="31" spans="1:39" x14ac:dyDescent="0.2">
      <c r="A31" s="273"/>
      <c r="B31" s="307">
        <v>26</v>
      </c>
      <c r="C31" s="308" t="str">
        <f>IFERROR(INDEX(Table_Prescript_Meas[Measure Number], MATCH(E31, Table_Prescript_Meas[Measure Description], 0)), "")</f>
        <v/>
      </c>
      <c r="D31" s="317"/>
      <c r="E31" s="318"/>
      <c r="F31" s="308" t="str">
        <f>IFERROR(INDEX(Table_Prescript_Meas[Units], MATCH(Table_Controls_Input22[[#This Row],[Measure number]], Table_Prescript_Meas[Measure Number], 0)), "")</f>
        <v/>
      </c>
      <c r="G31" s="309"/>
      <c r="H31" s="303"/>
      <c r="I31" s="303"/>
      <c r="J31"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310" t="str">
        <f>IFERROR(Table_Controls_Input22[[#This Row],[Number of units]]*Table_Controls_Input22[[#This Row],[Per-unit incentive]], "")</f>
        <v/>
      </c>
      <c r="L31" s="311" t="str">
        <f>IFERROR(Table_Controls_Input22[[#This Row],[Number of units]]*INDEX(Table_Prescript_Meas[Deemed kWh Savings], MATCH(Table_Controls_Input22[[#This Row],[Measure number]], Table_Prescript_Meas[Measure Number], 0)),"" )</f>
        <v/>
      </c>
      <c r="M31" s="312" t="str">
        <f>IFERROR(Table_Controls_Input22[[#This Row],[Number of units]]*INDEX(Table_Prescript_Meas[Deemed kW Savings], MATCH(Table_Controls_Input22[[#This Row],[Measure number]], Table_Prescript_Meas[Measure Number], 0)),"" )</f>
        <v/>
      </c>
      <c r="N31" s="310" t="str">
        <f t="shared" si="2"/>
        <v/>
      </c>
      <c r="O31" s="310" t="str">
        <f>IF(Table_Controls_Input22[[#This Row],[Measure number]]="", "", Table_Controls_Input22[[#This Row],[Total equipment cost]]+Table_Controls_Input22[[#This Row],[Total labor cost]])</f>
        <v/>
      </c>
      <c r="P31" s="310" t="str">
        <f>IFERROR(Table_Controls_Input22[[#This Row],[Gross measure cost]]-Table_Controls_Input22[[#This Row],[Estimated incentive]], "")</f>
        <v/>
      </c>
      <c r="Q31" s="311" t="str">
        <f t="shared" si="1"/>
        <v/>
      </c>
      <c r="R31" s="273"/>
      <c r="S31" s="273"/>
      <c r="T31" s="273"/>
      <c r="U31" s="273"/>
      <c r="V31" s="273"/>
      <c r="W31" s="273"/>
      <c r="X31" s="273"/>
      <c r="Y31" s="273"/>
      <c r="Z31" s="273"/>
      <c r="AA31" s="273"/>
      <c r="AB31" s="273"/>
      <c r="AC31" s="273"/>
      <c r="AD31" s="273"/>
      <c r="AE31" s="273"/>
      <c r="AF31" s="273"/>
      <c r="AG31" s="273"/>
      <c r="AH31" s="273"/>
      <c r="AI31" s="273"/>
      <c r="AJ31" s="273"/>
      <c r="AK31" s="273"/>
      <c r="AL31" s="273"/>
      <c r="AM31" s="273"/>
    </row>
    <row r="32" spans="1:39" x14ac:dyDescent="0.2">
      <c r="A32" s="269"/>
      <c r="B32" s="307">
        <v>27</v>
      </c>
      <c r="C32" s="308" t="str">
        <f>IFERROR(INDEX(Table_Prescript_Meas[Measure Number], MATCH(E32, Table_Prescript_Meas[Measure Description], 0)), "")</f>
        <v/>
      </c>
      <c r="D32" s="317"/>
      <c r="E32" s="318"/>
      <c r="F32" s="308" t="str">
        <f>IFERROR(INDEX(Table_Prescript_Meas[Units], MATCH(Table_Controls_Input22[[#This Row],[Measure number]], Table_Prescript_Meas[Measure Number], 0)), "")</f>
        <v/>
      </c>
      <c r="G32" s="309"/>
      <c r="H32" s="303"/>
      <c r="I32" s="303"/>
      <c r="J32"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310" t="str">
        <f>IFERROR(Table_Controls_Input22[[#This Row],[Number of units]]*Table_Controls_Input22[[#This Row],[Per-unit incentive]], "")</f>
        <v/>
      </c>
      <c r="L32" s="311" t="str">
        <f>IFERROR(Table_Controls_Input22[[#This Row],[Number of units]]*INDEX(Table_Prescript_Meas[Deemed kWh Savings], MATCH(Table_Controls_Input22[[#This Row],[Measure number]], Table_Prescript_Meas[Measure Number], 0)),"" )</f>
        <v/>
      </c>
      <c r="M32" s="312" t="str">
        <f>IFERROR(Table_Controls_Input22[[#This Row],[Number of units]]*INDEX(Table_Prescript_Meas[Deemed kW Savings], MATCH(Table_Controls_Input22[[#This Row],[Measure number]], Table_Prescript_Meas[Measure Number], 0)),"" )</f>
        <v/>
      </c>
      <c r="N32" s="310" t="str">
        <f t="shared" si="2"/>
        <v/>
      </c>
      <c r="O32" s="310" t="str">
        <f>IF(Table_Controls_Input22[[#This Row],[Measure number]]="", "", Table_Controls_Input22[[#This Row],[Total equipment cost]]+Table_Controls_Input22[[#This Row],[Total labor cost]])</f>
        <v/>
      </c>
      <c r="P32" s="310" t="str">
        <f>IFERROR(Table_Controls_Input22[[#This Row],[Gross measure cost]]-Table_Controls_Input22[[#This Row],[Estimated incentive]], "")</f>
        <v/>
      </c>
      <c r="Q32" s="311" t="str">
        <f t="shared" si="1"/>
        <v/>
      </c>
      <c r="R32" s="269"/>
      <c r="S32" s="269"/>
      <c r="T32" s="269"/>
      <c r="U32" s="269"/>
      <c r="V32" s="269"/>
      <c r="W32" s="269"/>
      <c r="X32" s="269"/>
      <c r="Y32" s="269"/>
      <c r="Z32" s="269"/>
      <c r="AA32" s="269"/>
      <c r="AB32" s="269"/>
      <c r="AC32" s="269"/>
      <c r="AD32" s="269"/>
      <c r="AE32" s="269"/>
      <c r="AF32" s="269"/>
      <c r="AG32" s="269"/>
      <c r="AH32" s="269"/>
      <c r="AI32" s="269"/>
      <c r="AJ32" s="269"/>
      <c r="AK32" s="269"/>
      <c r="AL32" s="269"/>
      <c r="AM32" s="269"/>
    </row>
    <row r="33" spans="1:39" x14ac:dyDescent="0.2">
      <c r="A33" s="269"/>
      <c r="B33" s="307">
        <v>28</v>
      </c>
      <c r="C33" s="308" t="str">
        <f>IFERROR(INDEX(Table_Prescript_Meas[Measure Number], MATCH(E33, Table_Prescript_Meas[Measure Description], 0)), "")</f>
        <v/>
      </c>
      <c r="D33" s="317"/>
      <c r="E33" s="318"/>
      <c r="F33" s="308" t="str">
        <f>IFERROR(INDEX(Table_Prescript_Meas[Units], MATCH(Table_Controls_Input22[[#This Row],[Measure number]], Table_Prescript_Meas[Measure Number], 0)), "")</f>
        <v/>
      </c>
      <c r="G33" s="309"/>
      <c r="H33" s="303"/>
      <c r="I33" s="303"/>
      <c r="J33"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310" t="str">
        <f>IFERROR(Table_Controls_Input22[[#This Row],[Number of units]]*Table_Controls_Input22[[#This Row],[Per-unit incentive]], "")</f>
        <v/>
      </c>
      <c r="L33" s="311" t="str">
        <f>IFERROR(Table_Controls_Input22[[#This Row],[Number of units]]*INDEX(Table_Prescript_Meas[Deemed kWh Savings], MATCH(Table_Controls_Input22[[#This Row],[Measure number]], Table_Prescript_Meas[Measure Number], 0)),"" )</f>
        <v/>
      </c>
      <c r="M33" s="312" t="str">
        <f>IFERROR(Table_Controls_Input22[[#This Row],[Number of units]]*INDEX(Table_Prescript_Meas[Deemed kW Savings], MATCH(Table_Controls_Input22[[#This Row],[Measure number]], Table_Prescript_Meas[Measure Number], 0)),"" )</f>
        <v/>
      </c>
      <c r="N33" s="310" t="str">
        <f t="shared" si="2"/>
        <v/>
      </c>
      <c r="O33" s="310" t="str">
        <f>IF(Table_Controls_Input22[[#This Row],[Measure number]]="", "", Table_Controls_Input22[[#This Row],[Total equipment cost]]+Table_Controls_Input22[[#This Row],[Total labor cost]])</f>
        <v/>
      </c>
      <c r="P33" s="310" t="str">
        <f>IFERROR(Table_Controls_Input22[[#This Row],[Gross measure cost]]-Table_Controls_Input22[[#This Row],[Estimated incentive]], "")</f>
        <v/>
      </c>
      <c r="Q33" s="311" t="str">
        <f t="shared" si="1"/>
        <v/>
      </c>
      <c r="R33" s="269"/>
      <c r="S33" s="269"/>
      <c r="T33" s="269"/>
      <c r="U33" s="269"/>
      <c r="V33" s="269"/>
      <c r="W33" s="269"/>
      <c r="X33" s="269"/>
      <c r="Y33" s="269"/>
      <c r="Z33" s="269"/>
      <c r="AA33" s="269"/>
      <c r="AB33" s="269"/>
      <c r="AC33" s="269"/>
      <c r="AD33" s="269"/>
      <c r="AE33" s="269"/>
      <c r="AF33" s="269"/>
      <c r="AG33" s="269"/>
      <c r="AH33" s="269"/>
      <c r="AI33" s="269"/>
      <c r="AJ33" s="269"/>
      <c r="AK33" s="269"/>
      <c r="AL33" s="269"/>
      <c r="AM33" s="269"/>
    </row>
    <row r="34" spans="1:39" x14ac:dyDescent="0.2">
      <c r="A34" s="269"/>
      <c r="B34" s="307">
        <v>29</v>
      </c>
      <c r="C34" s="308" t="str">
        <f>IFERROR(INDEX(Table_Prescript_Meas[Measure Number], MATCH(E34, Table_Prescript_Meas[Measure Description], 0)), "")</f>
        <v/>
      </c>
      <c r="D34" s="317"/>
      <c r="E34" s="318"/>
      <c r="F34" s="308" t="str">
        <f>IFERROR(INDEX(Table_Prescript_Meas[Units], MATCH(Table_Controls_Input22[[#This Row],[Measure number]], Table_Prescript_Meas[Measure Number], 0)), "")</f>
        <v/>
      </c>
      <c r="G34" s="309"/>
      <c r="H34" s="303"/>
      <c r="I34" s="303"/>
      <c r="J34"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310" t="str">
        <f>IFERROR(Table_Controls_Input22[[#This Row],[Number of units]]*Table_Controls_Input22[[#This Row],[Per-unit incentive]], "")</f>
        <v/>
      </c>
      <c r="L34" s="311" t="str">
        <f>IFERROR(Table_Controls_Input22[[#This Row],[Number of units]]*INDEX(Table_Prescript_Meas[Deemed kWh Savings], MATCH(Table_Controls_Input22[[#This Row],[Measure number]], Table_Prescript_Meas[Measure Number], 0)),"" )</f>
        <v/>
      </c>
      <c r="M34" s="312" t="str">
        <f>IFERROR(Table_Controls_Input22[[#This Row],[Number of units]]*INDEX(Table_Prescript_Meas[Deemed kW Savings], MATCH(Table_Controls_Input22[[#This Row],[Measure number]], Table_Prescript_Meas[Measure Number], 0)),"" )</f>
        <v/>
      </c>
      <c r="N34" s="310" t="str">
        <f t="shared" si="2"/>
        <v/>
      </c>
      <c r="O34" s="310" t="str">
        <f>IF(Table_Controls_Input22[[#This Row],[Measure number]]="", "", Table_Controls_Input22[[#This Row],[Total equipment cost]]+Table_Controls_Input22[[#This Row],[Total labor cost]])</f>
        <v/>
      </c>
      <c r="P34" s="310" t="str">
        <f>IFERROR(Table_Controls_Input22[[#This Row],[Gross measure cost]]-Table_Controls_Input22[[#This Row],[Estimated incentive]], "")</f>
        <v/>
      </c>
      <c r="Q34" s="311" t="str">
        <f t="shared" si="1"/>
        <v/>
      </c>
      <c r="R34" s="269"/>
      <c r="S34" s="269"/>
      <c r="T34" s="269"/>
      <c r="U34" s="269"/>
      <c r="V34" s="269"/>
      <c r="W34" s="269"/>
      <c r="X34" s="269"/>
      <c r="Y34" s="269"/>
      <c r="Z34" s="269"/>
      <c r="AA34" s="269"/>
      <c r="AB34" s="269"/>
      <c r="AC34" s="269"/>
      <c r="AD34" s="269"/>
      <c r="AE34" s="269"/>
      <c r="AF34" s="269"/>
      <c r="AG34" s="269"/>
      <c r="AH34" s="269"/>
      <c r="AI34" s="269"/>
      <c r="AJ34" s="269"/>
      <c r="AK34" s="269"/>
      <c r="AL34" s="269"/>
      <c r="AM34" s="269"/>
    </row>
    <row r="35" spans="1:39" x14ac:dyDescent="0.2">
      <c r="A35" s="269"/>
      <c r="B35" s="307">
        <v>30</v>
      </c>
      <c r="C35" s="308" t="str">
        <f>IFERROR(INDEX(Table_Prescript_Meas[Measure Number], MATCH(E35, Table_Prescript_Meas[Measure Description], 0)), "")</f>
        <v/>
      </c>
      <c r="D35" s="317"/>
      <c r="E35" s="318"/>
      <c r="F35" s="308" t="str">
        <f>IFERROR(INDEX(Table_Prescript_Meas[Units], MATCH(Table_Controls_Input22[[#This Row],[Measure number]], Table_Prescript_Meas[Measure Number], 0)), "")</f>
        <v/>
      </c>
      <c r="G35" s="309"/>
      <c r="H35" s="303"/>
      <c r="I35" s="303"/>
      <c r="J35" s="31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5" s="310" t="str">
        <f>IFERROR(Table_Controls_Input22[[#This Row],[Number of units]]*Table_Controls_Input22[[#This Row],[Per-unit incentive]], "")</f>
        <v/>
      </c>
      <c r="L35" s="311" t="str">
        <f>IFERROR(Table_Controls_Input22[[#This Row],[Number of units]]*INDEX(Table_Prescript_Meas[Deemed kWh Savings], MATCH(Table_Controls_Input22[[#This Row],[Measure number]], Table_Prescript_Meas[Measure Number], 0)),"" )</f>
        <v/>
      </c>
      <c r="M35" s="312" t="str">
        <f>IFERROR(Table_Controls_Input22[[#This Row],[Number of units]]*INDEX(Table_Prescript_Meas[Deemed kW Savings], MATCH(Table_Controls_Input22[[#This Row],[Measure number]], Table_Prescript_Meas[Measure Number], 0)),"" )</f>
        <v/>
      </c>
      <c r="N35" s="310" t="str">
        <f t="shared" si="2"/>
        <v/>
      </c>
      <c r="O35" s="310" t="str">
        <f>IF(Table_Controls_Input22[[#This Row],[Measure number]]="", "", Table_Controls_Input22[[#This Row],[Total equipment cost]]+Table_Controls_Input22[[#This Row],[Total labor cost]])</f>
        <v/>
      </c>
      <c r="P35" s="310" t="str">
        <f>IFERROR(Table_Controls_Input22[[#This Row],[Gross measure cost]]-Table_Controls_Input22[[#This Row],[Estimated incentive]], "")</f>
        <v/>
      </c>
      <c r="Q35" s="311" t="str">
        <f t="shared" si="1"/>
        <v/>
      </c>
      <c r="R35" s="269"/>
      <c r="S35" s="269"/>
      <c r="T35" s="269"/>
      <c r="U35" s="269"/>
      <c r="V35" s="269"/>
      <c r="W35" s="269"/>
      <c r="X35" s="269"/>
      <c r="Y35" s="269"/>
      <c r="Z35" s="269"/>
      <c r="AA35" s="269"/>
      <c r="AB35" s="269"/>
      <c r="AC35" s="269"/>
      <c r="AD35" s="269"/>
      <c r="AE35" s="269"/>
      <c r="AF35" s="269"/>
      <c r="AG35" s="269"/>
      <c r="AH35" s="269"/>
      <c r="AI35" s="269"/>
      <c r="AJ35" s="269"/>
      <c r="AK35" s="269"/>
      <c r="AL35" s="269"/>
      <c r="AM35" s="269"/>
    </row>
    <row r="36" spans="1:39" x14ac:dyDescent="0.2">
      <c r="A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row>
    <row r="37" spans="1:39" x14ac:dyDescent="0.2"/>
    <row r="38" spans="1:39" x14ac:dyDescent="0.2">
      <c r="B38" s="253" t="s">
        <v>644</v>
      </c>
    </row>
    <row r="39" spans="1:39" x14ac:dyDescent="0.2">
      <c r="B39" s="253" t="str">
        <f>Value_Application_Version</f>
        <v>Version 5.2</v>
      </c>
    </row>
    <row r="40" spans="1:39" x14ac:dyDescent="0.2"/>
    <row r="41" spans="1:39" x14ac:dyDescent="0.2">
      <c r="A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row>
    <row r="42" spans="1:39" x14ac:dyDescent="0.2">
      <c r="A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row>
    <row r="43" spans="1:39" x14ac:dyDescent="0.2">
      <c r="A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row>
    <row r="44" spans="1:39" x14ac:dyDescent="0.2">
      <c r="A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row>
    <row r="45" spans="1:39" x14ac:dyDescent="0.2">
      <c r="A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row>
    <row r="46" spans="1:39" x14ac:dyDescent="0.2">
      <c r="A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row>
    <row r="47" spans="1:39" x14ac:dyDescent="0.2">
      <c r="A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row>
    <row r="48" spans="1:39" x14ac:dyDescent="0.2">
      <c r="A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row>
    <row r="49" spans="1:39" x14ac:dyDescent="0.2">
      <c r="A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row>
    <row r="50" spans="1:39" x14ac:dyDescent="0.2">
      <c r="A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row>
    <row r="51" spans="1:39" x14ac:dyDescent="0.2">
      <c r="A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row>
    <row r="52" spans="1:39" x14ac:dyDescent="0.2">
      <c r="A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row>
    <row r="53" spans="1:39" x14ac:dyDescent="0.2">
      <c r="A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row>
    <row r="54" spans="1:39" x14ac:dyDescent="0.2">
      <c r="A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row>
    <row r="55" spans="1:39" x14ac:dyDescent="0.2">
      <c r="A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row>
    <row r="56" spans="1:39" x14ac:dyDescent="0.2">
      <c r="A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row>
    <row r="57" spans="1:39" x14ac:dyDescent="0.2">
      <c r="A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row>
    <row r="58" spans="1:39" x14ac:dyDescent="0.2">
      <c r="A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row>
    <row r="59" spans="1:39" x14ac:dyDescent="0.2">
      <c r="A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row>
    <row r="60" spans="1:39" x14ac:dyDescent="0.2">
      <c r="A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row>
    <row r="61" spans="1:39" x14ac:dyDescent="0.2">
      <c r="A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row>
    <row r="62" spans="1:39" x14ac:dyDescent="0.2">
      <c r="A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row>
    <row r="63" spans="1:39" x14ac:dyDescent="0.2">
      <c r="A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row>
    <row r="64" spans="1:39" x14ac:dyDescent="0.2">
      <c r="A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row>
    <row r="65" spans="1:39" x14ac:dyDescent="0.2">
      <c r="A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row>
    <row r="66" spans="1:39" x14ac:dyDescent="0.2">
      <c r="A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row>
    <row r="67" spans="1:39" x14ac:dyDescent="0.2">
      <c r="A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row>
    <row r="68" spans="1:39" x14ac:dyDescent="0.2">
      <c r="A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row>
    <row r="69" spans="1:39" x14ac:dyDescent="0.2">
      <c r="A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row>
    <row r="70" spans="1:39" x14ac:dyDescent="0.2">
      <c r="A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x14ac:dyDescent="0.2">
      <c r="A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row>
    <row r="72" spans="1:39" x14ac:dyDescent="0.2">
      <c r="A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row>
    <row r="73" spans="1:39" x14ac:dyDescent="0.2">
      <c r="A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row>
    <row r="74" spans="1:39" x14ac:dyDescent="0.2">
      <c r="A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row>
    <row r="75" spans="1:39" x14ac:dyDescent="0.2">
      <c r="A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row>
    <row r="76" spans="1:39" x14ac:dyDescent="0.2">
      <c r="A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row>
    <row r="77" spans="1:39" x14ac:dyDescent="0.2">
      <c r="A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row>
    <row r="78" spans="1:39" x14ac:dyDescent="0.2">
      <c r="A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row>
    <row r="79" spans="1:39" x14ac:dyDescent="0.2">
      <c r="A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row>
    <row r="80" spans="1:39" x14ac:dyDescent="0.2">
      <c r="A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row>
    <row r="81" spans="1:39" x14ac:dyDescent="0.2">
      <c r="A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row>
    <row r="82" spans="1:39" x14ac:dyDescent="0.2">
      <c r="A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row>
    <row r="83" spans="1:39" x14ac:dyDescent="0.2">
      <c r="A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row>
    <row r="84" spans="1:39" x14ac:dyDescent="0.2">
      <c r="A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row>
    <row r="85" spans="1:39" x14ac:dyDescent="0.2">
      <c r="A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row>
    <row r="86" spans="1:39" x14ac:dyDescent="0.2">
      <c r="A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row>
    <row r="87" spans="1:39" x14ac:dyDescent="0.2">
      <c r="A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row>
    <row r="88" spans="1:39" x14ac:dyDescent="0.2">
      <c r="A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row>
    <row r="89" spans="1:39" x14ac:dyDescent="0.2">
      <c r="A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row>
    <row r="90" spans="1:39" x14ac:dyDescent="0.2">
      <c r="A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row>
    <row r="91" spans="1:39" x14ac:dyDescent="0.2">
      <c r="A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row>
    <row r="92" spans="1:39" x14ac:dyDescent="0.2">
      <c r="A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row>
    <row r="93" spans="1:39" x14ac:dyDescent="0.2">
      <c r="A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row>
    <row r="94" spans="1:39" x14ac:dyDescent="0.2">
      <c r="A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row>
    <row r="95" spans="1:39" x14ac:dyDescent="0.2">
      <c r="A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row>
    <row r="96" spans="1:39" x14ac:dyDescent="0.2">
      <c r="A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row>
    <row r="97" spans="1:39" x14ac:dyDescent="0.2">
      <c r="A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row>
    <row r="98" spans="1:39" x14ac:dyDescent="0.2">
      <c r="A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row>
    <row r="99" spans="1:39" x14ac:dyDescent="0.2">
      <c r="A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row>
    <row r="100" spans="1:39" x14ac:dyDescent="0.2">
      <c r="A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row>
    <row r="101" spans="1:39" x14ac:dyDescent="0.2">
      <c r="A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row>
    <row r="102" spans="1:39" x14ac:dyDescent="0.2">
      <c r="A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row>
    <row r="103" spans="1:39" x14ac:dyDescent="0.2">
      <c r="A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row>
    <row r="104" spans="1:39" x14ac:dyDescent="0.2">
      <c r="A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row>
    <row r="105" spans="1:39" x14ac:dyDescent="0.2">
      <c r="A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row>
    <row r="106" spans="1:39" x14ac:dyDescent="0.2">
      <c r="A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row>
    <row r="107" spans="1:39" x14ac:dyDescent="0.2">
      <c r="A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row>
    <row r="108" spans="1:39" x14ac:dyDescent="0.2">
      <c r="A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row>
    <row r="109" spans="1:39" x14ac:dyDescent="0.2">
      <c r="A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row>
    <row r="110" spans="1:39" x14ac:dyDescent="0.2">
      <c r="A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row>
    <row r="111" spans="1:39" x14ac:dyDescent="0.2">
      <c r="A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row>
    <row r="112" spans="1:39" x14ac:dyDescent="0.2">
      <c r="A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row>
    <row r="113" spans="1:39" x14ac:dyDescent="0.2">
      <c r="A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row>
    <row r="114" spans="1:39" x14ac:dyDescent="0.2">
      <c r="A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row>
    <row r="115" spans="1:39" x14ac:dyDescent="0.2">
      <c r="A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row>
    <row r="116" spans="1:39" x14ac:dyDescent="0.2">
      <c r="A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row>
    <row r="117" spans="1:39" x14ac:dyDescent="0.2">
      <c r="A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row>
    <row r="118" spans="1:39" x14ac:dyDescent="0.2">
      <c r="A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row>
    <row r="119" spans="1:39" x14ac:dyDescent="0.2">
      <c r="A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row>
    <row r="120" spans="1:39" x14ac:dyDescent="0.2">
      <c r="A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row>
    <row r="121" spans="1:39" x14ac:dyDescent="0.2">
      <c r="A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row>
    <row r="122" spans="1:39" x14ac:dyDescent="0.2">
      <c r="A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row>
    <row r="123" spans="1:39" x14ac:dyDescent="0.2">
      <c r="A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row>
    <row r="124" spans="1:39" x14ac:dyDescent="0.2">
      <c r="A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row>
    <row r="125" spans="1:39" x14ac:dyDescent="0.2">
      <c r="A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row>
    <row r="126" spans="1:39" x14ac:dyDescent="0.2">
      <c r="A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row>
    <row r="127" spans="1:39" x14ac:dyDescent="0.2">
      <c r="A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row>
    <row r="128" spans="1:39" x14ac:dyDescent="0.2">
      <c r="A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row>
    <row r="129" spans="1:39" x14ac:dyDescent="0.2">
      <c r="A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row>
    <row r="130" spans="1:39" x14ac:dyDescent="0.2">
      <c r="A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row>
    <row r="131" spans="1:39" x14ac:dyDescent="0.2">
      <c r="A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row>
    <row r="132" spans="1:39" x14ac:dyDescent="0.2">
      <c r="A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row>
    <row r="133" spans="1:39" x14ac:dyDescent="0.2">
      <c r="A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row>
    <row r="134" spans="1:39" x14ac:dyDescent="0.2">
      <c r="A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row>
    <row r="135" spans="1:39" x14ac:dyDescent="0.2">
      <c r="A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row>
    <row r="136" spans="1:39" x14ac:dyDescent="0.2">
      <c r="A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row>
    <row r="137" spans="1:39" x14ac:dyDescent="0.2">
      <c r="A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row>
    <row r="138" spans="1:39" x14ac:dyDescent="0.2">
      <c r="A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row>
    <row r="139" spans="1:39" x14ac:dyDescent="0.2">
      <c r="A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row>
    <row r="140" spans="1:39" x14ac:dyDescent="0.2">
      <c r="A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row>
    <row r="141" spans="1:39" x14ac:dyDescent="0.2">
      <c r="A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row>
    <row r="142" spans="1:39" x14ac:dyDescent="0.2">
      <c r="A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row>
    <row r="143" spans="1:39" x14ac:dyDescent="0.2">
      <c r="A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row>
    <row r="144" spans="1:39" x14ac:dyDescent="0.2">
      <c r="A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row>
    <row r="145" spans="1:39" x14ac:dyDescent="0.2">
      <c r="A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row>
    <row r="146" spans="1:39" x14ac:dyDescent="0.2">
      <c r="A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row>
    <row r="147" spans="1:39" x14ac:dyDescent="0.2">
      <c r="A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row>
    <row r="148" spans="1:39" x14ac:dyDescent="0.2">
      <c r="A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row>
    <row r="149" spans="1:39" x14ac:dyDescent="0.2">
      <c r="A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row>
    <row r="150" spans="1:39" x14ac:dyDescent="0.2">
      <c r="A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row>
    <row r="151" spans="1:39" x14ac:dyDescent="0.2">
      <c r="A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row>
    <row r="152" spans="1:39" x14ac:dyDescent="0.2">
      <c r="A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row>
    <row r="153" spans="1:39" x14ac:dyDescent="0.2">
      <c r="A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row>
    <row r="154" spans="1:39" x14ac:dyDescent="0.2">
      <c r="A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row>
    <row r="155" spans="1:39" x14ac:dyDescent="0.2">
      <c r="A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row>
    <row r="156" spans="1:39" x14ac:dyDescent="0.2">
      <c r="A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row>
    <row r="157" spans="1:39" x14ac:dyDescent="0.2">
      <c r="A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row>
    <row r="158" spans="1:39" x14ac:dyDescent="0.2">
      <c r="A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row>
    <row r="159" spans="1:39" x14ac:dyDescent="0.2">
      <c r="A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row>
    <row r="160" spans="1:39" x14ac:dyDescent="0.2">
      <c r="A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row>
    <row r="161" spans="1:39" x14ac:dyDescent="0.2">
      <c r="A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row>
    <row r="162" spans="1:39" x14ac:dyDescent="0.2">
      <c r="A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row>
    <row r="163" spans="1:39" x14ac:dyDescent="0.2">
      <c r="A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row>
    <row r="164" spans="1:39" x14ac:dyDescent="0.2">
      <c r="A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row>
    <row r="165" spans="1:39" x14ac:dyDescent="0.2">
      <c r="A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row>
    <row r="166" spans="1:39" x14ac:dyDescent="0.2">
      <c r="A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row>
    <row r="167" spans="1:39" x14ac:dyDescent="0.2">
      <c r="A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row>
    <row r="168" spans="1:39" x14ac:dyDescent="0.2">
      <c r="A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row>
    <row r="169" spans="1:39" x14ac:dyDescent="0.2">
      <c r="A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row>
    <row r="170" spans="1:39" x14ac:dyDescent="0.2">
      <c r="A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row>
    <row r="171" spans="1:39" x14ac:dyDescent="0.2">
      <c r="A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row>
    <row r="172" spans="1:39" x14ac:dyDescent="0.2">
      <c r="A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row>
    <row r="173" spans="1:39" x14ac:dyDescent="0.2">
      <c r="A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row>
    <row r="174" spans="1:39" x14ac:dyDescent="0.2">
      <c r="A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row>
    <row r="175" spans="1:39" x14ac:dyDescent="0.2">
      <c r="A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row>
    <row r="176" spans="1:39" x14ac:dyDescent="0.2">
      <c r="A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row>
    <row r="177" spans="1:39" x14ac:dyDescent="0.2">
      <c r="A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row>
    <row r="178" spans="1:39" x14ac:dyDescent="0.2">
      <c r="A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row>
    <row r="179" spans="1:39" x14ac:dyDescent="0.2">
      <c r="A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row>
    <row r="180" spans="1:39" x14ac:dyDescent="0.2">
      <c r="A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row>
    <row r="181" spans="1:39" x14ac:dyDescent="0.2">
      <c r="A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row>
    <row r="182" spans="1:39" x14ac:dyDescent="0.2">
      <c r="A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row>
    <row r="183" spans="1:39" x14ac:dyDescent="0.2">
      <c r="A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row>
    <row r="184" spans="1:39" x14ac:dyDescent="0.2">
      <c r="A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row>
    <row r="185" spans="1:39" x14ac:dyDescent="0.2">
      <c r="A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row>
    <row r="186" spans="1:39" x14ac:dyDescent="0.2">
      <c r="A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row>
    <row r="187" spans="1:39" x14ac:dyDescent="0.2">
      <c r="A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row>
    <row r="188" spans="1:39" x14ac:dyDescent="0.2">
      <c r="A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row>
    <row r="189" spans="1:39" x14ac:dyDescent="0.2">
      <c r="A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row>
    <row r="190" spans="1:39" x14ac:dyDescent="0.2">
      <c r="A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row>
    <row r="191" spans="1:39" x14ac:dyDescent="0.2">
      <c r="A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row>
    <row r="192" spans="1:39" x14ac:dyDescent="0.2">
      <c r="A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row>
    <row r="193" spans="1:39" x14ac:dyDescent="0.2">
      <c r="A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row>
    <row r="194" spans="1:39" x14ac:dyDescent="0.2">
      <c r="A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row>
    <row r="195" spans="1:39" x14ac:dyDescent="0.2">
      <c r="A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row>
    <row r="196" spans="1:39" x14ac:dyDescent="0.2">
      <c r="A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row>
    <row r="197" spans="1:39" x14ac:dyDescent="0.2">
      <c r="A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row>
    <row r="198" spans="1:39" x14ac:dyDescent="0.2">
      <c r="A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row>
    <row r="199" spans="1:39" x14ac:dyDescent="0.2">
      <c r="A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row>
    <row r="200" spans="1:39" x14ac:dyDescent="0.2">
      <c r="A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row>
    <row r="201" spans="1:39" x14ac:dyDescent="0.2">
      <c r="A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row>
    <row r="202" spans="1:39" x14ac:dyDescent="0.2">
      <c r="A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row>
    <row r="203" spans="1:39" x14ac:dyDescent="0.2">
      <c r="A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row>
    <row r="204" spans="1:39" x14ac:dyDescent="0.2">
      <c r="A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row>
    <row r="205" spans="1:39" x14ac:dyDescent="0.2">
      <c r="A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row>
  </sheetData>
  <sheetProtection algorithmName="SHA-512" hashValue="lr54BL58d6DxL2A0KG6k2FPNVfaFMZp3huC0KTb1uEexFmsnipDygNcYN3zUNUy8lOI3DKNskeQfmBjHQ9NAqw==" saltValue="Xq4XDjo/6goaayjIQEStUQ==" spinCount="100000" sheet="1" selectLockedCells="1"/>
  <mergeCells count="2">
    <mergeCell ref="G4:I4"/>
    <mergeCell ref="B2:N2"/>
  </mergeCells>
  <conditionalFormatting sqref="G6:I35">
    <cfRule type="expression" dxfId="154" priority="1">
      <formula>$E6=""</formula>
    </cfRule>
  </conditionalFormatting>
  <dataValidations count="1">
    <dataValidation type="list" allowBlank="1" showInputMessage="1" showErrorMessage="1" sqref="E6:E35"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S180"/>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 style="253" customWidth="1"/>
    <col min="4" max="4" width="17" style="253" customWidth="1"/>
    <col min="5" max="5" width="28.7109375" style="253" customWidth="1"/>
    <col min="6" max="6" width="29.85546875" style="253" customWidth="1"/>
    <col min="7" max="7" width="21.28515625" style="253" customWidth="1"/>
    <col min="8" max="8" width="20" style="253" customWidth="1"/>
    <col min="9" max="9" width="41.42578125" style="253" customWidth="1"/>
    <col min="10" max="11" width="13.42578125" style="253" customWidth="1"/>
    <col min="12" max="12" width="41" style="253" customWidth="1"/>
    <col min="13" max="14" width="13.42578125" style="253" customWidth="1"/>
    <col min="15" max="15" width="12.42578125" style="253" customWidth="1"/>
    <col min="16" max="16" width="9.85546875" style="253" customWidth="1"/>
    <col min="17" max="17" width="11" style="253" customWidth="1"/>
    <col min="18" max="18" width="12" style="253" customWidth="1"/>
    <col min="19" max="19" width="11.85546875" style="253" customWidth="1"/>
    <col min="20" max="20" width="10.28515625" style="253" customWidth="1"/>
    <col min="21" max="21" width="10.85546875" style="253" bestFit="1" customWidth="1"/>
    <col min="22" max="22" width="13.42578125" style="253" customWidth="1"/>
    <col min="23" max="23" width="9.5703125" style="253" customWidth="1"/>
    <col min="24" max="16384" width="9.140625" style="253"/>
  </cols>
  <sheetData>
    <row r="1" spans="1:45" ht="52.5" customHeight="1" x14ac:dyDescent="0.2"/>
    <row r="2" spans="1:45" s="255" customFormat="1" ht="42.75" customHeight="1" x14ac:dyDescent="0.2">
      <c r="B2" s="374" t="s">
        <v>760</v>
      </c>
      <c r="C2" s="374"/>
      <c r="D2" s="374"/>
      <c r="E2" s="374"/>
      <c r="F2" s="374"/>
      <c r="G2" s="374"/>
      <c r="H2" s="374"/>
      <c r="I2" s="374"/>
      <c r="J2" s="374"/>
      <c r="K2" s="374"/>
      <c r="L2" s="374"/>
      <c r="M2" s="374"/>
      <c r="N2" s="374"/>
      <c r="O2" s="374"/>
      <c r="P2" s="374"/>
      <c r="Q2" s="374"/>
      <c r="R2" s="374"/>
      <c r="S2" s="374"/>
      <c r="T2" s="374"/>
      <c r="U2" s="254"/>
      <c r="V2" s="254"/>
      <c r="W2" s="254"/>
    </row>
    <row r="3" spans="1:45" x14ac:dyDescent="0.2">
      <c r="A3" s="269"/>
      <c r="I3" s="384" t="s">
        <v>52</v>
      </c>
      <c r="J3" s="384"/>
      <c r="K3" s="384"/>
      <c r="L3" s="380" t="s">
        <v>31</v>
      </c>
      <c r="M3" s="380"/>
      <c r="N3" s="380"/>
      <c r="O3" s="380"/>
      <c r="P3" s="380"/>
      <c r="Q3" s="313">
        <f>SUM(Table_Controls_Input2225[Estimated incentive])</f>
        <v>0</v>
      </c>
      <c r="R3" s="314">
        <f>SUM(Table_Controls_Input2225[Energy savings (kWh)])</f>
        <v>0</v>
      </c>
      <c r="S3" s="315">
        <f>SUM(Table_Controls_Input2225[Demand reduction (kW)])</f>
        <v>0</v>
      </c>
      <c r="T3" s="316">
        <f>SUM(Table_Controls_Input2225[Cost savings])</f>
        <v>0</v>
      </c>
      <c r="U3" s="316">
        <f>SUM(Table_Controls_Input2225[Gross measure cost])</f>
        <v>0</v>
      </c>
      <c r="V3" s="316">
        <f>SUM(Table_Controls_Input2225[Net measure cost])</f>
        <v>0</v>
      </c>
      <c r="W3" s="306" t="str">
        <f>IFERROR(V3/T3,"")</f>
        <v/>
      </c>
      <c r="X3" s="269"/>
      <c r="Y3" s="269"/>
      <c r="Z3" s="269"/>
      <c r="AA3" s="269"/>
      <c r="AB3" s="269"/>
      <c r="AC3" s="269"/>
      <c r="AD3" s="269"/>
      <c r="AE3" s="269"/>
      <c r="AF3" s="269"/>
      <c r="AG3" s="269"/>
      <c r="AH3" s="269"/>
      <c r="AI3" s="269"/>
      <c r="AJ3" s="269"/>
      <c r="AK3" s="269"/>
      <c r="AL3" s="269"/>
      <c r="AM3" s="269"/>
      <c r="AN3" s="269"/>
      <c r="AO3" s="269"/>
      <c r="AP3" s="269"/>
      <c r="AQ3" s="269"/>
      <c r="AR3" s="269"/>
      <c r="AS3" s="269"/>
    </row>
    <row r="4" spans="1:45" s="245" customFormat="1" ht="54" customHeight="1" x14ac:dyDescent="0.2">
      <c r="A4" s="292"/>
      <c r="B4" s="293" t="s">
        <v>801</v>
      </c>
      <c r="C4" s="293" t="s">
        <v>723</v>
      </c>
      <c r="D4" s="295" t="s">
        <v>724</v>
      </c>
      <c r="E4" s="294" t="s">
        <v>761</v>
      </c>
      <c r="F4" s="294" t="s">
        <v>762</v>
      </c>
      <c r="G4" s="294" t="s">
        <v>54</v>
      </c>
      <c r="H4" s="294" t="s">
        <v>763</v>
      </c>
      <c r="I4" s="323" t="s">
        <v>764</v>
      </c>
      <c r="J4" s="323" t="s">
        <v>765</v>
      </c>
      <c r="K4" s="323" t="s">
        <v>766</v>
      </c>
      <c r="L4" s="296" t="s">
        <v>767</v>
      </c>
      <c r="M4" s="296" t="s">
        <v>768</v>
      </c>
      <c r="N4" s="296" t="s">
        <v>769</v>
      </c>
      <c r="O4" s="297" t="s">
        <v>732</v>
      </c>
      <c r="P4" s="297" t="s">
        <v>733</v>
      </c>
      <c r="Q4" s="290" t="s">
        <v>735</v>
      </c>
      <c r="R4" s="290" t="s">
        <v>736</v>
      </c>
      <c r="S4" s="290" t="s">
        <v>737</v>
      </c>
      <c r="T4" s="290" t="s">
        <v>738</v>
      </c>
      <c r="U4" s="290" t="s">
        <v>739</v>
      </c>
      <c r="V4" s="290" t="s">
        <v>740</v>
      </c>
      <c r="W4" s="290" t="s">
        <v>741</v>
      </c>
      <c r="X4" s="292"/>
      <c r="Y4" s="292"/>
      <c r="Z4" s="292"/>
      <c r="AA4" s="292"/>
      <c r="AB4" s="292"/>
      <c r="AC4" s="292"/>
      <c r="AD4" s="292"/>
      <c r="AE4" s="292"/>
      <c r="AF4" s="292"/>
      <c r="AG4" s="292"/>
      <c r="AH4" s="292"/>
      <c r="AI4" s="292"/>
      <c r="AJ4" s="292"/>
      <c r="AK4" s="292"/>
      <c r="AL4" s="292"/>
      <c r="AM4" s="292"/>
      <c r="AN4" s="292"/>
      <c r="AO4" s="292"/>
      <c r="AP4" s="292"/>
      <c r="AQ4" s="292"/>
      <c r="AR4" s="292"/>
      <c r="AS4" s="292"/>
    </row>
    <row r="5" spans="1:45" x14ac:dyDescent="0.2">
      <c r="A5" s="273"/>
      <c r="B5" s="307">
        <v>1</v>
      </c>
      <c r="C5" s="307" t="str">
        <f>IFERROR(IF(Table_Controls_Input2225[[#This Row],[Measure classification]]&lt;&gt;"",References!$F$27,""),"")</f>
        <v/>
      </c>
      <c r="D5" s="317"/>
      <c r="E5" s="257"/>
      <c r="F5" s="309"/>
      <c r="G5" s="309"/>
      <c r="H5" s="309"/>
      <c r="I5" s="309"/>
      <c r="J5" s="320"/>
      <c r="K5" s="321"/>
      <c r="L5" s="309"/>
      <c r="M5" s="320"/>
      <c r="N5" s="321"/>
      <c r="O5" s="322"/>
      <c r="P5" s="322"/>
      <c r="Q5" s="310" t="str">
        <f>IF(Table_Controls_Input2225[[#This Row],[Measure name]]="","", Table_Controls_Input2225[[#This Row],[Energy savings (kWh)]]*Value_Cus_IncentRate)</f>
        <v/>
      </c>
      <c r="R5" s="311" t="str">
        <f>IF(Table_Controls_Input2225[[#This Row],[Measure name]]="", "", Table_Controls_Input2225[[#This Row],[Existing energy consumption (kWh/yr)]]-Table_Controls_Input2225[[#This Row],[Proposed energy consumption (kWh/yr)]])</f>
        <v/>
      </c>
      <c r="S5" s="312" t="str">
        <f>IF(Table_Controls_Input2225[[#This Row],[Measure name]]="", "", Table_Controls_Input2225[[#This Row],[Existing peak demand (kW)]]-Table_Controls_Input2225[[#This Row],[Proposed peak demand (kW)]])</f>
        <v/>
      </c>
      <c r="T5" s="310" t="str">
        <f t="shared" ref="T5:T14" si="0">IFERROR(R5*Input_AvgkWhRate, "")</f>
        <v/>
      </c>
      <c r="U5" s="310" t="str">
        <f>IF(Table_Controls_Input2225[[#This Row],[Measure name]]="", "", Table_Controls_Input2225[[#This Row],[Total equipment cost]]+Table_Controls_Input2225[[#This Row],[Total labor cost]])</f>
        <v/>
      </c>
      <c r="V5" s="310" t="str">
        <f>IFERROR(Table_Controls_Input2225[[#This Row],[Gross measure cost]]-Table_Controls_Input2225[[#This Row],[Estimated incentive]], "")</f>
        <v/>
      </c>
      <c r="W5" s="311" t="str">
        <f t="shared" ref="W5:W24" si="1">IFERROR($V5/$T5,"")</f>
        <v/>
      </c>
      <c r="X5" s="273"/>
      <c r="Y5" s="273"/>
      <c r="Z5" s="273"/>
      <c r="AA5" s="273"/>
      <c r="AB5" s="273"/>
      <c r="AC5" s="273"/>
      <c r="AD5" s="273"/>
      <c r="AE5" s="273"/>
      <c r="AF5" s="273"/>
      <c r="AG5" s="273"/>
      <c r="AH5" s="273"/>
      <c r="AI5" s="273"/>
      <c r="AJ5" s="273"/>
      <c r="AK5" s="273"/>
      <c r="AL5" s="273"/>
      <c r="AM5" s="273"/>
      <c r="AN5" s="273"/>
      <c r="AO5" s="273"/>
      <c r="AP5" s="273"/>
      <c r="AQ5" s="273"/>
      <c r="AR5" s="273"/>
      <c r="AS5" s="273"/>
    </row>
    <row r="6" spans="1:45" x14ac:dyDescent="0.2">
      <c r="A6" s="273"/>
      <c r="B6" s="307">
        <v>2</v>
      </c>
      <c r="C6" s="307" t="str">
        <f>IFERROR(IF(Table_Controls_Input2225[[#This Row],[Measure classification]]&lt;&gt;"",References!$F$27,""),"")</f>
        <v/>
      </c>
      <c r="D6" s="317"/>
      <c r="E6" s="257"/>
      <c r="F6" s="309"/>
      <c r="G6" s="309"/>
      <c r="H6" s="309"/>
      <c r="I6" s="309"/>
      <c r="J6" s="320"/>
      <c r="K6" s="321"/>
      <c r="L6" s="309"/>
      <c r="M6" s="320"/>
      <c r="N6" s="321"/>
      <c r="O6" s="322"/>
      <c r="P6" s="322"/>
      <c r="Q6" s="310" t="str">
        <f>IF(Table_Controls_Input2225[[#This Row],[Measure name]]="","", Table_Controls_Input2225[[#This Row],[Energy savings (kWh)]]*Value_Cus_IncentRate)</f>
        <v/>
      </c>
      <c r="R6" s="311" t="str">
        <f>IF(Table_Controls_Input2225[[#This Row],[Measure name]]="", "", Table_Controls_Input2225[[#This Row],[Existing energy consumption (kWh/yr)]]-Table_Controls_Input2225[[#This Row],[Proposed energy consumption (kWh/yr)]])</f>
        <v/>
      </c>
      <c r="S6" s="312" t="str">
        <f>IF(Table_Controls_Input2225[[#This Row],[Measure name]]="", "", Table_Controls_Input2225[[#This Row],[Existing peak demand (kW)]]-Table_Controls_Input2225[[#This Row],[Proposed peak demand (kW)]])</f>
        <v/>
      </c>
      <c r="T6" s="310" t="str">
        <f t="shared" si="0"/>
        <v/>
      </c>
      <c r="U6" s="310" t="str">
        <f>IF(Table_Controls_Input2225[[#This Row],[Measure name]]="", "", Table_Controls_Input2225[[#This Row],[Total equipment cost]]+Table_Controls_Input2225[[#This Row],[Total labor cost]])</f>
        <v/>
      </c>
      <c r="V6" s="310" t="str">
        <f>IFERROR(Table_Controls_Input2225[[#This Row],[Gross measure cost]]-Table_Controls_Input2225[[#This Row],[Estimated incentive]], "")</f>
        <v/>
      </c>
      <c r="W6" s="311" t="str">
        <f t="shared" si="1"/>
        <v/>
      </c>
      <c r="X6" s="273"/>
      <c r="Y6" s="273"/>
      <c r="Z6" s="273"/>
      <c r="AA6" s="273"/>
      <c r="AB6" s="273"/>
      <c r="AC6" s="273"/>
      <c r="AD6" s="273"/>
      <c r="AE6" s="273"/>
      <c r="AF6" s="273"/>
      <c r="AG6" s="273"/>
      <c r="AH6" s="273"/>
      <c r="AI6" s="273"/>
      <c r="AJ6" s="273"/>
      <c r="AK6" s="273"/>
      <c r="AL6" s="273"/>
      <c r="AM6" s="273"/>
      <c r="AN6" s="273"/>
      <c r="AO6" s="273"/>
      <c r="AP6" s="273"/>
      <c r="AQ6" s="273"/>
      <c r="AR6" s="273"/>
      <c r="AS6" s="273"/>
    </row>
    <row r="7" spans="1:45" x14ac:dyDescent="0.2">
      <c r="A7" s="273"/>
      <c r="B7" s="307">
        <v>3</v>
      </c>
      <c r="C7" s="307" t="str">
        <f>IFERROR(IF(Table_Controls_Input2225[[#This Row],[Measure classification]]&lt;&gt;"",References!$F$27,""),"")</f>
        <v/>
      </c>
      <c r="D7" s="317"/>
      <c r="E7" s="257"/>
      <c r="F7" s="309"/>
      <c r="G7" s="309"/>
      <c r="H7" s="309"/>
      <c r="I7" s="309"/>
      <c r="J7" s="320"/>
      <c r="K7" s="321"/>
      <c r="L7" s="309"/>
      <c r="M7" s="320"/>
      <c r="N7" s="321"/>
      <c r="O7" s="322"/>
      <c r="P7" s="322"/>
      <c r="Q7" s="310" t="str">
        <f>IF(Table_Controls_Input2225[[#This Row],[Measure name]]="","", Table_Controls_Input2225[[#This Row],[Energy savings (kWh)]]*Value_Cus_IncentRate)</f>
        <v/>
      </c>
      <c r="R7" s="311" t="str">
        <f>IF(Table_Controls_Input2225[[#This Row],[Measure name]]="", "", Table_Controls_Input2225[[#This Row],[Existing energy consumption (kWh/yr)]]-Table_Controls_Input2225[[#This Row],[Proposed energy consumption (kWh/yr)]])</f>
        <v/>
      </c>
      <c r="S7" s="312" t="str">
        <f>IF(Table_Controls_Input2225[[#This Row],[Measure name]]="", "", Table_Controls_Input2225[[#This Row],[Existing peak demand (kW)]]-Table_Controls_Input2225[[#This Row],[Proposed peak demand (kW)]])</f>
        <v/>
      </c>
      <c r="T7" s="310" t="str">
        <f t="shared" si="0"/>
        <v/>
      </c>
      <c r="U7" s="310" t="str">
        <f>IF(Table_Controls_Input2225[[#This Row],[Measure name]]="", "", Table_Controls_Input2225[[#This Row],[Total equipment cost]]+Table_Controls_Input2225[[#This Row],[Total labor cost]])</f>
        <v/>
      </c>
      <c r="V7" s="310" t="str">
        <f>IFERROR(Table_Controls_Input2225[[#This Row],[Gross measure cost]]-Table_Controls_Input2225[[#This Row],[Estimated incentive]], "")</f>
        <v/>
      </c>
      <c r="W7" s="311" t="str">
        <f t="shared" si="1"/>
        <v/>
      </c>
      <c r="X7" s="273"/>
      <c r="Y7" s="273"/>
      <c r="Z7" s="273"/>
      <c r="AA7" s="273"/>
      <c r="AB7" s="273"/>
      <c r="AC7" s="273"/>
      <c r="AD7" s="273"/>
      <c r="AE7" s="273"/>
      <c r="AF7" s="273"/>
      <c r="AG7" s="273"/>
      <c r="AH7" s="273"/>
      <c r="AI7" s="273"/>
      <c r="AJ7" s="273"/>
      <c r="AK7" s="273"/>
      <c r="AL7" s="273"/>
      <c r="AM7" s="273"/>
      <c r="AN7" s="273"/>
      <c r="AO7" s="273"/>
      <c r="AP7" s="273"/>
      <c r="AQ7" s="273"/>
      <c r="AR7" s="273"/>
      <c r="AS7" s="273"/>
    </row>
    <row r="8" spans="1:45" x14ac:dyDescent="0.2">
      <c r="A8" s="273"/>
      <c r="B8" s="307">
        <v>4</v>
      </c>
      <c r="C8" s="307" t="str">
        <f>IFERROR(IF(Table_Controls_Input2225[[#This Row],[Measure classification]]&lt;&gt;"",References!$F$27,""),"")</f>
        <v/>
      </c>
      <c r="D8" s="317"/>
      <c r="E8" s="257"/>
      <c r="F8" s="309"/>
      <c r="G8" s="309"/>
      <c r="H8" s="309"/>
      <c r="I8" s="309"/>
      <c r="J8" s="320"/>
      <c r="K8" s="321"/>
      <c r="L8" s="309"/>
      <c r="M8" s="320"/>
      <c r="N8" s="321"/>
      <c r="O8" s="322"/>
      <c r="P8" s="322"/>
      <c r="Q8" s="310" t="str">
        <f>IF(Table_Controls_Input2225[[#This Row],[Measure name]]="","", Table_Controls_Input2225[[#This Row],[Energy savings (kWh)]]*Value_Cus_IncentRate)</f>
        <v/>
      </c>
      <c r="R8" s="311" t="str">
        <f>IF(Table_Controls_Input2225[[#This Row],[Measure name]]="", "", Table_Controls_Input2225[[#This Row],[Existing energy consumption (kWh/yr)]]-Table_Controls_Input2225[[#This Row],[Proposed energy consumption (kWh/yr)]])</f>
        <v/>
      </c>
      <c r="S8" s="312" t="str">
        <f>IF(Table_Controls_Input2225[[#This Row],[Measure name]]="", "", Table_Controls_Input2225[[#This Row],[Existing peak demand (kW)]]-Table_Controls_Input2225[[#This Row],[Proposed peak demand (kW)]])</f>
        <v/>
      </c>
      <c r="T8" s="310" t="str">
        <f t="shared" si="0"/>
        <v/>
      </c>
      <c r="U8" s="310" t="str">
        <f>IF(Table_Controls_Input2225[[#This Row],[Measure name]]="", "", Table_Controls_Input2225[[#This Row],[Total equipment cost]]+Table_Controls_Input2225[[#This Row],[Total labor cost]])</f>
        <v/>
      </c>
      <c r="V8" s="310" t="str">
        <f>IFERROR(Table_Controls_Input2225[[#This Row],[Gross measure cost]]-Table_Controls_Input2225[[#This Row],[Estimated incentive]], "")</f>
        <v/>
      </c>
      <c r="W8" s="311" t="str">
        <f t="shared" si="1"/>
        <v/>
      </c>
      <c r="X8" s="273"/>
      <c r="Y8" s="273"/>
      <c r="Z8" s="273"/>
      <c r="AA8" s="273"/>
      <c r="AB8" s="273"/>
      <c r="AC8" s="273"/>
      <c r="AD8" s="273"/>
      <c r="AE8" s="273"/>
      <c r="AF8" s="273"/>
      <c r="AG8" s="273"/>
      <c r="AH8" s="273"/>
      <c r="AI8" s="273"/>
      <c r="AJ8" s="273"/>
      <c r="AK8" s="273"/>
      <c r="AL8" s="273"/>
      <c r="AM8" s="273"/>
      <c r="AN8" s="273"/>
      <c r="AO8" s="273"/>
      <c r="AP8" s="273"/>
      <c r="AQ8" s="273"/>
      <c r="AR8" s="273"/>
      <c r="AS8" s="273"/>
    </row>
    <row r="9" spans="1:45" x14ac:dyDescent="0.2">
      <c r="A9" s="273"/>
      <c r="B9" s="307">
        <v>5</v>
      </c>
      <c r="C9" s="307" t="str">
        <f>IFERROR(IF(Table_Controls_Input2225[[#This Row],[Measure classification]]&lt;&gt;"",References!$F$27,""),"")</f>
        <v/>
      </c>
      <c r="D9" s="317"/>
      <c r="E9" s="257"/>
      <c r="F9" s="309"/>
      <c r="G9" s="309"/>
      <c r="H9" s="309"/>
      <c r="I9" s="309"/>
      <c r="J9" s="320"/>
      <c r="K9" s="321"/>
      <c r="L9" s="309"/>
      <c r="M9" s="320"/>
      <c r="N9" s="321"/>
      <c r="O9" s="322"/>
      <c r="P9" s="322"/>
      <c r="Q9" s="310" t="str">
        <f>IF(Table_Controls_Input2225[[#This Row],[Measure name]]="","", Table_Controls_Input2225[[#This Row],[Energy savings (kWh)]]*Value_Cus_IncentRate)</f>
        <v/>
      </c>
      <c r="R9" s="311" t="str">
        <f>IF(Table_Controls_Input2225[[#This Row],[Measure name]]="", "", Table_Controls_Input2225[[#This Row],[Existing energy consumption (kWh/yr)]]-Table_Controls_Input2225[[#This Row],[Proposed energy consumption (kWh/yr)]])</f>
        <v/>
      </c>
      <c r="S9" s="312" t="str">
        <f>IF(Table_Controls_Input2225[[#This Row],[Measure name]]="", "", Table_Controls_Input2225[[#This Row],[Existing peak demand (kW)]]-Table_Controls_Input2225[[#This Row],[Proposed peak demand (kW)]])</f>
        <v/>
      </c>
      <c r="T9" s="310" t="str">
        <f t="shared" si="0"/>
        <v/>
      </c>
      <c r="U9" s="310" t="str">
        <f>IF(Table_Controls_Input2225[[#This Row],[Measure name]]="", "", Table_Controls_Input2225[[#This Row],[Total equipment cost]]+Table_Controls_Input2225[[#This Row],[Total labor cost]])</f>
        <v/>
      </c>
      <c r="V9" s="310" t="str">
        <f>IFERROR(Table_Controls_Input2225[[#This Row],[Gross measure cost]]-Table_Controls_Input2225[[#This Row],[Estimated incentive]], "")</f>
        <v/>
      </c>
      <c r="W9" s="311" t="str">
        <f t="shared" si="1"/>
        <v/>
      </c>
      <c r="X9" s="273"/>
      <c r="Y9" s="273"/>
      <c r="Z9" s="273"/>
      <c r="AA9" s="273"/>
      <c r="AB9" s="273"/>
      <c r="AC9" s="273"/>
      <c r="AD9" s="273"/>
      <c r="AE9" s="273"/>
      <c r="AF9" s="273"/>
      <c r="AG9" s="273"/>
      <c r="AH9" s="273"/>
      <c r="AI9" s="273"/>
      <c r="AJ9" s="273"/>
      <c r="AK9" s="273"/>
      <c r="AL9" s="273"/>
      <c r="AM9" s="273"/>
      <c r="AN9" s="273"/>
      <c r="AO9" s="273"/>
      <c r="AP9" s="273"/>
      <c r="AQ9" s="273"/>
      <c r="AR9" s="273"/>
      <c r="AS9" s="273"/>
    </row>
    <row r="10" spans="1:45" x14ac:dyDescent="0.2">
      <c r="A10" s="273"/>
      <c r="B10" s="307">
        <v>6</v>
      </c>
      <c r="C10" s="307" t="str">
        <f>IFERROR(IF(Table_Controls_Input2225[[#This Row],[Measure classification]]&lt;&gt;"",References!$F$27,""),"")</f>
        <v/>
      </c>
      <c r="D10" s="317"/>
      <c r="E10" s="257"/>
      <c r="F10" s="309"/>
      <c r="G10" s="309"/>
      <c r="H10" s="309"/>
      <c r="I10" s="309"/>
      <c r="J10" s="320"/>
      <c r="K10" s="321"/>
      <c r="L10" s="309"/>
      <c r="M10" s="320"/>
      <c r="N10" s="321"/>
      <c r="O10" s="322"/>
      <c r="P10" s="322"/>
      <c r="Q10" s="310" t="str">
        <f>IF(Table_Controls_Input2225[[#This Row],[Measure name]]="","", Table_Controls_Input2225[[#This Row],[Energy savings (kWh)]]*Value_Cus_IncentRate)</f>
        <v/>
      </c>
      <c r="R10" s="311" t="str">
        <f>IF(Table_Controls_Input2225[[#This Row],[Measure name]]="", "", Table_Controls_Input2225[[#This Row],[Existing energy consumption (kWh/yr)]]-Table_Controls_Input2225[[#This Row],[Proposed energy consumption (kWh/yr)]])</f>
        <v/>
      </c>
      <c r="S10" s="312" t="str">
        <f>IF(Table_Controls_Input2225[[#This Row],[Measure name]]="", "", Table_Controls_Input2225[[#This Row],[Existing peak demand (kW)]]-Table_Controls_Input2225[[#This Row],[Proposed peak demand (kW)]])</f>
        <v/>
      </c>
      <c r="T10" s="310" t="str">
        <f t="shared" si="0"/>
        <v/>
      </c>
      <c r="U10" s="310" t="str">
        <f>IF(Table_Controls_Input2225[[#This Row],[Measure name]]="", "", Table_Controls_Input2225[[#This Row],[Total equipment cost]]+Table_Controls_Input2225[[#This Row],[Total labor cost]])</f>
        <v/>
      </c>
      <c r="V10" s="310" t="str">
        <f>IFERROR(Table_Controls_Input2225[[#This Row],[Gross measure cost]]-Table_Controls_Input2225[[#This Row],[Estimated incentive]], "")</f>
        <v/>
      </c>
      <c r="W10" s="311" t="str">
        <f t="shared" si="1"/>
        <v/>
      </c>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row>
    <row r="11" spans="1:45" x14ac:dyDescent="0.2">
      <c r="A11" s="273"/>
      <c r="B11" s="307">
        <v>7</v>
      </c>
      <c r="C11" s="307" t="str">
        <f>IFERROR(IF(Table_Controls_Input2225[[#This Row],[Measure classification]]&lt;&gt;"",References!$F$27,""),"")</f>
        <v/>
      </c>
      <c r="D11" s="317"/>
      <c r="E11" s="257"/>
      <c r="F11" s="309"/>
      <c r="G11" s="309"/>
      <c r="H11" s="309"/>
      <c r="I11" s="309"/>
      <c r="J11" s="320"/>
      <c r="K11" s="321"/>
      <c r="L11" s="309"/>
      <c r="M11" s="320"/>
      <c r="N11" s="321"/>
      <c r="O11" s="322"/>
      <c r="P11" s="322"/>
      <c r="Q11" s="310" t="str">
        <f>IF(Table_Controls_Input2225[[#This Row],[Measure name]]="","", Table_Controls_Input2225[[#This Row],[Energy savings (kWh)]]*Value_Cus_IncentRate)</f>
        <v/>
      </c>
      <c r="R11" s="311" t="str">
        <f>IF(Table_Controls_Input2225[[#This Row],[Measure name]]="", "", Table_Controls_Input2225[[#This Row],[Existing energy consumption (kWh/yr)]]-Table_Controls_Input2225[[#This Row],[Proposed energy consumption (kWh/yr)]])</f>
        <v/>
      </c>
      <c r="S11" s="312" t="str">
        <f>IF(Table_Controls_Input2225[[#This Row],[Measure name]]="", "", Table_Controls_Input2225[[#This Row],[Existing peak demand (kW)]]-Table_Controls_Input2225[[#This Row],[Proposed peak demand (kW)]])</f>
        <v/>
      </c>
      <c r="T11" s="310" t="str">
        <f t="shared" si="0"/>
        <v/>
      </c>
      <c r="U11" s="310" t="str">
        <f>IF(Table_Controls_Input2225[[#This Row],[Measure name]]="", "", Table_Controls_Input2225[[#This Row],[Total equipment cost]]+Table_Controls_Input2225[[#This Row],[Total labor cost]])</f>
        <v/>
      </c>
      <c r="V11" s="310" t="str">
        <f>IFERROR(Table_Controls_Input2225[[#This Row],[Gross measure cost]]-Table_Controls_Input2225[[#This Row],[Estimated incentive]], "")</f>
        <v/>
      </c>
      <c r="W11" s="311" t="str">
        <f t="shared" si="1"/>
        <v/>
      </c>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row>
    <row r="12" spans="1:45" x14ac:dyDescent="0.2">
      <c r="A12" s="273"/>
      <c r="B12" s="307">
        <v>8</v>
      </c>
      <c r="C12" s="307" t="str">
        <f>IFERROR(IF(Table_Controls_Input2225[[#This Row],[Measure classification]]&lt;&gt;"",References!$F$27,""),"")</f>
        <v/>
      </c>
      <c r="D12" s="317"/>
      <c r="E12" s="257"/>
      <c r="F12" s="309"/>
      <c r="G12" s="309"/>
      <c r="H12" s="309"/>
      <c r="I12" s="309"/>
      <c r="J12" s="320"/>
      <c r="K12" s="321"/>
      <c r="L12" s="309"/>
      <c r="M12" s="320"/>
      <c r="N12" s="321"/>
      <c r="O12" s="322"/>
      <c r="P12" s="322"/>
      <c r="Q12" s="310" t="str">
        <f>IF(Table_Controls_Input2225[[#This Row],[Measure name]]="","", Table_Controls_Input2225[[#This Row],[Energy savings (kWh)]]*Value_Cus_IncentRate)</f>
        <v/>
      </c>
      <c r="R12" s="311" t="str">
        <f>IF(Table_Controls_Input2225[[#This Row],[Measure name]]="", "", Table_Controls_Input2225[[#This Row],[Existing energy consumption (kWh/yr)]]-Table_Controls_Input2225[[#This Row],[Proposed energy consumption (kWh/yr)]])</f>
        <v/>
      </c>
      <c r="S12" s="312" t="str">
        <f>IF(Table_Controls_Input2225[[#This Row],[Measure name]]="", "", Table_Controls_Input2225[[#This Row],[Existing peak demand (kW)]]-Table_Controls_Input2225[[#This Row],[Proposed peak demand (kW)]])</f>
        <v/>
      </c>
      <c r="T12" s="310" t="str">
        <f t="shared" si="0"/>
        <v/>
      </c>
      <c r="U12" s="310" t="str">
        <f>IF(Table_Controls_Input2225[[#This Row],[Measure name]]="", "", Table_Controls_Input2225[[#This Row],[Total equipment cost]]+Table_Controls_Input2225[[#This Row],[Total labor cost]])</f>
        <v/>
      </c>
      <c r="V12" s="310" t="str">
        <f>IFERROR(Table_Controls_Input2225[[#This Row],[Gross measure cost]]-Table_Controls_Input2225[[#This Row],[Estimated incentive]], "")</f>
        <v/>
      </c>
      <c r="W12" s="311" t="str">
        <f t="shared" si="1"/>
        <v/>
      </c>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row>
    <row r="13" spans="1:45" x14ac:dyDescent="0.2">
      <c r="A13" s="273"/>
      <c r="B13" s="307">
        <v>9</v>
      </c>
      <c r="C13" s="307" t="str">
        <f>IFERROR(IF(Table_Controls_Input2225[[#This Row],[Measure classification]]&lt;&gt;"",References!$F$27,""),"")</f>
        <v/>
      </c>
      <c r="D13" s="317"/>
      <c r="E13" s="257"/>
      <c r="F13" s="309"/>
      <c r="G13" s="309"/>
      <c r="H13" s="309"/>
      <c r="I13" s="309"/>
      <c r="J13" s="320"/>
      <c r="K13" s="321"/>
      <c r="L13" s="309"/>
      <c r="M13" s="320"/>
      <c r="N13" s="321"/>
      <c r="O13" s="322"/>
      <c r="P13" s="322"/>
      <c r="Q13" s="310" t="str">
        <f>IF(Table_Controls_Input2225[[#This Row],[Measure name]]="","", Table_Controls_Input2225[[#This Row],[Energy savings (kWh)]]*Value_Cus_IncentRate)</f>
        <v/>
      </c>
      <c r="R13" s="311" t="str">
        <f>IF(Table_Controls_Input2225[[#This Row],[Measure name]]="", "", Table_Controls_Input2225[[#This Row],[Existing energy consumption (kWh/yr)]]-Table_Controls_Input2225[[#This Row],[Proposed energy consumption (kWh/yr)]])</f>
        <v/>
      </c>
      <c r="S13" s="312" t="str">
        <f>IF(Table_Controls_Input2225[[#This Row],[Measure name]]="", "", Table_Controls_Input2225[[#This Row],[Existing peak demand (kW)]]-Table_Controls_Input2225[[#This Row],[Proposed peak demand (kW)]])</f>
        <v/>
      </c>
      <c r="T13" s="310" t="str">
        <f t="shared" si="0"/>
        <v/>
      </c>
      <c r="U13" s="310" t="str">
        <f>IF(Table_Controls_Input2225[[#This Row],[Measure name]]="", "", Table_Controls_Input2225[[#This Row],[Total equipment cost]]+Table_Controls_Input2225[[#This Row],[Total labor cost]])</f>
        <v/>
      </c>
      <c r="V13" s="310" t="str">
        <f>IFERROR(Table_Controls_Input2225[[#This Row],[Gross measure cost]]-Table_Controls_Input2225[[#This Row],[Estimated incentive]], "")</f>
        <v/>
      </c>
      <c r="W13" s="311" t="str">
        <f t="shared" si="1"/>
        <v/>
      </c>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row>
    <row r="14" spans="1:45" x14ac:dyDescent="0.2">
      <c r="A14" s="273"/>
      <c r="B14" s="307">
        <v>10</v>
      </c>
      <c r="C14" s="307" t="str">
        <f>IFERROR(IF(Table_Controls_Input2225[[#This Row],[Measure classification]]&lt;&gt;"",References!$F$27,""),"")</f>
        <v/>
      </c>
      <c r="D14" s="317"/>
      <c r="E14" s="257"/>
      <c r="F14" s="309"/>
      <c r="G14" s="309"/>
      <c r="H14" s="309"/>
      <c r="I14" s="309"/>
      <c r="J14" s="320"/>
      <c r="K14" s="321"/>
      <c r="L14" s="309"/>
      <c r="M14" s="320"/>
      <c r="N14" s="321"/>
      <c r="O14" s="322"/>
      <c r="P14" s="322"/>
      <c r="Q14" s="310" t="str">
        <f>IF(Table_Controls_Input2225[[#This Row],[Measure name]]="","", Table_Controls_Input2225[[#This Row],[Energy savings (kWh)]]*Value_Cus_IncentRate)</f>
        <v/>
      </c>
      <c r="R14" s="311" t="str">
        <f>IF(Table_Controls_Input2225[[#This Row],[Measure name]]="", "", Table_Controls_Input2225[[#This Row],[Existing energy consumption (kWh/yr)]]-Table_Controls_Input2225[[#This Row],[Proposed energy consumption (kWh/yr)]])</f>
        <v/>
      </c>
      <c r="S14" s="312" t="str">
        <f>IF(Table_Controls_Input2225[[#This Row],[Measure name]]="", "", Table_Controls_Input2225[[#This Row],[Existing peak demand (kW)]]-Table_Controls_Input2225[[#This Row],[Proposed peak demand (kW)]])</f>
        <v/>
      </c>
      <c r="T14" s="310" t="str">
        <f t="shared" si="0"/>
        <v/>
      </c>
      <c r="U14" s="310" t="str">
        <f>IF(Table_Controls_Input2225[[#This Row],[Measure name]]="", "", Table_Controls_Input2225[[#This Row],[Total equipment cost]]+Table_Controls_Input2225[[#This Row],[Total labor cost]])</f>
        <v/>
      </c>
      <c r="V14" s="310" t="str">
        <f>IFERROR(Table_Controls_Input2225[[#This Row],[Gross measure cost]]-Table_Controls_Input2225[[#This Row],[Estimated incentive]], "")</f>
        <v/>
      </c>
      <c r="W14" s="311" t="str">
        <f t="shared" si="1"/>
        <v/>
      </c>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row>
    <row r="15" spans="1:45" x14ac:dyDescent="0.2">
      <c r="A15" s="269"/>
      <c r="B15" s="307">
        <v>11</v>
      </c>
      <c r="C15" s="307" t="str">
        <f>IFERROR(IF(Table_Controls_Input2225[[#This Row],[Measure classification]]&lt;&gt;"",References!$F$27,""),"")</f>
        <v/>
      </c>
      <c r="D15" s="317"/>
      <c r="E15" s="257"/>
      <c r="F15" s="309"/>
      <c r="G15" s="309"/>
      <c r="H15" s="309"/>
      <c r="I15" s="309"/>
      <c r="J15" s="320"/>
      <c r="K15" s="321"/>
      <c r="L15" s="309"/>
      <c r="M15" s="320"/>
      <c r="N15" s="321"/>
      <c r="O15" s="322"/>
      <c r="P15" s="322"/>
      <c r="Q15" s="310" t="str">
        <f>IF(Table_Controls_Input2225[[#This Row],[Measure name]]="","", Table_Controls_Input2225[[#This Row],[Energy savings (kWh)]]*Value_Cus_IncentRate)</f>
        <v/>
      </c>
      <c r="R15" s="311" t="str">
        <f>IF(Table_Controls_Input2225[[#This Row],[Measure name]]="", "", Table_Controls_Input2225[[#This Row],[Existing energy consumption (kWh/yr)]]-Table_Controls_Input2225[[#This Row],[Proposed energy consumption (kWh/yr)]])</f>
        <v/>
      </c>
      <c r="S15" s="312" t="str">
        <f>IF(Table_Controls_Input2225[[#This Row],[Measure name]]="", "", Table_Controls_Input2225[[#This Row],[Existing peak demand (kW)]]-Table_Controls_Input2225[[#This Row],[Proposed peak demand (kW)]])</f>
        <v/>
      </c>
      <c r="T15" s="310" t="str">
        <f t="shared" ref="T15:T24" si="2">IFERROR(R15*Input_AvgkWhRate, "")</f>
        <v/>
      </c>
      <c r="U15" s="310" t="str">
        <f>IF(Table_Controls_Input2225[[#This Row],[Measure name]]="", "", Table_Controls_Input2225[[#This Row],[Total equipment cost]]+Table_Controls_Input2225[[#This Row],[Total labor cost]])</f>
        <v/>
      </c>
      <c r="V15" s="310" t="str">
        <f>IFERROR(Table_Controls_Input2225[[#This Row],[Gross measure cost]]-Table_Controls_Input2225[[#This Row],[Estimated incentive]], "")</f>
        <v/>
      </c>
      <c r="W15" s="311" t="str">
        <f t="shared" si="1"/>
        <v/>
      </c>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row>
    <row r="16" spans="1:45" x14ac:dyDescent="0.2">
      <c r="A16" s="269"/>
      <c r="B16" s="307">
        <v>12</v>
      </c>
      <c r="C16" s="307" t="str">
        <f>IFERROR(IF(Table_Controls_Input2225[[#This Row],[Measure classification]]&lt;&gt;"",References!$F$27,""),"")</f>
        <v/>
      </c>
      <c r="D16" s="317"/>
      <c r="E16" s="257"/>
      <c r="F16" s="309"/>
      <c r="G16" s="309"/>
      <c r="H16" s="309"/>
      <c r="I16" s="309"/>
      <c r="J16" s="320"/>
      <c r="K16" s="321"/>
      <c r="L16" s="309"/>
      <c r="M16" s="320"/>
      <c r="N16" s="321"/>
      <c r="O16" s="322"/>
      <c r="P16" s="322"/>
      <c r="Q16" s="310" t="str">
        <f>IF(Table_Controls_Input2225[[#This Row],[Measure name]]="","", Table_Controls_Input2225[[#This Row],[Energy savings (kWh)]]*Value_Cus_IncentRate)</f>
        <v/>
      </c>
      <c r="R16" s="311" t="str">
        <f>IF(Table_Controls_Input2225[[#This Row],[Measure name]]="", "", Table_Controls_Input2225[[#This Row],[Existing energy consumption (kWh/yr)]]-Table_Controls_Input2225[[#This Row],[Proposed energy consumption (kWh/yr)]])</f>
        <v/>
      </c>
      <c r="S16" s="312" t="str">
        <f>IF(Table_Controls_Input2225[[#This Row],[Measure name]]="", "", Table_Controls_Input2225[[#This Row],[Existing peak demand (kW)]]-Table_Controls_Input2225[[#This Row],[Proposed peak demand (kW)]])</f>
        <v/>
      </c>
      <c r="T16" s="310" t="str">
        <f t="shared" si="2"/>
        <v/>
      </c>
      <c r="U16" s="310" t="str">
        <f>IF(Table_Controls_Input2225[[#This Row],[Measure name]]="", "", Table_Controls_Input2225[[#This Row],[Total equipment cost]]+Table_Controls_Input2225[[#This Row],[Total labor cost]])</f>
        <v/>
      </c>
      <c r="V16" s="310" t="str">
        <f>IFERROR(Table_Controls_Input2225[[#This Row],[Gross measure cost]]-Table_Controls_Input2225[[#This Row],[Estimated incentive]], "")</f>
        <v/>
      </c>
      <c r="W16" s="311" t="str">
        <f t="shared" si="1"/>
        <v/>
      </c>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row>
    <row r="17" spans="1:45" x14ac:dyDescent="0.2">
      <c r="A17" s="269"/>
      <c r="B17" s="307">
        <v>13</v>
      </c>
      <c r="C17" s="307" t="str">
        <f>IFERROR(IF(Table_Controls_Input2225[[#This Row],[Measure classification]]&lt;&gt;"",References!$F$27,""),"")</f>
        <v/>
      </c>
      <c r="D17" s="317"/>
      <c r="E17" s="257"/>
      <c r="F17" s="309"/>
      <c r="G17" s="309"/>
      <c r="H17" s="309"/>
      <c r="I17" s="309"/>
      <c r="J17" s="320"/>
      <c r="K17" s="321"/>
      <c r="L17" s="309"/>
      <c r="M17" s="320"/>
      <c r="N17" s="321"/>
      <c r="O17" s="322"/>
      <c r="P17" s="322"/>
      <c r="Q17" s="310" t="str">
        <f>IF(Table_Controls_Input2225[[#This Row],[Measure name]]="","", Table_Controls_Input2225[[#This Row],[Energy savings (kWh)]]*Value_Cus_IncentRate)</f>
        <v/>
      </c>
      <c r="R17" s="311" t="str">
        <f>IF(Table_Controls_Input2225[[#This Row],[Measure name]]="", "", Table_Controls_Input2225[[#This Row],[Existing energy consumption (kWh/yr)]]-Table_Controls_Input2225[[#This Row],[Proposed energy consumption (kWh/yr)]])</f>
        <v/>
      </c>
      <c r="S17" s="312" t="str">
        <f>IF(Table_Controls_Input2225[[#This Row],[Measure name]]="", "", Table_Controls_Input2225[[#This Row],[Existing peak demand (kW)]]-Table_Controls_Input2225[[#This Row],[Proposed peak demand (kW)]])</f>
        <v/>
      </c>
      <c r="T17" s="310" t="str">
        <f t="shared" si="2"/>
        <v/>
      </c>
      <c r="U17" s="310" t="str">
        <f>IF(Table_Controls_Input2225[[#This Row],[Measure name]]="", "", Table_Controls_Input2225[[#This Row],[Total equipment cost]]+Table_Controls_Input2225[[#This Row],[Total labor cost]])</f>
        <v/>
      </c>
      <c r="V17" s="310" t="str">
        <f>IFERROR(Table_Controls_Input2225[[#This Row],[Gross measure cost]]-Table_Controls_Input2225[[#This Row],[Estimated incentive]], "")</f>
        <v/>
      </c>
      <c r="W17" s="311" t="str">
        <f t="shared" si="1"/>
        <v/>
      </c>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row>
    <row r="18" spans="1:45" x14ac:dyDescent="0.2">
      <c r="A18" s="269"/>
      <c r="B18" s="307">
        <v>14</v>
      </c>
      <c r="C18" s="307" t="str">
        <f>IFERROR(IF(Table_Controls_Input2225[[#This Row],[Measure classification]]&lt;&gt;"",References!$F$27,""),"")</f>
        <v/>
      </c>
      <c r="D18" s="317"/>
      <c r="E18" s="257"/>
      <c r="F18" s="309"/>
      <c r="G18" s="309"/>
      <c r="H18" s="309"/>
      <c r="I18" s="309"/>
      <c r="J18" s="320"/>
      <c r="K18" s="321"/>
      <c r="L18" s="309"/>
      <c r="M18" s="320"/>
      <c r="N18" s="321"/>
      <c r="O18" s="322"/>
      <c r="P18" s="322"/>
      <c r="Q18" s="310" t="str">
        <f>IF(Table_Controls_Input2225[[#This Row],[Measure name]]="","", Table_Controls_Input2225[[#This Row],[Energy savings (kWh)]]*Value_Cus_IncentRate)</f>
        <v/>
      </c>
      <c r="R18" s="311" t="str">
        <f>IF(Table_Controls_Input2225[[#This Row],[Measure name]]="", "", Table_Controls_Input2225[[#This Row],[Existing energy consumption (kWh/yr)]]-Table_Controls_Input2225[[#This Row],[Proposed energy consumption (kWh/yr)]])</f>
        <v/>
      </c>
      <c r="S18" s="312" t="str">
        <f>IF(Table_Controls_Input2225[[#This Row],[Measure name]]="", "", Table_Controls_Input2225[[#This Row],[Existing peak demand (kW)]]-Table_Controls_Input2225[[#This Row],[Proposed peak demand (kW)]])</f>
        <v/>
      </c>
      <c r="T18" s="310" t="str">
        <f t="shared" si="2"/>
        <v/>
      </c>
      <c r="U18" s="310" t="str">
        <f>IF(Table_Controls_Input2225[[#This Row],[Measure name]]="", "", Table_Controls_Input2225[[#This Row],[Total equipment cost]]+Table_Controls_Input2225[[#This Row],[Total labor cost]])</f>
        <v/>
      </c>
      <c r="V18" s="310" t="str">
        <f>IFERROR(Table_Controls_Input2225[[#This Row],[Gross measure cost]]-Table_Controls_Input2225[[#This Row],[Estimated incentive]], "")</f>
        <v/>
      </c>
      <c r="W18" s="311" t="str">
        <f t="shared" si="1"/>
        <v/>
      </c>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row>
    <row r="19" spans="1:45" x14ac:dyDescent="0.2">
      <c r="A19" s="269"/>
      <c r="B19" s="307">
        <v>15</v>
      </c>
      <c r="C19" s="307" t="str">
        <f>IFERROR(IF(Table_Controls_Input2225[[#This Row],[Measure classification]]&lt;&gt;"",References!$F$27,""),"")</f>
        <v/>
      </c>
      <c r="D19" s="317"/>
      <c r="E19" s="257"/>
      <c r="F19" s="309"/>
      <c r="G19" s="309"/>
      <c r="H19" s="309"/>
      <c r="I19" s="309"/>
      <c r="J19" s="320"/>
      <c r="K19" s="321"/>
      <c r="L19" s="309"/>
      <c r="M19" s="320"/>
      <c r="N19" s="321"/>
      <c r="O19" s="322"/>
      <c r="P19" s="322"/>
      <c r="Q19" s="310" t="str">
        <f>IF(Table_Controls_Input2225[[#This Row],[Measure name]]="","", Table_Controls_Input2225[[#This Row],[Energy savings (kWh)]]*Value_Cus_IncentRate)</f>
        <v/>
      </c>
      <c r="R19" s="311" t="str">
        <f>IF(Table_Controls_Input2225[[#This Row],[Measure name]]="", "", Table_Controls_Input2225[[#This Row],[Existing energy consumption (kWh/yr)]]-Table_Controls_Input2225[[#This Row],[Proposed energy consumption (kWh/yr)]])</f>
        <v/>
      </c>
      <c r="S19" s="312" t="str">
        <f>IF(Table_Controls_Input2225[[#This Row],[Measure name]]="", "", Table_Controls_Input2225[[#This Row],[Existing peak demand (kW)]]-Table_Controls_Input2225[[#This Row],[Proposed peak demand (kW)]])</f>
        <v/>
      </c>
      <c r="T19" s="310" t="str">
        <f t="shared" si="2"/>
        <v/>
      </c>
      <c r="U19" s="310" t="str">
        <f>IF(Table_Controls_Input2225[[#This Row],[Measure name]]="", "", Table_Controls_Input2225[[#This Row],[Total equipment cost]]+Table_Controls_Input2225[[#This Row],[Total labor cost]])</f>
        <v/>
      </c>
      <c r="V19" s="310" t="str">
        <f>IFERROR(Table_Controls_Input2225[[#This Row],[Gross measure cost]]-Table_Controls_Input2225[[#This Row],[Estimated incentive]], "")</f>
        <v/>
      </c>
      <c r="W19" s="311" t="str">
        <f t="shared" si="1"/>
        <v/>
      </c>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row>
    <row r="20" spans="1:45" x14ac:dyDescent="0.2">
      <c r="A20" s="269"/>
      <c r="B20" s="307">
        <v>16</v>
      </c>
      <c r="C20" s="307" t="str">
        <f>IFERROR(IF(Table_Controls_Input2225[[#This Row],[Measure classification]]&lt;&gt;"",References!$F$27,""),"")</f>
        <v/>
      </c>
      <c r="D20" s="317"/>
      <c r="E20" s="257"/>
      <c r="F20" s="309"/>
      <c r="G20" s="309"/>
      <c r="H20" s="309"/>
      <c r="I20" s="309"/>
      <c r="J20" s="320"/>
      <c r="K20" s="321"/>
      <c r="L20" s="309"/>
      <c r="M20" s="320"/>
      <c r="N20" s="321"/>
      <c r="O20" s="322"/>
      <c r="P20" s="322"/>
      <c r="Q20" s="310" t="str">
        <f>IF(Table_Controls_Input2225[[#This Row],[Measure name]]="","", Table_Controls_Input2225[[#This Row],[Energy savings (kWh)]]*Value_Cus_IncentRate)</f>
        <v/>
      </c>
      <c r="R20" s="311" t="str">
        <f>IF(Table_Controls_Input2225[[#This Row],[Measure name]]="", "", Table_Controls_Input2225[[#This Row],[Existing energy consumption (kWh/yr)]]-Table_Controls_Input2225[[#This Row],[Proposed energy consumption (kWh/yr)]])</f>
        <v/>
      </c>
      <c r="S20" s="312" t="str">
        <f>IF(Table_Controls_Input2225[[#This Row],[Measure name]]="", "", Table_Controls_Input2225[[#This Row],[Existing peak demand (kW)]]-Table_Controls_Input2225[[#This Row],[Proposed peak demand (kW)]])</f>
        <v/>
      </c>
      <c r="T20" s="310" t="str">
        <f t="shared" si="2"/>
        <v/>
      </c>
      <c r="U20" s="310" t="str">
        <f>IF(Table_Controls_Input2225[[#This Row],[Measure name]]="", "", Table_Controls_Input2225[[#This Row],[Total equipment cost]]+Table_Controls_Input2225[[#This Row],[Total labor cost]])</f>
        <v/>
      </c>
      <c r="V20" s="310" t="str">
        <f>IFERROR(Table_Controls_Input2225[[#This Row],[Gross measure cost]]-Table_Controls_Input2225[[#This Row],[Estimated incentive]], "")</f>
        <v/>
      </c>
      <c r="W20" s="311" t="str">
        <f t="shared" si="1"/>
        <v/>
      </c>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row>
    <row r="21" spans="1:45" x14ac:dyDescent="0.2">
      <c r="A21" s="269"/>
      <c r="B21" s="307">
        <v>17</v>
      </c>
      <c r="C21" s="307" t="str">
        <f>IFERROR(IF(Table_Controls_Input2225[[#This Row],[Measure classification]]&lt;&gt;"",References!$F$27,""),"")</f>
        <v/>
      </c>
      <c r="D21" s="317"/>
      <c r="E21" s="257"/>
      <c r="F21" s="309"/>
      <c r="G21" s="309"/>
      <c r="H21" s="309"/>
      <c r="I21" s="309"/>
      <c r="J21" s="320"/>
      <c r="K21" s="321"/>
      <c r="L21" s="309"/>
      <c r="M21" s="320"/>
      <c r="N21" s="321"/>
      <c r="O21" s="322"/>
      <c r="P21" s="322"/>
      <c r="Q21" s="310" t="str">
        <f>IF(Table_Controls_Input2225[[#This Row],[Measure name]]="","", Table_Controls_Input2225[[#This Row],[Energy savings (kWh)]]*Value_Cus_IncentRate)</f>
        <v/>
      </c>
      <c r="R21" s="311" t="str">
        <f>IF(Table_Controls_Input2225[[#This Row],[Measure name]]="", "", Table_Controls_Input2225[[#This Row],[Existing energy consumption (kWh/yr)]]-Table_Controls_Input2225[[#This Row],[Proposed energy consumption (kWh/yr)]])</f>
        <v/>
      </c>
      <c r="S21" s="312" t="str">
        <f>IF(Table_Controls_Input2225[[#This Row],[Measure name]]="", "", Table_Controls_Input2225[[#This Row],[Existing peak demand (kW)]]-Table_Controls_Input2225[[#This Row],[Proposed peak demand (kW)]])</f>
        <v/>
      </c>
      <c r="T21" s="310" t="str">
        <f t="shared" si="2"/>
        <v/>
      </c>
      <c r="U21" s="310" t="str">
        <f>IF(Table_Controls_Input2225[[#This Row],[Measure name]]="", "", Table_Controls_Input2225[[#This Row],[Total equipment cost]]+Table_Controls_Input2225[[#This Row],[Total labor cost]])</f>
        <v/>
      </c>
      <c r="V21" s="310" t="str">
        <f>IFERROR(Table_Controls_Input2225[[#This Row],[Gross measure cost]]-Table_Controls_Input2225[[#This Row],[Estimated incentive]], "")</f>
        <v/>
      </c>
      <c r="W21" s="311" t="str">
        <f t="shared" si="1"/>
        <v/>
      </c>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row>
    <row r="22" spans="1:45" x14ac:dyDescent="0.2">
      <c r="A22" s="269"/>
      <c r="B22" s="307">
        <v>18</v>
      </c>
      <c r="C22" s="307" t="str">
        <f>IFERROR(IF(Table_Controls_Input2225[[#This Row],[Measure classification]]&lt;&gt;"",References!$F$27,""),"")</f>
        <v/>
      </c>
      <c r="D22" s="317"/>
      <c r="E22" s="257"/>
      <c r="F22" s="309"/>
      <c r="G22" s="309"/>
      <c r="H22" s="309"/>
      <c r="I22" s="309"/>
      <c r="J22" s="320"/>
      <c r="K22" s="321"/>
      <c r="L22" s="309"/>
      <c r="M22" s="320"/>
      <c r="N22" s="321"/>
      <c r="O22" s="322"/>
      <c r="P22" s="322"/>
      <c r="Q22" s="310" t="str">
        <f>IF(Table_Controls_Input2225[[#This Row],[Measure name]]="","", Table_Controls_Input2225[[#This Row],[Energy savings (kWh)]]*Value_Cus_IncentRate)</f>
        <v/>
      </c>
      <c r="R22" s="311" t="str">
        <f>IF(Table_Controls_Input2225[[#This Row],[Measure name]]="", "", Table_Controls_Input2225[[#This Row],[Existing energy consumption (kWh/yr)]]-Table_Controls_Input2225[[#This Row],[Proposed energy consumption (kWh/yr)]])</f>
        <v/>
      </c>
      <c r="S22" s="312" t="str">
        <f>IF(Table_Controls_Input2225[[#This Row],[Measure name]]="", "", Table_Controls_Input2225[[#This Row],[Existing peak demand (kW)]]-Table_Controls_Input2225[[#This Row],[Proposed peak demand (kW)]])</f>
        <v/>
      </c>
      <c r="T22" s="310" t="str">
        <f t="shared" si="2"/>
        <v/>
      </c>
      <c r="U22" s="310" t="str">
        <f>IF(Table_Controls_Input2225[[#This Row],[Measure name]]="", "", Table_Controls_Input2225[[#This Row],[Total equipment cost]]+Table_Controls_Input2225[[#This Row],[Total labor cost]])</f>
        <v/>
      </c>
      <c r="V22" s="310" t="str">
        <f>IFERROR(Table_Controls_Input2225[[#This Row],[Gross measure cost]]-Table_Controls_Input2225[[#This Row],[Estimated incentive]], "")</f>
        <v/>
      </c>
      <c r="W22" s="311" t="str">
        <f t="shared" si="1"/>
        <v/>
      </c>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row>
    <row r="23" spans="1:45" x14ac:dyDescent="0.2">
      <c r="A23" s="269"/>
      <c r="B23" s="307">
        <v>19</v>
      </c>
      <c r="C23" s="307" t="str">
        <f>IFERROR(IF(Table_Controls_Input2225[[#This Row],[Measure classification]]&lt;&gt;"",References!$F$27,""),"")</f>
        <v/>
      </c>
      <c r="D23" s="317"/>
      <c r="E23" s="257"/>
      <c r="F23" s="309"/>
      <c r="G23" s="309"/>
      <c r="H23" s="309"/>
      <c r="I23" s="309"/>
      <c r="J23" s="320"/>
      <c r="K23" s="321"/>
      <c r="L23" s="309"/>
      <c r="M23" s="320"/>
      <c r="N23" s="321"/>
      <c r="O23" s="322"/>
      <c r="P23" s="322"/>
      <c r="Q23" s="310" t="str">
        <f>IF(Table_Controls_Input2225[[#This Row],[Measure name]]="","", Table_Controls_Input2225[[#This Row],[Energy savings (kWh)]]*Value_Cus_IncentRate)</f>
        <v/>
      </c>
      <c r="R23" s="311" t="str">
        <f>IF(Table_Controls_Input2225[[#This Row],[Measure name]]="", "", Table_Controls_Input2225[[#This Row],[Existing energy consumption (kWh/yr)]]-Table_Controls_Input2225[[#This Row],[Proposed energy consumption (kWh/yr)]])</f>
        <v/>
      </c>
      <c r="S23" s="312" t="str">
        <f>IF(Table_Controls_Input2225[[#This Row],[Measure name]]="", "", Table_Controls_Input2225[[#This Row],[Existing peak demand (kW)]]-Table_Controls_Input2225[[#This Row],[Proposed peak demand (kW)]])</f>
        <v/>
      </c>
      <c r="T23" s="310" t="str">
        <f t="shared" si="2"/>
        <v/>
      </c>
      <c r="U23" s="310" t="str">
        <f>IF(Table_Controls_Input2225[[#This Row],[Measure name]]="", "", Table_Controls_Input2225[[#This Row],[Total equipment cost]]+Table_Controls_Input2225[[#This Row],[Total labor cost]])</f>
        <v/>
      </c>
      <c r="V23" s="310" t="str">
        <f>IFERROR(Table_Controls_Input2225[[#This Row],[Gross measure cost]]-Table_Controls_Input2225[[#This Row],[Estimated incentive]], "")</f>
        <v/>
      </c>
      <c r="W23" s="311" t="str">
        <f t="shared" si="1"/>
        <v/>
      </c>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row>
    <row r="24" spans="1:45" x14ac:dyDescent="0.2">
      <c r="A24" s="269"/>
      <c r="B24" s="307">
        <v>20</v>
      </c>
      <c r="C24" s="307" t="str">
        <f>IFERROR(IF(Table_Controls_Input2225[[#This Row],[Measure classification]]&lt;&gt;"",References!$F$27,""),"")</f>
        <v/>
      </c>
      <c r="D24" s="317"/>
      <c r="E24" s="257"/>
      <c r="F24" s="309"/>
      <c r="G24" s="309"/>
      <c r="H24" s="309"/>
      <c r="I24" s="309"/>
      <c r="J24" s="320"/>
      <c r="K24" s="321"/>
      <c r="L24" s="309"/>
      <c r="M24" s="320"/>
      <c r="N24" s="321"/>
      <c r="O24" s="322"/>
      <c r="P24" s="322"/>
      <c r="Q24" s="310" t="str">
        <f>IF(Table_Controls_Input2225[[#This Row],[Measure name]]="","", Table_Controls_Input2225[[#This Row],[Energy savings (kWh)]]*Value_Cus_IncentRate)</f>
        <v/>
      </c>
      <c r="R24" s="311" t="str">
        <f>IF(Table_Controls_Input2225[[#This Row],[Measure name]]="", "", Table_Controls_Input2225[[#This Row],[Existing energy consumption (kWh/yr)]]-Table_Controls_Input2225[[#This Row],[Proposed energy consumption (kWh/yr)]])</f>
        <v/>
      </c>
      <c r="S24" s="312" t="str">
        <f>IF(Table_Controls_Input2225[[#This Row],[Measure name]]="", "", Table_Controls_Input2225[[#This Row],[Existing peak demand (kW)]]-Table_Controls_Input2225[[#This Row],[Proposed peak demand (kW)]])</f>
        <v/>
      </c>
      <c r="T24" s="310" t="str">
        <f t="shared" si="2"/>
        <v/>
      </c>
      <c r="U24" s="310" t="str">
        <f>IF(Table_Controls_Input2225[[#This Row],[Measure name]]="", "", Table_Controls_Input2225[[#This Row],[Total equipment cost]]+Table_Controls_Input2225[[#This Row],[Total labor cost]])</f>
        <v/>
      </c>
      <c r="V24" s="310" t="str">
        <f>IFERROR(Table_Controls_Input2225[[#This Row],[Gross measure cost]]-Table_Controls_Input2225[[#This Row],[Estimated incentive]], "")</f>
        <v/>
      </c>
      <c r="W24" s="311" t="str">
        <f t="shared" si="1"/>
        <v/>
      </c>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row>
    <row r="25" spans="1:45" x14ac:dyDescent="0.2">
      <c r="A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row>
    <row r="26" spans="1:45" x14ac:dyDescent="0.2"/>
    <row r="27" spans="1:45" x14ac:dyDescent="0.2">
      <c r="B27" s="253" t="s">
        <v>644</v>
      </c>
    </row>
    <row r="28" spans="1:45" x14ac:dyDescent="0.2">
      <c r="B28" s="253" t="str">
        <f>Value_Application_Version</f>
        <v>Version 5.2</v>
      </c>
    </row>
    <row r="29" spans="1:45" x14ac:dyDescent="0.2"/>
    <row r="30" spans="1:45" x14ac:dyDescent="0.2">
      <c r="A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row>
    <row r="31" spans="1:45" x14ac:dyDescent="0.2">
      <c r="A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row>
    <row r="32" spans="1:45" x14ac:dyDescent="0.2">
      <c r="A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row>
    <row r="33" spans="1:45" x14ac:dyDescent="0.2">
      <c r="A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row>
    <row r="34" spans="1:45" x14ac:dyDescent="0.2">
      <c r="A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row>
    <row r="35" spans="1:45" x14ac:dyDescent="0.2">
      <c r="A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row>
    <row r="36" spans="1:45" x14ac:dyDescent="0.2">
      <c r="A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row>
    <row r="37" spans="1:45" x14ac:dyDescent="0.2">
      <c r="A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row>
    <row r="38" spans="1:45" x14ac:dyDescent="0.2">
      <c r="A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row>
    <row r="39" spans="1:45" x14ac:dyDescent="0.2">
      <c r="A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row>
    <row r="40" spans="1:45" x14ac:dyDescent="0.2">
      <c r="A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row>
    <row r="41" spans="1:45" x14ac:dyDescent="0.2">
      <c r="A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x14ac:dyDescent="0.2">
      <c r="A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row>
    <row r="43" spans="1:45" x14ac:dyDescent="0.2">
      <c r="A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row>
    <row r="44" spans="1:45" x14ac:dyDescent="0.2">
      <c r="A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row>
    <row r="45" spans="1:45" x14ac:dyDescent="0.2">
      <c r="A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row>
    <row r="46" spans="1:45" x14ac:dyDescent="0.2">
      <c r="A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row>
    <row r="47" spans="1:45" x14ac:dyDescent="0.2">
      <c r="A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row>
    <row r="48" spans="1:45" x14ac:dyDescent="0.2">
      <c r="A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row>
    <row r="49" spans="1:45" x14ac:dyDescent="0.2">
      <c r="A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row>
    <row r="50" spans="1:45" x14ac:dyDescent="0.2">
      <c r="A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row>
    <row r="51" spans="1:45" x14ac:dyDescent="0.2">
      <c r="A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row>
    <row r="52" spans="1:45" x14ac:dyDescent="0.2">
      <c r="A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row>
    <row r="53" spans="1:45" x14ac:dyDescent="0.2">
      <c r="A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row>
    <row r="54" spans="1:45" x14ac:dyDescent="0.2">
      <c r="A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row>
    <row r="55" spans="1:45" x14ac:dyDescent="0.2">
      <c r="A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row>
    <row r="56" spans="1:45" x14ac:dyDescent="0.2">
      <c r="A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row>
    <row r="57" spans="1:45" x14ac:dyDescent="0.2">
      <c r="A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row>
    <row r="58" spans="1:45" x14ac:dyDescent="0.2">
      <c r="A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row>
    <row r="59" spans="1:45" x14ac:dyDescent="0.2">
      <c r="A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row>
    <row r="60" spans="1:45" x14ac:dyDescent="0.2">
      <c r="A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row>
    <row r="61" spans="1:45" x14ac:dyDescent="0.2">
      <c r="A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row>
    <row r="62" spans="1:45" x14ac:dyDescent="0.2">
      <c r="A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row>
    <row r="63" spans="1:45" x14ac:dyDescent="0.2">
      <c r="A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row>
    <row r="64" spans="1:45" x14ac:dyDescent="0.2">
      <c r="A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row>
    <row r="65" spans="1:45" x14ac:dyDescent="0.2">
      <c r="A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row>
    <row r="66" spans="1:45" x14ac:dyDescent="0.2">
      <c r="A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row>
    <row r="67" spans="1:45" x14ac:dyDescent="0.2">
      <c r="A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row>
    <row r="68" spans="1:45" x14ac:dyDescent="0.2">
      <c r="A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row>
    <row r="69" spans="1:45" x14ac:dyDescent="0.2">
      <c r="A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row>
    <row r="70" spans="1:45" x14ac:dyDescent="0.2">
      <c r="A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row>
    <row r="71" spans="1:45" x14ac:dyDescent="0.2">
      <c r="A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row>
    <row r="72" spans="1:45" x14ac:dyDescent="0.2">
      <c r="A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row>
    <row r="73" spans="1:45" x14ac:dyDescent="0.2">
      <c r="A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row>
    <row r="74" spans="1:45" x14ac:dyDescent="0.2">
      <c r="A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row>
    <row r="75" spans="1:45" x14ac:dyDescent="0.2">
      <c r="A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x14ac:dyDescent="0.2">
      <c r="A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row>
    <row r="77" spans="1:45" x14ac:dyDescent="0.2">
      <c r="A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row>
    <row r="78" spans="1:45" x14ac:dyDescent="0.2">
      <c r="A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row>
    <row r="79" spans="1:45" x14ac:dyDescent="0.2">
      <c r="A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row>
    <row r="80" spans="1:45" x14ac:dyDescent="0.2">
      <c r="A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row>
    <row r="81" spans="1:45" x14ac:dyDescent="0.2">
      <c r="A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row>
    <row r="82" spans="1:45" x14ac:dyDescent="0.2">
      <c r="A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row>
    <row r="83" spans="1:45" x14ac:dyDescent="0.2">
      <c r="A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row>
    <row r="84" spans="1:45" x14ac:dyDescent="0.2">
      <c r="A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row>
    <row r="85" spans="1:45" x14ac:dyDescent="0.2">
      <c r="A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row>
    <row r="86" spans="1:45" x14ac:dyDescent="0.2">
      <c r="A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row>
    <row r="87" spans="1:45" x14ac:dyDescent="0.2">
      <c r="A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row>
    <row r="88" spans="1:45" x14ac:dyDescent="0.2">
      <c r="A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row>
    <row r="89" spans="1:45" x14ac:dyDescent="0.2">
      <c r="A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row>
    <row r="90" spans="1:45" x14ac:dyDescent="0.2">
      <c r="A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row>
    <row r="91" spans="1:45" x14ac:dyDescent="0.2">
      <c r="A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row>
    <row r="92" spans="1:45" x14ac:dyDescent="0.2">
      <c r="A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row>
    <row r="93" spans="1:45" x14ac:dyDescent="0.2">
      <c r="A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row>
    <row r="94" spans="1:45" x14ac:dyDescent="0.2">
      <c r="A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row>
    <row r="95" spans="1:45" x14ac:dyDescent="0.2">
      <c r="A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row>
    <row r="96" spans="1:45" x14ac:dyDescent="0.2">
      <c r="A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row>
    <row r="97" spans="1:45" x14ac:dyDescent="0.2">
      <c r="A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row>
    <row r="98" spans="1:45" x14ac:dyDescent="0.2">
      <c r="A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row>
    <row r="99" spans="1:45" x14ac:dyDescent="0.2">
      <c r="A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row>
    <row r="100" spans="1:45" x14ac:dyDescent="0.2">
      <c r="A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row>
    <row r="101" spans="1:45" x14ac:dyDescent="0.2">
      <c r="A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row>
    <row r="102" spans="1:45" x14ac:dyDescent="0.2">
      <c r="A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row>
    <row r="103" spans="1:45" x14ac:dyDescent="0.2">
      <c r="A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row>
    <row r="104" spans="1:45" x14ac:dyDescent="0.2">
      <c r="A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row>
    <row r="105" spans="1:45" x14ac:dyDescent="0.2">
      <c r="A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row>
    <row r="106" spans="1:45" x14ac:dyDescent="0.2">
      <c r="A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row>
    <row r="107" spans="1:45" x14ac:dyDescent="0.2">
      <c r="A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row>
    <row r="108" spans="1:45" x14ac:dyDescent="0.2">
      <c r="A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row>
    <row r="109" spans="1:45" x14ac:dyDescent="0.2">
      <c r="A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x14ac:dyDescent="0.2">
      <c r="A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row>
    <row r="111" spans="1:45" x14ac:dyDescent="0.2">
      <c r="A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row>
    <row r="112" spans="1:45" x14ac:dyDescent="0.2">
      <c r="A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row>
    <row r="113" spans="1:45" x14ac:dyDescent="0.2">
      <c r="A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row>
    <row r="114" spans="1:45" x14ac:dyDescent="0.2">
      <c r="A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row>
    <row r="115" spans="1:45" x14ac:dyDescent="0.2">
      <c r="A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row>
    <row r="116" spans="1:45" x14ac:dyDescent="0.2">
      <c r="A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row>
    <row r="117" spans="1:45" x14ac:dyDescent="0.2">
      <c r="A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row>
    <row r="118" spans="1:45" x14ac:dyDescent="0.2">
      <c r="A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row>
    <row r="119" spans="1:45" x14ac:dyDescent="0.2">
      <c r="A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row>
    <row r="120" spans="1:45" x14ac:dyDescent="0.2">
      <c r="A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row>
    <row r="121" spans="1:45" x14ac:dyDescent="0.2">
      <c r="A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row>
    <row r="122" spans="1:45" x14ac:dyDescent="0.2">
      <c r="A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row>
    <row r="123" spans="1:45" x14ac:dyDescent="0.2">
      <c r="A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row>
    <row r="124" spans="1:45" x14ac:dyDescent="0.2">
      <c r="A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row>
    <row r="125" spans="1:45" x14ac:dyDescent="0.2">
      <c r="A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row>
    <row r="126" spans="1:45" x14ac:dyDescent="0.2">
      <c r="A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row>
    <row r="127" spans="1:45" x14ac:dyDescent="0.2">
      <c r="A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row>
    <row r="128" spans="1:45" x14ac:dyDescent="0.2">
      <c r="A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row>
    <row r="129" spans="1:45" x14ac:dyDescent="0.2">
      <c r="A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row>
    <row r="130" spans="1:45" x14ac:dyDescent="0.2">
      <c r="A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row>
    <row r="131" spans="1:45" x14ac:dyDescent="0.2">
      <c r="A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row>
    <row r="132" spans="1:45" x14ac:dyDescent="0.2">
      <c r="A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row>
    <row r="133" spans="1:45" x14ac:dyDescent="0.2">
      <c r="A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row>
    <row r="134" spans="1:45" x14ac:dyDescent="0.2">
      <c r="A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row>
    <row r="135" spans="1:45" x14ac:dyDescent="0.2">
      <c r="A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row>
    <row r="136" spans="1:45" x14ac:dyDescent="0.2">
      <c r="A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row>
    <row r="137" spans="1:45" x14ac:dyDescent="0.2">
      <c r="A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row>
    <row r="138" spans="1:45" x14ac:dyDescent="0.2">
      <c r="A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row>
    <row r="139" spans="1:45" x14ac:dyDescent="0.2">
      <c r="A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row>
    <row r="140" spans="1:45" x14ac:dyDescent="0.2">
      <c r="A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row>
    <row r="141" spans="1:45" x14ac:dyDescent="0.2">
      <c r="A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row>
    <row r="142" spans="1:45" x14ac:dyDescent="0.2">
      <c r="A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row>
    <row r="143" spans="1:45" x14ac:dyDescent="0.2">
      <c r="A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x14ac:dyDescent="0.2">
      <c r="A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row>
    <row r="145" spans="1:45" x14ac:dyDescent="0.2">
      <c r="A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row>
    <row r="146" spans="1:45" x14ac:dyDescent="0.2">
      <c r="A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row>
    <row r="147" spans="1:45" x14ac:dyDescent="0.2">
      <c r="A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row>
    <row r="148" spans="1:45" x14ac:dyDescent="0.2">
      <c r="A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row>
    <row r="149" spans="1:45" x14ac:dyDescent="0.2">
      <c r="A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row>
    <row r="150" spans="1:45" x14ac:dyDescent="0.2">
      <c r="A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row>
    <row r="151" spans="1:45" x14ac:dyDescent="0.2">
      <c r="A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row>
    <row r="152" spans="1:45" x14ac:dyDescent="0.2">
      <c r="A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row>
    <row r="153" spans="1:45" x14ac:dyDescent="0.2">
      <c r="A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row>
    <row r="154" spans="1:45" x14ac:dyDescent="0.2">
      <c r="A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row>
    <row r="155" spans="1:45" x14ac:dyDescent="0.2">
      <c r="A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row>
    <row r="156" spans="1:45" x14ac:dyDescent="0.2">
      <c r="A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row>
    <row r="157" spans="1:45" x14ac:dyDescent="0.2">
      <c r="A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row>
    <row r="158" spans="1:45" x14ac:dyDescent="0.2">
      <c r="A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row>
    <row r="159" spans="1:45" x14ac:dyDescent="0.2">
      <c r="A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row>
    <row r="160" spans="1:45" x14ac:dyDescent="0.2">
      <c r="A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row>
    <row r="161" spans="1:45" x14ac:dyDescent="0.2">
      <c r="A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row>
    <row r="162" spans="1:45" x14ac:dyDescent="0.2">
      <c r="A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row>
    <row r="163" spans="1:45" x14ac:dyDescent="0.2">
      <c r="A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row>
    <row r="164" spans="1:45" x14ac:dyDescent="0.2">
      <c r="A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row>
    <row r="165" spans="1:45" x14ac:dyDescent="0.2">
      <c r="A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row>
    <row r="166" spans="1:45" x14ac:dyDescent="0.2">
      <c r="A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row>
    <row r="167" spans="1:45" x14ac:dyDescent="0.2">
      <c r="A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row>
    <row r="168" spans="1:45" x14ac:dyDescent="0.2">
      <c r="A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row>
    <row r="169" spans="1:45" x14ac:dyDescent="0.2">
      <c r="A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row>
    <row r="170" spans="1:45" x14ac:dyDescent="0.2">
      <c r="A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row>
    <row r="171" spans="1:45" x14ac:dyDescent="0.2">
      <c r="A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row>
    <row r="172" spans="1:45" x14ac:dyDescent="0.2">
      <c r="A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row>
    <row r="173" spans="1:45" x14ac:dyDescent="0.2">
      <c r="A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row>
    <row r="174" spans="1:45" x14ac:dyDescent="0.2">
      <c r="A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row>
    <row r="175" spans="1:45" x14ac:dyDescent="0.2">
      <c r="A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row>
    <row r="176" spans="1:45" x14ac:dyDescent="0.2">
      <c r="A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row>
    <row r="177" spans="1:45" x14ac:dyDescent="0.2">
      <c r="A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x14ac:dyDescent="0.2">
      <c r="A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row>
    <row r="179" spans="1:45" x14ac:dyDescent="0.2">
      <c r="A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row>
    <row r="180" spans="1:45" x14ac:dyDescent="0.2">
      <c r="A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row>
  </sheetData>
  <sheetProtection algorithmName="SHA-512" hashValue="RUVj1Xj+gNtTuKlTOOfqON9QSBEtpBGfuYIueuJ9tEF7kG5gkjp4baDn1qlz1zPvf3epMUuWOOC07t6hPadAaQ==" saltValue="p3LQBFpQVpNcmGfLnb0Brg==" spinCount="100000" sheet="1" selectLockedCells="1"/>
  <mergeCells count="3">
    <mergeCell ref="L3:P3"/>
    <mergeCell ref="I3:K3"/>
    <mergeCell ref="B2:T2"/>
  </mergeCells>
  <phoneticPr fontId="13" type="noConversion"/>
  <conditionalFormatting sqref="F5:P24">
    <cfRule type="expression" dxfId="132" priority="1">
      <formula>$E5=""</formula>
    </cfRule>
  </conditionalFormatting>
  <dataValidations count="2">
    <dataValidation type="list" allowBlank="1" showInputMessage="1" showErrorMessage="1" sqref="F5:F24" xr:uid="{C16ECBD4-BA48-4E83-8B6C-47D2AF7AC03D}">
      <formula1>List_Custom_Class</formula1>
    </dataValidation>
    <dataValidation type="list" allowBlank="1" showInputMessage="1" showErrorMessage="1" sqref="H5:H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290-05F7-4528-B253-569DCAF908E5}">
  <sheetPr>
    <tabColor theme="4"/>
  </sheetPr>
  <dimension ref="A1:AN161"/>
  <sheetViews>
    <sheetView showGridLines="0" showRowColHeaders="0" workbookViewId="0">
      <selection activeCell="D5" sqref="D5"/>
    </sheetView>
  </sheetViews>
  <sheetFormatPr defaultColWidth="9.140625" defaultRowHeight="12.75" customHeight="1" x14ac:dyDescent="0.2"/>
  <cols>
    <col min="1" max="1" width="2.140625" style="253" customWidth="1"/>
    <col min="2" max="2" width="5.28515625" style="253" customWidth="1"/>
    <col min="3" max="3" width="9" style="253" customWidth="1"/>
    <col min="4" max="4" width="17" style="253" customWidth="1"/>
    <col min="5" max="5" width="28.7109375" style="253" customWidth="1"/>
    <col min="6" max="6" width="29.85546875" style="253" customWidth="1"/>
    <col min="7" max="7" width="21.28515625" style="253" customWidth="1"/>
    <col min="8" max="8" width="41.42578125" style="253" customWidth="1"/>
    <col min="9" max="10" width="13.42578125" style="253" customWidth="1"/>
    <col min="11" max="11" width="41" style="253" customWidth="1"/>
    <col min="12" max="12" width="15" style="253" customWidth="1"/>
    <col min="13" max="14" width="13.42578125" style="253" customWidth="1"/>
    <col min="15" max="15" width="11" style="253" customWidth="1"/>
    <col min="16" max="16" width="12" style="253" customWidth="1"/>
    <col min="17" max="17" width="11.85546875" style="253" customWidth="1"/>
    <col min="18" max="18" width="10.28515625" style="253" customWidth="1"/>
    <col min="19" max="16384" width="9.140625" style="253"/>
  </cols>
  <sheetData>
    <row r="1" spans="1:40" ht="54" customHeight="1" x14ac:dyDescent="0.2"/>
    <row r="2" spans="1:40" s="255" customFormat="1" ht="36.75" customHeight="1" x14ac:dyDescent="0.2">
      <c r="B2" s="374" t="s">
        <v>770</v>
      </c>
      <c r="C2" s="374"/>
      <c r="D2" s="374"/>
      <c r="E2" s="374"/>
      <c r="F2" s="374"/>
      <c r="G2" s="374"/>
      <c r="H2" s="374"/>
      <c r="I2" s="374"/>
      <c r="J2" s="374"/>
      <c r="K2" s="374"/>
      <c r="L2" s="374"/>
      <c r="M2" s="374"/>
      <c r="N2" s="374"/>
      <c r="O2" s="374"/>
      <c r="P2" s="374"/>
      <c r="Q2" s="374"/>
      <c r="R2" s="374"/>
    </row>
    <row r="3" spans="1:40" x14ac:dyDescent="0.2">
      <c r="A3" s="269"/>
      <c r="H3" s="384" t="s">
        <v>52</v>
      </c>
      <c r="I3" s="384"/>
      <c r="J3" s="384"/>
      <c r="K3" s="380" t="s">
        <v>31</v>
      </c>
      <c r="L3" s="380"/>
      <c r="M3" s="380"/>
      <c r="N3" s="291"/>
      <c r="O3" s="313">
        <f>SUM(Table_Controls_Input22252[Estimated bonus incentive])</f>
        <v>0</v>
      </c>
      <c r="P3" s="314">
        <f>SUM(Table_Controls_Input22252[Energy savings (kWh)])</f>
        <v>0</v>
      </c>
      <c r="Q3" s="315">
        <f>SUM(Table_Controls_Input22252[Demand reduction (kW)])</f>
        <v>0</v>
      </c>
      <c r="R3" s="316">
        <f>SUM(Table_Controls_Input22252[Cost savings])</f>
        <v>0</v>
      </c>
      <c r="S3" s="269"/>
      <c r="T3" s="269"/>
      <c r="U3" s="269"/>
      <c r="V3" s="269"/>
      <c r="W3" s="269"/>
      <c r="X3" s="269"/>
      <c r="Y3" s="269"/>
      <c r="Z3" s="269"/>
      <c r="AA3" s="269"/>
      <c r="AB3" s="269"/>
      <c r="AC3" s="269"/>
      <c r="AD3" s="269"/>
      <c r="AE3" s="269"/>
      <c r="AF3" s="269"/>
      <c r="AG3" s="269"/>
      <c r="AH3" s="269"/>
      <c r="AI3" s="269"/>
      <c r="AJ3" s="269"/>
      <c r="AK3" s="269"/>
      <c r="AL3" s="269"/>
      <c r="AM3" s="269"/>
      <c r="AN3" s="269"/>
    </row>
    <row r="4" spans="1:40" s="245" customFormat="1" ht="76.5" x14ac:dyDescent="0.2">
      <c r="A4" s="292"/>
      <c r="B4" s="293" t="s">
        <v>801</v>
      </c>
      <c r="C4" s="293" t="s">
        <v>723</v>
      </c>
      <c r="D4" s="295" t="s">
        <v>724</v>
      </c>
      <c r="E4" s="294" t="s">
        <v>771</v>
      </c>
      <c r="F4" s="294" t="s">
        <v>638</v>
      </c>
      <c r="G4" s="294" t="s">
        <v>639</v>
      </c>
      <c r="H4" s="323" t="s">
        <v>772</v>
      </c>
      <c r="I4" s="323" t="s">
        <v>773</v>
      </c>
      <c r="J4" s="323" t="s">
        <v>774</v>
      </c>
      <c r="K4" s="296" t="s">
        <v>775</v>
      </c>
      <c r="L4" s="296" t="s">
        <v>776</v>
      </c>
      <c r="M4" s="296" t="s">
        <v>777</v>
      </c>
      <c r="N4" s="296" t="s">
        <v>778</v>
      </c>
      <c r="O4" s="290" t="s">
        <v>779</v>
      </c>
      <c r="P4" s="290" t="s">
        <v>736</v>
      </c>
      <c r="Q4" s="290" t="s">
        <v>737</v>
      </c>
      <c r="R4" s="290" t="s">
        <v>738</v>
      </c>
      <c r="S4" s="292"/>
      <c r="T4" s="292"/>
      <c r="U4" s="292"/>
      <c r="V4" s="292"/>
      <c r="W4" s="292"/>
      <c r="X4" s="292"/>
      <c r="Y4" s="292"/>
      <c r="Z4" s="292"/>
      <c r="AA4" s="292"/>
      <c r="AB4" s="292"/>
      <c r="AC4" s="292"/>
      <c r="AD4" s="292"/>
      <c r="AE4" s="292"/>
      <c r="AF4" s="292"/>
      <c r="AG4" s="292"/>
      <c r="AH4" s="292"/>
      <c r="AI4" s="292"/>
      <c r="AJ4" s="292"/>
      <c r="AK4" s="292"/>
      <c r="AL4" s="292"/>
      <c r="AM4" s="292"/>
      <c r="AN4" s="292"/>
    </row>
    <row r="5" spans="1:40" ht="74.25" customHeight="1" x14ac:dyDescent="0.2">
      <c r="A5" s="273"/>
      <c r="B5" s="307">
        <v>1</v>
      </c>
      <c r="C5" s="307" t="str">
        <f>IFERROR(IF(AND(Table_Controls_Input22252[[#This Row],[Was a whole-building energy model completed for this project?]]&lt;&gt;"",Table_Controls_Input22252[[#This Row],[Energy savings (kWh)]]&gt;0),References!$F$28,""),"")</f>
        <v/>
      </c>
      <c r="D5" s="317"/>
      <c r="E5" s="318"/>
      <c r="F5" s="309"/>
      <c r="G5" s="309"/>
      <c r="H5" s="309"/>
      <c r="I5" s="320"/>
      <c r="J5" s="321"/>
      <c r="K5" s="309"/>
      <c r="L5" s="320"/>
      <c r="M5" s="321"/>
      <c r="N5" s="322"/>
      <c r="O5" s="310" t="str">
        <f>IFERROR(MIN(50000,IF(Table_Controls_Input22252[[#This Row],[Energy savings (kWh)]]/Table_Controls_Input22252[[#This Row],[Baseline whole-building energy consumption (kWh/yr)]]&lt;0.2,0.08*Table_Controls_Input22252[[#This Row],[Energy savings (kWh)]],IF(Table_Controls_Input22252[[#This Row],[Energy savings (kWh)]]/Table_Controls_Input22252[[#This Row],[Baseline whole-building energy consumption (kWh/yr)]]&gt;0.3,0.12*Table_Controls_Input22252[[#This Row],[Energy savings (kWh)]],0.1*Table_Controls_Input22252[[#This Row],[Energy savings (kWh)]]))),"")</f>
        <v/>
      </c>
      <c r="P5" s="311" t="str">
        <f>IF(Table_Controls_Input22252[[#This Row],[Was a whole-building energy model completed for this project?]]="", "", Table_Controls_Input22252[[#This Row],[Baseline whole-building energy consumption (kWh/yr)]]-Table_Controls_Input22252[[#This Row],[Proposed whole-building energy consumption (kWh/yr)]])</f>
        <v/>
      </c>
      <c r="Q5" s="312" t="str">
        <f>IF(Table_Controls_Input22252[[#This Row],[Was a whole-building energy model completed for this project?]]="", "", Table_Controls_Input22252[[#This Row],[Baseline building peak demand (kW)]]-Table_Controls_Input22252[[#This Row],[Proposed building peak demand (kW)]])</f>
        <v/>
      </c>
      <c r="R5" s="310" t="str">
        <f t="shared" ref="R5" si="0">IFERROR(P5*Input_AvgkWhRate, "")</f>
        <v/>
      </c>
      <c r="S5" s="273"/>
      <c r="T5" s="273"/>
      <c r="U5" s="273"/>
      <c r="V5" s="273"/>
      <c r="W5" s="273"/>
      <c r="X5" s="273"/>
      <c r="Y5" s="273"/>
      <c r="Z5" s="273"/>
      <c r="AA5" s="273"/>
      <c r="AB5" s="273"/>
      <c r="AC5" s="273"/>
      <c r="AD5" s="273"/>
      <c r="AE5" s="273"/>
      <c r="AF5" s="273"/>
      <c r="AG5" s="273"/>
      <c r="AH5" s="273"/>
      <c r="AI5" s="273"/>
      <c r="AJ5" s="273"/>
      <c r="AK5" s="273"/>
      <c r="AL5" s="273"/>
      <c r="AM5" s="273"/>
      <c r="AN5" s="273"/>
    </row>
    <row r="6" spans="1:40" x14ac:dyDescent="0.2">
      <c r="A6" s="269"/>
      <c r="S6" s="269"/>
      <c r="T6" s="269"/>
      <c r="U6" s="269"/>
      <c r="V6" s="269"/>
      <c r="W6" s="269"/>
      <c r="X6" s="269"/>
      <c r="Y6" s="269"/>
      <c r="Z6" s="269"/>
      <c r="AA6" s="269"/>
      <c r="AB6" s="269"/>
      <c r="AC6" s="269"/>
      <c r="AD6" s="269"/>
      <c r="AE6" s="269"/>
      <c r="AF6" s="269"/>
      <c r="AG6" s="269"/>
      <c r="AH6" s="269"/>
      <c r="AI6" s="269"/>
      <c r="AJ6" s="269"/>
      <c r="AK6" s="269"/>
      <c r="AL6" s="269"/>
      <c r="AM6" s="269"/>
      <c r="AN6" s="269"/>
    </row>
    <row r="7" spans="1:40" x14ac:dyDescent="0.2"/>
    <row r="8" spans="1:40" x14ac:dyDescent="0.2">
      <c r="B8" s="253" t="s">
        <v>644</v>
      </c>
    </row>
    <row r="9" spans="1:40" x14ac:dyDescent="0.2">
      <c r="B9" s="253" t="str">
        <f>Value_Application_Version</f>
        <v>Version 5.2</v>
      </c>
    </row>
    <row r="10" spans="1:40" x14ac:dyDescent="0.2"/>
    <row r="11" spans="1:40" x14ac:dyDescent="0.2">
      <c r="A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row>
    <row r="12" spans="1:40" x14ac:dyDescent="0.2">
      <c r="A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row>
    <row r="13" spans="1:40" x14ac:dyDescent="0.2">
      <c r="A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row>
    <row r="14" spans="1:40" x14ac:dyDescent="0.2">
      <c r="A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row>
    <row r="15" spans="1:40" x14ac:dyDescent="0.2">
      <c r="A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row>
    <row r="16" spans="1:40" x14ac:dyDescent="0.2">
      <c r="A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row>
    <row r="17" spans="1:40" x14ac:dyDescent="0.2">
      <c r="A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row>
    <row r="18" spans="1:40" x14ac:dyDescent="0.2">
      <c r="A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row>
    <row r="19" spans="1:40" x14ac:dyDescent="0.2">
      <c r="A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row>
    <row r="20" spans="1:40" x14ac:dyDescent="0.2">
      <c r="A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row>
    <row r="21" spans="1:40" x14ac:dyDescent="0.2">
      <c r="A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row>
    <row r="22" spans="1:40" x14ac:dyDescent="0.2">
      <c r="A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row>
    <row r="23" spans="1:40" x14ac:dyDescent="0.2">
      <c r="A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row>
    <row r="24" spans="1:40" x14ac:dyDescent="0.2">
      <c r="A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row>
    <row r="25" spans="1:40" x14ac:dyDescent="0.2">
      <c r="A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row>
    <row r="26" spans="1:40" x14ac:dyDescent="0.2">
      <c r="A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row>
    <row r="27" spans="1:40" x14ac:dyDescent="0.2">
      <c r="A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row>
    <row r="28" spans="1:40" x14ac:dyDescent="0.2">
      <c r="A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row>
    <row r="29" spans="1:40" x14ac:dyDescent="0.2">
      <c r="A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row>
    <row r="30" spans="1:40" x14ac:dyDescent="0.2">
      <c r="A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row>
    <row r="31" spans="1:40" x14ac:dyDescent="0.2">
      <c r="A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row>
    <row r="32" spans="1:40" x14ac:dyDescent="0.2">
      <c r="A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row>
    <row r="33" spans="1:40" x14ac:dyDescent="0.2">
      <c r="A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row>
    <row r="34" spans="1:40" x14ac:dyDescent="0.2">
      <c r="A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row>
    <row r="35" spans="1:40" x14ac:dyDescent="0.2">
      <c r="A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row>
    <row r="36" spans="1:40" x14ac:dyDescent="0.2">
      <c r="A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row>
    <row r="37" spans="1:40" x14ac:dyDescent="0.2">
      <c r="A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row>
    <row r="38" spans="1:40" x14ac:dyDescent="0.2">
      <c r="A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row>
    <row r="39" spans="1:40" x14ac:dyDescent="0.2">
      <c r="A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row>
    <row r="40" spans="1:40" x14ac:dyDescent="0.2">
      <c r="A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row>
    <row r="41" spans="1:40" x14ac:dyDescent="0.2">
      <c r="A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row>
    <row r="42" spans="1:40" x14ac:dyDescent="0.2">
      <c r="A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row>
    <row r="43" spans="1:40" x14ac:dyDescent="0.2">
      <c r="A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row>
    <row r="44" spans="1:40" x14ac:dyDescent="0.2">
      <c r="A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row>
    <row r="45" spans="1:40" x14ac:dyDescent="0.2">
      <c r="A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row>
    <row r="46" spans="1:40" x14ac:dyDescent="0.2">
      <c r="A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row>
    <row r="47" spans="1:40" x14ac:dyDescent="0.2">
      <c r="A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row>
    <row r="48" spans="1:40" x14ac:dyDescent="0.2">
      <c r="A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row>
    <row r="49" spans="1:40" x14ac:dyDescent="0.2">
      <c r="A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row>
    <row r="50" spans="1:40" x14ac:dyDescent="0.2">
      <c r="A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row>
    <row r="51" spans="1:40" x14ac:dyDescent="0.2">
      <c r="A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row>
    <row r="52" spans="1:40" x14ac:dyDescent="0.2">
      <c r="A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row>
    <row r="53" spans="1:40" x14ac:dyDescent="0.2">
      <c r="A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row>
    <row r="54" spans="1:40" x14ac:dyDescent="0.2">
      <c r="A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row>
    <row r="55" spans="1:40" x14ac:dyDescent="0.2">
      <c r="A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row>
    <row r="56" spans="1:40" x14ac:dyDescent="0.2">
      <c r="A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row>
    <row r="57" spans="1:40" x14ac:dyDescent="0.2">
      <c r="A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row>
    <row r="58" spans="1:40" x14ac:dyDescent="0.2">
      <c r="A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row>
    <row r="59" spans="1:40" x14ac:dyDescent="0.2">
      <c r="A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row>
    <row r="60" spans="1:40" x14ac:dyDescent="0.2">
      <c r="A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row>
    <row r="61" spans="1:40" x14ac:dyDescent="0.2">
      <c r="A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row>
    <row r="62" spans="1:40" x14ac:dyDescent="0.2">
      <c r="A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row>
    <row r="63" spans="1:40" x14ac:dyDescent="0.2">
      <c r="A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row>
    <row r="64" spans="1:40" x14ac:dyDescent="0.2">
      <c r="A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row>
    <row r="65" spans="1:40" x14ac:dyDescent="0.2">
      <c r="A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row>
    <row r="66" spans="1:40" x14ac:dyDescent="0.2">
      <c r="A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row>
    <row r="67" spans="1:40" x14ac:dyDescent="0.2">
      <c r="A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row>
    <row r="68" spans="1:40" x14ac:dyDescent="0.2">
      <c r="A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row>
    <row r="69" spans="1:40" x14ac:dyDescent="0.2">
      <c r="A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row>
    <row r="70" spans="1:40" x14ac:dyDescent="0.2">
      <c r="A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row>
    <row r="71" spans="1:40" x14ac:dyDescent="0.2">
      <c r="A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row>
    <row r="72" spans="1:40" x14ac:dyDescent="0.2">
      <c r="A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row>
    <row r="73" spans="1:40" x14ac:dyDescent="0.2">
      <c r="A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row>
    <row r="74" spans="1:40" x14ac:dyDescent="0.2">
      <c r="A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row>
    <row r="75" spans="1:40" x14ac:dyDescent="0.2">
      <c r="A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row>
    <row r="76" spans="1:40" x14ac:dyDescent="0.2">
      <c r="A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row>
    <row r="77" spans="1:40" x14ac:dyDescent="0.2">
      <c r="A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row>
    <row r="78" spans="1:40" x14ac:dyDescent="0.2">
      <c r="A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row>
    <row r="79" spans="1:40" x14ac:dyDescent="0.2">
      <c r="A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row>
    <row r="80" spans="1:40" x14ac:dyDescent="0.2">
      <c r="A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row>
    <row r="81" spans="1:40" x14ac:dyDescent="0.2">
      <c r="A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row>
    <row r="82" spans="1:40" x14ac:dyDescent="0.2">
      <c r="A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row>
    <row r="83" spans="1:40" x14ac:dyDescent="0.2">
      <c r="A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row>
    <row r="84" spans="1:40" x14ac:dyDescent="0.2">
      <c r="A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row>
    <row r="85" spans="1:40" x14ac:dyDescent="0.2">
      <c r="A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row>
    <row r="86" spans="1:40" x14ac:dyDescent="0.2">
      <c r="A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row>
    <row r="87" spans="1:40" x14ac:dyDescent="0.2">
      <c r="A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row>
    <row r="88" spans="1:40" x14ac:dyDescent="0.2">
      <c r="A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row>
    <row r="89" spans="1:40" x14ac:dyDescent="0.2">
      <c r="A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row>
    <row r="90" spans="1:40" x14ac:dyDescent="0.2">
      <c r="A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row>
    <row r="91" spans="1:40" x14ac:dyDescent="0.2">
      <c r="A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row>
    <row r="92" spans="1:40" x14ac:dyDescent="0.2">
      <c r="A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row>
    <row r="93" spans="1:40" x14ac:dyDescent="0.2">
      <c r="A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row>
    <row r="94" spans="1:40" x14ac:dyDescent="0.2">
      <c r="A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row>
    <row r="95" spans="1:40" x14ac:dyDescent="0.2">
      <c r="A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row>
    <row r="96" spans="1:40" x14ac:dyDescent="0.2">
      <c r="A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row>
    <row r="97" spans="1:40" x14ac:dyDescent="0.2">
      <c r="A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row>
    <row r="98" spans="1:40" x14ac:dyDescent="0.2">
      <c r="A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row>
    <row r="99" spans="1:40" x14ac:dyDescent="0.2">
      <c r="A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row>
    <row r="100" spans="1:40" x14ac:dyDescent="0.2">
      <c r="A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row>
    <row r="101" spans="1:40" x14ac:dyDescent="0.2">
      <c r="A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row>
    <row r="102" spans="1:40" x14ac:dyDescent="0.2">
      <c r="A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row>
    <row r="103" spans="1:40" x14ac:dyDescent="0.2">
      <c r="A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row>
    <row r="104" spans="1:40" x14ac:dyDescent="0.2">
      <c r="A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row>
    <row r="105" spans="1:40" x14ac:dyDescent="0.2">
      <c r="A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row>
    <row r="106" spans="1:40" x14ac:dyDescent="0.2">
      <c r="A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row>
    <row r="107" spans="1:40" x14ac:dyDescent="0.2">
      <c r="A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row>
    <row r="108" spans="1:40" x14ac:dyDescent="0.2">
      <c r="A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row>
    <row r="109" spans="1:40" x14ac:dyDescent="0.2">
      <c r="A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row>
    <row r="110" spans="1:40" x14ac:dyDescent="0.2">
      <c r="A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row>
    <row r="111" spans="1:40" x14ac:dyDescent="0.2">
      <c r="A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row>
    <row r="112" spans="1:40" x14ac:dyDescent="0.2">
      <c r="A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row>
    <row r="113" spans="1:40" x14ac:dyDescent="0.2">
      <c r="A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row>
    <row r="114" spans="1:40" x14ac:dyDescent="0.2">
      <c r="A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row>
    <row r="115" spans="1:40" x14ac:dyDescent="0.2">
      <c r="A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row>
    <row r="116" spans="1:40" x14ac:dyDescent="0.2">
      <c r="A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row>
    <row r="117" spans="1:40" x14ac:dyDescent="0.2">
      <c r="A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row>
    <row r="118" spans="1:40" x14ac:dyDescent="0.2">
      <c r="A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row>
    <row r="119" spans="1:40" x14ac:dyDescent="0.2">
      <c r="A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row>
    <row r="120" spans="1:40" x14ac:dyDescent="0.2">
      <c r="A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row>
    <row r="121" spans="1:40" x14ac:dyDescent="0.2">
      <c r="A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row>
    <row r="122" spans="1:40" x14ac:dyDescent="0.2">
      <c r="A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row>
    <row r="123" spans="1:40" x14ac:dyDescent="0.2">
      <c r="A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row>
    <row r="124" spans="1:40" x14ac:dyDescent="0.2">
      <c r="A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row>
    <row r="125" spans="1:40" x14ac:dyDescent="0.2">
      <c r="A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row>
    <row r="126" spans="1:40" x14ac:dyDescent="0.2">
      <c r="A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row>
    <row r="127" spans="1:40" x14ac:dyDescent="0.2">
      <c r="A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row>
    <row r="128" spans="1:40" x14ac:dyDescent="0.2">
      <c r="A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row>
    <row r="129" spans="1:40" x14ac:dyDescent="0.2">
      <c r="A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row>
    <row r="130" spans="1:40" x14ac:dyDescent="0.2">
      <c r="A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row>
    <row r="131" spans="1:40" x14ac:dyDescent="0.2">
      <c r="A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row>
    <row r="132" spans="1:40" x14ac:dyDescent="0.2">
      <c r="A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row>
    <row r="133" spans="1:40" x14ac:dyDescent="0.2">
      <c r="A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row>
    <row r="134" spans="1:40" x14ac:dyDescent="0.2">
      <c r="A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row>
    <row r="135" spans="1:40" x14ac:dyDescent="0.2">
      <c r="A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row>
    <row r="136" spans="1:40" x14ac:dyDescent="0.2">
      <c r="A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row>
    <row r="137" spans="1:40" x14ac:dyDescent="0.2">
      <c r="A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row>
    <row r="138" spans="1:40" x14ac:dyDescent="0.2">
      <c r="A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row>
    <row r="139" spans="1:40" x14ac:dyDescent="0.2">
      <c r="A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row>
    <row r="140" spans="1:40" x14ac:dyDescent="0.2">
      <c r="A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row>
    <row r="141" spans="1:40" x14ac:dyDescent="0.2">
      <c r="A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row>
    <row r="142" spans="1:40" x14ac:dyDescent="0.2">
      <c r="A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row>
    <row r="143" spans="1:40" x14ac:dyDescent="0.2">
      <c r="A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row>
    <row r="144" spans="1:40" x14ac:dyDescent="0.2">
      <c r="A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row>
    <row r="145" spans="1:40" x14ac:dyDescent="0.2">
      <c r="A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row>
    <row r="146" spans="1:40" x14ac:dyDescent="0.2">
      <c r="A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row>
    <row r="147" spans="1:40" x14ac:dyDescent="0.2">
      <c r="A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row>
    <row r="148" spans="1:40" x14ac:dyDescent="0.2">
      <c r="A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row>
    <row r="149" spans="1:40" x14ac:dyDescent="0.2">
      <c r="A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row>
    <row r="150" spans="1:40" x14ac:dyDescent="0.2">
      <c r="A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row>
    <row r="151" spans="1:40" x14ac:dyDescent="0.2">
      <c r="A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row>
    <row r="152" spans="1:40" x14ac:dyDescent="0.2">
      <c r="A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row>
    <row r="153" spans="1:40" x14ac:dyDescent="0.2">
      <c r="A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row>
    <row r="154" spans="1:40" x14ac:dyDescent="0.2">
      <c r="A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row>
    <row r="155" spans="1:40" x14ac:dyDescent="0.2">
      <c r="A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row>
    <row r="156" spans="1:40" x14ac:dyDescent="0.2">
      <c r="A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row>
    <row r="157" spans="1:40" x14ac:dyDescent="0.2">
      <c r="A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row>
    <row r="158" spans="1:40" x14ac:dyDescent="0.2">
      <c r="A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row>
    <row r="159" spans="1:40" x14ac:dyDescent="0.2">
      <c r="A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row>
    <row r="160" spans="1:40" x14ac:dyDescent="0.2">
      <c r="A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row>
    <row r="161" spans="1:40" x14ac:dyDescent="0.2">
      <c r="A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row>
  </sheetData>
  <sheetProtection algorithmName="SHA-512" hashValue="7/OdZLLUO73/78i4W84dk2bZerU/4jYmmQaiGVOPVqLkog/T/mIA72c2WSLVKrkypUO0bN26CdZsy9gCUYDlyA==" saltValue="Uo4j2Go3gio+KkPBn5+QRw==" spinCount="100000" sheet="1" selectLockedCells="1"/>
  <mergeCells count="3">
    <mergeCell ref="B2:R2"/>
    <mergeCell ref="H3:J3"/>
    <mergeCell ref="K3:M3"/>
  </mergeCells>
  <conditionalFormatting sqref="F5:N5">
    <cfRule type="expression" dxfId="104" priority="1">
      <formula>$E5=""</formula>
    </cfRule>
  </conditionalFormatting>
  <dataValidations count="1">
    <dataValidation type="list" allowBlank="1" showInputMessage="1" showErrorMessage="1" sqref="E5:F5" xr:uid="{341C77C1-5B15-4184-AB00-AD03F5152175}">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40"/>
  <sheetViews>
    <sheetView showGridLines="0" showRowColHeaders="0" workbookViewId="0">
      <selection activeCell="B3" sqref="B3:G4"/>
    </sheetView>
  </sheetViews>
  <sheetFormatPr defaultColWidth="9.140625" defaultRowHeight="12.75" x14ac:dyDescent="0.2"/>
  <cols>
    <col min="1" max="1" width="1.7109375" style="253" customWidth="1"/>
    <col min="2" max="2" width="29.28515625" style="253" customWidth="1"/>
    <col min="3" max="7" width="17.85546875" style="253" customWidth="1"/>
    <col min="8" max="8" width="14.7109375" style="253" customWidth="1"/>
    <col min="9" max="16384" width="9.140625" style="253"/>
  </cols>
  <sheetData>
    <row r="1" spans="2:7" ht="55.5" customHeight="1" x14ac:dyDescent="0.2"/>
    <row r="2" spans="2:7" s="255" customFormat="1" ht="38.25" customHeight="1" x14ac:dyDescent="0.2">
      <c r="B2" s="374" t="s">
        <v>780</v>
      </c>
      <c r="C2" s="374"/>
      <c r="D2" s="374"/>
      <c r="E2" s="374"/>
      <c r="F2" s="259"/>
      <c r="G2" s="259"/>
    </row>
    <row r="3" spans="2:7" ht="12.75" customHeight="1" x14ac:dyDescent="0.2">
      <c r="B3" s="386" t="s">
        <v>781</v>
      </c>
      <c r="C3" s="386"/>
      <c r="D3" s="386"/>
      <c r="E3" s="386"/>
      <c r="F3" s="386"/>
      <c r="G3" s="386"/>
    </row>
    <row r="4" spans="2:7" x14ac:dyDescent="0.2">
      <c r="B4" s="386"/>
      <c r="C4" s="386"/>
      <c r="D4" s="386"/>
      <c r="E4" s="386"/>
      <c r="F4" s="386"/>
      <c r="G4" s="386"/>
    </row>
    <row r="6" spans="2:7" ht="28.5" customHeight="1" x14ac:dyDescent="0.2">
      <c r="B6" s="385" t="s">
        <v>782</v>
      </c>
      <c r="C6" s="341" t="s">
        <v>783</v>
      </c>
      <c r="D6" s="341" t="s">
        <v>784</v>
      </c>
      <c r="E6" s="341" t="s">
        <v>785</v>
      </c>
      <c r="F6" s="341" t="s">
        <v>786</v>
      </c>
    </row>
    <row r="7" spans="2:7" ht="28.5" customHeight="1" x14ac:dyDescent="0.2">
      <c r="B7" s="385"/>
      <c r="C7" s="328">
        <f>Table15[[#Totals],[Gross project cost]]</f>
        <v>0</v>
      </c>
      <c r="D7" s="328" t="e">
        <f>Table15[[#Totals],[Estimated incentive]]</f>
        <v>#DIV/0!</v>
      </c>
      <c r="E7" s="328" t="e">
        <f>Table15[[#Totals],[Net project cost]]</f>
        <v>#DIV/0!</v>
      </c>
      <c r="F7" s="329">
        <f>Table16[[#Totals],[Energy savings (kWh)]]</f>
        <v>0</v>
      </c>
    </row>
    <row r="9" spans="2:7" ht="20.25" customHeight="1" x14ac:dyDescent="0.2">
      <c r="B9" s="390" t="s">
        <v>794</v>
      </c>
      <c r="C9" s="391"/>
      <c r="D9" s="391"/>
      <c r="E9" s="391"/>
      <c r="F9" s="391"/>
    </row>
    <row r="10" spans="2:7" ht="17.25" customHeight="1" x14ac:dyDescent="0.2">
      <c r="B10" s="324" t="s">
        <v>23</v>
      </c>
      <c r="C10" s="392" t="str">
        <f>_xlfn.CONCAT('Fill in the Application'!C$6, ", ",'Fill in the Application'!$C$5, ", ",'Fill in the Application'!$C$11, ", ",'Fill in the Application'!$C$12)</f>
        <v xml:space="preserve">, , , </v>
      </c>
      <c r="D10" s="392"/>
      <c r="E10" s="392"/>
      <c r="F10" s="392"/>
    </row>
    <row r="11" spans="2:7" ht="25.5" customHeight="1" x14ac:dyDescent="0.2">
      <c r="B11" s="324" t="s">
        <v>787</v>
      </c>
      <c r="C11" s="392" t="str">
        <f>_xlfn.CONCAT('Fill in the Application'!$C$18, ", ",'Fill in the Application'!$C$17, ", ",'Fill in the Application'!$C$23, ", ",'Fill in the Application'!$C$24)</f>
        <v xml:space="preserve">, , , </v>
      </c>
      <c r="D11" s="392"/>
      <c r="E11" s="392"/>
      <c r="F11" s="392"/>
    </row>
    <row r="12" spans="2:7" ht="17.45" customHeight="1" x14ac:dyDescent="0.2">
      <c r="B12" s="324" t="s">
        <v>788</v>
      </c>
      <c r="C12" s="392" t="str">
        <f>_xlfn.CONCAT('Fill in the Application'!$C$28, ", ",'Fill in the Application'!$C$27, ", ",'Fill in the Application'!$C$33, ", ",'Fill in the Application'!$C$34)</f>
        <v xml:space="preserve">, , , </v>
      </c>
      <c r="D12" s="392"/>
      <c r="E12" s="392"/>
      <c r="F12" s="392"/>
    </row>
    <row r="14" spans="2:7" ht="23.25" customHeight="1" x14ac:dyDescent="0.2">
      <c r="B14" s="388" t="s">
        <v>789</v>
      </c>
      <c r="C14" s="389"/>
      <c r="D14" s="389"/>
    </row>
    <row r="15" spans="2:7" ht="25.5" x14ac:dyDescent="0.2">
      <c r="B15" s="342" t="s">
        <v>790</v>
      </c>
      <c r="C15" s="342" t="s">
        <v>736</v>
      </c>
      <c r="D15" s="342" t="s">
        <v>791</v>
      </c>
    </row>
    <row r="16" spans="2:7" x14ac:dyDescent="0.2">
      <c r="B16" s="330" t="str">
        <f>Caps!B8</f>
        <v>Interior Lighting</v>
      </c>
      <c r="C16" s="331">
        <f>Caps!D8</f>
        <v>0</v>
      </c>
      <c r="D16" s="332">
        <f>Caps!E8</f>
        <v>0</v>
      </c>
    </row>
    <row r="17" spans="2:7" x14ac:dyDescent="0.2">
      <c r="B17" s="330" t="str">
        <f>Caps!B9</f>
        <v>Exterior Lighting</v>
      </c>
      <c r="C17" s="331">
        <f>Caps!D9</f>
        <v>0</v>
      </c>
      <c r="D17" s="332">
        <f>Caps!E9</f>
        <v>0</v>
      </c>
    </row>
    <row r="18" spans="2:7" x14ac:dyDescent="0.2">
      <c r="B18" s="330" t="str">
        <f>Caps!B3</f>
        <v>Prescriptive HVAC</v>
      </c>
      <c r="C18" s="329">
        <f>Caps!D3</f>
        <v>0</v>
      </c>
      <c r="D18" s="333">
        <f>Caps!E3</f>
        <v>0</v>
      </c>
    </row>
    <row r="19" spans="2:7" x14ac:dyDescent="0.2">
      <c r="B19" s="330" t="str">
        <f>Caps!B4</f>
        <v>Prescriptive Refrigeration</v>
      </c>
      <c r="C19" s="329">
        <f>Caps!D4</f>
        <v>0</v>
      </c>
      <c r="D19" s="333">
        <f>Caps!E4</f>
        <v>0</v>
      </c>
    </row>
    <row r="20" spans="2:7" ht="25.5" x14ac:dyDescent="0.2">
      <c r="B20" s="330" t="str">
        <f>Caps!B5</f>
        <v>Prescriptive Commercial Kitchen</v>
      </c>
      <c r="C20" s="329">
        <f>Caps!D5</f>
        <v>0</v>
      </c>
      <c r="D20" s="333">
        <f>Caps!E5</f>
        <v>0</v>
      </c>
    </row>
    <row r="21" spans="2:7" x14ac:dyDescent="0.2">
      <c r="B21" s="330" t="str">
        <f>Caps!B6</f>
        <v>Prescriptive Low-Flow Water</v>
      </c>
      <c r="C21" s="329">
        <f>Caps!D6</f>
        <v>0</v>
      </c>
      <c r="D21" s="333">
        <f>Caps!E6</f>
        <v>0</v>
      </c>
    </row>
    <row r="22" spans="2:7" x14ac:dyDescent="0.2">
      <c r="B22" s="330" t="str">
        <f>Caps!B7</f>
        <v>Custom</v>
      </c>
      <c r="C22" s="329">
        <f>Caps!D7</f>
        <v>0</v>
      </c>
      <c r="D22" s="333">
        <f>Caps!E7</f>
        <v>0</v>
      </c>
    </row>
    <row r="23" spans="2:7" x14ac:dyDescent="0.2">
      <c r="B23" s="343"/>
      <c r="C23" s="344"/>
      <c r="D23" s="345"/>
    </row>
    <row r="24" spans="2:7" x14ac:dyDescent="0.2">
      <c r="B24" s="325" t="s">
        <v>68</v>
      </c>
      <c r="C24" s="326">
        <f>SUBTOTAL(109,Table16[Energy savings (kWh)])</f>
        <v>0</v>
      </c>
      <c r="D24" s="327">
        <f>SUBTOTAL(109,Table16[kW reduction])</f>
        <v>0</v>
      </c>
    </row>
    <row r="26" spans="2:7" ht="15.75" x14ac:dyDescent="0.25">
      <c r="B26" s="387" t="s">
        <v>792</v>
      </c>
      <c r="C26" s="387"/>
      <c r="D26" s="387"/>
      <c r="E26" s="387"/>
      <c r="F26" s="387"/>
      <c r="G26" s="387"/>
    </row>
    <row r="27" spans="2:7" ht="25.5" x14ac:dyDescent="0.2">
      <c r="B27" s="342" t="s">
        <v>790</v>
      </c>
      <c r="C27" s="342" t="s">
        <v>738</v>
      </c>
      <c r="D27" s="342" t="s">
        <v>793</v>
      </c>
      <c r="E27" s="342" t="s">
        <v>735</v>
      </c>
      <c r="F27" s="342" t="s">
        <v>785</v>
      </c>
      <c r="G27" s="342" t="s">
        <v>741</v>
      </c>
    </row>
    <row r="28" spans="2:7" x14ac:dyDescent="0.2">
      <c r="B28" s="330" t="str">
        <f>Caps!B8</f>
        <v>Interior Lighting</v>
      </c>
      <c r="C28" s="334">
        <f>INDEX(Table_Measure_Caps[Cost Savings Total], MATCH(Table15[[#This Row],[Incentive type]],Table_Measure_Caps[Measure Type], 0))</f>
        <v>0</v>
      </c>
      <c r="D28" s="334">
        <f>INDEX(Table_Measure_Caps[Gross Measure Cost Total], MATCH(Table15[[#This Row],[Incentive type]],Table_Measure_Caps[Measure Type], 0))</f>
        <v>0</v>
      </c>
      <c r="E28" s="334" t="e">
        <f>INDEX(Table_Measure_Caps[Capped Incentive], MATCH(Table15[[#This Row],[Incentive type]], Table_Measure_Caps[Measure Type], 0))</f>
        <v>#DIV/0!</v>
      </c>
      <c r="F28" s="334" t="e">
        <f>Table15[[#This Row],[Gross project cost]]-Table15[[#This Row],[Estimated incentive]]</f>
        <v>#DIV/0!</v>
      </c>
      <c r="G28" s="335" t="str">
        <f>IFERROR(Table15[[#This Row],[Net project cost]]/Table15[[#This Row],[Cost savings]],"")</f>
        <v/>
      </c>
    </row>
    <row r="29" spans="2:7" x14ac:dyDescent="0.2">
      <c r="B29" s="330" t="str">
        <f>Caps!B9</f>
        <v>Exterior Lighting</v>
      </c>
      <c r="C29" s="334">
        <f>INDEX(Table_Measure_Caps[Cost Savings Total], MATCH(Table15[[#This Row],[Incentive type]],Table_Measure_Caps[Measure Type], 0))</f>
        <v>0</v>
      </c>
      <c r="D29" s="334">
        <f>INDEX(Table_Measure_Caps[Gross Measure Cost Total], MATCH(Table15[[#This Row],[Incentive type]],Table_Measure_Caps[Measure Type], 0))</f>
        <v>0</v>
      </c>
      <c r="E29" s="334" t="e">
        <f>INDEX(Table_Measure_Caps[Capped Incentive], MATCH(Table15[[#This Row],[Incentive type]], Table_Measure_Caps[Measure Type], 0))</f>
        <v>#DIV/0!</v>
      </c>
      <c r="F29" s="334" t="e">
        <f>Table15[[#This Row],[Gross project cost]]-Table15[[#This Row],[Estimated incentive]]</f>
        <v>#DIV/0!</v>
      </c>
      <c r="G29" s="335" t="str">
        <f>IFERROR(Table15[[#This Row],[Net project cost]]/Table15[[#This Row],[Cost savings]],"")</f>
        <v/>
      </c>
    </row>
    <row r="30" spans="2:7" x14ac:dyDescent="0.2">
      <c r="B30" s="330" t="str">
        <f>Caps!B3</f>
        <v>Prescriptive HVAC</v>
      </c>
      <c r="C30" s="334">
        <f>INDEX(Table_Measure_Caps[Cost Savings Total], MATCH(Table15[[#This Row],[Incentive type]],Table_Measure_Caps[Measure Type], 0))</f>
        <v>0</v>
      </c>
      <c r="D30" s="334">
        <f>INDEX(Table_Measure_Caps[Gross Measure Cost Total], MATCH(Table15[[#This Row],[Incentive type]],Table_Measure_Caps[Measure Type], 0))</f>
        <v>0</v>
      </c>
      <c r="E30" s="334" t="e">
        <f>Caps!J3</f>
        <v>#DIV/0!</v>
      </c>
      <c r="F30" s="334" t="e">
        <f>Table15[[#This Row],[Gross project cost]]-Table15[[#This Row],[Estimated incentive]]</f>
        <v>#DIV/0!</v>
      </c>
      <c r="G30" s="335" t="str">
        <f>IFERROR(Table15[[#This Row],[Net project cost]]/Table15[[#This Row],[Cost savings]],"")</f>
        <v/>
      </c>
    </row>
    <row r="31" spans="2:7" x14ac:dyDescent="0.2">
      <c r="B31" s="330" t="str">
        <f>Caps!B4</f>
        <v>Prescriptive Refrigeration</v>
      </c>
      <c r="C31" s="334">
        <f>INDEX(Table_Measure_Caps[Cost Savings Total], MATCH(Table15[[#This Row],[Incentive type]],Table_Measure_Caps[Measure Type], 0))</f>
        <v>0</v>
      </c>
      <c r="D31" s="334">
        <f>INDEX(Table_Measure_Caps[Gross Measure Cost Total], MATCH(Table15[[#This Row],[Incentive type]],Table_Measure_Caps[Measure Type], 0))</f>
        <v>0</v>
      </c>
      <c r="E31" s="334" t="e">
        <f>Caps!J4</f>
        <v>#DIV/0!</v>
      </c>
      <c r="F31" s="334" t="e">
        <f>Table15[[#This Row],[Gross project cost]]-Table15[[#This Row],[Estimated incentive]]</f>
        <v>#DIV/0!</v>
      </c>
      <c r="G31" s="335" t="str">
        <f>IFERROR(Table15[[#This Row],[Net project cost]]/Table15[[#This Row],[Cost savings]],"")</f>
        <v/>
      </c>
    </row>
    <row r="32" spans="2:7" ht="25.5" x14ac:dyDescent="0.2">
      <c r="B32" s="330" t="str">
        <f>Caps!B5</f>
        <v>Prescriptive Commercial Kitchen</v>
      </c>
      <c r="C32" s="334">
        <f>INDEX(Table_Measure_Caps[Cost Savings Total], MATCH(Table15[[#This Row],[Incentive type]],Table_Measure_Caps[Measure Type], 0))</f>
        <v>0</v>
      </c>
      <c r="D32" s="334">
        <f>INDEX(Table_Measure_Caps[Gross Measure Cost Total], MATCH(Table15[[#This Row],[Incentive type]],Table_Measure_Caps[Measure Type], 0))</f>
        <v>0</v>
      </c>
      <c r="E32" s="334" t="e">
        <f>Caps!J5</f>
        <v>#DIV/0!</v>
      </c>
      <c r="F32" s="334" t="e">
        <f>Table15[[#This Row],[Gross project cost]]-Table15[[#This Row],[Estimated incentive]]</f>
        <v>#DIV/0!</v>
      </c>
      <c r="G32" s="335" t="str">
        <f>IFERROR(Table15[[#This Row],[Net project cost]]/Table15[[#This Row],[Cost savings]],"")</f>
        <v/>
      </c>
    </row>
    <row r="33" spans="2:7" x14ac:dyDescent="0.2">
      <c r="B33" s="330" t="str">
        <f>Caps!B6</f>
        <v>Prescriptive Low-Flow Water</v>
      </c>
      <c r="C33" s="334">
        <f>INDEX(Table_Measure_Caps[Cost Savings Total], MATCH(Table15[[#This Row],[Incentive type]],Table_Measure_Caps[Measure Type], 0))</f>
        <v>0</v>
      </c>
      <c r="D33" s="334">
        <f>INDEX(Table_Measure_Caps[Gross Measure Cost Total], MATCH(Table15[[#This Row],[Incentive type]],Table_Measure_Caps[Measure Type], 0))</f>
        <v>0</v>
      </c>
      <c r="E33" s="334" t="e">
        <f>Caps!J6</f>
        <v>#DIV/0!</v>
      </c>
      <c r="F33" s="334" t="e">
        <f>Table15[[#This Row],[Gross project cost]]-Table15[[#This Row],[Estimated incentive]]</f>
        <v>#DIV/0!</v>
      </c>
      <c r="G33" s="335" t="str">
        <f>IFERROR(Table15[[#This Row],[Net project cost]]/Table15[[#This Row],[Cost savings]],"")</f>
        <v/>
      </c>
    </row>
    <row r="34" spans="2:7" x14ac:dyDescent="0.2">
      <c r="B34" s="330" t="str">
        <f>Caps!B7</f>
        <v>Custom</v>
      </c>
      <c r="C34" s="334">
        <f>INDEX(Table_Measure_Caps[Cost Savings Total], MATCH(Table15[[#This Row],[Incentive type]],Table_Measure_Caps[Measure Type], 0))</f>
        <v>0</v>
      </c>
      <c r="D34" s="334">
        <f>INDEX(Table_Measure_Caps[Gross Measure Cost Total], MATCH(Table15[[#This Row],[Incentive type]],Table_Measure_Caps[Measure Type], 0))</f>
        <v>0</v>
      </c>
      <c r="E34" s="334" t="e">
        <f>Caps!J7</f>
        <v>#DIV/0!</v>
      </c>
      <c r="F34" s="334" t="e">
        <f>Table15[[#This Row],[Gross project cost]]-Table15[[#This Row],[Estimated incentive]]</f>
        <v>#DIV/0!</v>
      </c>
      <c r="G34" s="335" t="str">
        <f>IFERROR(Table15[[#This Row],[Net project cost]]/Table15[[#This Row],[Cost savings]],"")</f>
        <v/>
      </c>
    </row>
    <row r="35" spans="2:7" x14ac:dyDescent="0.2">
      <c r="B35" s="330" t="str">
        <f>Caps!B10</f>
        <v>Whole Building Performance</v>
      </c>
      <c r="C35" s="334" t="s">
        <v>471</v>
      </c>
      <c r="D35" s="334">
        <f>Caps!G10</f>
        <v>0</v>
      </c>
      <c r="E35" s="334" t="str">
        <f>Caps!C10</f>
        <v/>
      </c>
      <c r="F35" s="334" t="s">
        <v>471</v>
      </c>
      <c r="G35" s="336" t="s">
        <v>471</v>
      </c>
    </row>
    <row r="36" spans="2:7" ht="12.75" customHeight="1" x14ac:dyDescent="0.2">
      <c r="B36" s="346"/>
      <c r="C36" s="346"/>
      <c r="D36" s="346"/>
      <c r="E36" s="346"/>
      <c r="F36" s="346"/>
      <c r="G36" s="346"/>
    </row>
    <row r="37" spans="2:7" x14ac:dyDescent="0.2">
      <c r="B37" s="337" t="s">
        <v>68</v>
      </c>
      <c r="C37" s="338">
        <f>SUBTOTAL(109,Table15[Cost savings])</f>
        <v>0</v>
      </c>
      <c r="D37" s="338">
        <f>SUBTOTAL(109,Table15[Gross project cost])</f>
        <v>0</v>
      </c>
      <c r="E37" s="338" t="e">
        <f>SUBTOTAL(109,Table15[Estimated incentive])</f>
        <v>#DIV/0!</v>
      </c>
      <c r="F37" s="338" t="e">
        <f>Table15[[#Totals],[Gross project cost]]-Table15[[#Totals],[Estimated incentive]]</f>
        <v>#DIV/0!</v>
      </c>
      <c r="G37" s="339" t="e">
        <f>Table15[[#Totals],[Net project cost]]/Table15[[#Totals],[Cost savings]]</f>
        <v>#DIV/0!</v>
      </c>
    </row>
    <row r="38" spans="2:7" x14ac:dyDescent="0.2">
      <c r="B38" s="245"/>
      <c r="C38" s="245"/>
      <c r="D38" s="245"/>
      <c r="E38" s="245"/>
      <c r="F38" s="245"/>
      <c r="G38" s="245"/>
    </row>
    <row r="39" spans="2:7" x14ac:dyDescent="0.2">
      <c r="B39" s="253" t="s">
        <v>644</v>
      </c>
    </row>
    <row r="40" spans="2:7" x14ac:dyDescent="0.2">
      <c r="B40" s="253" t="str">
        <f>Value_Application_Version</f>
        <v>Version 5.2</v>
      </c>
    </row>
  </sheetData>
  <sheetProtection algorithmName="SHA-512" hashValue="K9UssKjHnMO5J7FQEr84eFDxRWKUsaz+2llMtG/xHdp0JnzsVClFZq67ZTWC8eJVMtxrR2OQPzPjrkDFVqZaig==" saltValue="j6+EtYzXOyN4JZ5uu3FFVA==" spinCount="100000" sheet="1" objects="1" scenarios="1"/>
  <mergeCells count="9">
    <mergeCell ref="B6:B7"/>
    <mergeCell ref="B3:G4"/>
    <mergeCell ref="B26:G26"/>
    <mergeCell ref="B2:E2"/>
    <mergeCell ref="B14:D14"/>
    <mergeCell ref="B9:F9"/>
    <mergeCell ref="C10:F10"/>
    <mergeCell ref="C11:F11"/>
    <mergeCell ref="C12:F12"/>
  </mergeCells>
  <pageMargins left="0.25" right="0.25" top="0.75" bottom="0.75" header="0.3" footer="0.3"/>
  <pageSetup orientation="portrait" r:id="rId1"/>
  <ignoredErrors>
    <ignoredError sqref="C31:E32 C33:E34" calculatedColumn="1"/>
  </ignoredErrors>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400" t="s">
        <v>73</v>
      </c>
      <c r="C1" s="400"/>
      <c r="D1" s="400"/>
      <c r="E1" s="400"/>
      <c r="F1" s="49"/>
      <c r="G1" s="49"/>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401" t="s">
        <v>74</v>
      </c>
      <c r="C7" s="401"/>
      <c r="D7" s="401"/>
      <c r="E7" s="401"/>
      <c r="F7" s="401"/>
      <c r="G7" s="401"/>
    </row>
    <row r="8" spans="2:7" x14ac:dyDescent="0.2">
      <c r="B8" s="401"/>
      <c r="C8" s="401"/>
      <c r="D8" s="401"/>
      <c r="E8" s="401"/>
      <c r="F8" s="401"/>
      <c r="G8" s="401"/>
    </row>
    <row r="9" spans="2:7" x14ac:dyDescent="0.2">
      <c r="B9" s="44"/>
      <c r="C9" s="44"/>
      <c r="D9" s="44"/>
      <c r="E9" s="44"/>
      <c r="F9" s="44"/>
      <c r="G9" s="44"/>
    </row>
    <row r="10" spans="2:7" ht="26.25" customHeight="1" x14ac:dyDescent="0.2">
      <c r="B10" s="404" t="s">
        <v>75</v>
      </c>
      <c r="C10" s="404"/>
      <c r="D10" s="404"/>
      <c r="E10" s="404"/>
      <c r="F10" s="404"/>
      <c r="G10" s="404"/>
    </row>
    <row r="12" spans="2:7" ht="28.5" customHeight="1" x14ac:dyDescent="0.2">
      <c r="B12" s="402" t="s">
        <v>62</v>
      </c>
      <c r="C12" s="43" t="s">
        <v>63</v>
      </c>
      <c r="D12" s="43" t="s">
        <v>64</v>
      </c>
      <c r="E12" s="43" t="s">
        <v>65</v>
      </c>
      <c r="F12" s="43" t="s">
        <v>66</v>
      </c>
    </row>
    <row r="13" spans="2:7" ht="19.5" customHeight="1" x14ac:dyDescent="0.2">
      <c r="B13" s="402"/>
      <c r="C13" s="159">
        <f>Gross_Proj_Cost</f>
        <v>0</v>
      </c>
      <c r="D13" s="159" t="e">
        <f>Total_Incentive</f>
        <v>#DIV/0!</v>
      </c>
      <c r="E13" s="159" t="e">
        <f>Net_Project_Cost</f>
        <v>#DIV/0!</v>
      </c>
      <c r="F13" s="160">
        <f>Project_Energy_Savings</f>
        <v>0</v>
      </c>
    </row>
    <row r="15" spans="2:7" ht="15.75" x14ac:dyDescent="0.25">
      <c r="B15" s="403" t="str">
        <f>'Fill in the Application'!B4</f>
        <v>Entergy New Orleans customer information</v>
      </c>
      <c r="C15" s="403"/>
      <c r="D15" s="403"/>
      <c r="E15" s="403"/>
      <c r="F15" s="403"/>
    </row>
    <row r="16" spans="2:7" x14ac:dyDescent="0.2">
      <c r="B16" s="396" t="s">
        <v>4</v>
      </c>
      <c r="C16" s="396"/>
      <c r="D16" s="395">
        <f>'Fill in the Application'!C5</f>
        <v>0</v>
      </c>
      <c r="E16" s="395"/>
      <c r="F16" s="395"/>
    </row>
    <row r="17" spans="2:6" x14ac:dyDescent="0.2">
      <c r="B17" s="396" t="s">
        <v>5</v>
      </c>
      <c r="C17" s="396"/>
      <c r="D17" s="395">
        <f>'Fill in the Application'!C6</f>
        <v>0</v>
      </c>
      <c r="E17" s="395"/>
      <c r="F17" s="395"/>
    </row>
    <row r="18" spans="2:6" ht="12.75" customHeight="1" x14ac:dyDescent="0.2">
      <c r="B18" s="396" t="s">
        <v>13</v>
      </c>
      <c r="C18" s="396"/>
      <c r="D18" s="395" t="str">
        <f>_xlfn.CONCAT('Fill in the Application'!C7,", ",'Fill in the Application'!C8,", ",'Fill in the Application'!C9,", ",'Fill in the Application'!C10)</f>
        <v xml:space="preserve">, , , </v>
      </c>
      <c r="E18" s="395"/>
      <c r="F18" s="395"/>
    </row>
    <row r="19" spans="2:6" x14ac:dyDescent="0.2">
      <c r="B19" s="396" t="s">
        <v>9</v>
      </c>
      <c r="C19" s="396"/>
      <c r="D19" s="395">
        <f>'Fill in the Application'!C13</f>
        <v>0</v>
      </c>
      <c r="E19" s="395"/>
      <c r="F19" s="395"/>
    </row>
    <row r="21" spans="2:6" ht="15.75" customHeight="1" x14ac:dyDescent="0.2">
      <c r="B21" s="397" t="s">
        <v>10</v>
      </c>
      <c r="C21" s="397"/>
      <c r="D21" s="397"/>
      <c r="E21" s="397"/>
      <c r="F21" s="397"/>
    </row>
    <row r="22" spans="2:6" x14ac:dyDescent="0.2">
      <c r="B22" s="396" t="s">
        <v>11</v>
      </c>
      <c r="C22" s="396"/>
      <c r="D22" s="395">
        <f>'Fill in the Application'!C17</f>
        <v>0</v>
      </c>
      <c r="E22" s="395"/>
      <c r="F22" s="395"/>
    </row>
    <row r="23" spans="2:6" x14ac:dyDescent="0.2">
      <c r="B23" s="396" t="s">
        <v>12</v>
      </c>
      <c r="C23" s="396"/>
      <c r="D23" s="395">
        <f>'Fill in the Application'!C18</f>
        <v>0</v>
      </c>
      <c r="E23" s="395"/>
      <c r="F23" s="395"/>
    </row>
    <row r="24" spans="2:6" ht="12.75" customHeight="1" x14ac:dyDescent="0.2">
      <c r="B24" s="396" t="s">
        <v>13</v>
      </c>
      <c r="C24" s="396"/>
      <c r="D24" s="395" t="str">
        <f>_xlfn.CONCAT('Fill in the Application'!C19,", ",'Fill in the Application'!C20,", ",'Fill in the Application'!C21,", ",'Fill in the Application'!C22)</f>
        <v xml:space="preserve">, , , </v>
      </c>
      <c r="E24" s="395"/>
      <c r="F24" s="395"/>
    </row>
    <row r="25" spans="2:6" x14ac:dyDescent="0.2">
      <c r="B25" s="396" t="s">
        <v>15</v>
      </c>
      <c r="C25" s="396"/>
      <c r="D25" s="395">
        <f>'Fill in the Application'!C25</f>
        <v>0</v>
      </c>
      <c r="E25" s="395"/>
      <c r="F25" s="395"/>
    </row>
    <row r="27" spans="2:6" ht="15.75" customHeight="1" x14ac:dyDescent="0.2">
      <c r="B27" s="397" t="s">
        <v>22</v>
      </c>
      <c r="C27" s="397"/>
      <c r="D27" s="397"/>
      <c r="E27" s="397"/>
      <c r="F27" s="397"/>
    </row>
    <row r="28" spans="2:6" x14ac:dyDescent="0.2">
      <c r="B28" s="396" t="s">
        <v>76</v>
      </c>
      <c r="C28" s="396"/>
      <c r="D28" s="395">
        <f>'Fill in the Application'!F33</f>
        <v>0</v>
      </c>
      <c r="E28" s="395"/>
      <c r="F28" s="395"/>
    </row>
    <row r="29" spans="2:6" x14ac:dyDescent="0.2">
      <c r="B29" s="396" t="s">
        <v>77</v>
      </c>
      <c r="C29" s="396"/>
      <c r="D29" s="395">
        <f>'Fill in the Application'!F34</f>
        <v>0</v>
      </c>
      <c r="E29" s="395"/>
      <c r="F29" s="395"/>
    </row>
    <row r="30" spans="2:6" x14ac:dyDescent="0.2">
      <c r="B30" s="396" t="s">
        <v>13</v>
      </c>
      <c r="C30" s="396"/>
      <c r="D30" s="395"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95"/>
      <c r="F30" s="395"/>
    </row>
    <row r="31" spans="2:6" x14ac:dyDescent="0.2">
      <c r="B31" s="396" t="s">
        <v>25</v>
      </c>
      <c r="C31" s="396"/>
      <c r="D31" s="395">
        <f>'Fill in the Application'!F35</f>
        <v>0</v>
      </c>
      <c r="E31" s="395"/>
      <c r="F31" s="395"/>
    </row>
    <row r="32" spans="2:6" x14ac:dyDescent="0.2">
      <c r="B32" s="396" t="s">
        <v>26</v>
      </c>
      <c r="C32" s="396"/>
      <c r="D32" s="395">
        <f>'Fill in the Application'!F36</f>
        <v>0</v>
      </c>
      <c r="E32" s="395"/>
      <c r="F32" s="395"/>
    </row>
    <row r="33" spans="2:7" x14ac:dyDescent="0.2">
      <c r="B33" s="396" t="s">
        <v>28</v>
      </c>
      <c r="C33" s="396"/>
      <c r="D33" s="395">
        <f>'Fill in the Application'!F37</f>
        <v>0</v>
      </c>
      <c r="E33" s="395"/>
      <c r="F33" s="395"/>
    </row>
    <row r="35" spans="2:7" ht="12.75" customHeight="1" x14ac:dyDescent="0.2">
      <c r="B35" s="393" t="s">
        <v>78</v>
      </c>
      <c r="C35" s="393"/>
      <c r="D35" s="394"/>
    </row>
    <row r="36" spans="2:7" x14ac:dyDescent="0.2">
      <c r="B36" s="393"/>
      <c r="C36" s="393"/>
      <c r="D36" s="394"/>
    </row>
    <row r="38" spans="2:7" ht="11.25" customHeight="1" x14ac:dyDescent="0.2">
      <c r="B38" s="399" t="s">
        <v>79</v>
      </c>
      <c r="C38" s="399"/>
      <c r="D38" s="399"/>
      <c r="E38" s="399"/>
      <c r="F38" s="399"/>
      <c r="G38" s="399"/>
    </row>
    <row r="39" spans="2:7" x14ac:dyDescent="0.2">
      <c r="B39" s="399"/>
      <c r="C39" s="399"/>
      <c r="D39" s="399"/>
      <c r="E39" s="399"/>
      <c r="F39" s="399"/>
      <c r="G39" s="399"/>
    </row>
    <row r="40" spans="2:7" x14ac:dyDescent="0.2">
      <c r="B40" s="399"/>
      <c r="C40" s="399"/>
      <c r="D40" s="399"/>
      <c r="E40" s="399"/>
      <c r="F40" s="399"/>
      <c r="G40" s="399"/>
    </row>
    <row r="41" spans="2:7" x14ac:dyDescent="0.2">
      <c r="B41" s="399"/>
      <c r="C41" s="399"/>
      <c r="D41" s="399"/>
      <c r="E41" s="399"/>
      <c r="F41" s="399"/>
      <c r="G41" s="399"/>
    </row>
    <row r="42" spans="2:7" x14ac:dyDescent="0.2">
      <c r="B42" s="399"/>
      <c r="C42" s="399"/>
      <c r="D42" s="399"/>
      <c r="E42" s="399"/>
      <c r="F42" s="399"/>
      <c r="G42" s="399"/>
    </row>
    <row r="43" spans="2:7" x14ac:dyDescent="0.2">
      <c r="B43" s="50" t="s">
        <v>71</v>
      </c>
      <c r="C43" s="50"/>
      <c r="F43" s="50" t="s">
        <v>72</v>
      </c>
      <c r="G43" s="56"/>
    </row>
    <row r="44" spans="2:7" x14ac:dyDescent="0.2">
      <c r="B44" s="398"/>
      <c r="C44" s="398"/>
      <c r="D44" s="398"/>
      <c r="F44" s="42"/>
      <c r="G44" s="56"/>
    </row>
    <row r="45" spans="2:7" x14ac:dyDescent="0.2">
      <c r="B45" s="56"/>
      <c r="C45" s="56"/>
      <c r="D45" s="56"/>
      <c r="E45" s="56"/>
      <c r="F45" s="56"/>
      <c r="G45" s="56"/>
    </row>
    <row r="46" spans="2:7" x14ac:dyDescent="0.2">
      <c r="B46" t="s">
        <v>2</v>
      </c>
    </row>
    <row r="47" spans="2:7" x14ac:dyDescent="0.2">
      <c r="B47" t="str">
        <f>Value_Application_Version</f>
        <v>Version 5.2</v>
      </c>
    </row>
    <row r="49" spans="3:5" x14ac:dyDescent="0.2">
      <c r="C49" s="36"/>
    </row>
    <row r="51" spans="3:5" x14ac:dyDescent="0.2">
      <c r="C51" s="34"/>
    </row>
    <row r="54" spans="3:5" x14ac:dyDescent="0.2">
      <c r="D54" s="36"/>
      <c r="E54" s="36"/>
    </row>
    <row r="57" spans="3:5" x14ac:dyDescent="0.2">
      <c r="D57" s="36"/>
    </row>
    <row r="58" spans="3:5" x14ac:dyDescent="0.2">
      <c r="D58" s="36"/>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zoomScale="90" zoomScaleNormal="90" workbookViewId="0">
      <selection activeCell="B9" sqref="B9"/>
    </sheetView>
  </sheetViews>
  <sheetFormatPr defaultRowHeight="12.75" x14ac:dyDescent="0.2"/>
  <cols>
    <col min="1" max="1" width="64.5703125" bestFit="1" customWidth="1"/>
    <col min="2" max="2" width="18.42578125" bestFit="1" customWidth="1"/>
    <col min="3" max="3" width="2.85546875" customWidth="1"/>
    <col min="5" max="5" width="18.42578125" bestFit="1" customWidth="1"/>
    <col min="6" max="6" width="10.7109375" customWidth="1"/>
    <col min="7" max="7" width="64" customWidth="1"/>
    <col min="8" max="9" width="11" customWidth="1"/>
    <col min="10" max="10" width="23.42578125" bestFit="1" customWidth="1"/>
    <col min="11" max="11" width="69.28515625" customWidth="1"/>
    <col min="12" max="12" width="20.28515625" bestFit="1" customWidth="1"/>
    <col min="13" max="13" width="14.85546875" bestFit="1" customWidth="1"/>
    <col min="14" max="14" width="17.85546875" bestFit="1" customWidth="1"/>
    <col min="15" max="15" width="17.85546875" customWidth="1"/>
    <col min="16" max="16" width="30" bestFit="1" customWidth="1"/>
    <col min="17" max="17" width="53.85546875" bestFit="1" customWidth="1"/>
    <col min="18" max="18" width="17" customWidth="1"/>
    <col min="19" max="19" width="44.5703125" bestFit="1" customWidth="1"/>
    <col min="20" max="20" width="19.85546875" customWidth="1"/>
    <col min="21" max="21" width="35.85546875" bestFit="1" customWidth="1"/>
    <col min="22" max="22" width="12.28515625" customWidth="1"/>
    <col min="23" max="23" width="64.5703125" bestFit="1" customWidth="1"/>
    <col min="24" max="24" width="58.42578125" bestFit="1" customWidth="1"/>
    <col min="25" max="25" width="13.28515625" bestFit="1" customWidth="1"/>
    <col min="26" max="26" width="25.7109375" bestFit="1" customWidth="1"/>
    <col min="27" max="27" width="25.7109375" customWidth="1"/>
    <col min="28" max="28" width="9.7109375" bestFit="1" customWidth="1"/>
    <col min="29" max="29" width="7.7109375" bestFit="1" customWidth="1"/>
    <col min="30" max="30" width="46.28515625" bestFit="1" customWidth="1"/>
    <col min="31" max="31" width="15.42578125" bestFit="1" customWidth="1"/>
    <col min="32" max="32" width="15.140625" bestFit="1" customWidth="1"/>
    <col min="33" max="33" width="13.28515625" bestFit="1" customWidth="1"/>
    <col min="34" max="34" width="40.5703125" bestFit="1" customWidth="1"/>
    <col min="35" max="35" width="26.85546875" bestFit="1" customWidth="1"/>
    <col min="36" max="36" width="16.5703125" bestFit="1" customWidth="1"/>
    <col min="37" max="37" width="30.140625" bestFit="1" customWidth="1"/>
    <col min="38" max="38" width="16.85546875" bestFit="1" customWidth="1"/>
    <col min="40" max="40" width="48.140625" bestFit="1" customWidth="1"/>
    <col min="41" max="41" width="44.7109375" bestFit="1" customWidth="1"/>
    <col min="42" max="42" width="43" bestFit="1" customWidth="1"/>
    <col min="43" max="43" width="39.28515625" bestFit="1" customWidth="1"/>
    <col min="44" max="44" width="39.28515625" customWidth="1"/>
    <col min="45" max="45" width="38.85546875" bestFit="1" customWidth="1"/>
    <col min="46" max="46" width="19.85546875" bestFit="1" customWidth="1"/>
    <col min="47" max="47" width="22" bestFit="1" customWidth="1"/>
    <col min="48" max="48" width="15.5703125" bestFit="1" customWidth="1"/>
    <col min="49" max="49" width="51" bestFit="1" customWidth="1"/>
    <col min="50" max="50" width="26.7109375" bestFit="1" customWidth="1"/>
  </cols>
  <sheetData>
    <row r="1" spans="1:50" ht="13.5" thickBot="1" x14ac:dyDescent="0.25"/>
    <row r="2" spans="1:50" ht="40.5" customHeight="1" thickTop="1" thickBot="1" x14ac:dyDescent="0.3">
      <c r="A2" s="45" t="s">
        <v>80</v>
      </c>
      <c r="D2" s="419" t="s">
        <v>81</v>
      </c>
      <c r="E2" s="420"/>
      <c r="F2" s="420"/>
      <c r="G2" s="421"/>
      <c r="P2" s="176" t="s">
        <v>468</v>
      </c>
      <c r="Q2" s="176" t="s">
        <v>476</v>
      </c>
      <c r="R2" s="176" t="s">
        <v>469</v>
      </c>
      <c r="S2" s="176" t="s">
        <v>470</v>
      </c>
      <c r="U2" s="176" t="s">
        <v>436</v>
      </c>
      <c r="W2" s="46" t="s">
        <v>82</v>
      </c>
    </row>
    <row r="3" spans="1:50" s="10" customFormat="1" ht="14.25" thickTop="1" thickBot="1" x14ac:dyDescent="0.25">
      <c r="A3" s="46" t="s">
        <v>83</v>
      </c>
      <c r="B3" s="51">
        <v>200000</v>
      </c>
      <c r="D3" s="10" t="s">
        <v>84</v>
      </c>
      <c r="E3" s="10" t="s">
        <v>85</v>
      </c>
      <c r="F3" t="s">
        <v>33</v>
      </c>
      <c r="G3" t="s">
        <v>86</v>
      </c>
      <c r="H3" t="s">
        <v>87</v>
      </c>
      <c r="I3" t="s">
        <v>88</v>
      </c>
      <c r="J3" t="s">
        <v>89</v>
      </c>
      <c r="K3" t="s">
        <v>90</v>
      </c>
      <c r="L3" t="s">
        <v>91</v>
      </c>
      <c r="M3" t="s">
        <v>92</v>
      </c>
      <c r="P3" t="s">
        <v>399</v>
      </c>
      <c r="Q3">
        <v>0.8</v>
      </c>
      <c r="R3">
        <v>3406</v>
      </c>
      <c r="S3">
        <v>0.9</v>
      </c>
      <c r="T3"/>
      <c r="U3" s="177" t="s">
        <v>437</v>
      </c>
      <c r="W3" s="46" t="s">
        <v>93</v>
      </c>
      <c r="X3" t="s">
        <v>94</v>
      </c>
      <c r="Y3"/>
      <c r="Z3" s="47" t="s">
        <v>95</v>
      </c>
      <c r="AA3" s="47" t="s">
        <v>96</v>
      </c>
      <c r="AB3" s="47" t="s">
        <v>97</v>
      </c>
      <c r="AC3" s="47" t="s">
        <v>98</v>
      </c>
      <c r="AD3" s="47" t="s">
        <v>99</v>
      </c>
      <c r="AE3" s="47" t="s">
        <v>100</v>
      </c>
      <c r="AF3" s="47" t="s">
        <v>101</v>
      </c>
      <c r="AG3" s="47" t="s">
        <v>102</v>
      </c>
      <c r="AH3" s="47" t="s">
        <v>103</v>
      </c>
      <c r="AI3" s="47" t="s">
        <v>104</v>
      </c>
      <c r="AJ3" s="47" t="s">
        <v>105</v>
      </c>
      <c r="AK3" s="47" t="s">
        <v>106</v>
      </c>
      <c r="AL3" s="47" t="s">
        <v>107</v>
      </c>
      <c r="AM3"/>
      <c r="AN3" s="47" t="s">
        <v>108</v>
      </c>
      <c r="AO3" s="47" t="s">
        <v>109</v>
      </c>
      <c r="AP3" s="47" t="s">
        <v>110</v>
      </c>
      <c r="AQ3" s="47" t="s">
        <v>111</v>
      </c>
      <c r="AR3" s="47" t="s">
        <v>112</v>
      </c>
      <c r="AS3" s="47" t="s">
        <v>113</v>
      </c>
      <c r="AT3" s="47" t="s">
        <v>114</v>
      </c>
      <c r="AU3" s="47" t="s">
        <v>115</v>
      </c>
      <c r="AV3" s="47" t="s">
        <v>116</v>
      </c>
      <c r="AW3" s="47" t="s">
        <v>117</v>
      </c>
      <c r="AX3" s="47" t="s">
        <v>118</v>
      </c>
    </row>
    <row r="4" spans="1:50" ht="14.25" thickTop="1" thickBot="1" x14ac:dyDescent="0.25">
      <c r="A4" s="46" t="s">
        <v>119</v>
      </c>
      <c r="B4" s="51">
        <v>200000</v>
      </c>
      <c r="E4" t="s">
        <v>120</v>
      </c>
      <c r="F4">
        <v>253734</v>
      </c>
      <c r="G4" t="s">
        <v>40</v>
      </c>
      <c r="H4" s="36">
        <v>45</v>
      </c>
      <c r="I4" s="36">
        <v>45</v>
      </c>
      <c r="J4" t="s">
        <v>121</v>
      </c>
      <c r="K4" t="e">
        <f>VLOOKUP('Input HVAC Measures'!$E$4,References!$K$102:$N$112,2,FALSE)</f>
        <v>#N/A</v>
      </c>
      <c r="L4" t="e">
        <f>VLOOKUP('Input HVAC Measures'!$E$4,References!$K$102:$N$112,4,FALSE)</f>
        <v>#N/A</v>
      </c>
      <c r="P4" t="s">
        <v>400</v>
      </c>
      <c r="Q4">
        <v>1.01</v>
      </c>
      <c r="R4">
        <v>2638</v>
      </c>
      <c r="S4">
        <v>0.56000000000000005</v>
      </c>
      <c r="U4" s="5" t="s">
        <v>438</v>
      </c>
      <c r="W4" t="s">
        <v>8</v>
      </c>
      <c r="X4" s="163">
        <v>0.15</v>
      </c>
      <c r="Z4" t="s">
        <v>122</v>
      </c>
      <c r="AA4" t="s">
        <v>123</v>
      </c>
      <c r="AB4" t="s">
        <v>124</v>
      </c>
      <c r="AC4" t="s">
        <v>124</v>
      </c>
      <c r="AD4" t="s">
        <v>14</v>
      </c>
      <c r="AE4" t="s">
        <v>397</v>
      </c>
      <c r="AF4" t="s">
        <v>125</v>
      </c>
      <c r="AG4" t="s">
        <v>126</v>
      </c>
      <c r="AH4" t="s">
        <v>127</v>
      </c>
      <c r="AI4" t="s">
        <v>20</v>
      </c>
      <c r="AJ4" t="s">
        <v>21</v>
      </c>
      <c r="AK4" t="s">
        <v>23</v>
      </c>
      <c r="AL4" t="s">
        <v>128</v>
      </c>
      <c r="AN4" s="48" t="str">
        <f>Table_Prescript_Meas[[#This Row],[Measure Description]]</f>
        <v>High Eff. AC Unit</v>
      </c>
      <c r="AO4" s="48" t="s">
        <v>44</v>
      </c>
      <c r="AP4" s="48" t="s">
        <v>129</v>
      </c>
      <c r="AQ4" s="48"/>
      <c r="AR4" s="48"/>
      <c r="AS4" s="48" t="s">
        <v>156</v>
      </c>
      <c r="AT4" s="48" t="s">
        <v>48</v>
      </c>
      <c r="AU4" s="48" t="s">
        <v>51</v>
      </c>
      <c r="AV4" s="48" t="s">
        <v>58</v>
      </c>
      <c r="AW4" s="48" t="s">
        <v>130</v>
      </c>
      <c r="AX4" s="48" t="s">
        <v>57</v>
      </c>
    </row>
    <row r="5" spans="1:50" ht="14.25" thickTop="1" thickBot="1" x14ac:dyDescent="0.25">
      <c r="A5" s="46" t="s">
        <v>131</v>
      </c>
      <c r="B5" s="51">
        <v>5000</v>
      </c>
      <c r="E5" t="s">
        <v>120</v>
      </c>
      <c r="F5">
        <v>253834</v>
      </c>
      <c r="G5" t="s">
        <v>41</v>
      </c>
      <c r="H5" s="36">
        <v>55</v>
      </c>
      <c r="I5" s="36">
        <v>55</v>
      </c>
      <c r="J5" t="s">
        <v>121</v>
      </c>
      <c r="K5" t="e">
        <f>VLOOKUP('Input HVAC Measures'!$E$4,References!$K$102:$N$112,2,FALSE)</f>
        <v>#N/A</v>
      </c>
      <c r="L5" t="e">
        <f>VLOOKUP('Input HVAC Measures'!$E$4,References!$K$102:$N$112,4,FALSE)</f>
        <v>#N/A</v>
      </c>
      <c r="N5" s="5" t="e">
        <f>VLOOKUP('Input HVAC Measures'!$E$4,References!$K$102:$N$112,3,FALSE)</f>
        <v>#N/A</v>
      </c>
      <c r="P5" t="s">
        <v>401</v>
      </c>
      <c r="Q5">
        <v>1.01</v>
      </c>
      <c r="R5">
        <v>3472</v>
      </c>
      <c r="S5">
        <v>0.75</v>
      </c>
      <c r="U5" s="5" t="s">
        <v>439</v>
      </c>
      <c r="W5" t="s">
        <v>132</v>
      </c>
      <c r="X5" s="163">
        <v>0.15</v>
      </c>
      <c r="Z5" t="s">
        <v>133</v>
      </c>
      <c r="AA5" t="s">
        <v>134</v>
      </c>
      <c r="AB5" t="s">
        <v>14</v>
      </c>
      <c r="AC5" t="s">
        <v>14</v>
      </c>
      <c r="AD5" t="s">
        <v>135</v>
      </c>
      <c r="AE5" t="s">
        <v>398</v>
      </c>
      <c r="AF5" t="s">
        <v>136</v>
      </c>
      <c r="AG5" t="s">
        <v>17</v>
      </c>
      <c r="AH5" t="s">
        <v>137</v>
      </c>
      <c r="AI5" t="s">
        <v>138</v>
      </c>
      <c r="AJ5" t="s">
        <v>139</v>
      </c>
      <c r="AK5" t="s">
        <v>140</v>
      </c>
      <c r="AL5" t="s">
        <v>141</v>
      </c>
      <c r="AN5" s="48" t="str">
        <f>Table_Prescript_Meas[[#This Row],[Measure Description]]</f>
        <v>High Eff. Heat Pump Unit</v>
      </c>
      <c r="AO5" s="48" t="s">
        <v>142</v>
      </c>
      <c r="AP5" s="48" t="s">
        <v>47</v>
      </c>
      <c r="AQ5" s="48"/>
      <c r="AR5" s="48"/>
      <c r="AS5" s="48" t="s">
        <v>168</v>
      </c>
      <c r="AT5" s="48" t="s">
        <v>49</v>
      </c>
      <c r="AU5" s="48" t="s">
        <v>49</v>
      </c>
      <c r="AV5" s="48" t="s">
        <v>55</v>
      </c>
      <c r="AW5" s="48" t="s">
        <v>143</v>
      </c>
      <c r="AX5" s="48" t="s">
        <v>144</v>
      </c>
    </row>
    <row r="6" spans="1:50" ht="14.25" thickTop="1" thickBot="1" x14ac:dyDescent="0.25">
      <c r="A6" s="46" t="s">
        <v>145</v>
      </c>
      <c r="B6" s="162" t="e">
        <f>INDEX(Table_Programs_Rates[Custom Incentive Rate], MATCH(Input_ProgramType, Table_Programs_Rates[List_Programs], 0))</f>
        <v>#N/A</v>
      </c>
      <c r="E6" t="s">
        <v>120</v>
      </c>
      <c r="F6">
        <v>259234</v>
      </c>
      <c r="G6" t="s">
        <v>146</v>
      </c>
      <c r="H6" s="36">
        <v>65</v>
      </c>
      <c r="I6" s="36">
        <v>65</v>
      </c>
      <c r="J6" t="s">
        <v>121</v>
      </c>
      <c r="K6" s="153" t="e">
        <f>VLOOKUP('Input HVAC Measures'!$E$4,References!$K$127:$M$138,2,FALSE)*(12/11)</f>
        <v>#N/A</v>
      </c>
      <c r="L6" s="154" t="e">
        <f>VLOOKUP('Input HVAC Measures'!$E$4,References!$K$127:$M$138,3,FALSE)*(12/11)</f>
        <v>#N/A</v>
      </c>
      <c r="P6" t="s">
        <v>402</v>
      </c>
      <c r="Q6">
        <v>1.01</v>
      </c>
      <c r="R6">
        <v>2676</v>
      </c>
      <c r="S6">
        <v>0.81</v>
      </c>
      <c r="U6" s="5" t="s">
        <v>440</v>
      </c>
      <c r="Z6" t="s">
        <v>147</v>
      </c>
      <c r="AA6" t="s">
        <v>148</v>
      </c>
      <c r="AB6" t="s">
        <v>135</v>
      </c>
      <c r="AD6" t="s">
        <v>149</v>
      </c>
      <c r="AF6" t="s">
        <v>150</v>
      </c>
      <c r="AH6" t="s">
        <v>151</v>
      </c>
      <c r="AI6" t="s">
        <v>152</v>
      </c>
      <c r="AJ6" t="s">
        <v>153</v>
      </c>
      <c r="AK6" t="s">
        <v>67</v>
      </c>
      <c r="AL6" t="s">
        <v>154</v>
      </c>
      <c r="AN6" s="48" t="str">
        <f>Table_Prescript_Meas[[#This Row],[Measure Description]]</f>
        <v>High Eff. Packaged Terminal AC (PTAC) Unit</v>
      </c>
      <c r="AO6" s="48" t="s">
        <v>179</v>
      </c>
      <c r="AP6" s="48" t="s">
        <v>155</v>
      </c>
      <c r="AQ6" s="48"/>
      <c r="AR6" s="48"/>
      <c r="AS6" s="48" t="s">
        <v>194</v>
      </c>
      <c r="AT6" s="48" t="s">
        <v>50</v>
      </c>
      <c r="AU6" s="48" t="s">
        <v>50</v>
      </c>
      <c r="AV6" s="48" t="s">
        <v>157</v>
      </c>
      <c r="AW6" s="48" t="s">
        <v>158</v>
      </c>
      <c r="AX6" s="48" t="s">
        <v>60</v>
      </c>
    </row>
    <row r="7" spans="1:50" ht="14.25" thickTop="1" thickBot="1" x14ac:dyDescent="0.25">
      <c r="A7" s="46" t="s">
        <v>159</v>
      </c>
      <c r="B7" s="55">
        <v>1</v>
      </c>
      <c r="E7" t="s">
        <v>120</v>
      </c>
      <c r="F7">
        <v>259334</v>
      </c>
      <c r="G7" t="s">
        <v>160</v>
      </c>
      <c r="H7" s="36">
        <v>85</v>
      </c>
      <c r="I7" s="36">
        <v>85</v>
      </c>
      <c r="J7" t="s">
        <v>121</v>
      </c>
      <c r="K7" s="153" t="e">
        <f>VLOOKUP('Input HVAC Measures'!$E$4,References!$K$140:$M$151,2,FALSE)*(12/11)</f>
        <v>#N/A</v>
      </c>
      <c r="L7" s="154" t="e">
        <f>VLOOKUP('Input HVAC Measures'!$E$4,References!$K$140:$M$151,3,FALSE)*(12/11)</f>
        <v>#N/A</v>
      </c>
      <c r="P7" t="s">
        <v>403</v>
      </c>
      <c r="Q7">
        <v>0.9</v>
      </c>
      <c r="R7">
        <v>6473</v>
      </c>
      <c r="S7">
        <v>0.81</v>
      </c>
      <c r="U7" s="5" t="s">
        <v>441</v>
      </c>
      <c r="Z7" t="s">
        <v>161</v>
      </c>
      <c r="AA7" t="s">
        <v>161</v>
      </c>
      <c r="AD7" t="s">
        <v>162</v>
      </c>
      <c r="AF7" t="s">
        <v>163</v>
      </c>
      <c r="AH7" t="s">
        <v>19</v>
      </c>
      <c r="AI7" t="s">
        <v>164</v>
      </c>
      <c r="AJ7" t="s">
        <v>165</v>
      </c>
      <c r="AK7" t="s">
        <v>166</v>
      </c>
      <c r="AL7" t="s">
        <v>167</v>
      </c>
      <c r="AN7" s="48" t="str">
        <f>Table_Prescript_Meas[[#This Row],[Measure Description]]</f>
        <v>High Eff. Packaged Terminal HP (PTHP) Unit</v>
      </c>
      <c r="AO7" s="48" t="s">
        <v>45</v>
      </c>
      <c r="AP7" s="48" t="s">
        <v>46</v>
      </c>
      <c r="AR7" s="48"/>
      <c r="AU7" s="48" t="s">
        <v>48</v>
      </c>
      <c r="AW7" s="48" t="s">
        <v>169</v>
      </c>
    </row>
    <row r="8" spans="1:50" ht="14.25" thickTop="1" thickBot="1" x14ac:dyDescent="0.25">
      <c r="A8" s="46" t="s">
        <v>170</v>
      </c>
      <c r="B8" s="66" t="s">
        <v>804</v>
      </c>
      <c r="E8" t="s">
        <v>120</v>
      </c>
      <c r="F8">
        <v>252134</v>
      </c>
      <c r="G8" t="s">
        <v>386</v>
      </c>
      <c r="H8" s="36">
        <v>55</v>
      </c>
      <c r="I8" s="36">
        <v>55</v>
      </c>
      <c r="J8" t="s">
        <v>171</v>
      </c>
      <c r="K8">
        <v>355</v>
      </c>
      <c r="L8">
        <v>0</v>
      </c>
      <c r="P8" t="s">
        <v>404</v>
      </c>
      <c r="Q8">
        <v>0.95</v>
      </c>
      <c r="R8">
        <v>4731</v>
      </c>
      <c r="S8">
        <v>0.81</v>
      </c>
      <c r="U8" s="5"/>
      <c r="Z8" t="s">
        <v>172</v>
      </c>
      <c r="AA8" t="s">
        <v>173</v>
      </c>
      <c r="AD8" t="s">
        <v>174</v>
      </c>
      <c r="AH8" t="s">
        <v>175</v>
      </c>
      <c r="AI8" t="s">
        <v>176</v>
      </c>
      <c r="AJ8" t="s">
        <v>177</v>
      </c>
      <c r="AL8" t="s">
        <v>178</v>
      </c>
      <c r="AN8" s="48" t="str">
        <f>Table_Prescript_Meas[[#This Row],[Measure Description]]</f>
        <v>Guestroom Energy Management Controls</v>
      </c>
      <c r="AO8" s="48"/>
      <c r="AP8" s="48" t="s">
        <v>180</v>
      </c>
      <c r="AR8" s="48"/>
      <c r="AS8" s="48"/>
      <c r="AW8" s="48" t="s">
        <v>56</v>
      </c>
    </row>
    <row r="9" spans="1:50" ht="14.25" thickTop="1" thickBot="1" x14ac:dyDescent="0.25">
      <c r="A9" s="46" t="s">
        <v>181</v>
      </c>
      <c r="B9" s="67"/>
      <c r="E9" t="s">
        <v>120</v>
      </c>
      <c r="F9">
        <v>259534</v>
      </c>
      <c r="G9" t="s">
        <v>42</v>
      </c>
      <c r="H9" s="36">
        <v>40</v>
      </c>
      <c r="I9" s="36">
        <v>40</v>
      </c>
      <c r="J9" t="s">
        <v>121</v>
      </c>
      <c r="K9" s="153" t="e">
        <f>VLOOKUP('Input HVAC Measures'!$E$4,References!$K$154:$S$175,6,FALSE)</f>
        <v>#N/A</v>
      </c>
      <c r="L9" t="e">
        <f>VLOOKUP('Input HVAC Measures'!$E$4,References!$K$154:$S$175,9,FALSE)</f>
        <v>#N/A</v>
      </c>
      <c r="P9" t="s">
        <v>405</v>
      </c>
      <c r="Q9">
        <v>0.56999999999999995</v>
      </c>
      <c r="R9">
        <v>3370</v>
      </c>
      <c r="S9">
        <v>0.25</v>
      </c>
      <c r="U9" s="5" t="s">
        <v>442</v>
      </c>
      <c r="Z9" t="s">
        <v>182</v>
      </c>
      <c r="AA9" t="s">
        <v>183</v>
      </c>
      <c r="AD9" t="s">
        <v>184</v>
      </c>
      <c r="AH9" t="s">
        <v>185</v>
      </c>
      <c r="AI9" t="s">
        <v>186</v>
      </c>
      <c r="AJ9" t="s">
        <v>163</v>
      </c>
      <c r="AL9" t="s">
        <v>29</v>
      </c>
      <c r="AN9" s="48" t="str">
        <f>Table_Prescript_Meas[[#This Row],[Measure Description]]</f>
        <v>High Eff. Air-Cooled Chiller</v>
      </c>
      <c r="AO9" s="48"/>
      <c r="AP9" s="48" t="s">
        <v>187</v>
      </c>
      <c r="AR9" s="48"/>
      <c r="AS9" s="48"/>
      <c r="AW9" s="48" t="s">
        <v>188</v>
      </c>
    </row>
    <row r="10" spans="1:50" ht="13.5" thickTop="1" x14ac:dyDescent="0.2">
      <c r="E10" t="s">
        <v>120</v>
      </c>
      <c r="F10">
        <v>259634</v>
      </c>
      <c r="G10" t="s">
        <v>200</v>
      </c>
      <c r="H10" s="36">
        <v>25</v>
      </c>
      <c r="I10" s="36">
        <v>25</v>
      </c>
      <c r="J10" t="s">
        <v>121</v>
      </c>
      <c r="K10" s="153" t="e">
        <f>VLOOKUP('Input HVAC Measures'!$E$4,References!$K$177:$Q$218,4,FALSE)</f>
        <v>#N/A</v>
      </c>
      <c r="L10" s="154" t="e">
        <f>VLOOKUP('Input HVAC Measures'!$E$4,References!$K$177:$Q$218,7,FALSE)</f>
        <v>#N/A</v>
      </c>
      <c r="P10" t="s">
        <v>406</v>
      </c>
      <c r="Q10">
        <v>0.84</v>
      </c>
      <c r="R10">
        <v>2638</v>
      </c>
      <c r="S10">
        <v>0.56000000000000005</v>
      </c>
      <c r="U10" s="5" t="s">
        <v>443</v>
      </c>
      <c r="Z10" t="s">
        <v>163</v>
      </c>
      <c r="AD10" t="s">
        <v>189</v>
      </c>
      <c r="AH10" t="s">
        <v>190</v>
      </c>
      <c r="AI10" t="s">
        <v>191</v>
      </c>
      <c r="AJ10" t="s">
        <v>192</v>
      </c>
      <c r="AL10" t="s">
        <v>193</v>
      </c>
      <c r="AN10" s="48" t="str">
        <f>Table_Prescript_Meas[[#This Row],[Measure Description]]</f>
        <v>High Eff. Positive Displacement Water-Cooled Chiller</v>
      </c>
      <c r="AO10" s="48"/>
      <c r="AR10" s="48"/>
      <c r="AW10" s="48" t="s">
        <v>195</v>
      </c>
    </row>
    <row r="11" spans="1:50" x14ac:dyDescent="0.2">
      <c r="A11" s="6" t="s">
        <v>554</v>
      </c>
      <c r="B11" s="6" t="s">
        <v>555</v>
      </c>
      <c r="E11" t="s">
        <v>120</v>
      </c>
      <c r="F11" s="194">
        <v>259734</v>
      </c>
      <c r="G11" t="s">
        <v>43</v>
      </c>
      <c r="H11" s="36">
        <v>45</v>
      </c>
      <c r="I11" s="36">
        <v>45</v>
      </c>
      <c r="J11" t="s">
        <v>121</v>
      </c>
      <c r="K11" s="153" t="e">
        <f>VLOOKUP('Input HVAC Measures'!$E$4,References!$K$220:$Q$251,4,FALSE)</f>
        <v>#N/A</v>
      </c>
      <c r="L11" s="154" t="e">
        <f>VLOOKUP('Input HVAC Measures'!$E$4,References!$K$220:$Q$251,7,FALSE)</f>
        <v>#N/A</v>
      </c>
      <c r="P11" t="s">
        <v>407</v>
      </c>
      <c r="Q11" s="93" t="s">
        <v>471</v>
      </c>
      <c r="R11">
        <v>4319</v>
      </c>
      <c r="S11">
        <v>0</v>
      </c>
      <c r="U11" s="5" t="s">
        <v>444</v>
      </c>
      <c r="AD11" t="s">
        <v>196</v>
      </c>
      <c r="AH11" t="s">
        <v>197</v>
      </c>
      <c r="AL11" t="s">
        <v>198</v>
      </c>
      <c r="AN11" s="48" t="str">
        <f>Table_Prescript_Meas[[#This Row],[Measure Description]]</f>
        <v>High Eff. Centrifugal Water-Cooled Chiller</v>
      </c>
      <c r="AO11" s="48"/>
      <c r="AR11" s="48"/>
      <c r="AW11" s="48" t="s">
        <v>199</v>
      </c>
    </row>
    <row r="12" spans="1:50" x14ac:dyDescent="0.2">
      <c r="A12" s="5" t="str">
        <f>W4</f>
        <v>Small Commercial Solutions (project site demand &lt; 100kW)</v>
      </c>
      <c r="B12" s="183">
        <v>0.11</v>
      </c>
      <c r="E12" t="s">
        <v>472</v>
      </c>
      <c r="F12">
        <v>253534</v>
      </c>
      <c r="G12" t="s">
        <v>473</v>
      </c>
      <c r="H12" s="36">
        <v>1</v>
      </c>
      <c r="I12" s="36">
        <v>1</v>
      </c>
      <c r="J12" t="s">
        <v>475</v>
      </c>
      <c r="K12" s="153"/>
      <c r="L12" s="154"/>
      <c r="P12" t="s">
        <v>408</v>
      </c>
      <c r="Q12">
        <v>0.67</v>
      </c>
      <c r="R12">
        <v>3472</v>
      </c>
      <c r="S12">
        <v>0.75</v>
      </c>
      <c r="U12" s="5" t="s">
        <v>445</v>
      </c>
      <c r="W12" t="s">
        <v>477</v>
      </c>
      <c r="AD12" t="s">
        <v>201</v>
      </c>
      <c r="AH12" t="s">
        <v>202</v>
      </c>
      <c r="AL12" t="s">
        <v>203</v>
      </c>
      <c r="AN12" s="48"/>
      <c r="AO12" s="48"/>
      <c r="AW12" s="48" t="s">
        <v>204</v>
      </c>
    </row>
    <row r="13" spans="1:50" ht="17.25" x14ac:dyDescent="0.25">
      <c r="A13" s="5" t="str">
        <f>W5</f>
        <v>Large Commercial &amp; Industrial Solutions (project site demand &gt;100 kW)</v>
      </c>
      <c r="B13" s="183">
        <v>0.08</v>
      </c>
      <c r="E13" t="s">
        <v>472</v>
      </c>
      <c r="F13">
        <v>257234</v>
      </c>
      <c r="G13" t="s">
        <v>474</v>
      </c>
      <c r="H13" s="36">
        <v>1</v>
      </c>
      <c r="I13" s="36">
        <v>1</v>
      </c>
      <c r="J13" t="s">
        <v>475</v>
      </c>
      <c r="K13" s="153"/>
      <c r="P13" t="s">
        <v>409</v>
      </c>
      <c r="Q13">
        <v>0.94</v>
      </c>
      <c r="R13">
        <v>2638</v>
      </c>
      <c r="S13">
        <v>0.56000000000000005</v>
      </c>
      <c r="U13" s="5" t="s">
        <v>446</v>
      </c>
      <c r="W13" s="6" t="s">
        <v>478</v>
      </c>
      <c r="X13" s="6" t="s">
        <v>479</v>
      </c>
      <c r="Y13" s="6" t="s">
        <v>480</v>
      </c>
      <c r="AD13" t="s">
        <v>205</v>
      </c>
      <c r="AH13" t="s">
        <v>206</v>
      </c>
      <c r="AL13" t="s">
        <v>163</v>
      </c>
      <c r="AN13" s="48"/>
      <c r="AO13" s="48"/>
      <c r="AW13" s="48" t="s">
        <v>207</v>
      </c>
    </row>
    <row r="14" spans="1:50" x14ac:dyDescent="0.2">
      <c r="E14" t="s">
        <v>217</v>
      </c>
      <c r="F14">
        <v>252234</v>
      </c>
      <c r="G14" t="s">
        <v>44</v>
      </c>
      <c r="H14" s="36">
        <v>125</v>
      </c>
      <c r="I14" s="36">
        <v>125</v>
      </c>
      <c r="J14" t="s">
        <v>171</v>
      </c>
      <c r="K14">
        <v>804</v>
      </c>
      <c r="L14">
        <v>9.1999999999999998E-2</v>
      </c>
      <c r="P14" t="s">
        <v>410</v>
      </c>
      <c r="Q14">
        <v>0.9</v>
      </c>
      <c r="R14">
        <v>3386</v>
      </c>
      <c r="S14">
        <v>0.77</v>
      </c>
      <c r="U14" s="5" t="s">
        <v>447</v>
      </c>
      <c r="W14" s="5" t="s">
        <v>227</v>
      </c>
      <c r="X14" s="5" t="s">
        <v>481</v>
      </c>
      <c r="Y14" s="5">
        <v>1.1100000000000001</v>
      </c>
      <c r="AD14" t="s">
        <v>208</v>
      </c>
      <c r="AH14" t="s">
        <v>209</v>
      </c>
      <c r="AN14" s="48"/>
      <c r="AO14" s="48"/>
      <c r="AW14" s="48" t="s">
        <v>210</v>
      </c>
    </row>
    <row r="15" spans="1:50" x14ac:dyDescent="0.2">
      <c r="E15" t="s">
        <v>217</v>
      </c>
      <c r="F15">
        <v>252334</v>
      </c>
      <c r="G15" t="s">
        <v>142</v>
      </c>
      <c r="H15" s="36">
        <v>78</v>
      </c>
      <c r="I15" s="36">
        <v>78</v>
      </c>
      <c r="J15" t="s">
        <v>220</v>
      </c>
      <c r="K15">
        <v>502.3</v>
      </c>
      <c r="L15">
        <v>5.7000000000000002E-2</v>
      </c>
      <c r="P15" t="s">
        <v>411</v>
      </c>
      <c r="Q15">
        <v>1.05</v>
      </c>
      <c r="R15">
        <v>4019</v>
      </c>
      <c r="S15">
        <v>0.78</v>
      </c>
      <c r="U15" s="5" t="s">
        <v>448</v>
      </c>
      <c r="W15" s="5" t="s">
        <v>227</v>
      </c>
      <c r="X15" s="5" t="s">
        <v>482</v>
      </c>
      <c r="Y15" s="5">
        <v>0.98</v>
      </c>
      <c r="AH15" t="s">
        <v>211</v>
      </c>
      <c r="AN15" s="48"/>
      <c r="AO15" s="48"/>
      <c r="AW15" s="48" t="s">
        <v>212</v>
      </c>
    </row>
    <row r="16" spans="1:50" x14ac:dyDescent="0.2">
      <c r="E16" t="s">
        <v>217</v>
      </c>
      <c r="F16">
        <v>250234</v>
      </c>
      <c r="G16" t="s">
        <v>179</v>
      </c>
      <c r="H16" s="36">
        <v>121</v>
      </c>
      <c r="I16" s="36">
        <v>121</v>
      </c>
      <c r="J16" t="s">
        <v>171</v>
      </c>
      <c r="K16">
        <v>780.5</v>
      </c>
      <c r="L16">
        <v>8.7999999999999995E-2</v>
      </c>
      <c r="P16" t="s">
        <v>412</v>
      </c>
      <c r="Q16">
        <v>0.87</v>
      </c>
      <c r="R16">
        <v>3370</v>
      </c>
      <c r="S16">
        <v>0.25</v>
      </c>
      <c r="U16" s="5" t="s">
        <v>449</v>
      </c>
      <c r="W16" s="5" t="s">
        <v>441</v>
      </c>
      <c r="X16" s="5" t="s">
        <v>483</v>
      </c>
      <c r="Y16" s="5">
        <v>1.24</v>
      </c>
      <c r="AH16" t="s">
        <v>213</v>
      </c>
      <c r="AN16" s="48"/>
      <c r="AO16" s="48"/>
      <c r="AW16" s="48" t="s">
        <v>214</v>
      </c>
    </row>
    <row r="17" spans="5:49" x14ac:dyDescent="0.2">
      <c r="E17" t="s">
        <v>217</v>
      </c>
      <c r="F17">
        <v>250334</v>
      </c>
      <c r="G17" t="s">
        <v>45</v>
      </c>
      <c r="H17" s="36">
        <v>220</v>
      </c>
      <c r="I17" s="36">
        <v>220</v>
      </c>
      <c r="J17" t="s">
        <v>171</v>
      </c>
      <c r="K17" s="68">
        <v>2176.5</v>
      </c>
      <c r="L17">
        <v>0.25</v>
      </c>
      <c r="P17" t="s">
        <v>413</v>
      </c>
      <c r="Q17">
        <v>1.19</v>
      </c>
      <c r="R17">
        <v>2638</v>
      </c>
      <c r="S17">
        <v>0.56000000000000005</v>
      </c>
      <c r="U17" s="5" t="s">
        <v>450</v>
      </c>
      <c r="W17" s="5" t="s">
        <v>441</v>
      </c>
      <c r="X17" s="5" t="s">
        <v>484</v>
      </c>
      <c r="Y17" s="5">
        <v>1.34</v>
      </c>
      <c r="AH17" t="s">
        <v>215</v>
      </c>
      <c r="AN17" s="48"/>
      <c r="AO17" s="48"/>
      <c r="AW17" s="48" t="s">
        <v>216</v>
      </c>
    </row>
    <row r="18" spans="5:49" x14ac:dyDescent="0.2">
      <c r="E18" t="s">
        <v>248</v>
      </c>
      <c r="F18">
        <v>252934</v>
      </c>
      <c r="G18" t="s">
        <v>129</v>
      </c>
      <c r="H18" s="36">
        <v>288</v>
      </c>
      <c r="I18" s="36">
        <v>288</v>
      </c>
      <c r="J18" t="s">
        <v>171</v>
      </c>
      <c r="K18">
        <v>2433.5</v>
      </c>
      <c r="L18">
        <v>0.46500000000000002</v>
      </c>
      <c r="P18" t="s">
        <v>414</v>
      </c>
      <c r="Q18">
        <v>1.17</v>
      </c>
      <c r="R18">
        <v>5740</v>
      </c>
      <c r="S18">
        <v>0.73</v>
      </c>
      <c r="U18" s="5" t="s">
        <v>227</v>
      </c>
      <c r="W18" s="5" t="s">
        <v>449</v>
      </c>
      <c r="X18" s="5" t="s">
        <v>483</v>
      </c>
      <c r="Y18" s="5">
        <v>0.9</v>
      </c>
      <c r="AH18" t="s">
        <v>218</v>
      </c>
      <c r="AO18" s="48"/>
      <c r="AW18" s="48" t="s">
        <v>219</v>
      </c>
    </row>
    <row r="19" spans="5:49" x14ac:dyDescent="0.2">
      <c r="E19" t="s">
        <v>248</v>
      </c>
      <c r="F19">
        <v>253034</v>
      </c>
      <c r="G19" t="s">
        <v>47</v>
      </c>
      <c r="H19" s="36">
        <v>2490</v>
      </c>
      <c r="I19" s="36">
        <v>2490</v>
      </c>
      <c r="J19" t="s">
        <v>171</v>
      </c>
      <c r="K19">
        <v>43014.5</v>
      </c>
      <c r="L19">
        <v>8.25</v>
      </c>
      <c r="P19" t="s">
        <v>415</v>
      </c>
      <c r="Q19">
        <v>0.76</v>
      </c>
      <c r="R19">
        <v>2638</v>
      </c>
      <c r="S19">
        <v>0.56000000000000005</v>
      </c>
      <c r="U19" s="5" t="s">
        <v>451</v>
      </c>
      <c r="W19" s="5" t="s">
        <v>449</v>
      </c>
      <c r="X19" s="5" t="s">
        <v>485</v>
      </c>
      <c r="Y19" s="5">
        <v>1.06</v>
      </c>
      <c r="AH19" t="s">
        <v>221</v>
      </c>
      <c r="AW19" s="48" t="s">
        <v>222</v>
      </c>
    </row>
    <row r="20" spans="5:49" x14ac:dyDescent="0.2">
      <c r="E20" t="s">
        <v>248</v>
      </c>
      <c r="F20">
        <v>253134</v>
      </c>
      <c r="G20" t="s">
        <v>155</v>
      </c>
      <c r="H20" s="36">
        <v>50</v>
      </c>
      <c r="I20" s="36">
        <v>50</v>
      </c>
      <c r="J20" t="s">
        <v>171</v>
      </c>
      <c r="K20">
        <v>1987.5</v>
      </c>
      <c r="L20">
        <v>0.38</v>
      </c>
      <c r="P20" t="s">
        <v>416</v>
      </c>
      <c r="Q20">
        <v>0.51</v>
      </c>
      <c r="R20">
        <v>5703</v>
      </c>
      <c r="S20">
        <v>0.87</v>
      </c>
      <c r="U20" s="5" t="s">
        <v>452</v>
      </c>
      <c r="W20" s="5" t="s">
        <v>449</v>
      </c>
      <c r="X20" s="5" t="s">
        <v>486</v>
      </c>
      <c r="Y20" s="5">
        <v>2</v>
      </c>
      <c r="AH20" t="s">
        <v>223</v>
      </c>
      <c r="AW20" s="48" t="s">
        <v>224</v>
      </c>
    </row>
    <row r="21" spans="5:49" x14ac:dyDescent="0.2">
      <c r="E21" t="s">
        <v>248</v>
      </c>
      <c r="F21">
        <v>253234</v>
      </c>
      <c r="G21" t="s">
        <v>46</v>
      </c>
      <c r="H21" s="36">
        <v>60</v>
      </c>
      <c r="I21" s="36">
        <v>60</v>
      </c>
      <c r="J21" t="s">
        <v>254</v>
      </c>
      <c r="K21">
        <v>758</v>
      </c>
      <c r="L21">
        <v>0.15</v>
      </c>
      <c r="P21" t="s">
        <v>417</v>
      </c>
      <c r="Q21">
        <v>1.02</v>
      </c>
      <c r="R21">
        <v>2638</v>
      </c>
      <c r="S21">
        <v>0.56000000000000005</v>
      </c>
      <c r="U21" s="5" t="s">
        <v>453</v>
      </c>
      <c r="W21" s="5" t="s">
        <v>449</v>
      </c>
      <c r="X21" s="5" t="s">
        <v>487</v>
      </c>
      <c r="Y21" s="5">
        <v>0.59</v>
      </c>
      <c r="AH21" t="s">
        <v>225</v>
      </c>
      <c r="AW21" s="48" t="s">
        <v>226</v>
      </c>
    </row>
    <row r="22" spans="5:49" x14ac:dyDescent="0.2">
      <c r="E22" t="s">
        <v>248</v>
      </c>
      <c r="F22">
        <v>251134</v>
      </c>
      <c r="G22" t="s">
        <v>180</v>
      </c>
      <c r="H22" s="36">
        <v>751</v>
      </c>
      <c r="I22" s="36">
        <v>751</v>
      </c>
      <c r="J22" t="s">
        <v>257</v>
      </c>
      <c r="K22">
        <v>4845</v>
      </c>
      <c r="L22">
        <v>0.63400000000000001</v>
      </c>
      <c r="P22" t="s">
        <v>227</v>
      </c>
      <c r="Q22">
        <v>0.82</v>
      </c>
      <c r="R22">
        <v>5159</v>
      </c>
      <c r="S22">
        <v>0.77</v>
      </c>
      <c r="U22" s="5" t="s">
        <v>435</v>
      </c>
      <c r="W22" s="5" t="s">
        <v>440</v>
      </c>
      <c r="X22" s="5" t="s">
        <v>483</v>
      </c>
      <c r="Y22" s="5">
        <v>0.43</v>
      </c>
      <c r="AH22" t="s">
        <v>227</v>
      </c>
      <c r="AW22" s="48" t="s">
        <v>228</v>
      </c>
    </row>
    <row r="23" spans="5:49" x14ac:dyDescent="0.2">
      <c r="E23" t="s">
        <v>248</v>
      </c>
      <c r="F23">
        <v>251034</v>
      </c>
      <c r="G23" t="s">
        <v>187</v>
      </c>
      <c r="H23" s="36">
        <v>738</v>
      </c>
      <c r="I23" s="36">
        <v>738</v>
      </c>
      <c r="J23" t="s">
        <v>171</v>
      </c>
      <c r="K23" s="68">
        <v>7622.3</v>
      </c>
      <c r="L23">
        <v>0.97199999999999998</v>
      </c>
      <c r="P23" t="s">
        <v>229</v>
      </c>
      <c r="Q23">
        <v>0.82</v>
      </c>
      <c r="R23">
        <v>4728</v>
      </c>
      <c r="S23">
        <v>0.77</v>
      </c>
      <c r="U23" s="177" t="s">
        <v>454</v>
      </c>
      <c r="W23" s="5" t="s">
        <v>440</v>
      </c>
      <c r="X23" s="5" t="s">
        <v>488</v>
      </c>
      <c r="Y23" s="5">
        <v>0.65</v>
      </c>
      <c r="AH23" t="s">
        <v>229</v>
      </c>
      <c r="AW23" s="48" t="s">
        <v>230</v>
      </c>
    </row>
    <row r="24" spans="5:49" x14ac:dyDescent="0.2">
      <c r="E24" t="s">
        <v>248</v>
      </c>
      <c r="F24">
        <v>252734</v>
      </c>
      <c r="G24" t="s">
        <v>194</v>
      </c>
      <c r="H24" s="36">
        <v>46</v>
      </c>
      <c r="I24" s="36">
        <v>46</v>
      </c>
      <c r="J24" t="s">
        <v>171</v>
      </c>
      <c r="K24">
        <v>993</v>
      </c>
      <c r="L24">
        <v>0.125</v>
      </c>
      <c r="P24" t="s">
        <v>418</v>
      </c>
      <c r="Q24">
        <v>0.21</v>
      </c>
      <c r="R24">
        <v>7884</v>
      </c>
      <c r="S24">
        <v>1</v>
      </c>
      <c r="U24" s="5" t="s">
        <v>455</v>
      </c>
      <c r="W24" s="5" t="s">
        <v>440</v>
      </c>
      <c r="X24" s="5" t="s">
        <v>489</v>
      </c>
      <c r="Y24" s="5">
        <v>0.65</v>
      </c>
      <c r="AH24" t="s">
        <v>231</v>
      </c>
      <c r="AW24" s="48" t="s">
        <v>232</v>
      </c>
    </row>
    <row r="25" spans="5:49" x14ac:dyDescent="0.2">
      <c r="E25" t="s">
        <v>264</v>
      </c>
      <c r="F25">
        <v>252634</v>
      </c>
      <c r="G25" t="s">
        <v>156</v>
      </c>
      <c r="H25" s="36">
        <v>8</v>
      </c>
      <c r="I25" s="36">
        <v>8</v>
      </c>
      <c r="J25" t="s">
        <v>171</v>
      </c>
      <c r="K25">
        <v>563.29999999999995</v>
      </c>
      <c r="L25">
        <v>0.12</v>
      </c>
      <c r="P25" t="s">
        <v>419</v>
      </c>
      <c r="Q25">
        <v>0.81</v>
      </c>
      <c r="R25">
        <v>3472</v>
      </c>
      <c r="S25">
        <v>0.75</v>
      </c>
      <c r="U25" s="5" t="s">
        <v>456</v>
      </c>
      <c r="W25" s="5" t="s">
        <v>440</v>
      </c>
      <c r="X25" s="5" t="s">
        <v>490</v>
      </c>
      <c r="Y25" s="5">
        <v>0.82</v>
      </c>
      <c r="AH25" t="s">
        <v>233</v>
      </c>
      <c r="AW25" s="48" t="s">
        <v>234</v>
      </c>
    </row>
    <row r="26" spans="5:49" x14ac:dyDescent="0.2">
      <c r="E26" t="s">
        <v>264</v>
      </c>
      <c r="F26">
        <v>250834</v>
      </c>
      <c r="G26" t="s">
        <v>168</v>
      </c>
      <c r="H26" s="36">
        <v>8</v>
      </c>
      <c r="I26" s="36">
        <v>8</v>
      </c>
      <c r="J26" t="s">
        <v>171</v>
      </c>
      <c r="K26">
        <v>48.7</v>
      </c>
      <c r="L26">
        <v>2.16</v>
      </c>
      <c r="P26" t="s">
        <v>420</v>
      </c>
      <c r="Q26">
        <v>1.39</v>
      </c>
      <c r="R26">
        <v>2638</v>
      </c>
      <c r="S26">
        <v>0.56000000000000005</v>
      </c>
      <c r="U26" s="5" t="s">
        <v>457</v>
      </c>
      <c r="W26" s="5" t="s">
        <v>440</v>
      </c>
      <c r="X26" s="5" t="s">
        <v>484</v>
      </c>
      <c r="Y26" s="5">
        <v>0.28000000000000003</v>
      </c>
      <c r="AH26" t="s">
        <v>235</v>
      </c>
      <c r="AW26" s="48" t="s">
        <v>236</v>
      </c>
    </row>
    <row r="27" spans="5:49" x14ac:dyDescent="0.2">
      <c r="E27" t="s">
        <v>265</v>
      </c>
      <c r="F27" s="93">
        <v>257034</v>
      </c>
      <c r="G27" t="s">
        <v>621</v>
      </c>
      <c r="H27" s="36" t="s">
        <v>471</v>
      </c>
      <c r="I27" s="36" t="s">
        <v>471</v>
      </c>
      <c r="J27" t="s">
        <v>622</v>
      </c>
      <c r="K27" t="s">
        <v>471</v>
      </c>
      <c r="L27" t="s">
        <v>471</v>
      </c>
      <c r="P27" t="s">
        <v>421</v>
      </c>
      <c r="Q27">
        <v>0.87</v>
      </c>
      <c r="R27">
        <v>3472</v>
      </c>
      <c r="S27">
        <v>0.75</v>
      </c>
      <c r="U27" s="5" t="s">
        <v>458</v>
      </c>
      <c r="W27" s="5" t="s">
        <v>440</v>
      </c>
      <c r="X27" s="5" t="s">
        <v>491</v>
      </c>
      <c r="Y27" s="5">
        <v>1.53</v>
      </c>
      <c r="AH27" t="s">
        <v>237</v>
      </c>
      <c r="AW27" s="48" t="s">
        <v>238</v>
      </c>
    </row>
    <row r="28" spans="5:49" x14ac:dyDescent="0.2">
      <c r="E28" t="s">
        <v>265</v>
      </c>
      <c r="F28" s="93">
        <v>991984</v>
      </c>
      <c r="G28" t="s">
        <v>637</v>
      </c>
      <c r="H28" s="36" t="s">
        <v>471</v>
      </c>
      <c r="I28" s="36" t="s">
        <v>471</v>
      </c>
      <c r="J28" t="s">
        <v>622</v>
      </c>
      <c r="K28" t="s">
        <v>471</v>
      </c>
      <c r="L28" t="s">
        <v>471</v>
      </c>
      <c r="P28" t="s">
        <v>422</v>
      </c>
      <c r="Q28">
        <v>0.87</v>
      </c>
      <c r="R28">
        <v>3472</v>
      </c>
      <c r="S28">
        <v>0.75</v>
      </c>
      <c r="U28" s="5" t="s">
        <v>459</v>
      </c>
      <c r="W28" s="5" t="s">
        <v>440</v>
      </c>
      <c r="X28" s="5" t="s">
        <v>492</v>
      </c>
      <c r="Y28" s="5">
        <v>0.43</v>
      </c>
      <c r="AH28" t="s">
        <v>239</v>
      </c>
      <c r="AW28" s="48" t="s">
        <v>240</v>
      </c>
    </row>
    <row r="29" spans="5:49" x14ac:dyDescent="0.2">
      <c r="F29" s="93"/>
      <c r="H29" s="36"/>
      <c r="I29" s="36"/>
      <c r="P29" t="s">
        <v>423</v>
      </c>
      <c r="Q29">
        <v>1</v>
      </c>
      <c r="R29">
        <v>3174</v>
      </c>
      <c r="S29">
        <v>0.53</v>
      </c>
      <c r="U29" s="5" t="s">
        <v>405</v>
      </c>
      <c r="W29" s="5" t="s">
        <v>440</v>
      </c>
      <c r="X29" s="5" t="s">
        <v>486</v>
      </c>
      <c r="Y29" s="5">
        <v>2.4300000000000002</v>
      </c>
      <c r="AH29" t="s">
        <v>241</v>
      </c>
      <c r="AW29" s="48" t="s">
        <v>242</v>
      </c>
    </row>
    <row r="30" spans="5:49" x14ac:dyDescent="0.2">
      <c r="F30" s="93"/>
      <c r="H30" s="36"/>
      <c r="I30" s="36"/>
      <c r="P30" t="s">
        <v>424</v>
      </c>
      <c r="Q30">
        <v>1.26</v>
      </c>
      <c r="R30">
        <v>4813</v>
      </c>
      <c r="S30">
        <v>0.93</v>
      </c>
      <c r="U30" s="5" t="s">
        <v>460</v>
      </c>
      <c r="W30" s="5" t="s">
        <v>440</v>
      </c>
      <c r="X30" s="5" t="s">
        <v>487</v>
      </c>
      <c r="Y30" s="5">
        <v>1.1399999999999999</v>
      </c>
      <c r="AH30" t="s">
        <v>243</v>
      </c>
      <c r="AW30" s="48" t="s">
        <v>59</v>
      </c>
    </row>
    <row r="31" spans="5:49" x14ac:dyDescent="0.2">
      <c r="H31" s="36"/>
      <c r="I31" s="36"/>
      <c r="P31" t="s">
        <v>425</v>
      </c>
      <c r="Q31">
        <v>1.26</v>
      </c>
      <c r="R31">
        <v>3515</v>
      </c>
      <c r="S31">
        <v>0.9</v>
      </c>
      <c r="U31" s="5" t="s">
        <v>411</v>
      </c>
      <c r="W31" s="5" t="s">
        <v>440</v>
      </c>
      <c r="X31" s="5" t="s">
        <v>493</v>
      </c>
      <c r="Y31" s="5">
        <v>0.43</v>
      </c>
      <c r="AH31" t="s">
        <v>244</v>
      </c>
      <c r="AW31" s="48" t="s">
        <v>245</v>
      </c>
    </row>
    <row r="32" spans="5:49" x14ac:dyDescent="0.2">
      <c r="H32" s="36"/>
      <c r="I32" s="36"/>
      <c r="P32" t="s">
        <v>426</v>
      </c>
      <c r="Q32">
        <v>1.26</v>
      </c>
      <c r="R32">
        <v>4312</v>
      </c>
      <c r="S32">
        <v>0.9</v>
      </c>
      <c r="U32" s="5" t="s">
        <v>412</v>
      </c>
      <c r="W32" s="178" t="s">
        <v>439</v>
      </c>
      <c r="X32" s="178" t="s">
        <v>494</v>
      </c>
      <c r="Y32" s="178">
        <v>1.2</v>
      </c>
      <c r="AH32" t="s">
        <v>246</v>
      </c>
      <c r="AW32" s="48" t="s">
        <v>247</v>
      </c>
    </row>
    <row r="33" spans="5:49" x14ac:dyDescent="0.2">
      <c r="E33" s="195"/>
      <c r="F33" s="194"/>
      <c r="H33" s="36"/>
      <c r="I33" s="36"/>
      <c r="P33" t="s">
        <v>427</v>
      </c>
      <c r="Q33">
        <v>1.26</v>
      </c>
      <c r="R33">
        <v>3965</v>
      </c>
      <c r="S33">
        <v>0.9</v>
      </c>
      <c r="U33" s="5" t="s">
        <v>461</v>
      </c>
      <c r="W33" s="178" t="s">
        <v>439</v>
      </c>
      <c r="X33" s="5" t="s">
        <v>495</v>
      </c>
      <c r="Y33" s="179">
        <v>2</v>
      </c>
      <c r="AH33" t="s">
        <v>249</v>
      </c>
      <c r="AW33" s="48" t="s">
        <v>250</v>
      </c>
    </row>
    <row r="34" spans="5:49" x14ac:dyDescent="0.2">
      <c r="E34" s="195"/>
      <c r="F34" s="194"/>
      <c r="H34" s="36"/>
      <c r="I34" s="36"/>
      <c r="P34" t="s">
        <v>428</v>
      </c>
      <c r="Q34">
        <v>0.87</v>
      </c>
      <c r="R34">
        <v>2333</v>
      </c>
      <c r="S34">
        <v>0.47</v>
      </c>
      <c r="U34" s="5" t="s">
        <v>221</v>
      </c>
      <c r="W34" s="5" t="s">
        <v>450</v>
      </c>
      <c r="X34" s="5" t="s">
        <v>483</v>
      </c>
      <c r="Y34" s="5">
        <v>0.73</v>
      </c>
      <c r="AH34" t="s">
        <v>251</v>
      </c>
      <c r="AW34" s="48" t="s">
        <v>252</v>
      </c>
    </row>
    <row r="35" spans="5:49" x14ac:dyDescent="0.2">
      <c r="E35" s="195"/>
      <c r="F35" s="194"/>
      <c r="H35" s="36"/>
      <c r="I35" s="36"/>
      <c r="P35" t="s">
        <v>429</v>
      </c>
      <c r="Q35">
        <v>0.87</v>
      </c>
      <c r="R35">
        <v>3577</v>
      </c>
      <c r="S35">
        <v>0.69</v>
      </c>
      <c r="U35" s="5" t="s">
        <v>462</v>
      </c>
      <c r="W35" s="5" t="s">
        <v>450</v>
      </c>
      <c r="X35" s="5" t="s">
        <v>496</v>
      </c>
      <c r="Y35" s="5">
        <v>0.92</v>
      </c>
      <c r="AH35" t="s">
        <v>253</v>
      </c>
      <c r="AW35" s="48" t="s">
        <v>61</v>
      </c>
    </row>
    <row r="36" spans="5:49" x14ac:dyDescent="0.2">
      <c r="E36" s="195"/>
      <c r="F36" s="194"/>
      <c r="H36" s="36"/>
      <c r="I36" s="36"/>
      <c r="P36" t="s">
        <v>430</v>
      </c>
      <c r="Q36">
        <v>0.91</v>
      </c>
      <c r="R36">
        <v>2638</v>
      </c>
      <c r="S36">
        <v>0.56000000000000005</v>
      </c>
      <c r="U36" s="5" t="s">
        <v>463</v>
      </c>
      <c r="W36" s="5" t="s">
        <v>443</v>
      </c>
      <c r="X36" s="5" t="s">
        <v>483</v>
      </c>
      <c r="Y36" s="5">
        <v>0.65</v>
      </c>
      <c r="AH36" t="s">
        <v>255</v>
      </c>
      <c r="AW36" s="48" t="s">
        <v>256</v>
      </c>
    </row>
    <row r="37" spans="5:49" x14ac:dyDescent="0.2">
      <c r="E37" s="195"/>
      <c r="F37" s="194"/>
      <c r="H37" s="36"/>
      <c r="I37" s="36"/>
      <c r="P37" t="s">
        <v>431</v>
      </c>
      <c r="Q37">
        <v>0.89</v>
      </c>
      <c r="R37">
        <v>2638</v>
      </c>
      <c r="S37">
        <v>0.56000000000000005</v>
      </c>
      <c r="U37" s="5" t="s">
        <v>464</v>
      </c>
      <c r="W37" s="5" t="s">
        <v>443</v>
      </c>
      <c r="X37" s="5" t="s">
        <v>484</v>
      </c>
      <c r="Y37" s="5">
        <v>0.96</v>
      </c>
      <c r="AW37" s="48" t="s">
        <v>258</v>
      </c>
    </row>
    <row r="38" spans="5:49" x14ac:dyDescent="0.2">
      <c r="E38" s="195"/>
      <c r="F38" s="194"/>
      <c r="H38" s="36"/>
      <c r="I38" s="36"/>
      <c r="P38" t="s">
        <v>432</v>
      </c>
      <c r="Q38">
        <v>0.7</v>
      </c>
      <c r="R38">
        <v>3472</v>
      </c>
      <c r="S38">
        <v>0.75</v>
      </c>
      <c r="U38" s="5" t="s">
        <v>465</v>
      </c>
      <c r="W38" s="5" t="s">
        <v>443</v>
      </c>
      <c r="X38" s="5" t="s">
        <v>485</v>
      </c>
      <c r="Y38" s="5">
        <v>1.07</v>
      </c>
      <c r="AW38" s="48" t="s">
        <v>259</v>
      </c>
    </row>
    <row r="39" spans="5:49" x14ac:dyDescent="0.2">
      <c r="E39" s="195"/>
      <c r="F39" s="194"/>
      <c r="H39" s="36"/>
      <c r="I39" s="36"/>
      <c r="P39" t="s">
        <v>433</v>
      </c>
      <c r="Q39">
        <v>0.66</v>
      </c>
      <c r="R39">
        <v>2417</v>
      </c>
      <c r="S39">
        <v>0.77</v>
      </c>
      <c r="U39" s="5" t="s">
        <v>275</v>
      </c>
      <c r="W39" s="5" t="s">
        <v>443</v>
      </c>
      <c r="X39" s="5" t="s">
        <v>497</v>
      </c>
      <c r="Y39" s="5">
        <v>1.07</v>
      </c>
      <c r="AH39" t="s">
        <v>399</v>
      </c>
      <c r="AW39" s="48" t="s">
        <v>260</v>
      </c>
    </row>
    <row r="40" spans="5:49" x14ac:dyDescent="0.2">
      <c r="H40" s="36"/>
      <c r="I40" s="36"/>
      <c r="P40" t="s">
        <v>434</v>
      </c>
      <c r="Q40">
        <v>0.66</v>
      </c>
      <c r="R40">
        <v>3798</v>
      </c>
      <c r="S40">
        <v>0.84</v>
      </c>
      <c r="U40" s="5" t="s">
        <v>466</v>
      </c>
      <c r="W40" s="5" t="s">
        <v>443</v>
      </c>
      <c r="X40" s="5" t="s">
        <v>498</v>
      </c>
      <c r="Y40" s="179">
        <v>0.89</v>
      </c>
      <c r="AH40" t="s">
        <v>400</v>
      </c>
      <c r="AW40" s="48" t="s">
        <v>262</v>
      </c>
    </row>
    <row r="41" spans="5:49" x14ac:dyDescent="0.2">
      <c r="H41" s="36"/>
      <c r="I41" s="36"/>
      <c r="P41" t="s">
        <v>435</v>
      </c>
      <c r="Q41">
        <v>1.19</v>
      </c>
      <c r="R41">
        <v>5740</v>
      </c>
      <c r="S41">
        <v>0.73</v>
      </c>
      <c r="U41" s="5" t="s">
        <v>432</v>
      </c>
      <c r="W41" s="178" t="s">
        <v>446</v>
      </c>
      <c r="X41" s="178" t="s">
        <v>446</v>
      </c>
      <c r="Y41" s="178">
        <v>1.21</v>
      </c>
      <c r="AH41" t="s">
        <v>401</v>
      </c>
      <c r="AW41" s="48" t="s">
        <v>263</v>
      </c>
    </row>
    <row r="42" spans="5:49" x14ac:dyDescent="0.2">
      <c r="H42" s="36"/>
      <c r="I42" s="36"/>
      <c r="U42" s="5" t="s">
        <v>467</v>
      </c>
      <c r="W42" s="5" t="s">
        <v>448</v>
      </c>
      <c r="X42" s="5" t="s">
        <v>448</v>
      </c>
      <c r="Y42" s="5">
        <v>1.81</v>
      </c>
      <c r="AH42" t="s">
        <v>402</v>
      </c>
    </row>
    <row r="43" spans="5:49" x14ac:dyDescent="0.2">
      <c r="H43" s="36"/>
      <c r="I43" s="36"/>
      <c r="R43" s="5" t="s">
        <v>552</v>
      </c>
      <c r="S43" s="5" t="s">
        <v>553</v>
      </c>
      <c r="W43" s="5" t="s">
        <v>451</v>
      </c>
      <c r="X43" s="5" t="s">
        <v>451</v>
      </c>
      <c r="Y43" s="5">
        <v>0.98</v>
      </c>
      <c r="AH43" t="s">
        <v>403</v>
      </c>
    </row>
    <row r="44" spans="5:49" ht="25.5" customHeight="1" x14ac:dyDescent="0.2">
      <c r="H44" s="36"/>
      <c r="I44" s="36"/>
      <c r="P44" s="427" t="s">
        <v>551</v>
      </c>
      <c r="Q44" s="5" t="s">
        <v>20</v>
      </c>
      <c r="R44" s="5">
        <v>1.2</v>
      </c>
      <c r="S44" s="5">
        <v>1.0900000000000001</v>
      </c>
      <c r="W44" s="180" t="s">
        <v>444</v>
      </c>
      <c r="X44" s="180" t="s">
        <v>444</v>
      </c>
      <c r="Y44" s="180">
        <v>0.71</v>
      </c>
      <c r="AH44" t="s">
        <v>404</v>
      </c>
    </row>
    <row r="45" spans="5:49" x14ac:dyDescent="0.2">
      <c r="H45" s="36"/>
      <c r="I45" s="36"/>
      <c r="P45" s="427"/>
      <c r="Q45" s="5" t="s">
        <v>138</v>
      </c>
      <c r="R45" s="5">
        <v>1.2</v>
      </c>
      <c r="S45" s="5">
        <v>0.87</v>
      </c>
      <c r="W45" s="5" t="s">
        <v>442</v>
      </c>
      <c r="X45" s="5" t="s">
        <v>483</v>
      </c>
      <c r="Y45" s="5">
        <v>0.66</v>
      </c>
      <c r="AH45" t="s">
        <v>405</v>
      </c>
    </row>
    <row r="46" spans="5:49" x14ac:dyDescent="0.2">
      <c r="H46" s="36"/>
      <c r="I46" s="36"/>
      <c r="P46" s="427"/>
      <c r="Q46" s="5" t="s">
        <v>152</v>
      </c>
      <c r="R46" s="5">
        <v>1.2</v>
      </c>
      <c r="S46" s="5">
        <v>1.02</v>
      </c>
      <c r="W46" s="5" t="s">
        <v>442</v>
      </c>
      <c r="X46" s="5" t="s">
        <v>496</v>
      </c>
      <c r="Y46" s="5">
        <v>0.79</v>
      </c>
      <c r="AH46" t="s">
        <v>406</v>
      </c>
    </row>
    <row r="47" spans="5:49" x14ac:dyDescent="0.2">
      <c r="H47" s="36"/>
      <c r="I47" s="36"/>
      <c r="P47" s="427"/>
      <c r="Q47" s="5" t="s">
        <v>164</v>
      </c>
      <c r="R47" s="5">
        <v>1.2</v>
      </c>
      <c r="S47" s="5">
        <v>0.98</v>
      </c>
      <c r="W47" s="5" t="s">
        <v>442</v>
      </c>
      <c r="X47" s="5" t="s">
        <v>499</v>
      </c>
      <c r="Y47" s="5">
        <v>0.41</v>
      </c>
      <c r="AH47" t="s">
        <v>407</v>
      </c>
    </row>
    <row r="48" spans="5:49" x14ac:dyDescent="0.2">
      <c r="H48" s="36"/>
      <c r="I48" s="36"/>
      <c r="P48" s="427"/>
      <c r="Q48" s="5" t="s">
        <v>176</v>
      </c>
      <c r="R48" s="5">
        <v>1.25</v>
      </c>
      <c r="S48" s="5">
        <v>1.25</v>
      </c>
      <c r="W48" s="181" t="s">
        <v>453</v>
      </c>
      <c r="X48" s="181" t="s">
        <v>500</v>
      </c>
      <c r="Y48" s="181">
        <v>0.69</v>
      </c>
      <c r="AH48" t="s">
        <v>408</v>
      </c>
    </row>
    <row r="49" spans="5:34" x14ac:dyDescent="0.2">
      <c r="H49" s="36"/>
      <c r="I49" s="36"/>
      <c r="K49" s="40"/>
      <c r="P49" s="427"/>
      <c r="Q49" s="5" t="s">
        <v>186</v>
      </c>
      <c r="R49" s="5">
        <v>1.3</v>
      </c>
      <c r="S49" s="5">
        <v>1.3</v>
      </c>
      <c r="W49" s="5" t="s">
        <v>438</v>
      </c>
      <c r="X49" s="5" t="s">
        <v>483</v>
      </c>
      <c r="Y49" s="5">
        <v>0.63</v>
      </c>
      <c r="AH49" t="s">
        <v>409</v>
      </c>
    </row>
    <row r="50" spans="5:34" x14ac:dyDescent="0.2">
      <c r="H50" s="36"/>
      <c r="I50" s="36"/>
      <c r="P50" s="427"/>
      <c r="Q50" s="5" t="s">
        <v>191</v>
      </c>
      <c r="R50" s="5">
        <v>1</v>
      </c>
      <c r="S50" s="5">
        <v>1</v>
      </c>
      <c r="W50" s="5" t="s">
        <v>438</v>
      </c>
      <c r="X50" s="5" t="s">
        <v>496</v>
      </c>
      <c r="Y50" s="5">
        <v>0.74</v>
      </c>
      <c r="AH50" t="s">
        <v>410</v>
      </c>
    </row>
    <row r="51" spans="5:34" x14ac:dyDescent="0.2">
      <c r="H51" s="36"/>
      <c r="I51" s="36"/>
      <c r="W51" s="178" t="s">
        <v>447</v>
      </c>
      <c r="X51" s="178" t="s">
        <v>483</v>
      </c>
      <c r="Y51" s="178">
        <v>0.63</v>
      </c>
      <c r="AH51" t="s">
        <v>411</v>
      </c>
    </row>
    <row r="52" spans="5:34" x14ac:dyDescent="0.2">
      <c r="H52" s="36"/>
      <c r="I52" s="36"/>
      <c r="P52" s="6" t="s">
        <v>602</v>
      </c>
      <c r="W52" s="178" t="s">
        <v>447</v>
      </c>
      <c r="X52" s="178" t="s">
        <v>501</v>
      </c>
      <c r="Y52" s="178">
        <v>1.02</v>
      </c>
      <c r="AH52" t="s">
        <v>412</v>
      </c>
    </row>
    <row r="53" spans="5:34" x14ac:dyDescent="0.2">
      <c r="H53" s="36"/>
      <c r="I53" s="36"/>
      <c r="P53" s="5" t="s">
        <v>603</v>
      </c>
      <c r="W53" s="178" t="s">
        <v>445</v>
      </c>
      <c r="X53" s="178" t="s">
        <v>445</v>
      </c>
      <c r="Y53" s="178">
        <v>0.95</v>
      </c>
      <c r="AH53" t="s">
        <v>413</v>
      </c>
    </row>
    <row r="54" spans="5:34" x14ac:dyDescent="0.2">
      <c r="H54" s="36"/>
      <c r="I54" s="36"/>
      <c r="P54" s="5" t="s">
        <v>604</v>
      </c>
      <c r="W54" s="5" t="s">
        <v>435</v>
      </c>
      <c r="X54" s="5" t="s">
        <v>435</v>
      </c>
      <c r="Y54" s="5">
        <v>1.59</v>
      </c>
      <c r="AH54" t="s">
        <v>414</v>
      </c>
    </row>
    <row r="55" spans="5:34" x14ac:dyDescent="0.2">
      <c r="H55" s="36"/>
      <c r="I55" s="36"/>
      <c r="W55" s="5" t="s">
        <v>452</v>
      </c>
      <c r="X55" s="5" t="s">
        <v>502</v>
      </c>
      <c r="Y55" s="5">
        <v>1.59</v>
      </c>
      <c r="AH55" t="s">
        <v>415</v>
      </c>
    </row>
    <row r="56" spans="5:34" x14ac:dyDescent="0.2">
      <c r="H56" s="36"/>
      <c r="I56" s="36"/>
      <c r="W56" s="5" t="s">
        <v>455</v>
      </c>
      <c r="X56" s="5" t="s">
        <v>503</v>
      </c>
      <c r="Y56" s="5">
        <v>1.2</v>
      </c>
      <c r="AH56" t="s">
        <v>416</v>
      </c>
    </row>
    <row r="57" spans="5:34" x14ac:dyDescent="0.2">
      <c r="H57" s="36"/>
      <c r="I57" s="36"/>
      <c r="W57" s="5" t="s">
        <v>455</v>
      </c>
      <c r="X57" s="5" t="s">
        <v>504</v>
      </c>
      <c r="Y57" s="179">
        <v>0.72</v>
      </c>
      <c r="AH57" t="s">
        <v>417</v>
      </c>
    </row>
    <row r="58" spans="5:34" x14ac:dyDescent="0.2">
      <c r="H58" s="36"/>
      <c r="I58" s="36"/>
      <c r="W58" s="5" t="s">
        <v>459</v>
      </c>
      <c r="X58" s="5" t="s">
        <v>505</v>
      </c>
      <c r="Y58" s="179">
        <v>1.72</v>
      </c>
      <c r="AH58" t="s">
        <v>227</v>
      </c>
    </row>
    <row r="59" spans="5:34" x14ac:dyDescent="0.2">
      <c r="E59" s="195"/>
      <c r="F59" s="194"/>
      <c r="H59" s="36"/>
      <c r="I59" s="36"/>
      <c r="W59" s="5" t="s">
        <v>459</v>
      </c>
      <c r="X59" s="5" t="s">
        <v>506</v>
      </c>
      <c r="Y59" s="179">
        <v>1.72</v>
      </c>
      <c r="AH59" t="s">
        <v>229</v>
      </c>
    </row>
    <row r="60" spans="5:34" x14ac:dyDescent="0.2">
      <c r="E60" s="195"/>
      <c r="F60" s="194"/>
      <c r="H60" s="36"/>
      <c r="I60" s="36"/>
      <c r="W60" s="5" t="s">
        <v>459</v>
      </c>
      <c r="X60" s="5" t="s">
        <v>507</v>
      </c>
      <c r="Y60" s="179">
        <v>1.72</v>
      </c>
      <c r="AH60" t="s">
        <v>418</v>
      </c>
    </row>
    <row r="61" spans="5:34" x14ac:dyDescent="0.2">
      <c r="E61" t="s">
        <v>265</v>
      </c>
      <c r="F61">
        <v>203930</v>
      </c>
      <c r="G61" t="s">
        <v>130</v>
      </c>
      <c r="H61" s="36"/>
      <c r="I61" s="36"/>
      <c r="W61" s="5" t="s">
        <v>460</v>
      </c>
      <c r="X61" s="5" t="s">
        <v>508</v>
      </c>
      <c r="Y61" s="5">
        <v>0.44</v>
      </c>
      <c r="AH61" t="s">
        <v>419</v>
      </c>
    </row>
    <row r="62" spans="5:34" x14ac:dyDescent="0.2">
      <c r="E62" t="s">
        <v>265</v>
      </c>
      <c r="F62">
        <v>204030</v>
      </c>
      <c r="G62" t="s">
        <v>143</v>
      </c>
      <c r="H62" s="36"/>
      <c r="I62" s="36"/>
      <c r="W62" s="5" t="s">
        <v>460</v>
      </c>
      <c r="X62" s="5" t="s">
        <v>509</v>
      </c>
      <c r="Y62" s="5">
        <v>0.22</v>
      </c>
      <c r="AH62" t="s">
        <v>420</v>
      </c>
    </row>
    <row r="63" spans="5:34" x14ac:dyDescent="0.2">
      <c r="E63" t="s">
        <v>265</v>
      </c>
      <c r="F63">
        <v>204130</v>
      </c>
      <c r="G63" t="s">
        <v>158</v>
      </c>
      <c r="H63" s="36"/>
      <c r="I63" s="36"/>
      <c r="W63" s="5" t="s">
        <v>464</v>
      </c>
      <c r="X63" s="5" t="s">
        <v>510</v>
      </c>
      <c r="Y63" s="5">
        <v>0.94</v>
      </c>
      <c r="AH63" t="s">
        <v>421</v>
      </c>
    </row>
    <row r="64" spans="5:34" x14ac:dyDescent="0.2">
      <c r="E64" t="s">
        <v>265</v>
      </c>
      <c r="F64">
        <v>204230</v>
      </c>
      <c r="G64" t="s">
        <v>169</v>
      </c>
      <c r="H64" s="36"/>
      <c r="I64" s="36"/>
      <c r="W64" s="5" t="s">
        <v>458</v>
      </c>
      <c r="X64" s="5" t="s">
        <v>511</v>
      </c>
      <c r="Y64" s="5">
        <v>1.45</v>
      </c>
      <c r="AH64" t="s">
        <v>422</v>
      </c>
    </row>
    <row r="65" spans="5:34" x14ac:dyDescent="0.2">
      <c r="E65" t="s">
        <v>265</v>
      </c>
      <c r="F65">
        <v>604330</v>
      </c>
      <c r="G65" t="s">
        <v>56</v>
      </c>
      <c r="H65" s="36"/>
      <c r="I65" s="36"/>
      <c r="W65" s="5" t="s">
        <v>461</v>
      </c>
      <c r="X65" s="5" t="s">
        <v>512</v>
      </c>
      <c r="Y65" s="5">
        <v>1.71</v>
      </c>
      <c r="AH65" t="s">
        <v>423</v>
      </c>
    </row>
    <row r="66" spans="5:34" x14ac:dyDescent="0.2">
      <c r="E66" t="s">
        <v>265</v>
      </c>
      <c r="F66">
        <v>604430</v>
      </c>
      <c r="G66" t="s">
        <v>188</v>
      </c>
      <c r="H66" s="36"/>
      <c r="I66" s="36"/>
      <c r="W66" s="5" t="s">
        <v>461</v>
      </c>
      <c r="X66" s="5" t="s">
        <v>513</v>
      </c>
      <c r="Y66" s="5">
        <v>1.71</v>
      </c>
      <c r="AH66" t="s">
        <v>424</v>
      </c>
    </row>
    <row r="67" spans="5:34" x14ac:dyDescent="0.2">
      <c r="E67" t="s">
        <v>265</v>
      </c>
      <c r="F67">
        <v>204530</v>
      </c>
      <c r="G67" t="s">
        <v>195</v>
      </c>
      <c r="H67" s="36"/>
      <c r="I67" s="36"/>
      <c r="W67" s="5" t="s">
        <v>461</v>
      </c>
      <c r="X67" s="5" t="s">
        <v>514</v>
      </c>
      <c r="Y67" s="5">
        <v>1.06</v>
      </c>
      <c r="AH67" t="s">
        <v>425</v>
      </c>
    </row>
    <row r="68" spans="5:34" x14ac:dyDescent="0.2">
      <c r="E68" t="s">
        <v>265</v>
      </c>
      <c r="F68">
        <v>204630</v>
      </c>
      <c r="G68" t="s">
        <v>199</v>
      </c>
      <c r="H68" s="36"/>
      <c r="I68" s="36"/>
      <c r="W68" s="5" t="s">
        <v>411</v>
      </c>
      <c r="X68" s="5" t="s">
        <v>515</v>
      </c>
      <c r="Y68" s="5">
        <v>2.48</v>
      </c>
      <c r="AH68" t="s">
        <v>426</v>
      </c>
    </row>
    <row r="69" spans="5:34" x14ac:dyDescent="0.2">
      <c r="E69" t="s">
        <v>265</v>
      </c>
      <c r="F69">
        <v>204730</v>
      </c>
      <c r="G69" t="s">
        <v>204</v>
      </c>
      <c r="H69" s="36"/>
      <c r="I69" s="36"/>
      <c r="W69" s="5" t="s">
        <v>411</v>
      </c>
      <c r="X69" s="5" t="s">
        <v>516</v>
      </c>
      <c r="Y69" s="5">
        <v>1.1499999999999999</v>
      </c>
      <c r="AH69" t="s">
        <v>427</v>
      </c>
    </row>
    <row r="70" spans="5:34" x14ac:dyDescent="0.2">
      <c r="E70" t="s">
        <v>265</v>
      </c>
      <c r="F70">
        <v>204830</v>
      </c>
      <c r="G70" t="s">
        <v>207</v>
      </c>
      <c r="H70" s="36"/>
      <c r="I70" s="36"/>
      <c r="W70" s="5" t="s">
        <v>411</v>
      </c>
      <c r="X70" s="5" t="s">
        <v>517</v>
      </c>
      <c r="Y70" s="5">
        <v>0.71</v>
      </c>
      <c r="AH70" t="s">
        <v>428</v>
      </c>
    </row>
    <row r="71" spans="5:34" x14ac:dyDescent="0.2">
      <c r="E71" t="s">
        <v>265</v>
      </c>
      <c r="F71">
        <v>204930</v>
      </c>
      <c r="G71" t="s">
        <v>210</v>
      </c>
      <c r="H71" s="36"/>
      <c r="I71" s="36"/>
      <c r="W71" s="5" t="s">
        <v>411</v>
      </c>
      <c r="X71" s="5" t="s">
        <v>518</v>
      </c>
      <c r="Y71" s="179">
        <v>1.66</v>
      </c>
      <c r="AH71" t="s">
        <v>429</v>
      </c>
    </row>
    <row r="72" spans="5:34" x14ac:dyDescent="0.2">
      <c r="E72" t="s">
        <v>265</v>
      </c>
      <c r="F72">
        <v>205030</v>
      </c>
      <c r="G72" t="s">
        <v>212</v>
      </c>
      <c r="H72" s="36"/>
      <c r="I72" s="36"/>
      <c r="W72" s="5" t="s">
        <v>411</v>
      </c>
      <c r="X72" s="5" t="s">
        <v>519</v>
      </c>
      <c r="Y72" s="5">
        <v>0.74</v>
      </c>
      <c r="AH72" t="s">
        <v>430</v>
      </c>
    </row>
    <row r="73" spans="5:34" x14ac:dyDescent="0.2">
      <c r="E73" t="s">
        <v>265</v>
      </c>
      <c r="F73">
        <v>205130</v>
      </c>
      <c r="G73" t="s">
        <v>214</v>
      </c>
      <c r="H73" s="36"/>
      <c r="I73" s="36"/>
      <c r="W73" s="5" t="s">
        <v>411</v>
      </c>
      <c r="X73" s="5" t="s">
        <v>520</v>
      </c>
      <c r="Y73" s="5">
        <v>0.62</v>
      </c>
      <c r="AH73" t="s">
        <v>431</v>
      </c>
    </row>
    <row r="74" spans="5:34" x14ac:dyDescent="0.2">
      <c r="E74" t="s">
        <v>265</v>
      </c>
      <c r="F74">
        <v>205230</v>
      </c>
      <c r="G74" t="s">
        <v>216</v>
      </c>
      <c r="H74" s="36"/>
      <c r="I74" s="36"/>
      <c r="W74" s="5" t="s">
        <v>411</v>
      </c>
      <c r="X74" s="5" t="s">
        <v>521</v>
      </c>
      <c r="Y74" s="5">
        <v>2.48</v>
      </c>
      <c r="AH74" t="s">
        <v>432</v>
      </c>
    </row>
    <row r="75" spans="5:34" x14ac:dyDescent="0.2">
      <c r="E75" t="s">
        <v>265</v>
      </c>
      <c r="F75">
        <v>205330</v>
      </c>
      <c r="G75" t="s">
        <v>219</v>
      </c>
      <c r="H75" s="36"/>
      <c r="I75" s="36"/>
      <c r="W75" s="5" t="s">
        <v>411</v>
      </c>
      <c r="X75" s="5" t="s">
        <v>522</v>
      </c>
      <c r="Y75" s="5">
        <v>0.88</v>
      </c>
      <c r="AH75" t="s">
        <v>433</v>
      </c>
    </row>
    <row r="76" spans="5:34" x14ac:dyDescent="0.2">
      <c r="E76" t="s">
        <v>265</v>
      </c>
      <c r="F76">
        <v>205430</v>
      </c>
      <c r="G76" t="s">
        <v>222</v>
      </c>
      <c r="H76" s="36"/>
      <c r="I76" s="36"/>
      <c r="W76" s="5" t="s">
        <v>411</v>
      </c>
      <c r="X76" s="5" t="s">
        <v>523</v>
      </c>
      <c r="Y76" s="5">
        <v>0.74</v>
      </c>
      <c r="AH76" t="s">
        <v>434</v>
      </c>
    </row>
    <row r="77" spans="5:34" x14ac:dyDescent="0.2">
      <c r="E77" t="s">
        <v>265</v>
      </c>
      <c r="F77">
        <v>205530</v>
      </c>
      <c r="G77" t="s">
        <v>224</v>
      </c>
      <c r="H77" s="36"/>
      <c r="I77" s="36"/>
      <c r="W77" s="5" t="s">
        <v>411</v>
      </c>
      <c r="X77" s="5" t="s">
        <v>524</v>
      </c>
      <c r="Y77" s="5">
        <v>0.91</v>
      </c>
      <c r="AH77" t="s">
        <v>435</v>
      </c>
    </row>
    <row r="78" spans="5:34" x14ac:dyDescent="0.2">
      <c r="E78" t="s">
        <v>265</v>
      </c>
      <c r="F78">
        <v>205630</v>
      </c>
      <c r="G78" t="s">
        <v>226</v>
      </c>
      <c r="H78" s="36"/>
      <c r="I78" s="36"/>
      <c r="W78" s="5" t="s">
        <v>411</v>
      </c>
      <c r="X78" s="5" t="s">
        <v>525</v>
      </c>
      <c r="Y78" s="5">
        <v>1.51</v>
      </c>
    </row>
    <row r="79" spans="5:34" x14ac:dyDescent="0.2">
      <c r="E79" t="s">
        <v>265</v>
      </c>
      <c r="F79">
        <v>205730</v>
      </c>
      <c r="G79" t="s">
        <v>228</v>
      </c>
      <c r="H79" s="36"/>
      <c r="I79" s="36"/>
      <c r="W79" s="5" t="s">
        <v>411</v>
      </c>
      <c r="X79" s="5" t="s">
        <v>526</v>
      </c>
      <c r="Y79" s="5">
        <v>0.74</v>
      </c>
    </row>
    <row r="80" spans="5:34" x14ac:dyDescent="0.2">
      <c r="E80" t="s">
        <v>265</v>
      </c>
      <c r="F80">
        <v>915830</v>
      </c>
      <c r="G80" t="s">
        <v>230</v>
      </c>
      <c r="H80" s="36"/>
      <c r="I80" s="36"/>
      <c r="W80" s="5" t="s">
        <v>456</v>
      </c>
      <c r="X80" s="5" t="s">
        <v>527</v>
      </c>
      <c r="Y80" s="179">
        <v>0.67</v>
      </c>
    </row>
    <row r="81" spans="5:25" x14ac:dyDescent="0.2">
      <c r="E81" t="s">
        <v>265</v>
      </c>
      <c r="F81">
        <v>915930</v>
      </c>
      <c r="G81" t="s">
        <v>232</v>
      </c>
      <c r="H81" s="36"/>
      <c r="I81" s="36"/>
      <c r="W81" s="5" t="s">
        <v>221</v>
      </c>
      <c r="X81" s="5" t="s">
        <v>528</v>
      </c>
      <c r="Y81" s="5">
        <v>1.19</v>
      </c>
    </row>
    <row r="82" spans="5:25" x14ac:dyDescent="0.2">
      <c r="E82" t="s">
        <v>265</v>
      </c>
      <c r="F82">
        <v>916030</v>
      </c>
      <c r="G82" t="s">
        <v>234</v>
      </c>
      <c r="H82" s="36"/>
      <c r="I82" s="36"/>
      <c r="W82" s="5" t="s">
        <v>221</v>
      </c>
      <c r="X82" s="5" t="s">
        <v>529</v>
      </c>
      <c r="Y82" s="5">
        <v>1.23</v>
      </c>
    </row>
    <row r="83" spans="5:25" x14ac:dyDescent="0.2">
      <c r="E83" t="s">
        <v>265</v>
      </c>
      <c r="F83">
        <v>706130</v>
      </c>
      <c r="G83" t="s">
        <v>236</v>
      </c>
      <c r="H83" s="36"/>
      <c r="I83" s="36"/>
      <c r="W83" s="5" t="s">
        <v>221</v>
      </c>
      <c r="X83" s="5" t="s">
        <v>530</v>
      </c>
      <c r="Y83" s="179">
        <v>1.29</v>
      </c>
    </row>
    <row r="84" spans="5:25" x14ac:dyDescent="0.2">
      <c r="E84" t="s">
        <v>265</v>
      </c>
      <c r="F84">
        <v>706230</v>
      </c>
      <c r="G84" t="s">
        <v>238</v>
      </c>
      <c r="H84" s="36"/>
      <c r="I84" s="36"/>
      <c r="W84" s="5" t="s">
        <v>221</v>
      </c>
      <c r="X84" s="5" t="s">
        <v>531</v>
      </c>
      <c r="Y84" s="5">
        <v>0.74</v>
      </c>
    </row>
    <row r="85" spans="5:25" x14ac:dyDescent="0.2">
      <c r="E85" t="s">
        <v>265</v>
      </c>
      <c r="F85">
        <v>206330</v>
      </c>
      <c r="G85" t="s">
        <v>240</v>
      </c>
      <c r="H85" s="36"/>
      <c r="I85" s="36"/>
      <c r="W85" s="5" t="s">
        <v>221</v>
      </c>
      <c r="X85" s="5" t="s">
        <v>532</v>
      </c>
      <c r="Y85" s="5">
        <v>1.29</v>
      </c>
    </row>
    <row r="86" spans="5:25" x14ac:dyDescent="0.2">
      <c r="E86" t="s">
        <v>265</v>
      </c>
      <c r="F86">
        <v>206425</v>
      </c>
      <c r="G86" t="s">
        <v>242</v>
      </c>
      <c r="H86" s="36"/>
      <c r="I86" s="36"/>
      <c r="W86" s="5" t="s">
        <v>412</v>
      </c>
      <c r="X86" s="5" t="s">
        <v>533</v>
      </c>
      <c r="Y86" s="5">
        <v>0.87</v>
      </c>
    </row>
    <row r="87" spans="5:25" x14ac:dyDescent="0.2">
      <c r="E87" t="s">
        <v>265</v>
      </c>
      <c r="F87">
        <v>206530</v>
      </c>
      <c r="G87" t="s">
        <v>59</v>
      </c>
      <c r="H87" s="36"/>
      <c r="I87" s="36"/>
      <c r="W87" s="5" t="s">
        <v>405</v>
      </c>
      <c r="X87" s="5" t="s">
        <v>534</v>
      </c>
      <c r="Y87" s="179">
        <v>0.38</v>
      </c>
    </row>
    <row r="88" spans="5:25" x14ac:dyDescent="0.2">
      <c r="E88" t="s">
        <v>265</v>
      </c>
      <c r="F88">
        <v>206630</v>
      </c>
      <c r="G88" t="s">
        <v>245</v>
      </c>
      <c r="H88" s="36"/>
      <c r="I88" s="36"/>
      <c r="W88" s="5" t="s">
        <v>462</v>
      </c>
      <c r="X88" s="5" t="s">
        <v>535</v>
      </c>
      <c r="Y88" s="5">
        <v>1.05</v>
      </c>
    </row>
    <row r="89" spans="5:25" x14ac:dyDescent="0.2">
      <c r="E89" t="s">
        <v>265</v>
      </c>
      <c r="F89">
        <v>206730</v>
      </c>
      <c r="G89" t="s">
        <v>247</v>
      </c>
      <c r="H89" s="36"/>
      <c r="I89" s="36"/>
      <c r="W89" s="5" t="s">
        <v>462</v>
      </c>
      <c r="X89" s="5" t="s">
        <v>536</v>
      </c>
      <c r="Y89" s="179">
        <v>1.02</v>
      </c>
    </row>
    <row r="90" spans="5:25" x14ac:dyDescent="0.2">
      <c r="E90" t="s">
        <v>265</v>
      </c>
      <c r="F90">
        <v>206830</v>
      </c>
      <c r="G90" t="s">
        <v>250</v>
      </c>
      <c r="H90" s="36"/>
      <c r="I90" s="36"/>
      <c r="W90" s="182" t="s">
        <v>457</v>
      </c>
      <c r="X90" s="5" t="s">
        <v>537</v>
      </c>
      <c r="Y90" s="5">
        <v>1.01</v>
      </c>
    </row>
    <row r="91" spans="5:25" x14ac:dyDescent="0.2">
      <c r="E91" t="s">
        <v>265</v>
      </c>
      <c r="F91">
        <v>906930</v>
      </c>
      <c r="G91" t="s">
        <v>252</v>
      </c>
      <c r="H91" s="36"/>
      <c r="I91" s="36"/>
      <c r="W91" s="5" t="s">
        <v>465</v>
      </c>
      <c r="X91" s="5" t="s">
        <v>538</v>
      </c>
      <c r="Y91" s="5">
        <v>1.53</v>
      </c>
    </row>
    <row r="92" spans="5:25" x14ac:dyDescent="0.2">
      <c r="E92" t="s">
        <v>265</v>
      </c>
      <c r="F92">
        <v>206930</v>
      </c>
      <c r="G92" t="s">
        <v>61</v>
      </c>
      <c r="H92" s="36"/>
      <c r="I92" s="36"/>
      <c r="W92" s="5" t="s">
        <v>465</v>
      </c>
      <c r="X92" s="5" t="s">
        <v>539</v>
      </c>
      <c r="Y92" s="5">
        <v>0.64</v>
      </c>
    </row>
    <row r="93" spans="5:25" x14ac:dyDescent="0.2">
      <c r="E93" t="s">
        <v>265</v>
      </c>
      <c r="F93">
        <v>207030</v>
      </c>
      <c r="G93" t="s">
        <v>256</v>
      </c>
      <c r="H93" s="36"/>
      <c r="I93" s="36"/>
      <c r="W93" s="5" t="s">
        <v>275</v>
      </c>
      <c r="X93" s="5" t="s">
        <v>502</v>
      </c>
      <c r="Y93" s="5">
        <v>1.59</v>
      </c>
    </row>
    <row r="94" spans="5:25" x14ac:dyDescent="0.2">
      <c r="E94" t="s">
        <v>265</v>
      </c>
      <c r="F94">
        <v>207130</v>
      </c>
      <c r="G94" t="s">
        <v>258</v>
      </c>
      <c r="H94" s="36"/>
      <c r="I94" s="36"/>
      <c r="W94" s="5" t="s">
        <v>275</v>
      </c>
      <c r="X94" s="5" t="s">
        <v>540</v>
      </c>
      <c r="Y94" s="5">
        <v>1.1000000000000001</v>
      </c>
    </row>
    <row r="95" spans="5:25" x14ac:dyDescent="0.2">
      <c r="E95" t="s">
        <v>265</v>
      </c>
      <c r="F95">
        <v>210130</v>
      </c>
      <c r="G95" t="s">
        <v>259</v>
      </c>
      <c r="H95" s="36"/>
      <c r="I95" s="36"/>
      <c r="W95" s="5" t="s">
        <v>466</v>
      </c>
      <c r="X95" s="5" t="s">
        <v>541</v>
      </c>
      <c r="Y95" s="5">
        <v>3.68</v>
      </c>
    </row>
    <row r="96" spans="5:25" x14ac:dyDescent="0.2">
      <c r="E96" t="s">
        <v>265</v>
      </c>
      <c r="F96">
        <v>210230</v>
      </c>
      <c r="G96" t="s">
        <v>260</v>
      </c>
      <c r="H96" s="36"/>
      <c r="I96" s="36"/>
      <c r="W96" s="5" t="s">
        <v>466</v>
      </c>
      <c r="X96" s="5" t="s">
        <v>542</v>
      </c>
      <c r="Y96" s="5">
        <v>2.4</v>
      </c>
    </row>
    <row r="97" spans="5:27" x14ac:dyDescent="0.2">
      <c r="E97" t="s">
        <v>265</v>
      </c>
      <c r="F97">
        <v>210330</v>
      </c>
      <c r="G97" t="s">
        <v>262</v>
      </c>
      <c r="H97" s="36"/>
      <c r="I97" s="36"/>
      <c r="W97" s="5" t="s">
        <v>466</v>
      </c>
      <c r="X97" s="5" t="s">
        <v>543</v>
      </c>
      <c r="Y97" s="179">
        <v>1.8</v>
      </c>
    </row>
    <row r="98" spans="5:27" x14ac:dyDescent="0.2">
      <c r="E98" t="s">
        <v>265</v>
      </c>
      <c r="F98">
        <v>907330</v>
      </c>
      <c r="G98" t="s">
        <v>263</v>
      </c>
      <c r="H98" s="36"/>
      <c r="I98" s="36"/>
      <c r="W98" s="5" t="s">
        <v>466</v>
      </c>
      <c r="X98" s="5" t="s">
        <v>544</v>
      </c>
      <c r="Y98" s="5">
        <v>1.2</v>
      </c>
    </row>
    <row r="99" spans="5:27" x14ac:dyDescent="0.2">
      <c r="H99" s="36"/>
      <c r="I99" s="36"/>
      <c r="W99" s="5" t="s">
        <v>467</v>
      </c>
      <c r="X99" s="5" t="s">
        <v>545</v>
      </c>
      <c r="Y99" s="5">
        <v>0.95</v>
      </c>
    </row>
    <row r="100" spans="5:27" x14ac:dyDescent="0.2">
      <c r="W100" s="5" t="s">
        <v>467</v>
      </c>
      <c r="X100" s="5" t="s">
        <v>546</v>
      </c>
      <c r="Y100" s="5">
        <v>0.57999999999999996</v>
      </c>
    </row>
    <row r="101" spans="5:27" ht="15.75" thickBot="1" x14ac:dyDescent="0.3">
      <c r="K101" s="94" t="s">
        <v>266</v>
      </c>
      <c r="P101" s="95"/>
      <c r="Q101" s="95"/>
      <c r="R101" s="95"/>
      <c r="S101" s="95"/>
      <c r="T101" s="95"/>
      <c r="U101" s="95"/>
      <c r="W101" s="5" t="s">
        <v>463</v>
      </c>
      <c r="X101" s="5" t="s">
        <v>547</v>
      </c>
      <c r="Y101" s="5">
        <v>0.19</v>
      </c>
    </row>
    <row r="102" spans="5:27" ht="30.75" thickBot="1" x14ac:dyDescent="0.3">
      <c r="K102" s="96" t="s">
        <v>18</v>
      </c>
      <c r="L102" s="97" t="s">
        <v>267</v>
      </c>
      <c r="M102" s="97" t="s">
        <v>268</v>
      </c>
      <c r="N102" s="97" t="s">
        <v>269</v>
      </c>
      <c r="O102" s="155"/>
      <c r="P102" s="95"/>
      <c r="Q102" s="95"/>
      <c r="R102" s="95"/>
      <c r="S102" s="95"/>
      <c r="T102" s="95"/>
      <c r="U102" s="95"/>
      <c r="W102" s="5" t="s">
        <v>432</v>
      </c>
      <c r="X102" s="5" t="s">
        <v>548</v>
      </c>
      <c r="Y102" s="5">
        <v>0.36</v>
      </c>
    </row>
    <row r="103" spans="5:27" ht="15.75" thickBot="1" x14ac:dyDescent="0.3">
      <c r="K103" s="98" t="s">
        <v>270</v>
      </c>
      <c r="L103" s="99">
        <v>2375</v>
      </c>
      <c r="M103" s="100">
        <v>272</v>
      </c>
      <c r="N103" s="100">
        <v>0.78</v>
      </c>
      <c r="O103" s="16"/>
      <c r="P103" s="95"/>
      <c r="Q103" s="95"/>
      <c r="R103" s="95"/>
      <c r="S103" s="95"/>
      <c r="T103" s="95"/>
      <c r="U103" s="95"/>
      <c r="W103" s="5" t="s">
        <v>432</v>
      </c>
      <c r="X103" s="5" t="s">
        <v>549</v>
      </c>
      <c r="Y103" s="5">
        <v>0.53</v>
      </c>
    </row>
    <row r="104" spans="5:27" ht="15.75" thickBot="1" x14ac:dyDescent="0.3">
      <c r="K104" s="98" t="s">
        <v>271</v>
      </c>
      <c r="L104" s="99">
        <v>1526</v>
      </c>
      <c r="M104" s="100">
        <v>153</v>
      </c>
      <c r="N104" s="101">
        <v>0.9</v>
      </c>
      <c r="O104" s="156"/>
      <c r="P104" s="95"/>
      <c r="Q104" s="95"/>
      <c r="R104" s="95"/>
      <c r="S104" s="95"/>
      <c r="T104" s="95"/>
      <c r="U104" s="95"/>
      <c r="W104" s="5" t="s">
        <v>432</v>
      </c>
      <c r="X104" s="5" t="s">
        <v>550</v>
      </c>
      <c r="Y104" s="5">
        <v>0.8</v>
      </c>
    </row>
    <row r="105" spans="5:27" ht="15.75" thickBot="1" x14ac:dyDescent="0.3">
      <c r="K105" s="98" t="s">
        <v>30</v>
      </c>
      <c r="L105" s="99">
        <v>1989</v>
      </c>
      <c r="M105" s="100">
        <v>115</v>
      </c>
      <c r="N105" s="100">
        <v>0.85</v>
      </c>
      <c r="O105" s="16"/>
      <c r="P105" s="95"/>
      <c r="Q105" s="95"/>
      <c r="R105" s="95"/>
      <c r="S105" s="95"/>
      <c r="T105" s="95"/>
      <c r="U105" s="95"/>
    </row>
    <row r="106" spans="5:27" ht="15.75" thickBot="1" x14ac:dyDescent="0.3">
      <c r="K106" s="98" t="s">
        <v>272</v>
      </c>
      <c r="L106" s="99">
        <v>1483</v>
      </c>
      <c r="M106" s="100">
        <v>392</v>
      </c>
      <c r="N106" s="100">
        <v>0.84</v>
      </c>
      <c r="O106" s="16"/>
      <c r="P106" s="95"/>
      <c r="Q106" s="95"/>
      <c r="R106" s="95"/>
      <c r="S106" s="95"/>
      <c r="T106" s="95"/>
      <c r="U106" s="95"/>
      <c r="W106" t="s">
        <v>605</v>
      </c>
    </row>
    <row r="107" spans="5:27" ht="15.75" thickBot="1" x14ac:dyDescent="0.3">
      <c r="K107" s="98" t="s">
        <v>273</v>
      </c>
      <c r="L107" s="99">
        <v>2095</v>
      </c>
      <c r="M107" s="100">
        <v>409</v>
      </c>
      <c r="N107" s="100">
        <v>0.77</v>
      </c>
      <c r="O107" s="16"/>
      <c r="P107" s="95"/>
      <c r="Q107" s="95"/>
      <c r="R107" s="95"/>
      <c r="S107" s="95"/>
      <c r="T107" s="95"/>
      <c r="U107" s="95"/>
      <c r="W107" s="6" t="s">
        <v>85</v>
      </c>
      <c r="X107" s="6" t="s">
        <v>556</v>
      </c>
      <c r="Y107" s="6" t="s">
        <v>557</v>
      </c>
      <c r="Z107" s="6" t="s">
        <v>558</v>
      </c>
      <c r="AA107" s="6" t="s">
        <v>559</v>
      </c>
    </row>
    <row r="108" spans="5:27" ht="15.75" thickBot="1" x14ac:dyDescent="0.3">
      <c r="K108" s="98" t="s">
        <v>274</v>
      </c>
      <c r="L108" s="99">
        <v>1997</v>
      </c>
      <c r="M108" s="100">
        <v>166</v>
      </c>
      <c r="N108" s="100">
        <v>0.85</v>
      </c>
      <c r="O108" s="16"/>
      <c r="P108" s="95"/>
      <c r="Q108" s="95"/>
      <c r="R108" s="95"/>
      <c r="S108" s="95"/>
      <c r="T108" s="95"/>
      <c r="U108" s="95"/>
      <c r="W108" s="184" t="s">
        <v>560</v>
      </c>
      <c r="X108" s="5" t="s">
        <v>561</v>
      </c>
      <c r="Y108" s="5" t="s">
        <v>562</v>
      </c>
      <c r="Z108" s="193">
        <f>AVERAGE(0.06,0.13)</f>
        <v>9.5000000000000001E-2</v>
      </c>
      <c r="AA108" s="5" t="s">
        <v>563</v>
      </c>
    </row>
    <row r="109" spans="5:27" ht="15.75" thickBot="1" x14ac:dyDescent="0.3">
      <c r="K109" s="98" t="s">
        <v>275</v>
      </c>
      <c r="L109" s="99">
        <v>3191</v>
      </c>
      <c r="M109" s="100">
        <v>513</v>
      </c>
      <c r="N109" s="100">
        <v>0.88</v>
      </c>
      <c r="O109" s="16"/>
      <c r="P109" s="95"/>
      <c r="Q109" s="95"/>
      <c r="R109" s="95"/>
      <c r="S109" s="95"/>
      <c r="T109" s="95"/>
      <c r="U109" s="95"/>
      <c r="W109" s="184" t="s">
        <v>564</v>
      </c>
      <c r="X109" s="5" t="s">
        <v>565</v>
      </c>
      <c r="Y109" s="5" t="s">
        <v>562</v>
      </c>
      <c r="Z109" s="179">
        <v>0.85</v>
      </c>
      <c r="AA109" s="5" t="s">
        <v>566</v>
      </c>
    </row>
    <row r="110" spans="5:27" ht="15.75" thickBot="1" x14ac:dyDescent="0.3">
      <c r="K110" s="98" t="s">
        <v>276</v>
      </c>
      <c r="L110" s="99">
        <v>2329</v>
      </c>
      <c r="M110" s="100">
        <v>140</v>
      </c>
      <c r="N110" s="100">
        <v>0.71</v>
      </c>
      <c r="O110" s="16"/>
      <c r="P110" s="95"/>
      <c r="Q110" s="95"/>
      <c r="R110" s="95"/>
      <c r="S110" s="95"/>
      <c r="T110" s="95"/>
      <c r="U110" s="95"/>
      <c r="W110" s="184" t="s">
        <v>564</v>
      </c>
      <c r="X110" s="5" t="s">
        <v>567</v>
      </c>
      <c r="Y110" s="5" t="s">
        <v>562</v>
      </c>
      <c r="Z110" s="179">
        <v>0.17</v>
      </c>
      <c r="AA110" s="5" t="s">
        <v>563</v>
      </c>
    </row>
    <row r="111" spans="5:27" ht="15.75" thickBot="1" x14ac:dyDescent="0.3">
      <c r="K111" s="98" t="s">
        <v>277</v>
      </c>
      <c r="L111" s="99">
        <v>2060</v>
      </c>
      <c r="M111" s="100">
        <v>255</v>
      </c>
      <c r="N111" s="100">
        <v>0.84</v>
      </c>
      <c r="O111" s="16"/>
      <c r="P111" s="95"/>
      <c r="Q111" s="95"/>
      <c r="R111" s="95"/>
      <c r="S111" s="95"/>
      <c r="T111" s="95"/>
      <c r="U111" s="95"/>
      <c r="W111" s="184" t="s">
        <v>564</v>
      </c>
      <c r="X111" s="5" t="s">
        <v>568</v>
      </c>
      <c r="Y111" s="5" t="s">
        <v>562</v>
      </c>
      <c r="Z111" s="179">
        <v>0.17</v>
      </c>
      <c r="AA111" s="5" t="s">
        <v>563</v>
      </c>
    </row>
    <row r="112" spans="5:27" ht="15.75" thickBot="1" x14ac:dyDescent="0.3">
      <c r="K112" s="98" t="s">
        <v>278</v>
      </c>
      <c r="L112" s="99">
        <v>1510</v>
      </c>
      <c r="M112" s="100">
        <v>604</v>
      </c>
      <c r="N112" s="100">
        <v>0.84</v>
      </c>
      <c r="O112" s="16"/>
      <c r="P112" s="95"/>
      <c r="Q112" s="95"/>
      <c r="R112" s="95"/>
      <c r="S112" s="95"/>
      <c r="T112" s="95"/>
      <c r="U112" s="95"/>
      <c r="W112" s="184" t="s">
        <v>564</v>
      </c>
      <c r="X112" s="5" t="s">
        <v>569</v>
      </c>
      <c r="Y112" s="5" t="s">
        <v>562</v>
      </c>
      <c r="Z112" s="179">
        <v>0.17</v>
      </c>
      <c r="AA112" s="5" t="s">
        <v>563</v>
      </c>
    </row>
    <row r="113" spans="11:27" ht="15" x14ac:dyDescent="0.25">
      <c r="K113" s="95"/>
      <c r="L113" s="95"/>
      <c r="M113" s="95"/>
      <c r="N113" s="95"/>
      <c r="O113" s="95"/>
      <c r="P113" s="95"/>
      <c r="Q113" s="95"/>
      <c r="R113" s="95"/>
      <c r="S113" s="95"/>
      <c r="T113" s="95"/>
      <c r="U113" s="95"/>
      <c r="W113" s="184" t="s">
        <v>564</v>
      </c>
      <c r="X113" s="5" t="s">
        <v>570</v>
      </c>
      <c r="Y113" s="5" t="s">
        <v>562</v>
      </c>
      <c r="Z113" s="179">
        <v>0.17</v>
      </c>
      <c r="AA113" s="5" t="s">
        <v>563</v>
      </c>
    </row>
    <row r="114" spans="11:27" ht="15" x14ac:dyDescent="0.25">
      <c r="L114" s="416" t="s">
        <v>279</v>
      </c>
      <c r="M114" s="417"/>
      <c r="N114" s="417"/>
      <c r="O114" s="418"/>
      <c r="P114" s="416" t="s">
        <v>280</v>
      </c>
      <c r="Q114" s="417"/>
      <c r="R114" s="418"/>
      <c r="S114" s="102" t="s">
        <v>281</v>
      </c>
      <c r="T114" s="103"/>
      <c r="U114" s="95"/>
      <c r="W114" s="184" t="s">
        <v>564</v>
      </c>
      <c r="X114" s="5" t="s">
        <v>571</v>
      </c>
      <c r="Y114" s="5" t="s">
        <v>562</v>
      </c>
      <c r="Z114" s="179">
        <v>1</v>
      </c>
      <c r="AA114" s="5" t="s">
        <v>563</v>
      </c>
    </row>
    <row r="115" spans="11:27" ht="15" x14ac:dyDescent="0.25">
      <c r="K115" s="104" t="s">
        <v>282</v>
      </c>
      <c r="L115" s="104" t="s">
        <v>283</v>
      </c>
      <c r="M115" s="104" t="s">
        <v>284</v>
      </c>
      <c r="N115" s="104" t="s">
        <v>285</v>
      </c>
      <c r="O115" s="104"/>
      <c r="P115" s="104" t="s">
        <v>283</v>
      </c>
      <c r="Q115" s="104" t="s">
        <v>284</v>
      </c>
      <c r="R115" s="104" t="s">
        <v>285</v>
      </c>
      <c r="S115" s="105" t="s">
        <v>286</v>
      </c>
      <c r="T115" s="105" t="s">
        <v>287</v>
      </c>
      <c r="U115" s="95"/>
      <c r="W115" s="184" t="s">
        <v>564</v>
      </c>
      <c r="X115" s="5" t="s">
        <v>572</v>
      </c>
      <c r="Y115" s="5" t="s">
        <v>562</v>
      </c>
      <c r="Z115" s="179">
        <v>0.22500000000000001</v>
      </c>
      <c r="AA115" s="5" t="s">
        <v>563</v>
      </c>
    </row>
    <row r="116" spans="11:27" ht="15" x14ac:dyDescent="0.25">
      <c r="K116" s="197" t="s">
        <v>625</v>
      </c>
      <c r="L116" s="106">
        <v>11.8</v>
      </c>
      <c r="M116" s="106">
        <v>13.5</v>
      </c>
      <c r="N116" s="5"/>
      <c r="O116" s="5"/>
      <c r="P116" s="106">
        <v>12.3</v>
      </c>
      <c r="Q116" s="199">
        <v>14.5</v>
      </c>
      <c r="R116" s="200"/>
      <c r="S116" s="106">
        <v>0</v>
      </c>
      <c r="T116" s="106">
        <v>5.4199900000000003</v>
      </c>
      <c r="U116" s="95"/>
      <c r="W116" s="184" t="s">
        <v>564</v>
      </c>
      <c r="X116" s="5" t="s">
        <v>573</v>
      </c>
      <c r="Y116" s="5" t="s">
        <v>562</v>
      </c>
      <c r="Z116" s="179">
        <v>0.17</v>
      </c>
      <c r="AA116" s="5" t="s">
        <v>563</v>
      </c>
    </row>
    <row r="117" spans="11:27" ht="15" x14ac:dyDescent="0.25">
      <c r="K117" s="197" t="s">
        <v>626</v>
      </c>
      <c r="L117" s="106">
        <v>11.1</v>
      </c>
      <c r="M117" s="106">
        <v>12.7</v>
      </c>
      <c r="N117" s="5"/>
      <c r="O117" s="5"/>
      <c r="P117" s="106">
        <v>12.2</v>
      </c>
      <c r="Q117" s="197">
        <v>13.5</v>
      </c>
      <c r="R117" s="200"/>
      <c r="S117" s="106">
        <v>5.42</v>
      </c>
      <c r="T117" s="106">
        <v>11.24</v>
      </c>
      <c r="U117" s="95"/>
      <c r="W117" s="184" t="s">
        <v>574</v>
      </c>
      <c r="X117" s="5" t="s">
        <v>575</v>
      </c>
      <c r="Y117" s="5" t="s">
        <v>562</v>
      </c>
      <c r="Z117" s="108">
        <v>25</v>
      </c>
      <c r="AA117" s="5" t="s">
        <v>576</v>
      </c>
    </row>
    <row r="118" spans="11:27" ht="15" x14ac:dyDescent="0.25">
      <c r="K118" s="197" t="s">
        <v>627</v>
      </c>
      <c r="L118" s="106">
        <v>10.9</v>
      </c>
      <c r="M118" s="106">
        <v>12.3</v>
      </c>
      <c r="N118" s="5"/>
      <c r="O118" s="5"/>
      <c r="P118" s="106">
        <v>12.2</v>
      </c>
      <c r="Q118" s="199">
        <v>13</v>
      </c>
      <c r="R118" s="200"/>
      <c r="S118" s="106">
        <v>11.25</v>
      </c>
      <c r="T118" s="106">
        <v>19.998999999999999</v>
      </c>
      <c r="U118" s="95"/>
      <c r="W118" s="184" t="s">
        <v>574</v>
      </c>
      <c r="X118" s="5" t="s">
        <v>577</v>
      </c>
      <c r="Y118" s="5" t="s">
        <v>562</v>
      </c>
      <c r="Z118" s="108">
        <v>20</v>
      </c>
      <c r="AA118" s="5" t="s">
        <v>576</v>
      </c>
    </row>
    <row r="119" spans="11:27" ht="15" x14ac:dyDescent="0.25">
      <c r="K119" s="197" t="s">
        <v>628</v>
      </c>
      <c r="L119" s="106">
        <v>9.9</v>
      </c>
      <c r="M119" s="106">
        <v>11.5</v>
      </c>
      <c r="N119" s="5"/>
      <c r="O119" s="5"/>
      <c r="P119" s="106">
        <v>10.8</v>
      </c>
      <c r="Q119" s="197">
        <v>12.5</v>
      </c>
      <c r="R119" s="200"/>
      <c r="S119" s="106">
        <v>20</v>
      </c>
      <c r="T119" s="107">
        <v>63.3</v>
      </c>
      <c r="U119" s="95"/>
      <c r="W119" s="184" t="s">
        <v>578</v>
      </c>
      <c r="X119" s="5" t="s">
        <v>579</v>
      </c>
      <c r="Y119" s="5" t="s">
        <v>562</v>
      </c>
      <c r="Z119" s="179">
        <v>0.32500000000000001</v>
      </c>
      <c r="AA119" s="5" t="s">
        <v>563</v>
      </c>
    </row>
    <row r="120" spans="11:27" ht="15" x14ac:dyDescent="0.25">
      <c r="K120" s="198" t="s">
        <v>629</v>
      </c>
      <c r="L120" s="107">
        <v>9.6</v>
      </c>
      <c r="M120" s="107">
        <v>11.1</v>
      </c>
      <c r="N120" s="107"/>
      <c r="O120" s="107"/>
      <c r="P120" s="107">
        <v>10.4</v>
      </c>
      <c r="Q120" s="201">
        <v>12</v>
      </c>
      <c r="R120" s="198"/>
      <c r="S120" s="107">
        <v>63.4</v>
      </c>
      <c r="T120" s="106">
        <v>999999</v>
      </c>
      <c r="U120" s="95"/>
      <c r="W120" s="184" t="s">
        <v>578</v>
      </c>
      <c r="X120" s="5" t="s">
        <v>580</v>
      </c>
      <c r="Y120" s="5" t="s">
        <v>562</v>
      </c>
      <c r="Z120" s="179">
        <v>0.8</v>
      </c>
      <c r="AA120" s="5" t="s">
        <v>563</v>
      </c>
    </row>
    <row r="121" spans="11:27" ht="15" x14ac:dyDescent="0.25">
      <c r="K121" s="197" t="s">
        <v>630</v>
      </c>
      <c r="L121" s="108">
        <v>11.8</v>
      </c>
      <c r="M121" s="108">
        <v>14</v>
      </c>
      <c r="N121" s="108">
        <v>8.1</v>
      </c>
      <c r="O121" s="108"/>
      <c r="P121" s="108">
        <v>12.3</v>
      </c>
      <c r="Q121" s="202">
        <v>15</v>
      </c>
      <c r="R121" s="202">
        <v>8.5</v>
      </c>
      <c r="S121" s="106">
        <v>0</v>
      </c>
      <c r="T121" s="106">
        <v>5.4199900000000003</v>
      </c>
      <c r="U121" s="95"/>
      <c r="W121" s="184" t="s">
        <v>581</v>
      </c>
      <c r="X121" s="5" t="s">
        <v>582</v>
      </c>
      <c r="Y121" s="5" t="s">
        <v>562</v>
      </c>
      <c r="Z121" s="179">
        <v>0.47499999999999998</v>
      </c>
      <c r="AA121" s="5" t="s">
        <v>563</v>
      </c>
    </row>
    <row r="122" spans="11:27" ht="15" x14ac:dyDescent="0.25">
      <c r="K122" s="197" t="s">
        <v>631</v>
      </c>
      <c r="L122" s="108">
        <f>AVERAGE(11,10.8)</f>
        <v>10.9</v>
      </c>
      <c r="M122" s="108">
        <v>11.9</v>
      </c>
      <c r="N122" s="108">
        <f>3.3*3.412</f>
        <v>11.259599999999999</v>
      </c>
      <c r="O122" s="108"/>
      <c r="P122" s="108">
        <v>11.3</v>
      </c>
      <c r="Q122" s="202">
        <v>13</v>
      </c>
      <c r="R122" s="202">
        <v>12</v>
      </c>
      <c r="S122" s="106">
        <v>5.42</v>
      </c>
      <c r="T122" s="106">
        <v>11.24</v>
      </c>
      <c r="U122" s="95"/>
      <c r="W122" s="184" t="s">
        <v>581</v>
      </c>
      <c r="X122" s="5" t="s">
        <v>583</v>
      </c>
      <c r="Y122" s="5" t="s">
        <v>562</v>
      </c>
      <c r="Z122" s="108">
        <v>20</v>
      </c>
      <c r="AA122" s="5" t="s">
        <v>566</v>
      </c>
    </row>
    <row r="123" spans="11:27" ht="15" x14ac:dyDescent="0.25">
      <c r="K123" s="197" t="s">
        <v>632</v>
      </c>
      <c r="L123" s="108">
        <f>AVERAGE(10.6,10.4)</f>
        <v>10.5</v>
      </c>
      <c r="M123" s="108">
        <v>11.5</v>
      </c>
      <c r="N123" s="108">
        <f>3.2*3.412</f>
        <v>10.9184</v>
      </c>
      <c r="O123" s="108"/>
      <c r="P123" s="108">
        <v>10.9</v>
      </c>
      <c r="Q123" s="202">
        <v>12.5</v>
      </c>
      <c r="R123" s="202">
        <v>11.5</v>
      </c>
      <c r="S123" s="106">
        <v>11.25</v>
      </c>
      <c r="T123" s="106">
        <v>19.9999</v>
      </c>
      <c r="U123" s="95"/>
      <c r="W123" s="5" t="s">
        <v>584</v>
      </c>
      <c r="X123" s="5" t="s">
        <v>585</v>
      </c>
      <c r="Y123" s="5" t="s">
        <v>586</v>
      </c>
      <c r="Z123" s="5">
        <v>0.1125</v>
      </c>
      <c r="AA123" s="5" t="s">
        <v>587</v>
      </c>
    </row>
    <row r="124" spans="11:27" ht="15" x14ac:dyDescent="0.25">
      <c r="K124" s="197" t="s">
        <v>633</v>
      </c>
      <c r="L124" s="108">
        <f>AVERAGE(9.5,9.3)</f>
        <v>9.4</v>
      </c>
      <c r="M124" s="108">
        <v>10</v>
      </c>
      <c r="N124" s="108">
        <f>3.2*3.412</f>
        <v>10.9184</v>
      </c>
      <c r="O124" s="108"/>
      <c r="P124" s="108">
        <v>10.3</v>
      </c>
      <c r="Q124" s="202">
        <v>12</v>
      </c>
      <c r="R124" s="202">
        <v>11.5</v>
      </c>
      <c r="S124" s="106">
        <v>20</v>
      </c>
      <c r="T124" s="106">
        <v>999999</v>
      </c>
      <c r="U124" s="95"/>
      <c r="W124" s="5" t="s">
        <v>584</v>
      </c>
      <c r="X124" s="5" t="s">
        <v>588</v>
      </c>
      <c r="Y124" s="5" t="s">
        <v>586</v>
      </c>
      <c r="Z124" s="5">
        <v>3.75</v>
      </c>
      <c r="AA124" s="5" t="s">
        <v>589</v>
      </c>
    </row>
    <row r="125" spans="11:27" ht="15" x14ac:dyDescent="0.25">
      <c r="K125" s="95"/>
      <c r="L125" s="95"/>
      <c r="M125" s="95"/>
      <c r="N125" s="95"/>
      <c r="O125" s="95"/>
      <c r="P125" s="95"/>
      <c r="Q125" s="95"/>
      <c r="R125" s="95"/>
      <c r="S125" s="95"/>
      <c r="T125" s="95"/>
      <c r="U125" s="95"/>
      <c r="W125" s="5" t="s">
        <v>590</v>
      </c>
      <c r="X125" s="5" t="s">
        <v>591</v>
      </c>
      <c r="Y125" s="5" t="s">
        <v>586</v>
      </c>
      <c r="Z125" s="5">
        <v>270</v>
      </c>
      <c r="AA125" s="5" t="s">
        <v>592</v>
      </c>
    </row>
    <row r="126" spans="11:27" ht="15.75" thickBot="1" x14ac:dyDescent="0.3">
      <c r="K126" s="94" t="s">
        <v>288</v>
      </c>
      <c r="N126" s="95"/>
      <c r="O126" s="95"/>
      <c r="P126" s="95"/>
      <c r="Q126" s="95"/>
      <c r="R126" s="95"/>
      <c r="S126" s="95"/>
      <c r="T126" s="95"/>
      <c r="U126" s="95"/>
      <c r="W126" s="5" t="s">
        <v>590</v>
      </c>
      <c r="X126" s="5" t="s">
        <v>593</v>
      </c>
      <c r="Y126" s="5" t="s">
        <v>586</v>
      </c>
      <c r="Z126" s="5">
        <v>90</v>
      </c>
      <c r="AA126" s="5" t="s">
        <v>594</v>
      </c>
    </row>
    <row r="127" spans="11:27" ht="15.75" thickBot="1" x14ac:dyDescent="0.3">
      <c r="K127" s="109" t="s">
        <v>18</v>
      </c>
      <c r="L127" s="110" t="s">
        <v>289</v>
      </c>
      <c r="M127" s="110" t="s">
        <v>290</v>
      </c>
      <c r="N127" s="95"/>
      <c r="O127" s="95"/>
      <c r="P127" s="95"/>
      <c r="Q127" s="95"/>
      <c r="R127" s="95"/>
      <c r="S127" s="95"/>
      <c r="T127" s="95"/>
      <c r="U127" s="95"/>
      <c r="W127" s="5" t="s">
        <v>595</v>
      </c>
      <c r="X127" s="5" t="s">
        <v>471</v>
      </c>
      <c r="Y127" s="5" t="s">
        <v>586</v>
      </c>
      <c r="Z127" s="5">
        <v>0.75</v>
      </c>
      <c r="AA127" s="5" t="s">
        <v>596</v>
      </c>
    </row>
    <row r="128" spans="11:27" ht="15.75" thickBot="1" x14ac:dyDescent="0.3">
      <c r="K128" s="111" t="s">
        <v>270</v>
      </c>
      <c r="L128" s="112">
        <v>432</v>
      </c>
      <c r="M128" s="112">
        <v>0.14199999999999999</v>
      </c>
      <c r="N128" s="95"/>
      <c r="O128" s="95"/>
      <c r="P128" s="95"/>
      <c r="Q128" s="95"/>
      <c r="R128" s="95"/>
      <c r="S128" s="95"/>
      <c r="T128" s="95"/>
      <c r="U128" s="95"/>
      <c r="W128" s="5" t="s">
        <v>597</v>
      </c>
      <c r="X128" s="5" t="s">
        <v>471</v>
      </c>
      <c r="Y128" s="5" t="s">
        <v>586</v>
      </c>
      <c r="Z128" s="5">
        <v>0.5</v>
      </c>
      <c r="AA128" s="5" t="s">
        <v>596</v>
      </c>
    </row>
    <row r="129" spans="11:27" ht="15.75" thickBot="1" x14ac:dyDescent="0.3">
      <c r="K129" s="111" t="s">
        <v>271</v>
      </c>
      <c r="L129" s="112">
        <v>278</v>
      </c>
      <c r="M129" s="112">
        <v>0.16400000000000001</v>
      </c>
      <c r="N129" s="95"/>
      <c r="O129" s="95"/>
      <c r="P129" s="95"/>
      <c r="Q129" s="95"/>
      <c r="R129" s="95"/>
      <c r="S129" s="95"/>
      <c r="T129" s="95"/>
      <c r="U129" s="95"/>
      <c r="W129" s="5" t="s">
        <v>598</v>
      </c>
      <c r="X129" s="5" t="s">
        <v>471</v>
      </c>
      <c r="Y129" s="5" t="s">
        <v>586</v>
      </c>
      <c r="Z129" s="5">
        <v>400</v>
      </c>
      <c r="AA129" s="5" t="s">
        <v>599</v>
      </c>
    </row>
    <row r="130" spans="11:27" ht="15.75" thickBot="1" x14ac:dyDescent="0.3">
      <c r="K130" s="111" t="s">
        <v>30</v>
      </c>
      <c r="L130" s="112">
        <v>362</v>
      </c>
      <c r="M130" s="112">
        <v>0.155</v>
      </c>
      <c r="N130" s="95"/>
      <c r="O130" s="95"/>
      <c r="P130" s="95"/>
      <c r="Q130" s="95"/>
      <c r="R130" s="95"/>
      <c r="S130" s="95"/>
      <c r="T130" s="95"/>
      <c r="U130" s="95"/>
      <c r="W130" s="5" t="s">
        <v>600</v>
      </c>
      <c r="X130" s="5" t="s">
        <v>471</v>
      </c>
      <c r="Y130" s="5" t="s">
        <v>586</v>
      </c>
      <c r="Z130" s="5">
        <v>800</v>
      </c>
      <c r="AA130" s="5" t="s">
        <v>601</v>
      </c>
    </row>
    <row r="131" spans="11:27" ht="15.75" thickBot="1" x14ac:dyDescent="0.3">
      <c r="K131" s="111" t="s">
        <v>272</v>
      </c>
      <c r="L131" s="112">
        <v>270</v>
      </c>
      <c r="M131" s="112">
        <v>0.153</v>
      </c>
      <c r="N131" s="95"/>
      <c r="O131" s="95"/>
      <c r="P131" s="95"/>
      <c r="Q131" s="95"/>
      <c r="R131" s="95"/>
      <c r="S131" s="95"/>
      <c r="T131" s="95"/>
      <c r="U131" s="95"/>
    </row>
    <row r="132" spans="11:27" ht="15.75" thickBot="1" x14ac:dyDescent="0.3">
      <c r="K132" s="111" t="s">
        <v>273</v>
      </c>
      <c r="L132" s="112">
        <v>381</v>
      </c>
      <c r="M132" s="112">
        <v>0.14000000000000001</v>
      </c>
      <c r="N132" s="95"/>
      <c r="O132" s="95"/>
      <c r="P132" s="95"/>
      <c r="Q132" s="95"/>
      <c r="R132" s="95"/>
      <c r="S132" s="95"/>
      <c r="T132" s="95"/>
      <c r="U132" s="95"/>
      <c r="W132" s="185" t="s">
        <v>85</v>
      </c>
      <c r="X132" s="6" t="s">
        <v>607</v>
      </c>
    </row>
    <row r="133" spans="11:27" ht="15.75" thickBot="1" x14ac:dyDescent="0.3">
      <c r="K133" s="111" t="s">
        <v>274</v>
      </c>
      <c r="L133" s="112">
        <v>363</v>
      </c>
      <c r="M133" s="112">
        <v>0.155</v>
      </c>
      <c r="N133" s="95"/>
      <c r="O133" s="95"/>
      <c r="P133" s="95"/>
      <c r="Q133" s="95"/>
      <c r="R133" s="95"/>
      <c r="S133" s="95"/>
      <c r="T133" s="95"/>
      <c r="U133" s="95"/>
      <c r="W133" s="184" t="s">
        <v>560</v>
      </c>
      <c r="X133" s="5" t="s">
        <v>608</v>
      </c>
    </row>
    <row r="134" spans="11:27" ht="15.75" thickBot="1" x14ac:dyDescent="0.3">
      <c r="K134" s="111" t="s">
        <v>275</v>
      </c>
      <c r="L134" s="112">
        <v>580</v>
      </c>
      <c r="M134" s="112">
        <v>0.16</v>
      </c>
      <c r="N134" s="95"/>
      <c r="O134" s="95"/>
      <c r="P134" s="95"/>
      <c r="Q134" s="95"/>
      <c r="R134" s="95"/>
      <c r="S134" s="95"/>
      <c r="T134" s="95"/>
      <c r="U134" s="95"/>
      <c r="W134" s="184" t="s">
        <v>564</v>
      </c>
      <c r="X134" s="5" t="s">
        <v>609</v>
      </c>
    </row>
    <row r="135" spans="11:27" ht="15.75" thickBot="1" x14ac:dyDescent="0.3">
      <c r="K135" s="111" t="s">
        <v>276</v>
      </c>
      <c r="L135" s="112">
        <v>424</v>
      </c>
      <c r="M135" s="112">
        <v>0.129</v>
      </c>
      <c r="N135" s="95"/>
      <c r="O135" s="95"/>
      <c r="P135" s="95"/>
      <c r="Q135" s="95"/>
      <c r="R135" s="95"/>
      <c r="S135" s="95"/>
      <c r="T135" s="95"/>
      <c r="U135" s="95"/>
      <c r="W135" s="184" t="s">
        <v>574</v>
      </c>
      <c r="X135" s="5" t="s">
        <v>610</v>
      </c>
    </row>
    <row r="136" spans="11:27" ht="15.75" thickBot="1" x14ac:dyDescent="0.3">
      <c r="K136" s="111" t="s">
        <v>277</v>
      </c>
      <c r="L136" s="112">
        <v>375</v>
      </c>
      <c r="M136" s="112">
        <v>0.153</v>
      </c>
      <c r="N136" s="95"/>
      <c r="O136" s="95"/>
      <c r="P136" s="95"/>
      <c r="Q136" s="95"/>
      <c r="R136" s="95"/>
      <c r="S136" s="95"/>
      <c r="T136" s="95"/>
      <c r="U136" s="95"/>
      <c r="W136" s="184" t="s">
        <v>578</v>
      </c>
      <c r="X136" s="5" t="s">
        <v>611</v>
      </c>
    </row>
    <row r="137" spans="11:27" ht="15.75" thickBot="1" x14ac:dyDescent="0.3">
      <c r="K137" s="111" t="s">
        <v>278</v>
      </c>
      <c r="L137" s="112">
        <v>275</v>
      </c>
      <c r="M137" s="112">
        <v>0.153</v>
      </c>
      <c r="N137" s="95"/>
      <c r="O137" s="95"/>
      <c r="P137" s="95"/>
      <c r="Q137" s="95"/>
      <c r="R137" s="95"/>
      <c r="S137" s="95"/>
      <c r="T137" s="95"/>
      <c r="U137" s="95"/>
      <c r="W137" s="184" t="s">
        <v>581</v>
      </c>
      <c r="X137" s="5" t="s">
        <v>612</v>
      </c>
    </row>
    <row r="138" spans="11:27" ht="15.75" thickBot="1" x14ac:dyDescent="0.3">
      <c r="K138" s="111" t="s">
        <v>135</v>
      </c>
      <c r="L138" s="112">
        <v>432</v>
      </c>
      <c r="M138" s="112">
        <v>0.14199999999999999</v>
      </c>
      <c r="N138" s="95"/>
      <c r="O138" s="95"/>
      <c r="P138" s="95"/>
      <c r="Q138" s="95"/>
      <c r="R138" s="95"/>
      <c r="S138" s="95"/>
      <c r="T138" s="95"/>
      <c r="U138" s="95"/>
      <c r="W138" s="184" t="s">
        <v>584</v>
      </c>
      <c r="X138" s="5" t="s">
        <v>613</v>
      </c>
    </row>
    <row r="139" spans="11:27" ht="15.75" thickBot="1" x14ac:dyDescent="0.3">
      <c r="K139" s="94" t="s">
        <v>291</v>
      </c>
      <c r="N139" s="95"/>
      <c r="O139" s="95"/>
      <c r="P139" s="95"/>
      <c r="Q139" s="95"/>
      <c r="R139" s="95"/>
      <c r="S139" s="95"/>
      <c r="T139" s="95"/>
      <c r="U139" s="95"/>
      <c r="W139" s="184" t="s">
        <v>590</v>
      </c>
      <c r="X139" s="5" t="s">
        <v>614</v>
      </c>
    </row>
    <row r="140" spans="11:27" ht="15.75" thickBot="1" x14ac:dyDescent="0.3">
      <c r="K140" s="109" t="s">
        <v>18</v>
      </c>
      <c r="L140" s="110" t="s">
        <v>289</v>
      </c>
      <c r="M140" s="110" t="s">
        <v>290</v>
      </c>
      <c r="N140" s="95"/>
      <c r="O140" s="95"/>
      <c r="P140" s="95"/>
      <c r="Q140" s="95"/>
      <c r="R140" s="95"/>
      <c r="S140" s="95"/>
      <c r="T140" s="95"/>
      <c r="U140" s="95"/>
      <c r="W140" s="184" t="s">
        <v>595</v>
      </c>
      <c r="X140" s="5" t="s">
        <v>615</v>
      </c>
    </row>
    <row r="141" spans="11:27" ht="15.75" thickBot="1" x14ac:dyDescent="0.3">
      <c r="K141" s="111" t="s">
        <v>270</v>
      </c>
      <c r="L141" s="112">
        <v>507</v>
      </c>
      <c r="M141" s="112">
        <v>0.14199999999999999</v>
      </c>
      <c r="N141" s="95"/>
      <c r="O141" s="95"/>
      <c r="P141" s="95"/>
      <c r="Q141" s="95"/>
      <c r="R141" s="95"/>
      <c r="S141" s="95"/>
      <c r="T141" s="95"/>
      <c r="U141" s="95"/>
      <c r="W141" s="184" t="s">
        <v>597</v>
      </c>
      <c r="X141" s="5" t="s">
        <v>616</v>
      </c>
    </row>
    <row r="142" spans="11:27" ht="15.75" thickBot="1" x14ac:dyDescent="0.3">
      <c r="K142" s="111" t="s">
        <v>271</v>
      </c>
      <c r="L142" s="112">
        <v>320</v>
      </c>
      <c r="M142" s="112">
        <v>0.16400000000000001</v>
      </c>
      <c r="N142" s="95"/>
      <c r="O142" s="95"/>
      <c r="P142" s="95"/>
      <c r="Q142" s="95"/>
      <c r="R142" s="95"/>
      <c r="S142" s="95"/>
      <c r="T142" s="95"/>
      <c r="U142" s="95"/>
      <c r="W142" s="184" t="s">
        <v>598</v>
      </c>
      <c r="X142" s="5" t="s">
        <v>617</v>
      </c>
    </row>
    <row r="143" spans="11:27" ht="15.75" thickBot="1" x14ac:dyDescent="0.3">
      <c r="K143" s="111" t="s">
        <v>30</v>
      </c>
      <c r="L143" s="112">
        <v>394</v>
      </c>
      <c r="M143" s="112">
        <v>0.155</v>
      </c>
      <c r="N143" s="95"/>
      <c r="O143" s="95"/>
      <c r="P143" s="95"/>
      <c r="Q143" s="95"/>
      <c r="R143" s="95"/>
      <c r="S143" s="95"/>
      <c r="T143" s="95"/>
      <c r="U143" s="95"/>
      <c r="W143" s="184" t="s">
        <v>600</v>
      </c>
      <c r="X143" s="5" t="s">
        <v>618</v>
      </c>
    </row>
    <row r="144" spans="11:27" ht="15.75" thickBot="1" x14ac:dyDescent="0.3">
      <c r="K144" s="111" t="s">
        <v>272</v>
      </c>
      <c r="L144" s="112">
        <v>378</v>
      </c>
      <c r="M144" s="112">
        <v>0.153</v>
      </c>
      <c r="N144" s="95"/>
      <c r="O144" s="95"/>
      <c r="P144" s="95"/>
      <c r="Q144" s="95"/>
      <c r="R144" s="95"/>
      <c r="S144" s="95"/>
      <c r="T144" s="95"/>
      <c r="U144" s="95"/>
    </row>
    <row r="145" spans="11:21" ht="15.75" thickBot="1" x14ac:dyDescent="0.3">
      <c r="K145" s="111" t="s">
        <v>273</v>
      </c>
      <c r="L145" s="112">
        <v>494</v>
      </c>
      <c r="M145" s="112">
        <v>0.14000000000000001</v>
      </c>
      <c r="N145" s="95"/>
      <c r="O145" s="95"/>
      <c r="P145" s="95"/>
      <c r="Q145" s="95"/>
      <c r="R145" s="95"/>
      <c r="S145" s="95"/>
      <c r="T145" s="95"/>
      <c r="U145" s="95"/>
    </row>
    <row r="146" spans="11:21" ht="15.75" thickBot="1" x14ac:dyDescent="0.3">
      <c r="K146" s="111" t="s">
        <v>274</v>
      </c>
      <c r="L146" s="112">
        <v>409</v>
      </c>
      <c r="M146" s="112">
        <v>0.155</v>
      </c>
      <c r="N146" s="95"/>
      <c r="O146" s="95"/>
      <c r="P146" s="95"/>
      <c r="Q146" s="95"/>
      <c r="R146" s="95"/>
      <c r="S146" s="95"/>
      <c r="T146" s="95"/>
      <c r="U146" s="95"/>
    </row>
    <row r="147" spans="11:21" ht="15.75" thickBot="1" x14ac:dyDescent="0.3">
      <c r="K147" s="111" t="s">
        <v>275</v>
      </c>
      <c r="L147" s="112">
        <v>722</v>
      </c>
      <c r="M147" s="112">
        <v>0.16</v>
      </c>
      <c r="N147" s="95"/>
      <c r="O147" s="95"/>
      <c r="P147" s="95"/>
      <c r="Q147" s="95"/>
      <c r="R147" s="95"/>
      <c r="S147" s="95"/>
      <c r="T147" s="95"/>
      <c r="U147" s="95"/>
    </row>
    <row r="148" spans="11:21" ht="15.75" thickBot="1" x14ac:dyDescent="0.3">
      <c r="K148" s="111" t="s">
        <v>276</v>
      </c>
      <c r="L148" s="112">
        <v>462</v>
      </c>
      <c r="M148" s="112">
        <v>0.129</v>
      </c>
      <c r="N148" s="95"/>
      <c r="O148" s="95"/>
      <c r="P148" s="95"/>
      <c r="Q148" s="95"/>
      <c r="R148" s="95"/>
      <c r="S148" s="95"/>
      <c r="T148" s="95"/>
      <c r="U148" s="95"/>
    </row>
    <row r="149" spans="11:21" ht="15.75" thickBot="1" x14ac:dyDescent="0.3">
      <c r="K149" s="111" t="s">
        <v>277</v>
      </c>
      <c r="L149" s="112">
        <v>445</v>
      </c>
      <c r="M149" s="112">
        <v>0.153</v>
      </c>
      <c r="N149" s="95"/>
      <c r="O149" s="95"/>
      <c r="P149" s="95"/>
      <c r="Q149" s="95"/>
      <c r="R149" s="95"/>
      <c r="S149" s="95"/>
      <c r="T149" s="95"/>
      <c r="U149" s="95"/>
    </row>
    <row r="150" spans="11:21" ht="15.75" thickBot="1" x14ac:dyDescent="0.3">
      <c r="K150" s="111" t="s">
        <v>278</v>
      </c>
      <c r="L150" s="112">
        <v>442</v>
      </c>
      <c r="M150" s="112">
        <v>0.153</v>
      </c>
      <c r="N150" s="95"/>
      <c r="O150" s="95"/>
      <c r="P150" s="95"/>
      <c r="Q150" s="95"/>
      <c r="R150" s="95"/>
      <c r="S150" s="95"/>
      <c r="T150" s="95"/>
      <c r="U150" s="95"/>
    </row>
    <row r="151" spans="11:21" ht="15.75" thickBot="1" x14ac:dyDescent="0.3">
      <c r="K151" s="111" t="s">
        <v>135</v>
      </c>
      <c r="L151" s="112">
        <v>507</v>
      </c>
      <c r="M151" s="112">
        <v>0.14199999999999999</v>
      </c>
      <c r="N151" s="95"/>
      <c r="O151" s="95"/>
      <c r="P151" s="95"/>
      <c r="Q151" s="95"/>
      <c r="R151" s="95"/>
      <c r="S151" s="95"/>
      <c r="T151" s="95"/>
      <c r="U151" s="95"/>
    </row>
    <row r="152" spans="11:21" ht="15" x14ac:dyDescent="0.25">
      <c r="K152" s="95"/>
      <c r="L152" s="95"/>
      <c r="M152" s="95"/>
      <c r="N152" s="95"/>
      <c r="O152" s="95"/>
      <c r="P152" s="95"/>
      <c r="Q152" s="95"/>
      <c r="R152" s="95"/>
      <c r="S152" s="95"/>
      <c r="T152" s="95"/>
      <c r="U152" s="95"/>
    </row>
    <row r="153" spans="11:21" ht="15.75" thickBot="1" x14ac:dyDescent="0.3">
      <c r="K153" s="94" t="s">
        <v>292</v>
      </c>
      <c r="M153" s="4" t="s">
        <v>293</v>
      </c>
      <c r="N153" s="4" t="s">
        <v>294</v>
      </c>
      <c r="O153" s="4"/>
      <c r="P153" s="95"/>
      <c r="Q153" s="4" t="s">
        <v>293</v>
      </c>
      <c r="R153" s="4" t="s">
        <v>294</v>
      </c>
      <c r="S153" s="95"/>
      <c r="T153" s="95"/>
      <c r="U153" s="95"/>
    </row>
    <row r="154" spans="11:21" ht="15.75" thickBot="1" x14ac:dyDescent="0.25">
      <c r="K154" s="422" t="s">
        <v>18</v>
      </c>
      <c r="L154" s="424" t="s">
        <v>295</v>
      </c>
      <c r="M154" s="409" t="s">
        <v>296</v>
      </c>
      <c r="N154" s="410"/>
      <c r="O154" s="410"/>
      <c r="P154" s="410"/>
      <c r="Q154" s="410"/>
      <c r="R154" s="410"/>
      <c r="S154" s="411"/>
      <c r="T154" s="113" t="s">
        <v>297</v>
      </c>
      <c r="U154" s="114"/>
    </row>
    <row r="155" spans="11:21" ht="15.75" thickBot="1" x14ac:dyDescent="0.25">
      <c r="K155" s="423"/>
      <c r="L155" s="425"/>
      <c r="M155" s="414" t="s">
        <v>298</v>
      </c>
      <c r="N155" s="426"/>
      <c r="O155" s="426"/>
      <c r="P155" s="415"/>
      <c r="Q155" s="414" t="s">
        <v>299</v>
      </c>
      <c r="R155" s="426"/>
      <c r="S155" s="415"/>
      <c r="T155" s="115" t="s">
        <v>298</v>
      </c>
      <c r="U155" s="116" t="s">
        <v>299</v>
      </c>
    </row>
    <row r="156" spans="11:21" ht="15.75" thickBot="1" x14ac:dyDescent="0.3">
      <c r="K156" s="117" t="s">
        <v>270</v>
      </c>
      <c r="L156" s="118" t="s">
        <v>293</v>
      </c>
      <c r="M156" s="119">
        <v>408</v>
      </c>
      <c r="N156" s="120">
        <v>403</v>
      </c>
      <c r="O156" s="120"/>
      <c r="P156" s="121">
        <f>AVERAGE(M156:N156)</f>
        <v>405.5</v>
      </c>
      <c r="Q156" s="120">
        <v>0.16900000000000001</v>
      </c>
      <c r="R156" s="120">
        <v>0.17699999999999999</v>
      </c>
      <c r="S156" s="122">
        <f>AVERAGE(Q156:R156)</f>
        <v>0.17299999999999999</v>
      </c>
      <c r="T156" s="123">
        <v>658</v>
      </c>
      <c r="U156" s="124">
        <v>0.11</v>
      </c>
    </row>
    <row r="157" spans="11:21" ht="15.75" thickBot="1" x14ac:dyDescent="0.3">
      <c r="K157" s="125"/>
      <c r="L157" s="118" t="s">
        <v>294</v>
      </c>
      <c r="M157" s="126"/>
      <c r="N157" s="107"/>
      <c r="O157" s="107"/>
      <c r="P157" s="127"/>
      <c r="Q157" s="107"/>
      <c r="R157" s="107"/>
      <c r="S157" s="128"/>
      <c r="T157" s="123">
        <v>642</v>
      </c>
      <c r="U157" s="124">
        <v>0.11</v>
      </c>
    </row>
    <row r="158" spans="11:21" ht="15.75" thickBot="1" x14ac:dyDescent="0.3">
      <c r="K158" s="117" t="s">
        <v>271</v>
      </c>
      <c r="L158" s="118" t="s">
        <v>293</v>
      </c>
      <c r="M158" s="129">
        <v>262</v>
      </c>
      <c r="N158" s="17">
        <v>259</v>
      </c>
      <c r="O158" s="17"/>
      <c r="P158" s="127">
        <f t="shared" ref="P158:P174" si="0">AVERAGE(M158:N158)</f>
        <v>260.5</v>
      </c>
      <c r="Q158" s="17">
        <v>0.19500000000000001</v>
      </c>
      <c r="R158" s="17">
        <v>0.20399999999999999</v>
      </c>
      <c r="S158" s="128">
        <f t="shared" ref="S158:S174" si="1">AVERAGE(Q158:R158)</f>
        <v>0.19950000000000001</v>
      </c>
      <c r="T158" s="123">
        <v>423</v>
      </c>
      <c r="U158" s="124">
        <v>0.127</v>
      </c>
    </row>
    <row r="159" spans="11:21" ht="15.75" thickBot="1" x14ac:dyDescent="0.3">
      <c r="K159" s="125"/>
      <c r="L159" s="118" t="s">
        <v>294</v>
      </c>
      <c r="M159" s="126"/>
      <c r="N159" s="107"/>
      <c r="O159" s="107"/>
      <c r="P159" s="127"/>
      <c r="Q159" s="107"/>
      <c r="R159" s="107"/>
      <c r="S159" s="128"/>
      <c r="T159" s="123">
        <v>413</v>
      </c>
      <c r="U159" s="124">
        <v>0.127</v>
      </c>
    </row>
    <row r="160" spans="11:21" ht="15.75" thickBot="1" x14ac:dyDescent="0.3">
      <c r="K160" s="117" t="s">
        <v>30</v>
      </c>
      <c r="L160" s="118" t="s">
        <v>293</v>
      </c>
      <c r="M160" s="129">
        <v>341</v>
      </c>
      <c r="N160" s="17">
        <v>338</v>
      </c>
      <c r="O160" s="17"/>
      <c r="P160" s="127">
        <f t="shared" si="0"/>
        <v>339.5</v>
      </c>
      <c r="Q160" s="17">
        <v>0.184</v>
      </c>
      <c r="R160" s="17">
        <v>0.192</v>
      </c>
      <c r="S160" s="128">
        <f t="shared" si="1"/>
        <v>0.188</v>
      </c>
      <c r="T160" s="123">
        <v>551</v>
      </c>
      <c r="U160" s="124">
        <v>0.12</v>
      </c>
    </row>
    <row r="161" spans="11:21" ht="15.75" thickBot="1" x14ac:dyDescent="0.3">
      <c r="K161" s="125"/>
      <c r="L161" s="118" t="s">
        <v>294</v>
      </c>
      <c r="M161" s="126"/>
      <c r="N161" s="107"/>
      <c r="O161" s="107"/>
      <c r="P161" s="127"/>
      <c r="Q161" s="107"/>
      <c r="R161" s="107"/>
      <c r="S161" s="128"/>
      <c r="T161" s="123">
        <v>538</v>
      </c>
      <c r="U161" s="124">
        <v>0.12</v>
      </c>
    </row>
    <row r="162" spans="11:21" ht="15.75" thickBot="1" x14ac:dyDescent="0.3">
      <c r="K162" s="117" t="s">
        <v>272</v>
      </c>
      <c r="L162" s="118" t="s">
        <v>293</v>
      </c>
      <c r="M162" s="129">
        <v>255</v>
      </c>
      <c r="N162" s="17">
        <v>252</v>
      </c>
      <c r="O162" s="17"/>
      <c r="P162" s="127">
        <f t="shared" si="0"/>
        <v>253.5</v>
      </c>
      <c r="Q162" s="17">
        <v>0.182</v>
      </c>
      <c r="R162" s="17">
        <v>0.19</v>
      </c>
      <c r="S162" s="128">
        <f t="shared" si="1"/>
        <v>0.186</v>
      </c>
      <c r="T162" s="123">
        <v>411</v>
      </c>
      <c r="U162" s="124">
        <v>0.11899999999999999</v>
      </c>
    </row>
    <row r="163" spans="11:21" ht="15.75" thickBot="1" x14ac:dyDescent="0.3">
      <c r="K163" s="125"/>
      <c r="L163" s="118" t="s">
        <v>294</v>
      </c>
      <c r="M163" s="126"/>
      <c r="N163" s="107"/>
      <c r="O163" s="107"/>
      <c r="P163" s="127"/>
      <c r="Q163" s="107"/>
      <c r="R163" s="107"/>
      <c r="S163" s="128"/>
      <c r="T163" s="123">
        <v>401</v>
      </c>
      <c r="U163" s="124">
        <v>0.11899999999999999</v>
      </c>
    </row>
    <row r="164" spans="11:21" ht="15.75" thickBot="1" x14ac:dyDescent="0.3">
      <c r="K164" s="117" t="s">
        <v>273</v>
      </c>
      <c r="L164" s="118" t="s">
        <v>293</v>
      </c>
      <c r="M164" s="129">
        <v>360</v>
      </c>
      <c r="N164" s="17">
        <v>356</v>
      </c>
      <c r="O164" s="17"/>
      <c r="P164" s="127">
        <f t="shared" si="0"/>
        <v>358</v>
      </c>
      <c r="Q164" s="17">
        <v>0.16700000000000001</v>
      </c>
      <c r="R164" s="17">
        <v>0.17399999999999999</v>
      </c>
      <c r="S164" s="128">
        <f t="shared" si="1"/>
        <v>0.17049999999999998</v>
      </c>
      <c r="T164" s="123">
        <v>580</v>
      </c>
      <c r="U164" s="124">
        <v>0.109</v>
      </c>
    </row>
    <row r="165" spans="11:21" ht="15.75" thickBot="1" x14ac:dyDescent="0.3">
      <c r="K165" s="125"/>
      <c r="L165" s="118" t="s">
        <v>294</v>
      </c>
      <c r="M165" s="126"/>
      <c r="N165" s="107"/>
      <c r="O165" s="107"/>
      <c r="P165" s="127"/>
      <c r="Q165" s="107"/>
      <c r="R165" s="107"/>
      <c r="S165" s="128"/>
      <c r="T165" s="123">
        <v>566</v>
      </c>
      <c r="U165" s="124">
        <v>0.109</v>
      </c>
    </row>
    <row r="166" spans="11:21" ht="15.75" thickBot="1" x14ac:dyDescent="0.3">
      <c r="K166" s="117" t="s">
        <v>274</v>
      </c>
      <c r="L166" s="118" t="s">
        <v>293</v>
      </c>
      <c r="M166" s="129">
        <v>343</v>
      </c>
      <c r="N166" s="17">
        <v>339</v>
      </c>
      <c r="O166" s="17"/>
      <c r="P166" s="127">
        <f t="shared" si="0"/>
        <v>341</v>
      </c>
      <c r="Q166" s="17">
        <v>0.184</v>
      </c>
      <c r="R166" s="17">
        <v>0.192</v>
      </c>
      <c r="S166" s="128">
        <f t="shared" si="1"/>
        <v>0.188</v>
      </c>
      <c r="T166" s="123">
        <v>553</v>
      </c>
      <c r="U166" s="124">
        <v>0.12</v>
      </c>
    </row>
    <row r="167" spans="11:21" ht="15.75" thickBot="1" x14ac:dyDescent="0.3">
      <c r="K167" s="125"/>
      <c r="L167" s="118" t="s">
        <v>294</v>
      </c>
      <c r="M167" s="126"/>
      <c r="N167" s="107"/>
      <c r="O167" s="107"/>
      <c r="P167" s="127"/>
      <c r="Q167" s="107"/>
      <c r="R167" s="107"/>
      <c r="S167" s="128"/>
      <c r="T167" s="123">
        <v>540</v>
      </c>
      <c r="U167" s="124">
        <v>0.12</v>
      </c>
    </row>
    <row r="168" spans="11:21" ht="15.75" thickBot="1" x14ac:dyDescent="0.3">
      <c r="K168" s="117" t="s">
        <v>275</v>
      </c>
      <c r="L168" s="118" t="s">
        <v>293</v>
      </c>
      <c r="M168" s="129">
        <v>548</v>
      </c>
      <c r="N168" s="17">
        <v>542</v>
      </c>
      <c r="O168" s="17"/>
      <c r="P168" s="127">
        <f t="shared" si="0"/>
        <v>545</v>
      </c>
      <c r="Q168" s="17">
        <v>0.191</v>
      </c>
      <c r="R168" s="17">
        <v>0.19900000000000001</v>
      </c>
      <c r="S168" s="128">
        <f t="shared" si="1"/>
        <v>0.19500000000000001</v>
      </c>
      <c r="T168" s="123">
        <v>884</v>
      </c>
      <c r="U168" s="124">
        <v>0.125</v>
      </c>
    </row>
    <row r="169" spans="11:21" ht="15.75" thickBot="1" x14ac:dyDescent="0.3">
      <c r="K169" s="125"/>
      <c r="L169" s="118" t="s">
        <v>294</v>
      </c>
      <c r="M169" s="126"/>
      <c r="N169" s="107"/>
      <c r="O169" s="107"/>
      <c r="P169" s="127"/>
      <c r="Q169" s="107"/>
      <c r="R169" s="107"/>
      <c r="S169" s="128"/>
      <c r="T169" s="123">
        <v>863</v>
      </c>
      <c r="U169" s="124">
        <v>0.125</v>
      </c>
    </row>
    <row r="170" spans="11:21" ht="15.75" thickBot="1" x14ac:dyDescent="0.3">
      <c r="K170" s="117" t="s">
        <v>276</v>
      </c>
      <c r="L170" s="118" t="s">
        <v>293</v>
      </c>
      <c r="M170" s="129">
        <v>400</v>
      </c>
      <c r="N170" s="17">
        <v>395</v>
      </c>
      <c r="O170" s="17"/>
      <c r="P170" s="127">
        <f t="shared" si="0"/>
        <v>397.5</v>
      </c>
      <c r="Q170" s="17">
        <v>0.154</v>
      </c>
      <c r="R170" s="17">
        <v>0.161</v>
      </c>
      <c r="S170" s="128">
        <f t="shared" si="1"/>
        <v>0.1575</v>
      </c>
      <c r="T170" s="123">
        <v>645</v>
      </c>
      <c r="U170" s="124">
        <v>0.10100000000000001</v>
      </c>
    </row>
    <row r="171" spans="11:21" ht="15.75" thickBot="1" x14ac:dyDescent="0.3">
      <c r="K171" s="125"/>
      <c r="L171" s="118" t="s">
        <v>294</v>
      </c>
      <c r="M171" s="126"/>
      <c r="N171" s="107"/>
      <c r="O171" s="107"/>
      <c r="P171" s="127"/>
      <c r="Q171" s="107"/>
      <c r="R171" s="107"/>
      <c r="S171" s="128"/>
      <c r="T171" s="123">
        <v>630</v>
      </c>
      <c r="U171" s="124">
        <v>0.10100000000000001</v>
      </c>
    </row>
    <row r="172" spans="11:21" ht="15.75" thickBot="1" x14ac:dyDescent="0.3">
      <c r="K172" s="117" t="s">
        <v>277</v>
      </c>
      <c r="L172" s="118" t="s">
        <v>293</v>
      </c>
      <c r="M172" s="129">
        <v>354</v>
      </c>
      <c r="N172" s="17">
        <v>350</v>
      </c>
      <c r="O172" s="17"/>
      <c r="P172" s="127">
        <f t="shared" si="0"/>
        <v>352</v>
      </c>
      <c r="Q172" s="17">
        <v>0.182</v>
      </c>
      <c r="R172" s="17">
        <v>0.19</v>
      </c>
      <c r="S172" s="128">
        <f t="shared" si="1"/>
        <v>0.186</v>
      </c>
      <c r="T172" s="123">
        <v>570</v>
      </c>
      <c r="U172" s="124">
        <v>0.11899999999999999</v>
      </c>
    </row>
    <row r="173" spans="11:21" ht="15.75" thickBot="1" x14ac:dyDescent="0.3">
      <c r="K173" s="125"/>
      <c r="L173" s="118" t="s">
        <v>294</v>
      </c>
      <c r="M173" s="126"/>
      <c r="N173" s="107"/>
      <c r="O173" s="107"/>
      <c r="P173" s="127"/>
      <c r="Q173" s="107"/>
      <c r="R173" s="107"/>
      <c r="S173" s="128"/>
      <c r="T173" s="123">
        <v>557</v>
      </c>
      <c r="U173" s="124">
        <v>0.11899999999999999</v>
      </c>
    </row>
    <row r="174" spans="11:21" ht="15.75" thickBot="1" x14ac:dyDescent="0.3">
      <c r="K174" s="117" t="s">
        <v>278</v>
      </c>
      <c r="L174" s="118" t="s">
        <v>293</v>
      </c>
      <c r="M174" s="129">
        <v>259</v>
      </c>
      <c r="N174" s="17">
        <v>256</v>
      </c>
      <c r="O174" s="17"/>
      <c r="P174" s="127">
        <f t="shared" si="0"/>
        <v>257.5</v>
      </c>
      <c r="Q174" s="17">
        <v>0.182</v>
      </c>
      <c r="R174" s="17">
        <v>0.19</v>
      </c>
      <c r="S174" s="128">
        <f t="shared" si="1"/>
        <v>0.186</v>
      </c>
      <c r="T174" s="123">
        <v>418</v>
      </c>
      <c r="U174" s="124">
        <v>0.11899999999999999</v>
      </c>
    </row>
    <row r="175" spans="11:21" ht="15.75" thickBot="1" x14ac:dyDescent="0.3">
      <c r="K175" s="130"/>
      <c r="L175" s="131" t="s">
        <v>294</v>
      </c>
      <c r="M175" s="132"/>
      <c r="N175" s="133"/>
      <c r="O175" s="133"/>
      <c r="P175" s="133"/>
      <c r="Q175" s="133"/>
      <c r="R175" s="133"/>
      <c r="S175" s="134"/>
      <c r="T175" s="135">
        <v>408</v>
      </c>
      <c r="U175" s="136">
        <v>0.11899999999999999</v>
      </c>
    </row>
    <row r="176" spans="11:21" ht="15.75" thickBot="1" x14ac:dyDescent="0.3">
      <c r="K176" t="s">
        <v>300</v>
      </c>
      <c r="R176" s="95"/>
      <c r="S176" s="95"/>
      <c r="T176" s="95"/>
      <c r="U176" s="95"/>
    </row>
    <row r="177" spans="11:21" ht="15.75" thickBot="1" x14ac:dyDescent="0.3">
      <c r="K177" s="405" t="s">
        <v>18</v>
      </c>
      <c r="L177" s="407" t="s">
        <v>295</v>
      </c>
      <c r="M177" s="409" t="s">
        <v>296</v>
      </c>
      <c r="N177" s="410"/>
      <c r="O177" s="410"/>
      <c r="P177" s="410"/>
      <c r="Q177" s="411"/>
      <c r="R177" s="412" t="s">
        <v>297</v>
      </c>
      <c r="S177" s="413"/>
      <c r="T177" s="95"/>
      <c r="U177" s="95"/>
    </row>
    <row r="178" spans="11:21" ht="30.75" thickBot="1" x14ac:dyDescent="0.3">
      <c r="K178" s="406"/>
      <c r="L178" s="408"/>
      <c r="M178" s="414" t="s">
        <v>298</v>
      </c>
      <c r="N178" s="415"/>
      <c r="O178" s="157"/>
      <c r="P178" s="414" t="s">
        <v>299</v>
      </c>
      <c r="Q178" s="415"/>
      <c r="R178" s="115" t="s">
        <v>298</v>
      </c>
      <c r="S178" s="115" t="s">
        <v>299</v>
      </c>
      <c r="T178" s="95"/>
      <c r="U178" s="95"/>
    </row>
    <row r="179" spans="11:21" ht="15.75" thickBot="1" x14ac:dyDescent="0.3">
      <c r="K179" s="137" t="s">
        <v>270</v>
      </c>
      <c r="L179" s="118" t="s">
        <v>301</v>
      </c>
      <c r="M179" s="119">
        <v>214</v>
      </c>
      <c r="N179" s="138">
        <f>AVERAGE(M179:M182)</f>
        <v>223.25</v>
      </c>
      <c r="O179" s="138"/>
      <c r="P179" s="120">
        <v>9.1999999999999998E-2</v>
      </c>
      <c r="Q179" s="139">
        <f>AVERAGE(P179:P182)</f>
        <v>8.4250000000000005E-2</v>
      </c>
      <c r="R179" s="123">
        <v>356</v>
      </c>
      <c r="S179" s="123">
        <v>7.5999999999999998E-2</v>
      </c>
      <c r="T179" s="95"/>
      <c r="U179" s="95"/>
    </row>
    <row r="180" spans="11:21" ht="15.75" thickBot="1" x14ac:dyDescent="0.3">
      <c r="K180" s="140"/>
      <c r="L180" s="118" t="s">
        <v>302</v>
      </c>
      <c r="M180" s="129">
        <v>264</v>
      </c>
      <c r="N180" s="107"/>
      <c r="O180" s="107"/>
      <c r="P180" s="17">
        <v>9.9000000000000005E-2</v>
      </c>
      <c r="Q180" s="141"/>
      <c r="R180" s="123">
        <v>344</v>
      </c>
      <c r="S180" s="123">
        <v>0.09</v>
      </c>
      <c r="T180" s="95"/>
      <c r="U180" s="95"/>
    </row>
    <row r="181" spans="11:21" ht="15.75" thickBot="1" x14ac:dyDescent="0.3">
      <c r="K181" s="140"/>
      <c r="L181" s="118" t="s">
        <v>303</v>
      </c>
      <c r="M181" s="129">
        <v>223</v>
      </c>
      <c r="N181" s="107"/>
      <c r="O181" s="107"/>
      <c r="P181" s="17">
        <v>7.2999999999999995E-2</v>
      </c>
      <c r="Q181" s="141"/>
      <c r="R181" s="123">
        <v>342</v>
      </c>
      <c r="S181" s="123">
        <v>8.3000000000000004E-2</v>
      </c>
      <c r="T181" s="95"/>
      <c r="U181" s="95"/>
    </row>
    <row r="182" spans="11:21" ht="15.75" thickBot="1" x14ac:dyDescent="0.3">
      <c r="K182" s="142"/>
      <c r="L182" s="118" t="s">
        <v>304</v>
      </c>
      <c r="M182" s="129">
        <v>192</v>
      </c>
      <c r="N182" s="107"/>
      <c r="O182" s="107"/>
      <c r="P182" s="17">
        <v>7.2999999999999995E-2</v>
      </c>
      <c r="Q182" s="141"/>
      <c r="R182" s="123">
        <v>319</v>
      </c>
      <c r="S182" s="123">
        <v>0.06</v>
      </c>
      <c r="T182" s="95"/>
      <c r="U182" s="95"/>
    </row>
    <row r="183" spans="11:21" ht="15.75" thickBot="1" x14ac:dyDescent="0.3">
      <c r="K183" s="137" t="s">
        <v>271</v>
      </c>
      <c r="L183" s="118" t="s">
        <v>301</v>
      </c>
      <c r="M183" s="129">
        <v>137</v>
      </c>
      <c r="N183" s="143">
        <f>AVERAGE(M183:M186)</f>
        <v>143.25</v>
      </c>
      <c r="O183" s="143"/>
      <c r="P183" s="17">
        <v>0.106</v>
      </c>
      <c r="Q183" s="144">
        <f>AVERAGE(P183:P186)</f>
        <v>9.7250000000000003E-2</v>
      </c>
      <c r="R183" s="123">
        <v>229</v>
      </c>
      <c r="S183" s="123">
        <v>8.7999999999999995E-2</v>
      </c>
      <c r="T183" s="95"/>
      <c r="U183" s="95"/>
    </row>
    <row r="184" spans="11:21" ht="15.75" thickBot="1" x14ac:dyDescent="0.3">
      <c r="K184" s="140"/>
      <c r="L184" s="118" t="s">
        <v>302</v>
      </c>
      <c r="M184" s="129">
        <v>169</v>
      </c>
      <c r="N184" s="107"/>
      <c r="O184" s="107"/>
      <c r="P184" s="17">
        <v>0.114</v>
      </c>
      <c r="Q184" s="141"/>
      <c r="R184" s="123">
        <v>221</v>
      </c>
      <c r="S184" s="123">
        <v>0.104</v>
      </c>
      <c r="T184" s="95"/>
      <c r="U184" s="95"/>
    </row>
    <row r="185" spans="11:21" ht="15.75" thickBot="1" x14ac:dyDescent="0.3">
      <c r="K185" s="140"/>
      <c r="L185" s="118" t="s">
        <v>303</v>
      </c>
      <c r="M185" s="129">
        <v>143</v>
      </c>
      <c r="N185" s="107"/>
      <c r="O185" s="107"/>
      <c r="P185" s="17">
        <v>8.5000000000000006E-2</v>
      </c>
      <c r="Q185" s="141"/>
      <c r="R185" s="123">
        <v>220</v>
      </c>
      <c r="S185" s="123">
        <v>9.5000000000000001E-2</v>
      </c>
      <c r="T185" s="95"/>
      <c r="U185" s="95"/>
    </row>
    <row r="186" spans="11:21" ht="15.75" thickBot="1" x14ac:dyDescent="0.3">
      <c r="K186" s="142"/>
      <c r="L186" s="118" t="s">
        <v>304</v>
      </c>
      <c r="M186" s="129">
        <v>124</v>
      </c>
      <c r="N186" s="107"/>
      <c r="O186" s="107"/>
      <c r="P186" s="17">
        <v>8.4000000000000005E-2</v>
      </c>
      <c r="Q186" s="141"/>
      <c r="R186" s="123">
        <v>205</v>
      </c>
      <c r="S186" s="123">
        <v>6.9000000000000006E-2</v>
      </c>
      <c r="T186" s="95"/>
      <c r="U186" s="95"/>
    </row>
    <row r="187" spans="11:21" ht="15.75" thickBot="1" x14ac:dyDescent="0.3">
      <c r="K187" s="137" t="s">
        <v>30</v>
      </c>
      <c r="L187" s="118" t="s">
        <v>301</v>
      </c>
      <c r="M187" s="129">
        <v>179</v>
      </c>
      <c r="N187" s="143">
        <f>AVERAGE(M187:M190)</f>
        <v>187</v>
      </c>
      <c r="O187" s="143"/>
      <c r="P187" s="17">
        <v>0.1</v>
      </c>
      <c r="Q187" s="144">
        <f>AVERAGE(P187:P190)</f>
        <v>9.1750000000000012E-2</v>
      </c>
      <c r="R187" s="123">
        <v>298</v>
      </c>
      <c r="S187" s="123">
        <v>8.3000000000000004E-2</v>
      </c>
      <c r="T187" s="95"/>
      <c r="U187" s="95"/>
    </row>
    <row r="188" spans="11:21" ht="15.75" thickBot="1" x14ac:dyDescent="0.3">
      <c r="K188" s="140"/>
      <c r="L188" s="118" t="s">
        <v>302</v>
      </c>
      <c r="M188" s="129">
        <v>221</v>
      </c>
      <c r="N188" s="107"/>
      <c r="O188" s="107"/>
      <c r="P188" s="17">
        <v>0.108</v>
      </c>
      <c r="Q188" s="141"/>
      <c r="R188" s="123">
        <v>288</v>
      </c>
      <c r="S188" s="123">
        <v>9.8000000000000004E-2</v>
      </c>
      <c r="T188" s="95"/>
      <c r="U188" s="95"/>
    </row>
    <row r="189" spans="11:21" ht="15.75" thickBot="1" x14ac:dyDescent="0.3">
      <c r="K189" s="140"/>
      <c r="L189" s="118" t="s">
        <v>303</v>
      </c>
      <c r="M189" s="129">
        <v>187</v>
      </c>
      <c r="N189" s="107"/>
      <c r="O189" s="107"/>
      <c r="P189" s="17">
        <v>0.08</v>
      </c>
      <c r="Q189" s="141"/>
      <c r="R189" s="123">
        <v>286</v>
      </c>
      <c r="S189" s="123">
        <v>0.09</v>
      </c>
      <c r="T189" s="95"/>
      <c r="U189" s="95"/>
    </row>
    <row r="190" spans="11:21" ht="15.75" thickBot="1" x14ac:dyDescent="0.3">
      <c r="K190" s="142"/>
      <c r="L190" s="118" t="s">
        <v>304</v>
      </c>
      <c r="M190" s="129">
        <v>161</v>
      </c>
      <c r="N190" s="107"/>
      <c r="O190" s="107"/>
      <c r="P190" s="17">
        <v>7.9000000000000001E-2</v>
      </c>
      <c r="Q190" s="141"/>
      <c r="R190" s="123">
        <v>268</v>
      </c>
      <c r="S190" s="123">
        <v>6.5000000000000002E-2</v>
      </c>
      <c r="T190" s="95"/>
      <c r="U190" s="95"/>
    </row>
    <row r="191" spans="11:21" ht="15.75" thickBot="1" x14ac:dyDescent="0.3">
      <c r="K191" s="137" t="s">
        <v>272</v>
      </c>
      <c r="L191" s="118" t="s">
        <v>301</v>
      </c>
      <c r="M191" s="129">
        <v>133</v>
      </c>
      <c r="N191" s="143">
        <f>AVERAGE(M191:M194)</f>
        <v>139.25</v>
      </c>
      <c r="O191" s="143"/>
      <c r="P191" s="17">
        <v>9.9000000000000005E-2</v>
      </c>
      <c r="Q191" s="144">
        <f>AVERAGE(P191:P194)</f>
        <v>9.1000000000000011E-2</v>
      </c>
      <c r="R191" s="123">
        <v>222</v>
      </c>
      <c r="S191" s="123">
        <v>8.2000000000000003E-2</v>
      </c>
      <c r="T191" s="95"/>
      <c r="U191" s="95"/>
    </row>
    <row r="192" spans="11:21" ht="15.75" thickBot="1" x14ac:dyDescent="0.3">
      <c r="K192" s="140"/>
      <c r="L192" s="118" t="s">
        <v>302</v>
      </c>
      <c r="M192" s="129">
        <v>165</v>
      </c>
      <c r="N192" s="107"/>
      <c r="O192" s="107"/>
      <c r="P192" s="17">
        <v>0.107</v>
      </c>
      <c r="Q192" s="141"/>
      <c r="R192" s="123">
        <v>215</v>
      </c>
      <c r="S192" s="123">
        <v>9.7000000000000003E-2</v>
      </c>
      <c r="T192" s="95"/>
      <c r="U192" s="95"/>
    </row>
    <row r="193" spans="11:21" ht="15.75" thickBot="1" x14ac:dyDescent="0.3">
      <c r="K193" s="140"/>
      <c r="L193" s="118" t="s">
        <v>303</v>
      </c>
      <c r="M193" s="129">
        <v>139</v>
      </c>
      <c r="N193" s="107"/>
      <c r="O193" s="107"/>
      <c r="P193" s="17">
        <v>7.9000000000000001E-2</v>
      </c>
      <c r="Q193" s="141"/>
      <c r="R193" s="123">
        <v>214</v>
      </c>
      <c r="S193" s="123">
        <v>8.8999999999999996E-2</v>
      </c>
      <c r="T193" s="95"/>
      <c r="U193" s="95"/>
    </row>
    <row r="194" spans="11:21" ht="15.75" thickBot="1" x14ac:dyDescent="0.3">
      <c r="K194" s="142"/>
      <c r="L194" s="118" t="s">
        <v>304</v>
      </c>
      <c r="M194" s="129">
        <v>120</v>
      </c>
      <c r="N194" s="107"/>
      <c r="O194" s="107"/>
      <c r="P194" s="17">
        <v>7.9000000000000001E-2</v>
      </c>
      <c r="Q194" s="141"/>
      <c r="R194" s="123">
        <v>199</v>
      </c>
      <c r="S194" s="123">
        <v>6.4000000000000001E-2</v>
      </c>
      <c r="T194" s="95"/>
      <c r="U194" s="95"/>
    </row>
    <row r="195" spans="11:21" ht="15.75" thickBot="1" x14ac:dyDescent="0.3">
      <c r="K195" s="137" t="s">
        <v>273</v>
      </c>
      <c r="L195" s="118" t="s">
        <v>301</v>
      </c>
      <c r="M195" s="129">
        <v>189</v>
      </c>
      <c r="N195" s="143">
        <f>AVERAGE(M195:M198)</f>
        <v>197.25</v>
      </c>
      <c r="O195" s="143"/>
      <c r="P195" s="17">
        <v>9.0999999999999998E-2</v>
      </c>
      <c r="Q195" s="144">
        <f>AVERAGE(P195:P198)</f>
        <v>8.3250000000000005E-2</v>
      </c>
      <c r="R195" s="123">
        <v>314</v>
      </c>
      <c r="S195" s="123">
        <v>7.4999999999999997E-2</v>
      </c>
      <c r="T195" s="95"/>
      <c r="U195" s="95"/>
    </row>
    <row r="196" spans="11:21" ht="15.75" thickBot="1" x14ac:dyDescent="0.3">
      <c r="K196" s="140"/>
      <c r="L196" s="118" t="s">
        <v>302</v>
      </c>
      <c r="M196" s="129">
        <v>233</v>
      </c>
      <c r="N196" s="107"/>
      <c r="O196" s="107"/>
      <c r="P196" s="17">
        <v>9.8000000000000004E-2</v>
      </c>
      <c r="Q196" s="141"/>
      <c r="R196" s="123">
        <v>304</v>
      </c>
      <c r="S196" s="123">
        <v>8.8999999999999996E-2</v>
      </c>
      <c r="T196" s="95"/>
      <c r="U196" s="95"/>
    </row>
    <row r="197" spans="11:21" ht="15.75" thickBot="1" x14ac:dyDescent="0.3">
      <c r="K197" s="140"/>
      <c r="L197" s="118" t="s">
        <v>303</v>
      </c>
      <c r="M197" s="129">
        <v>197</v>
      </c>
      <c r="N197" s="107"/>
      <c r="O197" s="107"/>
      <c r="P197" s="17">
        <v>7.1999999999999995E-2</v>
      </c>
      <c r="Q197" s="141"/>
      <c r="R197" s="123">
        <v>302</v>
      </c>
      <c r="S197" s="123">
        <v>8.2000000000000003E-2</v>
      </c>
      <c r="T197" s="95"/>
      <c r="U197" s="95"/>
    </row>
    <row r="198" spans="11:21" ht="15.75" thickBot="1" x14ac:dyDescent="0.3">
      <c r="K198" s="142"/>
      <c r="L198" s="118" t="s">
        <v>304</v>
      </c>
      <c r="M198" s="129">
        <v>170</v>
      </c>
      <c r="N198" s="107"/>
      <c r="O198" s="107"/>
      <c r="P198" s="17">
        <v>7.1999999999999995E-2</v>
      </c>
      <c r="Q198" s="141"/>
      <c r="R198" s="123">
        <v>282</v>
      </c>
      <c r="S198" s="123">
        <v>5.8999999999999997E-2</v>
      </c>
      <c r="T198" s="95"/>
      <c r="U198" s="95"/>
    </row>
    <row r="199" spans="11:21" ht="15.75" thickBot="1" x14ac:dyDescent="0.3">
      <c r="K199" s="137" t="s">
        <v>274</v>
      </c>
      <c r="L199" s="118" t="s">
        <v>301</v>
      </c>
      <c r="M199" s="129">
        <v>180</v>
      </c>
      <c r="N199" s="143">
        <f>AVERAGE(M199:M202)</f>
        <v>188</v>
      </c>
      <c r="O199" s="143"/>
      <c r="P199" s="17">
        <v>0.1</v>
      </c>
      <c r="Q199" s="144">
        <f>AVERAGE(P199:P202)</f>
        <v>9.1750000000000012E-2</v>
      </c>
      <c r="R199" s="123">
        <v>300</v>
      </c>
      <c r="S199" s="123">
        <v>8.3000000000000004E-2</v>
      </c>
      <c r="T199" s="95"/>
      <c r="U199" s="95"/>
    </row>
    <row r="200" spans="11:21" ht="15.75" thickBot="1" x14ac:dyDescent="0.3">
      <c r="K200" s="140"/>
      <c r="L200" s="118" t="s">
        <v>302</v>
      </c>
      <c r="M200" s="129">
        <v>222</v>
      </c>
      <c r="N200" s="107"/>
      <c r="O200" s="107"/>
      <c r="P200" s="17">
        <v>0.108</v>
      </c>
      <c r="Q200" s="141"/>
      <c r="R200" s="123">
        <v>290</v>
      </c>
      <c r="S200" s="123">
        <v>9.8000000000000004E-2</v>
      </c>
      <c r="T200" s="95"/>
      <c r="U200" s="95"/>
    </row>
    <row r="201" spans="11:21" ht="15.75" thickBot="1" x14ac:dyDescent="0.3">
      <c r="K201" s="140"/>
      <c r="L201" s="118" t="s">
        <v>303</v>
      </c>
      <c r="M201" s="129">
        <v>188</v>
      </c>
      <c r="N201" s="107"/>
      <c r="O201" s="107"/>
      <c r="P201" s="17">
        <v>0.08</v>
      </c>
      <c r="Q201" s="141"/>
      <c r="R201" s="123">
        <v>288</v>
      </c>
      <c r="S201" s="123">
        <v>0.09</v>
      </c>
      <c r="T201" s="95"/>
      <c r="U201" s="95"/>
    </row>
    <row r="202" spans="11:21" ht="15.75" thickBot="1" x14ac:dyDescent="0.3">
      <c r="K202" s="142"/>
      <c r="L202" s="118" t="s">
        <v>304</v>
      </c>
      <c r="M202" s="129">
        <v>162</v>
      </c>
      <c r="N202" s="107"/>
      <c r="O202" s="107"/>
      <c r="P202" s="17">
        <v>7.9000000000000001E-2</v>
      </c>
      <c r="Q202" s="141"/>
      <c r="R202" s="123">
        <v>269</v>
      </c>
      <c r="S202" s="123">
        <v>6.5000000000000002E-2</v>
      </c>
      <c r="T202" s="95"/>
      <c r="U202" s="95"/>
    </row>
    <row r="203" spans="11:21" ht="15.75" thickBot="1" x14ac:dyDescent="0.3">
      <c r="K203" s="137" t="s">
        <v>275</v>
      </c>
      <c r="L203" s="118" t="s">
        <v>301</v>
      </c>
      <c r="M203" s="129">
        <v>287</v>
      </c>
      <c r="N203" s="143">
        <f>AVERAGE(M203:M206)</f>
        <v>299.75</v>
      </c>
      <c r="O203" s="143"/>
      <c r="P203" s="17">
        <v>0.10299999999999999</v>
      </c>
      <c r="Q203" s="144">
        <f>AVERAGE(P203:P206)</f>
        <v>9.5000000000000001E-2</v>
      </c>
      <c r="R203" s="123">
        <v>479</v>
      </c>
      <c r="S203" s="123">
        <v>8.5999999999999993E-2</v>
      </c>
      <c r="T203" s="95"/>
      <c r="U203" s="95"/>
    </row>
    <row r="204" spans="11:21" ht="15.75" thickBot="1" x14ac:dyDescent="0.3">
      <c r="K204" s="140"/>
      <c r="L204" s="118" t="s">
        <v>302</v>
      </c>
      <c r="M204" s="129">
        <v>354</v>
      </c>
      <c r="N204" s="107"/>
      <c r="O204" s="107"/>
      <c r="P204" s="17">
        <v>0.112</v>
      </c>
      <c r="Q204" s="141"/>
      <c r="R204" s="123">
        <v>463</v>
      </c>
      <c r="S204" s="123">
        <v>0.10100000000000001</v>
      </c>
      <c r="T204" s="95"/>
      <c r="U204" s="95"/>
    </row>
    <row r="205" spans="11:21" ht="15.75" thickBot="1" x14ac:dyDescent="0.3">
      <c r="K205" s="140"/>
      <c r="L205" s="118" t="s">
        <v>303</v>
      </c>
      <c r="M205" s="129">
        <v>300</v>
      </c>
      <c r="N205" s="107"/>
      <c r="O205" s="107"/>
      <c r="P205" s="17">
        <v>8.3000000000000004E-2</v>
      </c>
      <c r="Q205" s="141"/>
      <c r="R205" s="123">
        <v>460</v>
      </c>
      <c r="S205" s="123">
        <v>9.2999999999999999E-2</v>
      </c>
      <c r="T205" s="95"/>
      <c r="U205" s="95"/>
    </row>
    <row r="206" spans="11:21" ht="15.75" thickBot="1" x14ac:dyDescent="0.3">
      <c r="K206" s="142"/>
      <c r="L206" s="118" t="s">
        <v>304</v>
      </c>
      <c r="M206" s="129">
        <v>258</v>
      </c>
      <c r="N206" s="107"/>
      <c r="O206" s="107"/>
      <c r="P206" s="17">
        <v>8.2000000000000003E-2</v>
      </c>
      <c r="Q206" s="141"/>
      <c r="R206" s="123">
        <v>429</v>
      </c>
      <c r="S206" s="123">
        <v>6.7000000000000004E-2</v>
      </c>
      <c r="T206" s="95"/>
      <c r="U206" s="95"/>
    </row>
    <row r="207" spans="11:21" ht="15.75" thickBot="1" x14ac:dyDescent="0.3">
      <c r="K207" s="137" t="s">
        <v>276</v>
      </c>
      <c r="L207" s="118" t="s">
        <v>301</v>
      </c>
      <c r="M207" s="129">
        <v>210</v>
      </c>
      <c r="N207" s="143">
        <f>AVERAGE(M207:M210)</f>
        <v>219.25</v>
      </c>
      <c r="O207" s="143"/>
      <c r="P207" s="17">
        <v>8.3000000000000004E-2</v>
      </c>
      <c r="Q207" s="144">
        <f>AVERAGE(P207:P210)</f>
        <v>7.6499999999999999E-2</v>
      </c>
      <c r="R207" s="123">
        <v>349</v>
      </c>
      <c r="S207" s="123">
        <v>7.0000000000000007E-2</v>
      </c>
      <c r="T207" s="95"/>
      <c r="U207" s="95"/>
    </row>
    <row r="208" spans="11:21" ht="15.75" thickBot="1" x14ac:dyDescent="0.3">
      <c r="K208" s="140"/>
      <c r="L208" s="118" t="s">
        <v>302</v>
      </c>
      <c r="M208" s="129">
        <v>259</v>
      </c>
      <c r="N208" s="107"/>
      <c r="O208" s="107"/>
      <c r="P208" s="17">
        <v>0.09</v>
      </c>
      <c r="Q208" s="141"/>
      <c r="R208" s="123">
        <v>338</v>
      </c>
      <c r="S208" s="123">
        <v>8.2000000000000003E-2</v>
      </c>
      <c r="T208" s="95"/>
      <c r="U208" s="95"/>
    </row>
    <row r="209" spans="11:21" ht="15.75" thickBot="1" x14ac:dyDescent="0.3">
      <c r="K209" s="140"/>
      <c r="L209" s="118" t="s">
        <v>303</v>
      </c>
      <c r="M209" s="129">
        <v>219</v>
      </c>
      <c r="N209" s="107"/>
      <c r="O209" s="107"/>
      <c r="P209" s="17">
        <v>6.7000000000000004E-2</v>
      </c>
      <c r="Q209" s="141"/>
      <c r="R209" s="123">
        <v>335</v>
      </c>
      <c r="S209" s="123">
        <v>7.4999999999999997E-2</v>
      </c>
      <c r="T209" s="95"/>
      <c r="U209" s="95"/>
    </row>
    <row r="210" spans="11:21" ht="15.75" thickBot="1" x14ac:dyDescent="0.3">
      <c r="K210" s="142"/>
      <c r="L210" s="118" t="s">
        <v>304</v>
      </c>
      <c r="M210" s="129">
        <v>189</v>
      </c>
      <c r="N210" s="107"/>
      <c r="O210" s="107"/>
      <c r="P210" s="17">
        <v>6.6000000000000003E-2</v>
      </c>
      <c r="Q210" s="141"/>
      <c r="R210" s="123">
        <v>313</v>
      </c>
      <c r="S210" s="123">
        <v>5.3999999999999999E-2</v>
      </c>
      <c r="T210" s="95"/>
      <c r="U210" s="95"/>
    </row>
    <row r="211" spans="11:21" ht="15.75" thickBot="1" x14ac:dyDescent="0.3">
      <c r="K211" s="137" t="s">
        <v>277</v>
      </c>
      <c r="L211" s="118" t="s">
        <v>301</v>
      </c>
      <c r="M211" s="129">
        <v>185</v>
      </c>
      <c r="N211" s="143">
        <f>AVERAGE(M211:M214)</f>
        <v>193.75</v>
      </c>
      <c r="O211" s="143"/>
      <c r="P211" s="17">
        <v>9.9000000000000005E-2</v>
      </c>
      <c r="Q211" s="144">
        <f>AVERAGE(P211:P214)</f>
        <v>9.1000000000000011E-2</v>
      </c>
      <c r="R211" s="123">
        <v>309</v>
      </c>
      <c r="S211" s="123">
        <v>8.2000000000000003E-2</v>
      </c>
      <c r="T211" s="95"/>
      <c r="U211" s="95"/>
    </row>
    <row r="212" spans="11:21" ht="15.75" thickBot="1" x14ac:dyDescent="0.3">
      <c r="K212" s="140"/>
      <c r="L212" s="118" t="s">
        <v>302</v>
      </c>
      <c r="M212" s="129">
        <v>229</v>
      </c>
      <c r="N212" s="107"/>
      <c r="O212" s="107"/>
      <c r="P212" s="17">
        <v>0.107</v>
      </c>
      <c r="Q212" s="141"/>
      <c r="R212" s="123">
        <v>299</v>
      </c>
      <c r="S212" s="123">
        <v>9.7000000000000003E-2</v>
      </c>
      <c r="T212" s="95"/>
      <c r="U212" s="95"/>
    </row>
    <row r="213" spans="11:21" ht="15.75" thickBot="1" x14ac:dyDescent="0.3">
      <c r="K213" s="140"/>
      <c r="L213" s="118" t="s">
        <v>303</v>
      </c>
      <c r="M213" s="129">
        <v>194</v>
      </c>
      <c r="N213" s="107"/>
      <c r="O213" s="107"/>
      <c r="P213" s="17">
        <v>7.9000000000000001E-2</v>
      </c>
      <c r="Q213" s="141"/>
      <c r="R213" s="123">
        <v>297</v>
      </c>
      <c r="S213" s="123">
        <v>8.8999999999999996E-2</v>
      </c>
      <c r="T213" s="95"/>
      <c r="U213" s="95"/>
    </row>
    <row r="214" spans="11:21" ht="15.75" thickBot="1" x14ac:dyDescent="0.3">
      <c r="K214" s="142"/>
      <c r="L214" s="118" t="s">
        <v>304</v>
      </c>
      <c r="M214" s="129">
        <v>167</v>
      </c>
      <c r="N214" s="107"/>
      <c r="O214" s="107"/>
      <c r="P214" s="17">
        <v>7.9000000000000001E-2</v>
      </c>
      <c r="Q214" s="141"/>
      <c r="R214" s="123">
        <v>277</v>
      </c>
      <c r="S214" s="123">
        <v>6.4000000000000001E-2</v>
      </c>
      <c r="T214" s="95"/>
      <c r="U214" s="95"/>
    </row>
    <row r="215" spans="11:21" ht="15.75" thickBot="1" x14ac:dyDescent="0.3">
      <c r="K215" s="137" t="s">
        <v>278</v>
      </c>
      <c r="L215" s="118" t="s">
        <v>301</v>
      </c>
      <c r="M215" s="129">
        <v>136</v>
      </c>
      <c r="N215" s="143">
        <f>AVERAGE(M215:M218)</f>
        <v>142</v>
      </c>
      <c r="O215" s="143"/>
      <c r="P215" s="17">
        <v>9.9000000000000005E-2</v>
      </c>
      <c r="Q215" s="144">
        <f>AVERAGE(P215:P218)</f>
        <v>9.1000000000000011E-2</v>
      </c>
      <c r="R215" s="123">
        <v>227</v>
      </c>
      <c r="S215" s="123">
        <v>8.2000000000000003E-2</v>
      </c>
      <c r="T215" s="95"/>
      <c r="U215" s="95"/>
    </row>
    <row r="216" spans="11:21" ht="15.75" thickBot="1" x14ac:dyDescent="0.3">
      <c r="K216" s="140"/>
      <c r="L216" s="118" t="s">
        <v>302</v>
      </c>
      <c r="M216" s="129">
        <v>168</v>
      </c>
      <c r="N216" s="107"/>
      <c r="O216" s="107"/>
      <c r="P216" s="17">
        <v>0.107</v>
      </c>
      <c r="Q216" s="141"/>
      <c r="R216" s="123">
        <v>219</v>
      </c>
      <c r="S216" s="123">
        <v>9.7000000000000003E-2</v>
      </c>
      <c r="T216" s="95"/>
      <c r="U216" s="95"/>
    </row>
    <row r="217" spans="11:21" ht="15.75" thickBot="1" x14ac:dyDescent="0.3">
      <c r="K217" s="140"/>
      <c r="L217" s="118" t="s">
        <v>303</v>
      </c>
      <c r="M217" s="129">
        <v>142</v>
      </c>
      <c r="N217" s="107"/>
      <c r="O217" s="107"/>
      <c r="P217" s="17">
        <v>7.9000000000000001E-2</v>
      </c>
      <c r="Q217" s="141"/>
      <c r="R217" s="123">
        <v>217</v>
      </c>
      <c r="S217" s="123">
        <v>8.8999999999999996E-2</v>
      </c>
      <c r="T217" s="95"/>
      <c r="U217" s="95"/>
    </row>
    <row r="218" spans="11:21" ht="15.75" thickBot="1" x14ac:dyDescent="0.3">
      <c r="K218" s="142"/>
      <c r="L218" s="145" t="s">
        <v>304</v>
      </c>
      <c r="M218" s="146">
        <v>122</v>
      </c>
      <c r="N218" s="133"/>
      <c r="O218" s="133"/>
      <c r="P218" s="147">
        <v>7.9000000000000001E-2</v>
      </c>
      <c r="Q218" s="148"/>
      <c r="R218" s="149">
        <v>203</v>
      </c>
      <c r="S218" s="149">
        <v>6.4000000000000001E-2</v>
      </c>
      <c r="T218" s="95"/>
      <c r="U218" s="95"/>
    </row>
    <row r="219" spans="11:21" ht="15.75" thickBot="1" x14ac:dyDescent="0.3">
      <c r="K219" s="94" t="s">
        <v>305</v>
      </c>
      <c r="R219" s="95"/>
      <c r="S219" s="95"/>
      <c r="T219" s="95"/>
      <c r="U219" s="95"/>
    </row>
    <row r="220" spans="11:21" ht="15.75" thickBot="1" x14ac:dyDescent="0.3">
      <c r="K220" s="405" t="s">
        <v>18</v>
      </c>
      <c r="L220" s="407" t="s">
        <v>306</v>
      </c>
      <c r="M220" s="409" t="s">
        <v>296</v>
      </c>
      <c r="N220" s="410"/>
      <c r="O220" s="410"/>
      <c r="P220" s="410"/>
      <c r="Q220" s="411"/>
      <c r="R220" s="412" t="s">
        <v>297</v>
      </c>
      <c r="S220" s="413"/>
      <c r="T220" s="95"/>
      <c r="U220" s="95"/>
    </row>
    <row r="221" spans="11:21" ht="30.75" thickBot="1" x14ac:dyDescent="0.3">
      <c r="K221" s="406"/>
      <c r="L221" s="408"/>
      <c r="M221" s="414" t="s">
        <v>298</v>
      </c>
      <c r="N221" s="415"/>
      <c r="O221" s="157"/>
      <c r="P221" s="414" t="s">
        <v>299</v>
      </c>
      <c r="Q221" s="415"/>
      <c r="R221" s="115" t="s">
        <v>298</v>
      </c>
      <c r="S221" s="115" t="s">
        <v>299</v>
      </c>
      <c r="T221" s="95"/>
      <c r="U221" s="95"/>
    </row>
    <row r="222" spans="11:21" ht="15.75" thickBot="1" x14ac:dyDescent="0.3">
      <c r="K222" s="137" t="s">
        <v>270</v>
      </c>
      <c r="L222" s="118" t="s">
        <v>307</v>
      </c>
      <c r="M222" s="119">
        <v>240</v>
      </c>
      <c r="N222" s="138">
        <f>AVERAGE(M222:M224)</f>
        <v>221.66666666666666</v>
      </c>
      <c r="O222" s="138"/>
      <c r="P222" s="120">
        <v>6.6000000000000003E-2</v>
      </c>
      <c r="Q222" s="139">
        <f>AVERAGE(P222:P224)</f>
        <v>5.7666666666666665E-2</v>
      </c>
      <c r="R222" s="123">
        <v>171</v>
      </c>
      <c r="S222" s="123">
        <v>3.2000000000000001E-2</v>
      </c>
      <c r="T222" s="95"/>
      <c r="U222" s="95"/>
    </row>
    <row r="223" spans="11:21" ht="15.75" thickBot="1" x14ac:dyDescent="0.3">
      <c r="K223" s="140"/>
      <c r="L223" s="118" t="s">
        <v>308</v>
      </c>
      <c r="M223" s="129">
        <v>214</v>
      </c>
      <c r="N223" s="127"/>
      <c r="O223" s="127"/>
      <c r="P223" s="17">
        <v>5.6000000000000001E-2</v>
      </c>
      <c r="Q223" s="144"/>
      <c r="R223" s="123">
        <v>127</v>
      </c>
      <c r="S223" s="123">
        <v>5.3999999999999999E-2</v>
      </c>
      <c r="T223" s="95"/>
      <c r="U223" s="95"/>
    </row>
    <row r="224" spans="11:21" ht="15.75" thickBot="1" x14ac:dyDescent="0.3">
      <c r="K224" s="142"/>
      <c r="L224" s="118" t="s">
        <v>309</v>
      </c>
      <c r="M224" s="129">
        <v>211</v>
      </c>
      <c r="N224" s="127"/>
      <c r="O224" s="127"/>
      <c r="P224" s="17">
        <v>5.0999999999999997E-2</v>
      </c>
      <c r="Q224" s="144"/>
      <c r="R224" s="123">
        <v>138</v>
      </c>
      <c r="S224" s="123">
        <v>0.05</v>
      </c>
      <c r="T224" s="95"/>
      <c r="U224" s="95"/>
    </row>
    <row r="225" spans="11:21" ht="15.75" thickBot="1" x14ac:dyDescent="0.3">
      <c r="K225" s="137" t="s">
        <v>271</v>
      </c>
      <c r="L225" s="118" t="s">
        <v>307</v>
      </c>
      <c r="M225" s="129">
        <v>154</v>
      </c>
      <c r="N225" s="143">
        <f>AVERAGE(M225:M227)</f>
        <v>142.33333333333334</v>
      </c>
      <c r="O225" s="143"/>
      <c r="P225" s="17">
        <v>7.6999999999999999E-2</v>
      </c>
      <c r="Q225" s="144">
        <f>AVERAGE(P225:P227)</f>
        <v>6.7000000000000004E-2</v>
      </c>
      <c r="R225" s="123">
        <v>110</v>
      </c>
      <c r="S225" s="123">
        <v>3.5999999999999997E-2</v>
      </c>
      <c r="T225" s="95"/>
      <c r="U225" s="95"/>
    </row>
    <row r="226" spans="11:21" ht="15.75" thickBot="1" x14ac:dyDescent="0.3">
      <c r="K226" s="140"/>
      <c r="L226" s="118" t="s">
        <v>308</v>
      </c>
      <c r="M226" s="129">
        <v>137</v>
      </c>
      <c r="N226" s="127"/>
      <c r="O226" s="127"/>
      <c r="P226" s="17">
        <v>6.5000000000000002E-2</v>
      </c>
      <c r="Q226" s="144"/>
      <c r="R226" s="123">
        <v>82</v>
      </c>
      <c r="S226" s="123">
        <v>6.2E-2</v>
      </c>
      <c r="T226" s="95"/>
      <c r="U226" s="95"/>
    </row>
    <row r="227" spans="11:21" ht="15.75" thickBot="1" x14ac:dyDescent="0.3">
      <c r="K227" s="142"/>
      <c r="L227" s="118" t="s">
        <v>309</v>
      </c>
      <c r="M227" s="129">
        <v>136</v>
      </c>
      <c r="N227" s="127"/>
      <c r="O227" s="127"/>
      <c r="P227" s="17">
        <v>5.8999999999999997E-2</v>
      </c>
      <c r="Q227" s="144"/>
      <c r="R227" s="123">
        <v>89</v>
      </c>
      <c r="S227" s="123">
        <v>5.7000000000000002E-2</v>
      </c>
      <c r="T227" s="95"/>
      <c r="U227" s="95"/>
    </row>
    <row r="228" spans="11:21" ht="15.75" thickBot="1" x14ac:dyDescent="0.3">
      <c r="K228" s="137" t="s">
        <v>30</v>
      </c>
      <c r="L228" s="118" t="s">
        <v>307</v>
      </c>
      <c r="M228" s="129">
        <v>201</v>
      </c>
      <c r="N228" s="143">
        <f>AVERAGE(M228:M230)</f>
        <v>185.66666666666666</v>
      </c>
      <c r="O228" s="143"/>
      <c r="P228" s="17">
        <v>7.1999999999999995E-2</v>
      </c>
      <c r="Q228" s="144">
        <f>AVERAGE(P228:P230)</f>
        <v>6.3E-2</v>
      </c>
      <c r="R228" s="123">
        <v>143</v>
      </c>
      <c r="S228" s="123">
        <v>3.4000000000000002E-2</v>
      </c>
      <c r="T228" s="95"/>
      <c r="U228" s="95"/>
    </row>
    <row r="229" spans="11:21" ht="15.75" thickBot="1" x14ac:dyDescent="0.3">
      <c r="K229" s="140"/>
      <c r="L229" s="118" t="s">
        <v>308</v>
      </c>
      <c r="M229" s="129">
        <v>179</v>
      </c>
      <c r="N229" s="127"/>
      <c r="O229" s="127"/>
      <c r="P229" s="17">
        <v>6.0999999999999999E-2</v>
      </c>
      <c r="Q229" s="144"/>
      <c r="R229" s="123">
        <v>106</v>
      </c>
      <c r="S229" s="123">
        <v>5.8999999999999997E-2</v>
      </c>
      <c r="T229" s="95"/>
      <c r="U229" s="95"/>
    </row>
    <row r="230" spans="11:21" ht="15.75" thickBot="1" x14ac:dyDescent="0.3">
      <c r="K230" s="142"/>
      <c r="L230" s="118" t="s">
        <v>309</v>
      </c>
      <c r="M230" s="129">
        <v>177</v>
      </c>
      <c r="N230" s="127"/>
      <c r="O230" s="127"/>
      <c r="P230" s="17">
        <v>5.6000000000000001E-2</v>
      </c>
      <c r="Q230" s="144"/>
      <c r="R230" s="123">
        <v>115</v>
      </c>
      <c r="S230" s="123">
        <v>5.3999999999999999E-2</v>
      </c>
      <c r="T230" s="95"/>
      <c r="U230" s="95"/>
    </row>
    <row r="231" spans="11:21" ht="15.75" thickBot="1" x14ac:dyDescent="0.3">
      <c r="K231" s="137" t="s">
        <v>272</v>
      </c>
      <c r="L231" s="118" t="s">
        <v>307</v>
      </c>
      <c r="M231" s="129">
        <v>150</v>
      </c>
      <c r="N231" s="143">
        <f>AVERAGE(M231:M233)</f>
        <v>138.33333333333334</v>
      </c>
      <c r="O231" s="143"/>
      <c r="P231" s="17">
        <v>7.0999999999999994E-2</v>
      </c>
      <c r="Q231" s="144">
        <f>AVERAGE(P231:P233)</f>
        <v>6.2E-2</v>
      </c>
      <c r="R231" s="123">
        <v>107</v>
      </c>
      <c r="S231" s="123">
        <v>3.4000000000000002E-2</v>
      </c>
      <c r="T231" s="95"/>
      <c r="U231" s="95"/>
    </row>
    <row r="232" spans="11:21" ht="15.75" thickBot="1" x14ac:dyDescent="0.3">
      <c r="K232" s="140"/>
      <c r="L232" s="118" t="s">
        <v>308</v>
      </c>
      <c r="M232" s="129">
        <v>133</v>
      </c>
      <c r="N232" s="127"/>
      <c r="O232" s="127"/>
      <c r="P232" s="17">
        <v>0.06</v>
      </c>
      <c r="Q232" s="144"/>
      <c r="R232" s="123">
        <v>79</v>
      </c>
      <c r="S232" s="123">
        <v>5.8000000000000003E-2</v>
      </c>
      <c r="T232" s="95"/>
      <c r="U232" s="95"/>
    </row>
    <row r="233" spans="11:21" ht="15.75" thickBot="1" x14ac:dyDescent="0.3">
      <c r="K233" s="142"/>
      <c r="L233" s="118" t="s">
        <v>309</v>
      </c>
      <c r="M233" s="129">
        <v>132</v>
      </c>
      <c r="N233" s="127"/>
      <c r="O233" s="127"/>
      <c r="P233" s="17">
        <v>5.5E-2</v>
      </c>
      <c r="Q233" s="144"/>
      <c r="R233" s="123">
        <v>86</v>
      </c>
      <c r="S233" s="123">
        <v>5.2999999999999999E-2</v>
      </c>
      <c r="T233" s="95"/>
      <c r="U233" s="95"/>
    </row>
    <row r="234" spans="11:21" ht="15.75" thickBot="1" x14ac:dyDescent="0.3">
      <c r="K234" s="137" t="s">
        <v>273</v>
      </c>
      <c r="L234" s="118" t="s">
        <v>307</v>
      </c>
      <c r="M234" s="129">
        <v>212</v>
      </c>
      <c r="N234" s="143">
        <f>AVERAGE(M234:M236)</f>
        <v>195.66666666666666</v>
      </c>
      <c r="O234" s="143"/>
      <c r="P234" s="17">
        <v>6.5000000000000002E-2</v>
      </c>
      <c r="Q234" s="144">
        <f>AVERAGE(P234:P236)</f>
        <v>5.6999999999999995E-2</v>
      </c>
      <c r="R234" s="123">
        <v>151</v>
      </c>
      <c r="S234" s="123">
        <v>3.1E-2</v>
      </c>
      <c r="T234" s="95"/>
      <c r="U234" s="95"/>
    </row>
    <row r="235" spans="11:21" ht="15.75" thickBot="1" x14ac:dyDescent="0.3">
      <c r="K235" s="140"/>
      <c r="L235" s="118" t="s">
        <v>308</v>
      </c>
      <c r="M235" s="129">
        <v>189</v>
      </c>
      <c r="N235" s="127"/>
      <c r="O235" s="127"/>
      <c r="P235" s="17">
        <v>5.5E-2</v>
      </c>
      <c r="Q235" s="144"/>
      <c r="R235" s="123">
        <v>112</v>
      </c>
      <c r="S235" s="123">
        <v>5.2999999999999999E-2</v>
      </c>
      <c r="T235" s="95"/>
      <c r="U235" s="95"/>
    </row>
    <row r="236" spans="11:21" ht="15.75" thickBot="1" x14ac:dyDescent="0.3">
      <c r="K236" s="142"/>
      <c r="L236" s="118" t="s">
        <v>309</v>
      </c>
      <c r="M236" s="129">
        <v>186</v>
      </c>
      <c r="N236" s="127"/>
      <c r="O236" s="127"/>
      <c r="P236" s="17">
        <v>5.0999999999999997E-2</v>
      </c>
      <c r="Q236" s="144"/>
      <c r="R236" s="123">
        <v>122</v>
      </c>
      <c r="S236" s="123">
        <v>4.9000000000000002E-2</v>
      </c>
      <c r="T236" s="95"/>
      <c r="U236" s="95"/>
    </row>
    <row r="237" spans="11:21" ht="15.75" thickBot="1" x14ac:dyDescent="0.3">
      <c r="K237" s="137" t="s">
        <v>274</v>
      </c>
      <c r="L237" s="118" t="s">
        <v>307</v>
      </c>
      <c r="M237" s="129">
        <v>202</v>
      </c>
      <c r="N237" s="143">
        <f>AVERAGE(M237:M239)</f>
        <v>186.66666666666666</v>
      </c>
      <c r="O237" s="143"/>
      <c r="P237" s="17">
        <v>7.1999999999999995E-2</v>
      </c>
      <c r="Q237" s="144">
        <f>AVERAGE(P237:P239)</f>
        <v>6.3E-2</v>
      </c>
      <c r="R237" s="123">
        <v>144</v>
      </c>
      <c r="S237" s="123">
        <v>3.4000000000000002E-2</v>
      </c>
      <c r="T237" s="95"/>
      <c r="U237" s="95"/>
    </row>
    <row r="238" spans="11:21" ht="15.75" thickBot="1" x14ac:dyDescent="0.3">
      <c r="K238" s="140"/>
      <c r="L238" s="118" t="s">
        <v>308</v>
      </c>
      <c r="M238" s="129">
        <v>180</v>
      </c>
      <c r="N238" s="127"/>
      <c r="O238" s="127"/>
      <c r="P238" s="17">
        <v>6.0999999999999999E-2</v>
      </c>
      <c r="Q238" s="144"/>
      <c r="R238" s="123">
        <v>107</v>
      </c>
      <c r="S238" s="123">
        <v>5.8999999999999997E-2</v>
      </c>
      <c r="T238" s="95"/>
      <c r="U238" s="95"/>
    </row>
    <row r="239" spans="11:21" ht="15.75" thickBot="1" x14ac:dyDescent="0.3">
      <c r="K239" s="142"/>
      <c r="L239" s="118" t="s">
        <v>309</v>
      </c>
      <c r="M239" s="129">
        <v>178</v>
      </c>
      <c r="N239" s="127"/>
      <c r="O239" s="127"/>
      <c r="P239" s="17">
        <v>5.6000000000000001E-2</v>
      </c>
      <c r="Q239" s="144"/>
      <c r="R239" s="123">
        <v>116</v>
      </c>
      <c r="S239" s="123">
        <v>5.3999999999999999E-2</v>
      </c>
      <c r="T239" s="95"/>
      <c r="U239" s="95"/>
    </row>
    <row r="240" spans="11:21" ht="15.75" thickBot="1" x14ac:dyDescent="0.3">
      <c r="K240" s="137" t="s">
        <v>275</v>
      </c>
      <c r="L240" s="118" t="s">
        <v>307</v>
      </c>
      <c r="M240" s="129">
        <v>322</v>
      </c>
      <c r="N240" s="143">
        <f>AVERAGE(M240:M242)</f>
        <v>297.66666666666669</v>
      </c>
      <c r="O240" s="143"/>
      <c r="P240" s="17">
        <v>7.4999999999999997E-2</v>
      </c>
      <c r="Q240" s="144">
        <f>AVERAGE(P240:P242)</f>
        <v>6.533333333333334E-2</v>
      </c>
      <c r="R240" s="123">
        <v>230</v>
      </c>
      <c r="S240" s="123">
        <v>3.5999999999999997E-2</v>
      </c>
      <c r="T240" s="95"/>
      <c r="U240" s="95"/>
    </row>
    <row r="241" spans="11:21" ht="15.75" thickBot="1" x14ac:dyDescent="0.3">
      <c r="K241" s="140"/>
      <c r="L241" s="118" t="s">
        <v>308</v>
      </c>
      <c r="M241" s="129">
        <v>287</v>
      </c>
      <c r="N241" s="127"/>
      <c r="O241" s="127"/>
      <c r="P241" s="17">
        <v>6.3E-2</v>
      </c>
      <c r="Q241" s="144"/>
      <c r="R241" s="123">
        <v>171</v>
      </c>
      <c r="S241" s="123">
        <v>6.0999999999999999E-2</v>
      </c>
      <c r="T241" s="95"/>
      <c r="U241" s="95"/>
    </row>
    <row r="242" spans="11:21" ht="15.75" thickBot="1" x14ac:dyDescent="0.3">
      <c r="K242" s="142"/>
      <c r="L242" s="118" t="s">
        <v>309</v>
      </c>
      <c r="M242" s="129">
        <v>284</v>
      </c>
      <c r="N242" s="127"/>
      <c r="O242" s="127"/>
      <c r="P242" s="17">
        <v>5.8000000000000003E-2</v>
      </c>
      <c r="Q242" s="144"/>
      <c r="R242" s="123">
        <v>185</v>
      </c>
      <c r="S242" s="123">
        <v>5.6000000000000001E-2</v>
      </c>
      <c r="T242" s="95"/>
      <c r="U242" s="95"/>
    </row>
    <row r="243" spans="11:21" ht="15.75" thickBot="1" x14ac:dyDescent="0.3">
      <c r="K243" s="137" t="s">
        <v>276</v>
      </c>
      <c r="L243" s="118" t="s">
        <v>307</v>
      </c>
      <c r="M243" s="129">
        <v>235</v>
      </c>
      <c r="N243" s="143">
        <f>AVERAGE(M243:M245)</f>
        <v>217.33333333333334</v>
      </c>
      <c r="O243" s="143"/>
      <c r="P243" s="17">
        <v>0.06</v>
      </c>
      <c r="Q243" s="144">
        <f>AVERAGE(P243:P245)</f>
        <v>5.266666666666666E-2</v>
      </c>
      <c r="R243" s="123">
        <v>168</v>
      </c>
      <c r="S243" s="123">
        <v>2.9000000000000001E-2</v>
      </c>
      <c r="T243" s="95"/>
      <c r="U243" s="95"/>
    </row>
    <row r="244" spans="11:21" ht="15.75" thickBot="1" x14ac:dyDescent="0.3">
      <c r="K244" s="140"/>
      <c r="L244" s="118" t="s">
        <v>308</v>
      </c>
      <c r="M244" s="129">
        <v>210</v>
      </c>
      <c r="N244" s="127"/>
      <c r="O244" s="127"/>
      <c r="P244" s="17">
        <v>5.0999999999999997E-2</v>
      </c>
      <c r="Q244" s="144"/>
      <c r="R244" s="123">
        <v>125</v>
      </c>
      <c r="S244" s="123">
        <v>4.9000000000000002E-2</v>
      </c>
      <c r="T244" s="95"/>
      <c r="U244" s="95"/>
    </row>
    <row r="245" spans="11:21" ht="15.75" thickBot="1" x14ac:dyDescent="0.3">
      <c r="K245" s="142"/>
      <c r="L245" s="118" t="s">
        <v>309</v>
      </c>
      <c r="M245" s="129">
        <v>207</v>
      </c>
      <c r="N245" s="127"/>
      <c r="O245" s="127"/>
      <c r="P245" s="17">
        <v>4.7E-2</v>
      </c>
      <c r="Q245" s="144"/>
      <c r="R245" s="123">
        <v>135</v>
      </c>
      <c r="S245" s="123">
        <v>4.4999999999999998E-2</v>
      </c>
      <c r="T245" s="95"/>
      <c r="U245" s="95"/>
    </row>
    <row r="246" spans="11:21" ht="15.75" thickBot="1" x14ac:dyDescent="0.3">
      <c r="K246" s="137" t="s">
        <v>277</v>
      </c>
      <c r="L246" s="118" t="s">
        <v>307</v>
      </c>
      <c r="M246" s="129">
        <v>208</v>
      </c>
      <c r="N246" s="143">
        <f>AVERAGE(M246:M248)</f>
        <v>192</v>
      </c>
      <c r="O246" s="143"/>
      <c r="P246" s="17">
        <v>7.0999999999999994E-2</v>
      </c>
      <c r="Q246" s="144">
        <f>AVERAGE(P246:P248)</f>
        <v>6.2E-2</v>
      </c>
      <c r="R246" s="123">
        <v>148</v>
      </c>
      <c r="S246" s="123">
        <v>3.4000000000000002E-2</v>
      </c>
      <c r="T246" s="95"/>
      <c r="U246" s="95"/>
    </row>
    <row r="247" spans="11:21" ht="15.75" thickBot="1" x14ac:dyDescent="0.3">
      <c r="K247" s="140"/>
      <c r="L247" s="118" t="s">
        <v>308</v>
      </c>
      <c r="M247" s="129">
        <v>185</v>
      </c>
      <c r="N247" s="127"/>
      <c r="O247" s="127"/>
      <c r="P247" s="17">
        <v>0.06</v>
      </c>
      <c r="Q247" s="144"/>
      <c r="R247" s="123">
        <v>110</v>
      </c>
      <c r="S247" s="123">
        <v>5.8000000000000003E-2</v>
      </c>
      <c r="T247" s="95"/>
      <c r="U247" s="95"/>
    </row>
    <row r="248" spans="11:21" ht="15.75" thickBot="1" x14ac:dyDescent="0.3">
      <c r="K248" s="142"/>
      <c r="L248" s="118" t="s">
        <v>309</v>
      </c>
      <c r="M248" s="129">
        <v>183</v>
      </c>
      <c r="N248" s="127"/>
      <c r="O248" s="127"/>
      <c r="P248" s="17">
        <v>5.5E-2</v>
      </c>
      <c r="Q248" s="144"/>
      <c r="R248" s="123">
        <v>119</v>
      </c>
      <c r="S248" s="123">
        <v>5.2999999999999999E-2</v>
      </c>
      <c r="T248" s="95"/>
      <c r="U248" s="95"/>
    </row>
    <row r="249" spans="11:21" ht="15.75" thickBot="1" x14ac:dyDescent="0.3">
      <c r="K249" s="137" t="s">
        <v>278</v>
      </c>
      <c r="L249" s="118" t="s">
        <v>307</v>
      </c>
      <c r="M249" s="129">
        <v>153</v>
      </c>
      <c r="N249" s="143">
        <f>AVERAGE(M249:M251)</f>
        <v>141</v>
      </c>
      <c r="O249" s="143"/>
      <c r="P249" s="17">
        <v>7.0999999999999994E-2</v>
      </c>
      <c r="Q249" s="144">
        <f>AVERAGE(P249:P251)</f>
        <v>6.2E-2</v>
      </c>
      <c r="R249" s="123">
        <v>109</v>
      </c>
      <c r="S249" s="123">
        <v>3.4000000000000002E-2</v>
      </c>
      <c r="T249" s="95"/>
      <c r="U249" s="95"/>
    </row>
    <row r="250" spans="11:21" ht="15.75" thickBot="1" x14ac:dyDescent="0.3">
      <c r="K250" s="140"/>
      <c r="L250" s="118" t="s">
        <v>308</v>
      </c>
      <c r="M250" s="129">
        <v>136</v>
      </c>
      <c r="N250" s="107"/>
      <c r="O250" s="107"/>
      <c r="P250" s="17">
        <v>0.06</v>
      </c>
      <c r="Q250" s="150"/>
      <c r="R250" s="123">
        <v>81</v>
      </c>
      <c r="S250" s="123">
        <v>5.8000000000000003E-2</v>
      </c>
      <c r="T250" s="95"/>
      <c r="U250" s="95"/>
    </row>
    <row r="251" spans="11:21" ht="15.75" thickBot="1" x14ac:dyDescent="0.3">
      <c r="K251" s="142"/>
      <c r="L251" s="118" t="s">
        <v>309</v>
      </c>
      <c r="M251" s="151">
        <v>134</v>
      </c>
      <c r="N251" s="133"/>
      <c r="O251" s="133"/>
      <c r="P251" s="152">
        <v>5.5E-2</v>
      </c>
      <c r="Q251" s="134"/>
      <c r="R251" s="123">
        <v>88</v>
      </c>
      <c r="S251" s="123">
        <v>5.2999999999999999E-2</v>
      </c>
      <c r="T251" s="95"/>
      <c r="U251" s="95"/>
    </row>
  </sheetData>
  <mergeCells count="21">
    <mergeCell ref="L114:O114"/>
    <mergeCell ref="P114:R114"/>
    <mergeCell ref="D2:G2"/>
    <mergeCell ref="K154:K155"/>
    <mergeCell ref="L154:L155"/>
    <mergeCell ref="M154:S154"/>
    <mergeCell ref="M155:P155"/>
    <mergeCell ref="Q155:S155"/>
    <mergeCell ref="P44:P50"/>
    <mergeCell ref="K177:K178"/>
    <mergeCell ref="L177:L178"/>
    <mergeCell ref="M177:Q177"/>
    <mergeCell ref="R177:S177"/>
    <mergeCell ref="M178:N178"/>
    <mergeCell ref="P178:Q178"/>
    <mergeCell ref="K220:K221"/>
    <mergeCell ref="L220:L221"/>
    <mergeCell ref="M220:Q220"/>
    <mergeCell ref="R220:S220"/>
    <mergeCell ref="M221:N221"/>
    <mergeCell ref="P221:Q221"/>
  </mergeCells>
  <phoneticPr fontId="13" type="noConversion"/>
  <pageMargins left="0.7" right="0.7" top="0.75" bottom="0.75" header="0.3" footer="0.3"/>
  <pageSetup orientation="portrait" horizontalDpi="0" verticalDpi="0" r:id="rId1"/>
  <drawing r:id="rId2"/>
  <legacyDrawing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H2" sqref="H2"/>
    </sheetView>
  </sheetViews>
  <sheetFormatPr defaultRowHeight="12.75" x14ac:dyDescent="0.2"/>
  <cols>
    <col min="2" max="2" width="19.28515625" bestFit="1" customWidth="1"/>
    <col min="3" max="3" width="27" bestFit="1" customWidth="1"/>
    <col min="4" max="4" width="25.85546875" bestFit="1" customWidth="1"/>
    <col min="5" max="5" width="33.42578125" bestFit="1" customWidth="1"/>
    <col min="6" max="6" width="28.42578125" bestFit="1" customWidth="1"/>
    <col min="8" max="8" width="13.85546875" bestFit="1" customWidth="1"/>
    <col min="9" max="9" width="12.42578125" bestFit="1" customWidth="1"/>
  </cols>
  <sheetData>
    <row r="2" spans="1:9" ht="15" x14ac:dyDescent="0.25">
      <c r="B2" s="158" t="s">
        <v>310</v>
      </c>
      <c r="C2" s="158" t="s">
        <v>311</v>
      </c>
      <c r="D2" s="158" t="s">
        <v>312</v>
      </c>
      <c r="E2" s="158" t="s">
        <v>313</v>
      </c>
      <c r="F2" s="158" t="s">
        <v>314</v>
      </c>
      <c r="H2" s="158" t="s">
        <v>315</v>
      </c>
      <c r="I2" s="158" t="s">
        <v>316</v>
      </c>
    </row>
    <row r="3" spans="1:9" ht="15" x14ac:dyDescent="0.25">
      <c r="A3">
        <v>1</v>
      </c>
      <c r="B3" s="95"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3" s="95"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3" s="95"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3" s="95"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3" s="95"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3" s="153">
        <f>IF('Input HVAC Measures'!$E6="High Eff. AC Unit",'Input HVAC Measures'!$G6*12000/1000*References!$K$4*((1/'HVAC Calcs'!$D3)-(1/'Input HVAC Measures'!$I6)),IF('Input HVAC Measures'!$E6="High Eff. Heat Pump Unit",'Input HVAC Measures'!$G6*12000/1000*References!$K$5*((1/'HVAC Calcs'!$E3)-(1/'Input HVAC Measures'!$I6))+'Input HVAC Measures'!$G6*12000/1000*References!$N$5*((1/'HVAC Calcs'!$F3)-(1/'Input HVAC Measures'!$J6)),0))</f>
        <v>0</v>
      </c>
      <c r="I3" s="154" t="b">
        <f>IF('Input HVAC Measures'!$E6="High Eff. AC Unit",'Input HVAC Measures'!$G6*12000/1000*References!$L$4*((1/'HVAC Calcs'!$B3)-(1/'Input HVAC Measures'!$H6)),IF('Input HVAC Measures'!$E6="High Eff. Heat Pump Unit",'Input HVAC Measures'!$G6*12000/1000*References!$L$5*((1/'HVAC Calcs'!$C3)-(1/'Input HVAC Measures'!$H6))))</f>
        <v>0</v>
      </c>
    </row>
    <row r="4" spans="1:9" ht="15" x14ac:dyDescent="0.25">
      <c r="A4">
        <v>2</v>
      </c>
      <c r="B4" s="95"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4" s="95"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4" s="95"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4" s="95"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4" s="95"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4" s="153">
        <f>IF('Input HVAC Measures'!$E7="High Eff. AC Unit",'Input HVAC Measures'!$G7*12000/1000*References!$K$4*((1/'HVAC Calcs'!$D4)-(1/'Input HVAC Measures'!$I7)),IF('Input HVAC Measures'!$E7="High Eff. Heat Pump Unit",'Input HVAC Measures'!$G7*12000/1000*References!$K$5*((1/'HVAC Calcs'!$E4)-(1/'Input HVAC Measures'!$I7))+'Input HVAC Measures'!$G7*12000/1000*References!$N$5*((1/'HVAC Calcs'!$F4)-(1/'Input HVAC Measures'!$J7)),0))</f>
        <v>0</v>
      </c>
      <c r="I4" s="154" t="b">
        <f>IF('Input HVAC Measures'!$E7="High Eff. AC Unit",'Input HVAC Measures'!$G7*12000/1000*References!$L$4*((1/'HVAC Calcs'!$B4)-(1/'Input HVAC Measures'!$H7)),IF('Input HVAC Measures'!$E7="High Eff. Heat Pump Unit",'Input HVAC Measures'!$G7*12000/1000*References!$L$5*((1/'HVAC Calcs'!$C4)-(1/'Input HVAC Measures'!$H7))))</f>
        <v>0</v>
      </c>
    </row>
    <row r="5" spans="1:9" ht="15" x14ac:dyDescent="0.25">
      <c r="A5">
        <v>3</v>
      </c>
      <c r="B5" s="95"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5" s="95"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5" s="95"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5" s="95"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5" s="95"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5" s="153">
        <f>IF('Input HVAC Measures'!$E8="High Eff. AC Unit",'Input HVAC Measures'!$G8*12000/1000*References!$K$4*((1/'HVAC Calcs'!$D5)-(1/'Input HVAC Measures'!$I8)),IF('Input HVAC Measures'!$E8="High Eff. Heat Pump Unit",'Input HVAC Measures'!$G8*12000/1000*References!$K$5*((1/'HVAC Calcs'!$E5)-(1/'Input HVAC Measures'!$I8))+'Input HVAC Measures'!$G8*12000/1000*References!$N$5*((1/'HVAC Calcs'!$F5)-(1/'Input HVAC Measures'!$J8)),0))</f>
        <v>0</v>
      </c>
      <c r="I5" s="154" t="b">
        <f>IF('Input HVAC Measures'!$E8="High Eff. AC Unit",'Input HVAC Measures'!$G8*12000/1000*References!$L$4*((1/'HVAC Calcs'!$B5)-(1/'Input HVAC Measures'!$H8)),IF('Input HVAC Measures'!$E8="High Eff. Heat Pump Unit",'Input HVAC Measures'!$G8*12000/1000*References!$L$5*((1/'HVAC Calcs'!$C5)-(1/'Input HVAC Measures'!$H8))))</f>
        <v>0</v>
      </c>
    </row>
    <row r="6" spans="1:9" ht="15" x14ac:dyDescent="0.25">
      <c r="A6">
        <v>4</v>
      </c>
      <c r="B6" s="95"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6" s="95"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6" s="95"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6" s="95"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6" s="95"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6" s="153">
        <f>IF('Input HVAC Measures'!$E9="High Eff. AC Unit",'Input HVAC Measures'!$G9*12000/1000*References!$K$4*((1/'HVAC Calcs'!$D6)-(1/'Input HVAC Measures'!$I9)),IF('Input HVAC Measures'!$E9="High Eff. Heat Pump Unit",'Input HVAC Measures'!$G9*12000/1000*References!$K$5*((1/'HVAC Calcs'!$E6)-(1/'Input HVAC Measures'!$I9))+'Input HVAC Measures'!$G9*12000/1000*References!$N$5*((1/'HVAC Calcs'!$F6)-(1/'Input HVAC Measures'!$J9)),0))</f>
        <v>0</v>
      </c>
      <c r="I6" s="154" t="b">
        <f>IF('Input HVAC Measures'!$E9="High Eff. AC Unit",'Input HVAC Measures'!$G9*12000/1000*References!$L$4*((1/'HVAC Calcs'!$B6)-(1/'Input HVAC Measures'!$H9)),IF('Input HVAC Measures'!$E9="High Eff. Heat Pump Unit",'Input HVAC Measures'!$G9*12000/1000*References!$L$5*((1/'HVAC Calcs'!$C6)-(1/'Input HVAC Measures'!$H9))))</f>
        <v>0</v>
      </c>
    </row>
    <row r="7" spans="1:9" ht="15" x14ac:dyDescent="0.25">
      <c r="A7">
        <v>5</v>
      </c>
      <c r="B7" s="95"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7" s="95"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7" s="95"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7" s="95"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7" s="95"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7" s="153">
        <f>IF('Input HVAC Measures'!$E10="High Eff. AC Unit",'Input HVAC Measures'!$G10*12000/1000*References!$K$4*((1/'HVAC Calcs'!$D7)-(1/'Input HVAC Measures'!$I10)),IF('Input HVAC Measures'!$E10="High Eff. Heat Pump Unit",'Input HVAC Measures'!$G10*12000/1000*References!$K$5*((1/'HVAC Calcs'!$E7)-(1/'Input HVAC Measures'!$I10))+'Input HVAC Measures'!$G10*12000/1000*References!$N$5*((1/'HVAC Calcs'!$F7)-(1/'Input HVAC Measures'!$J10)),0))</f>
        <v>0</v>
      </c>
      <c r="I7" s="154" t="b">
        <f>IF('Input HVAC Measures'!$E10="High Eff. AC Unit",'Input HVAC Measures'!$G10*12000/1000*References!$L$4*((1/'HVAC Calcs'!$B7)-(1/'Input HVAC Measures'!$H10)),IF('Input HVAC Measures'!$E10="High Eff. Heat Pump Unit",'Input HVAC Measures'!$G10*12000/1000*References!$L$5*((1/'HVAC Calcs'!$C7)-(1/'Input HVAC Measures'!$H10))))</f>
        <v>0</v>
      </c>
    </row>
    <row r="8" spans="1:9" ht="15" x14ac:dyDescent="0.25">
      <c r="A8">
        <v>6</v>
      </c>
      <c r="B8" s="95"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8" s="95"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8" s="95"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8" s="95"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8" s="95"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8" s="153">
        <f>IF('Input HVAC Measures'!$E11="High Eff. AC Unit",'Input HVAC Measures'!$G11*12000/1000*References!$K$4*((1/'HVAC Calcs'!$D8)-(1/'Input HVAC Measures'!$I11)),IF('Input HVAC Measures'!$E11="High Eff. Heat Pump Unit",'Input HVAC Measures'!$G11*12000/1000*References!$K$5*((1/'HVAC Calcs'!$E8)-(1/'Input HVAC Measures'!$I11))+'Input HVAC Measures'!$G11*12000/1000*References!$N$5*((1/'HVAC Calcs'!$F8)-(1/'Input HVAC Measures'!$J11)),0))</f>
        <v>0</v>
      </c>
      <c r="I8" s="154" t="b">
        <f>IF('Input HVAC Measures'!$E11="High Eff. AC Unit",'Input HVAC Measures'!$G11*12000/1000*References!$L$4*((1/'HVAC Calcs'!$B8)-(1/'Input HVAC Measures'!$H11)),IF('Input HVAC Measures'!$E11="High Eff. Heat Pump Unit",'Input HVAC Measures'!$G11*12000/1000*References!$L$5*((1/'HVAC Calcs'!$C8)-(1/'Input HVAC Measures'!$H11))))</f>
        <v>0</v>
      </c>
    </row>
    <row r="9" spans="1:9" ht="15" x14ac:dyDescent="0.25">
      <c r="A9">
        <v>7</v>
      </c>
      <c r="B9" s="95"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9" s="95"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9" s="95"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9" s="95"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9" s="95"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9" s="153">
        <f>IF('Input HVAC Measures'!$E12="High Eff. AC Unit",'Input HVAC Measures'!$G12*12000/1000*References!$K$4*((1/'HVAC Calcs'!$D9)-(1/'Input HVAC Measures'!$I12)),IF('Input HVAC Measures'!$E12="High Eff. Heat Pump Unit",'Input HVAC Measures'!$G12*12000/1000*References!$K$5*((1/'HVAC Calcs'!$E9)-(1/'Input HVAC Measures'!$I12))+'Input HVAC Measures'!$G12*12000/1000*References!$N$5*((1/'HVAC Calcs'!$F9)-(1/'Input HVAC Measures'!$J12)),0))</f>
        <v>0</v>
      </c>
      <c r="I9" s="154" t="b">
        <f>IF('Input HVAC Measures'!$E12="High Eff. AC Unit",'Input HVAC Measures'!$G12*12000/1000*References!$L$4*((1/'HVAC Calcs'!$B9)-(1/'Input HVAC Measures'!$H12)),IF('Input HVAC Measures'!$E12="High Eff. Heat Pump Unit",'Input HVAC Measures'!$G12*12000/1000*References!$L$5*((1/'HVAC Calcs'!$C9)-(1/'Input HVAC Measures'!$H12))))</f>
        <v>0</v>
      </c>
    </row>
    <row r="10" spans="1:9" ht="15" x14ac:dyDescent="0.25">
      <c r="A10">
        <v>8</v>
      </c>
      <c r="B10" s="95"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0" s="95"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0" s="95"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0" s="95"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0" s="95"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0" s="153">
        <f>IF('Input HVAC Measures'!$E13="High Eff. AC Unit",'Input HVAC Measures'!$G13*12000/1000*References!$K$4*((1/'HVAC Calcs'!$D10)-(1/'Input HVAC Measures'!$I13)),IF('Input HVAC Measures'!$E13="High Eff. Heat Pump Unit",'Input HVAC Measures'!$G13*12000/1000*References!$K$5*((1/'HVAC Calcs'!$E10)-(1/'Input HVAC Measures'!$I13))+'Input HVAC Measures'!$G13*12000/1000*References!$N$5*((1/'HVAC Calcs'!$F10)-(1/'Input HVAC Measures'!$J13)),0))</f>
        <v>0</v>
      </c>
      <c r="I10" s="154" t="b">
        <f>IF('Input HVAC Measures'!$E13="High Eff. AC Unit",'Input HVAC Measures'!$G13*12000/1000*References!$L$4*((1/'HVAC Calcs'!$B10)-(1/'Input HVAC Measures'!$H13)),IF('Input HVAC Measures'!$E13="High Eff. Heat Pump Unit",'Input HVAC Measures'!$G13*12000/1000*References!$L$5*((1/'HVAC Calcs'!$C10)-(1/'Input HVAC Measures'!$H13))))</f>
        <v>0</v>
      </c>
    </row>
    <row r="11" spans="1:9" ht="15" x14ac:dyDescent="0.25">
      <c r="A11">
        <v>9</v>
      </c>
      <c r="B11" s="95"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1" s="95"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1" s="95"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1" s="95"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1" s="95"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1" s="153">
        <f>IF('Input HVAC Measures'!$E14="High Eff. AC Unit",'Input HVAC Measures'!$G14*12000/1000*References!$K$4*((1/'HVAC Calcs'!$D11)-(1/'Input HVAC Measures'!$I14)),IF('Input HVAC Measures'!$E14="High Eff. Heat Pump Unit",'Input HVAC Measures'!$G14*12000/1000*References!$K$5*((1/'HVAC Calcs'!$E11)-(1/'Input HVAC Measures'!$I14))+'Input HVAC Measures'!$G14*12000/1000*References!$N$5*((1/'HVAC Calcs'!$F11)-(1/'Input HVAC Measures'!$J14)),0))</f>
        <v>0</v>
      </c>
      <c r="I11" s="154" t="b">
        <f>IF('Input HVAC Measures'!$E14="High Eff. AC Unit",'Input HVAC Measures'!$G14*12000/1000*References!$L$4*((1/'HVAC Calcs'!$B11)-(1/'Input HVAC Measures'!$H14)),IF('Input HVAC Measures'!$E14="High Eff. Heat Pump Unit",'Input HVAC Measures'!$G14*12000/1000*References!$L$5*((1/'HVAC Calcs'!$C11)-(1/'Input HVAC Measures'!$H14))))</f>
        <v>0</v>
      </c>
    </row>
    <row r="12" spans="1:9" ht="15" x14ac:dyDescent="0.25">
      <c r="A12">
        <v>10</v>
      </c>
      <c r="B12" s="95"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2" s="95"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2" s="95"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2" s="95"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2" s="95"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2" s="153">
        <f>IF('Input HVAC Measures'!$E15="High Eff. AC Unit",'Input HVAC Measures'!$G15*12000/1000*References!$K$4*((1/'HVAC Calcs'!$D12)-(1/'Input HVAC Measures'!$I15)),IF('Input HVAC Measures'!$E15="High Eff. Heat Pump Unit",'Input HVAC Measures'!$G15*12000/1000*References!$K$5*((1/'HVAC Calcs'!$E12)-(1/'Input HVAC Measures'!$I15))+'Input HVAC Measures'!$G15*12000/1000*References!$N$5*((1/'HVAC Calcs'!$F12)-(1/'Input HVAC Measures'!$J15)),0))</f>
        <v>0</v>
      </c>
      <c r="I12" s="154" t="b">
        <f>IF('Input HVAC Measures'!$E15="High Eff. AC Unit",'Input HVAC Measures'!$G15*12000/1000*References!$L$4*((1/'HVAC Calcs'!$B12)-(1/'Input HVAC Measures'!$H15)),IF('Input HVAC Measures'!$E15="High Eff. Heat Pump Unit",'Input HVAC Measures'!$G15*12000/1000*References!$L$5*((1/'HVAC Calcs'!$C12)-(1/'Input HVAC Measures'!$H15))))</f>
        <v>0</v>
      </c>
    </row>
    <row r="13" spans="1:9" ht="15" x14ac:dyDescent="0.25">
      <c r="A13">
        <v>11</v>
      </c>
      <c r="B13" s="95"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3" s="95"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3" s="95"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3" s="95"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3" s="95"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3" s="153">
        <f>IF('Input HVAC Measures'!$E16="High Eff. AC Unit",'Input HVAC Measures'!$G16*12000/1000*References!$K$4*((1/'HVAC Calcs'!$D13)-(1/'Input HVAC Measures'!$I16)),IF('Input HVAC Measures'!$E16="High Eff. Heat Pump Unit",'Input HVAC Measures'!$G16*12000/1000*References!$K$5*((1/'HVAC Calcs'!$E13)-(1/'Input HVAC Measures'!$I16))+'Input HVAC Measures'!$G16*12000/1000*References!$N$5*((1/'HVAC Calcs'!$F13)-(1/'Input HVAC Measures'!$J16)),0))</f>
        <v>0</v>
      </c>
      <c r="I13" s="154" t="b">
        <f>IF('Input HVAC Measures'!$E16="High Eff. AC Unit",'Input HVAC Measures'!$G16*12000/1000*References!$L$4*((1/'HVAC Calcs'!$B13)-(1/'Input HVAC Measures'!$H16)),IF('Input HVAC Measures'!$E16="High Eff. Heat Pump Unit",'Input HVAC Measures'!$G16*12000/1000*References!$L$5*((1/'HVAC Calcs'!$C13)-(1/'Input HVAC Measures'!$H16))))</f>
        <v>0</v>
      </c>
    </row>
    <row r="14" spans="1:9" ht="15" x14ac:dyDescent="0.25">
      <c r="A14">
        <v>12</v>
      </c>
      <c r="B14" s="95"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4" s="95"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4" s="95"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4" s="95"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4" s="95"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4" s="153">
        <f>IF('Input HVAC Measures'!$E17="High Eff. AC Unit",'Input HVAC Measures'!$G17*12000/1000*References!$K$4*((1/'HVAC Calcs'!$D14)-(1/'Input HVAC Measures'!$I17)),IF('Input HVAC Measures'!$E17="High Eff. Heat Pump Unit",'Input HVAC Measures'!$G17*12000/1000*References!$K$5*((1/'HVAC Calcs'!$E14)-(1/'Input HVAC Measures'!$I17))+'Input HVAC Measures'!$G17*12000/1000*References!$N$5*((1/'HVAC Calcs'!$F14)-(1/'Input HVAC Measures'!$J17)),0))</f>
        <v>0</v>
      </c>
      <c r="I14" s="154" t="b">
        <f>IF('Input HVAC Measures'!$E17="High Eff. AC Unit",'Input HVAC Measures'!$G17*12000/1000*References!$L$4*((1/'HVAC Calcs'!$B14)-(1/'Input HVAC Measures'!$H17)),IF('Input HVAC Measures'!$E17="High Eff. Heat Pump Unit",'Input HVAC Measures'!$G17*12000/1000*References!$L$5*((1/'HVAC Calcs'!$C14)-(1/'Input HVAC Measures'!$H17))))</f>
        <v>0</v>
      </c>
    </row>
    <row r="15" spans="1:9" ht="15" x14ac:dyDescent="0.25">
      <c r="A15">
        <v>13</v>
      </c>
      <c r="B15" s="95"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5" s="95"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5" s="95"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5" s="95"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5" s="95"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5" s="153">
        <f>IF('Input HVAC Measures'!$E18="High Eff. AC Unit",'Input HVAC Measures'!$G18*12000/1000*References!$K$4*((1/'HVAC Calcs'!$D15)-(1/'Input HVAC Measures'!$I18)),IF('Input HVAC Measures'!$E18="High Eff. Heat Pump Unit",'Input HVAC Measures'!$G18*12000/1000*References!$K$5*((1/'HVAC Calcs'!$E15)-(1/'Input HVAC Measures'!$I18))+'Input HVAC Measures'!$G18*12000/1000*References!$N$5*((1/'HVAC Calcs'!$F15)-(1/'Input HVAC Measures'!$J18)),0))</f>
        <v>0</v>
      </c>
      <c r="I15" s="154" t="b">
        <f>IF('Input HVAC Measures'!$E18="High Eff. AC Unit",'Input HVAC Measures'!$G18*12000/1000*References!$L$4*((1/'HVAC Calcs'!$B15)-(1/'Input HVAC Measures'!$H18)),IF('Input HVAC Measures'!$E18="High Eff. Heat Pump Unit",'Input HVAC Measures'!$G18*12000/1000*References!$L$5*((1/'HVAC Calcs'!$C15)-(1/'Input HVAC Measures'!$H18))))</f>
        <v>0</v>
      </c>
    </row>
    <row r="16" spans="1:9" ht="15" x14ac:dyDescent="0.25">
      <c r="A16">
        <v>14</v>
      </c>
      <c r="B16" s="95"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6" s="95"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6" s="95"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6" s="95"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6" s="95"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6" s="153">
        <f>IF('Input HVAC Measures'!$E19="High Eff. AC Unit",'Input HVAC Measures'!$G19*12000/1000*References!$K$4*((1/'HVAC Calcs'!$D16)-(1/'Input HVAC Measures'!$I19)),IF('Input HVAC Measures'!$E19="High Eff. Heat Pump Unit",'Input HVAC Measures'!$G19*12000/1000*References!$K$5*((1/'HVAC Calcs'!$E16)-(1/'Input HVAC Measures'!$I19))+'Input HVAC Measures'!$G19*12000/1000*References!$N$5*((1/'HVAC Calcs'!$F16)-(1/'Input HVAC Measures'!$J19)),0))</f>
        <v>0</v>
      </c>
      <c r="I16" s="154" t="b">
        <f>IF('Input HVAC Measures'!$E19="High Eff. AC Unit",'Input HVAC Measures'!$G19*12000/1000*References!$L$4*((1/'HVAC Calcs'!$B16)-(1/'Input HVAC Measures'!$H19)),IF('Input HVAC Measures'!$E19="High Eff. Heat Pump Unit",'Input HVAC Measures'!$G19*12000/1000*References!$L$5*((1/'HVAC Calcs'!$C16)-(1/'Input HVAC Measures'!$H19))))</f>
        <v>0</v>
      </c>
    </row>
    <row r="17" spans="1:9" ht="15" x14ac:dyDescent="0.25">
      <c r="A17">
        <v>15</v>
      </c>
      <c r="B17" s="95"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7" s="95"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7" s="95"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7" s="95"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7" s="95"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7" s="153">
        <f>IF('Input HVAC Measures'!$E20="High Eff. AC Unit",'Input HVAC Measures'!$G20*12000/1000*References!$K$4*((1/'HVAC Calcs'!$D17)-(1/'Input HVAC Measures'!$I20)),IF('Input HVAC Measures'!$E20="High Eff. Heat Pump Unit",'Input HVAC Measures'!$G20*12000/1000*References!$K$5*((1/'HVAC Calcs'!$E17)-(1/'Input HVAC Measures'!$I20))+'Input HVAC Measures'!$G20*12000/1000*References!$N$5*((1/'HVAC Calcs'!$F17)-(1/'Input HVAC Measures'!$J20)),0))</f>
        <v>0</v>
      </c>
      <c r="I17" s="154" t="b">
        <f>IF('Input HVAC Measures'!$E20="High Eff. AC Unit",'Input HVAC Measures'!$G20*12000/1000*References!$L$4*((1/'HVAC Calcs'!$B17)-(1/'Input HVAC Measures'!$H20)),IF('Input HVAC Measures'!$E20="High Eff. Heat Pump Unit",'Input HVAC Measures'!$G20*12000/1000*References!$L$5*((1/'HVAC Calcs'!$C17)-(1/'Input HVAC Measures'!$H20))))</f>
        <v>0</v>
      </c>
    </row>
    <row r="18" spans="1:9" ht="15" x14ac:dyDescent="0.25">
      <c r="A18">
        <v>16</v>
      </c>
      <c r="B18" s="95"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8" s="95"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8" s="95"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8" s="95"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8" s="95"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8" s="153">
        <f>IF('Input HVAC Measures'!$E21="High Eff. AC Unit",'Input HVAC Measures'!$G21*12000/1000*References!$K$4*((1/'HVAC Calcs'!$D18)-(1/'Input HVAC Measures'!$I21)),IF('Input HVAC Measures'!$E21="High Eff. Heat Pump Unit",'Input HVAC Measures'!$G21*12000/1000*References!$K$5*((1/'HVAC Calcs'!$E18)-(1/'Input HVAC Measures'!$I21))+'Input HVAC Measures'!$G21*12000/1000*References!$N$5*((1/'HVAC Calcs'!$F18)-(1/'Input HVAC Measures'!$J21)),0))</f>
        <v>0</v>
      </c>
      <c r="I18" s="154" t="b">
        <f>IF('Input HVAC Measures'!$E21="High Eff. AC Unit",'Input HVAC Measures'!$G21*12000/1000*References!$L$4*((1/'HVAC Calcs'!$B18)-(1/'Input HVAC Measures'!$H21)),IF('Input HVAC Measures'!$E21="High Eff. Heat Pump Unit",'Input HVAC Measures'!$G21*12000/1000*References!$L$5*((1/'HVAC Calcs'!$C18)-(1/'Input HVAC Measures'!$H21))))</f>
        <v>0</v>
      </c>
    </row>
    <row r="19" spans="1:9" ht="15" x14ac:dyDescent="0.25">
      <c r="A19">
        <v>17</v>
      </c>
      <c r="B19" s="95"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19" s="95"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19" s="95"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19" s="95"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19" s="95"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19" s="153">
        <f>IF('Input HVAC Measures'!$E22="High Eff. AC Unit",'Input HVAC Measures'!$G22*12000/1000*References!$K$4*((1/'HVAC Calcs'!$D19)-(1/'Input HVAC Measures'!$I22)),IF('Input HVAC Measures'!$E22="High Eff. Heat Pump Unit",'Input HVAC Measures'!$G22*12000/1000*References!$K$5*((1/'HVAC Calcs'!$E19)-(1/'Input HVAC Measures'!$I22))+'Input HVAC Measures'!$G22*12000/1000*References!$N$5*((1/'HVAC Calcs'!$F19)-(1/'Input HVAC Measures'!$J22)),0))</f>
        <v>0</v>
      </c>
      <c r="I19" s="154" t="b">
        <f>IF('Input HVAC Measures'!$E22="High Eff. AC Unit",'Input HVAC Measures'!$G22*12000/1000*References!$L$4*((1/'HVAC Calcs'!$B19)-(1/'Input HVAC Measures'!$H22)),IF('Input HVAC Measures'!$E22="High Eff. Heat Pump Unit",'Input HVAC Measures'!$G22*12000/1000*References!$L$5*((1/'HVAC Calcs'!$C19)-(1/'Input HVAC Measures'!$H22))))</f>
        <v>0</v>
      </c>
    </row>
    <row r="20" spans="1:9" ht="15" x14ac:dyDescent="0.25">
      <c r="A20">
        <v>18</v>
      </c>
      <c r="B20" s="95"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0" s="95"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0" s="95"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0" s="95"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0" s="95"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0" s="153">
        <f>IF('Input HVAC Measures'!$E23="High Eff. AC Unit",'Input HVAC Measures'!$G23*12000/1000*References!$K$4*((1/'HVAC Calcs'!$D20)-(1/'Input HVAC Measures'!$I23)),IF('Input HVAC Measures'!$E23="High Eff. Heat Pump Unit",'Input HVAC Measures'!$G23*12000/1000*References!$K$5*((1/'HVAC Calcs'!$E20)-(1/'Input HVAC Measures'!$I23))+'Input HVAC Measures'!$G23*12000/1000*References!$N$5*((1/'HVAC Calcs'!$F20)-(1/'Input HVAC Measures'!$J23)),0))</f>
        <v>0</v>
      </c>
      <c r="I20" s="154" t="b">
        <f>IF('Input HVAC Measures'!$E23="High Eff. AC Unit",'Input HVAC Measures'!$G23*12000/1000*References!$L$4*((1/'HVAC Calcs'!$B20)-(1/'Input HVAC Measures'!$H23)),IF('Input HVAC Measures'!$E23="High Eff. Heat Pump Unit",'Input HVAC Measures'!$G23*12000/1000*References!$L$5*((1/'HVAC Calcs'!$C20)-(1/'Input HVAC Measures'!$H23))))</f>
        <v>0</v>
      </c>
    </row>
    <row r="21" spans="1:9" ht="15" x14ac:dyDescent="0.25">
      <c r="A21">
        <v>19</v>
      </c>
      <c r="B21" s="95"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1" s="95"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1" s="95"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1" s="95"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1" s="95"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1" s="153">
        <f>IF('Input HVAC Measures'!$E24="High Eff. AC Unit",'Input HVAC Measures'!$G24*12000/1000*References!$K$4*((1/'HVAC Calcs'!$D21)-(1/'Input HVAC Measures'!$I24)),IF('Input HVAC Measures'!$E24="High Eff. Heat Pump Unit",'Input HVAC Measures'!$G24*12000/1000*References!$K$5*((1/'HVAC Calcs'!$E21)-(1/'Input HVAC Measures'!$I24))+'Input HVAC Measures'!$G24*12000/1000*References!$N$5*((1/'HVAC Calcs'!$F21)-(1/'Input HVAC Measures'!$J24)),0))</f>
        <v>0</v>
      </c>
      <c r="I21" s="154" t="b">
        <f>IF('Input HVAC Measures'!$E24="High Eff. AC Unit",'Input HVAC Measures'!$G24*12000/1000*References!$L$4*((1/'HVAC Calcs'!$B21)-(1/'Input HVAC Measures'!$H24)),IF('Input HVAC Measures'!$E24="High Eff. Heat Pump Unit",'Input HVAC Measures'!$G24*12000/1000*References!$L$5*((1/'HVAC Calcs'!$C21)-(1/'Input HVAC Measures'!$H24))))</f>
        <v>0</v>
      </c>
    </row>
    <row r="22" spans="1:9" ht="15" x14ac:dyDescent="0.25">
      <c r="A22">
        <v>20</v>
      </c>
      <c r="B22" s="95"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2" s="95"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2" s="95"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2" s="95"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2" s="95"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2" s="153">
        <f>IF('Input HVAC Measures'!$E25="High Eff. AC Unit",'Input HVAC Measures'!$G25*12000/1000*References!$K$4*((1/'HVAC Calcs'!$D22)-(1/'Input HVAC Measures'!$I25)),IF('Input HVAC Measures'!$E25="High Eff. Heat Pump Unit",'Input HVAC Measures'!$G25*12000/1000*References!$K$5*((1/'HVAC Calcs'!$E22)-(1/'Input HVAC Measures'!$I25))+'Input HVAC Measures'!$G25*12000/1000*References!$N$5*((1/'HVAC Calcs'!$F22)-(1/'Input HVAC Measures'!$J25)),0))</f>
        <v>0</v>
      </c>
      <c r="I22" s="154" t="b">
        <f>IF('Input HVAC Measures'!$E25="High Eff. AC Unit",'Input HVAC Measures'!$G25*12000/1000*References!$L$4*((1/'HVAC Calcs'!$B22)-(1/'Input HVAC Measures'!$H25)),IF('Input HVAC Measures'!$E25="High Eff. Heat Pump Unit",'Input HVAC Measures'!$G25*12000/1000*References!$L$5*((1/'HVAC Calcs'!$C22)-(1/'Input HVAC Measures'!$H25))))</f>
        <v>0</v>
      </c>
    </row>
    <row r="23" spans="1:9" ht="15" x14ac:dyDescent="0.25">
      <c r="A23">
        <v>21</v>
      </c>
      <c r="B23" s="95"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3" s="95"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3" s="95"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3" s="95"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3" s="95"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3" s="153">
        <f>IF('Input HVAC Measures'!$E26="High Eff. AC Unit",'Input HVAC Measures'!$G26*12000/1000*References!$K$4*((1/'HVAC Calcs'!$D23)-(1/'Input HVAC Measures'!$I26)),IF('Input HVAC Measures'!$E26="High Eff. Heat Pump Unit",'Input HVAC Measures'!$G26*12000/1000*References!$K$5*((1/'HVAC Calcs'!$E23)-(1/'Input HVAC Measures'!$I26))+'Input HVAC Measures'!$G26*12000/1000*References!$N$5*((1/'HVAC Calcs'!$F23)-(1/'Input HVAC Measures'!$J26)),0))</f>
        <v>0</v>
      </c>
      <c r="I23" s="154" t="b">
        <f>IF('Input HVAC Measures'!$E26="High Eff. AC Unit",'Input HVAC Measures'!$G26*12000/1000*References!$L$4*((1/'HVAC Calcs'!$B23)-(1/'Input HVAC Measures'!$H26)),IF('Input HVAC Measures'!$E26="High Eff. Heat Pump Unit",'Input HVAC Measures'!$G26*12000/1000*References!$L$5*((1/'HVAC Calcs'!$C23)-(1/'Input HVAC Measures'!$H26))))</f>
        <v>0</v>
      </c>
    </row>
    <row r="24" spans="1:9" ht="15" x14ac:dyDescent="0.25">
      <c r="A24">
        <v>22</v>
      </c>
      <c r="B24" s="95"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4" s="95"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4" s="95"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4" s="95"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4" s="95"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4" s="153">
        <f>IF('Input HVAC Measures'!$E27="High Eff. AC Unit",'Input HVAC Measures'!$G27*12000/1000*References!$K$4*((1/'HVAC Calcs'!$D24)-(1/'Input HVAC Measures'!$I27)),IF('Input HVAC Measures'!$E27="High Eff. Heat Pump Unit",'Input HVAC Measures'!$G27*12000/1000*References!$K$5*((1/'HVAC Calcs'!$E24)-(1/'Input HVAC Measures'!$I27))+'Input HVAC Measures'!$G27*12000/1000*References!$N$5*((1/'HVAC Calcs'!$F24)-(1/'Input HVAC Measures'!$J27)),0))</f>
        <v>0</v>
      </c>
      <c r="I24" s="154" t="b">
        <f>IF('Input HVAC Measures'!$E27="High Eff. AC Unit",'Input HVAC Measures'!$G27*12000/1000*References!$L$4*((1/'HVAC Calcs'!$B24)-(1/'Input HVAC Measures'!$H27)),IF('Input HVAC Measures'!$E27="High Eff. Heat Pump Unit",'Input HVAC Measures'!$G27*12000/1000*References!$L$5*((1/'HVAC Calcs'!$C24)-(1/'Input HVAC Measures'!$H27))))</f>
        <v>0</v>
      </c>
    </row>
    <row r="25" spans="1:9" ht="15" x14ac:dyDescent="0.25">
      <c r="A25">
        <v>23</v>
      </c>
      <c r="B25" s="95"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5" s="95"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5" s="95"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5" s="95"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5" s="95"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5" s="153">
        <f>IF('Input HVAC Measures'!$E28="High Eff. AC Unit",'Input HVAC Measures'!$G28*12000/1000*References!$K$4*((1/'HVAC Calcs'!$D25)-(1/'Input HVAC Measures'!$I28)),IF('Input HVAC Measures'!$E28="High Eff. Heat Pump Unit",'Input HVAC Measures'!$G28*12000/1000*References!$K$5*((1/'HVAC Calcs'!$E25)-(1/'Input HVAC Measures'!$I28))+'Input HVAC Measures'!$G28*12000/1000*References!$N$5*((1/'HVAC Calcs'!$F25)-(1/'Input HVAC Measures'!$J28)),0))</f>
        <v>0</v>
      </c>
      <c r="I25" s="154" t="b">
        <f>IF('Input HVAC Measures'!$E28="High Eff. AC Unit",'Input HVAC Measures'!$G28*12000/1000*References!$L$4*((1/'HVAC Calcs'!$B25)-(1/'Input HVAC Measures'!$H28)),IF('Input HVAC Measures'!$E28="High Eff. Heat Pump Unit",'Input HVAC Measures'!$G28*12000/1000*References!$L$5*((1/'HVAC Calcs'!$C25)-(1/'Input HVAC Measures'!$H28))))</f>
        <v>0</v>
      </c>
    </row>
    <row r="26" spans="1:9" ht="15" x14ac:dyDescent="0.25">
      <c r="A26">
        <v>24</v>
      </c>
      <c r="B26" s="95"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6" s="95"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6" s="95"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6" s="95"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6" s="95"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6" s="153">
        <f>IF('Input HVAC Measures'!$E29="High Eff. AC Unit",'Input HVAC Measures'!$G29*12000/1000*References!$K$4*((1/'HVAC Calcs'!$D26)-(1/'Input HVAC Measures'!$I29)),IF('Input HVAC Measures'!$E29="High Eff. Heat Pump Unit",'Input HVAC Measures'!$G29*12000/1000*References!$K$5*((1/'HVAC Calcs'!$E26)-(1/'Input HVAC Measures'!$I29))+'Input HVAC Measures'!$G29*12000/1000*References!$N$5*((1/'HVAC Calcs'!$F26)-(1/'Input HVAC Measures'!$J29)),0))</f>
        <v>0</v>
      </c>
      <c r="I26" s="154" t="b">
        <f>IF('Input HVAC Measures'!$E29="High Eff. AC Unit",'Input HVAC Measures'!$G29*12000/1000*References!$L$4*((1/'HVAC Calcs'!$B26)-(1/'Input HVAC Measures'!$H29)),IF('Input HVAC Measures'!$E29="High Eff. Heat Pump Unit",'Input HVAC Measures'!$G29*12000/1000*References!$L$5*((1/'HVAC Calcs'!$C26)-(1/'Input HVAC Measures'!$H29))))</f>
        <v>0</v>
      </c>
    </row>
    <row r="27" spans="1:9" ht="15" x14ac:dyDescent="0.25">
      <c r="A27">
        <v>25</v>
      </c>
      <c r="B27" s="95"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7" s="95"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7" s="95"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7" s="95"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7" s="95"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7" s="153">
        <f>IF('Input HVAC Measures'!$E30="High Eff. AC Unit",'Input HVAC Measures'!$G30*12000/1000*References!$K$4*((1/'HVAC Calcs'!$D27)-(1/'Input HVAC Measures'!$I30)),IF('Input HVAC Measures'!$E30="High Eff. Heat Pump Unit",'Input HVAC Measures'!$G30*12000/1000*References!$K$5*((1/'HVAC Calcs'!$E27)-(1/'Input HVAC Measures'!$I30))+'Input HVAC Measures'!$G30*12000/1000*References!$N$5*((1/'HVAC Calcs'!$F27)-(1/'Input HVAC Measures'!$J30)),0))</f>
        <v>0</v>
      </c>
      <c r="I27" s="154" t="b">
        <f>IF('Input HVAC Measures'!$E30="High Eff. AC Unit",'Input HVAC Measures'!$G30*12000/1000*References!$L$4*((1/'HVAC Calcs'!$B27)-(1/'Input HVAC Measures'!$H30)),IF('Input HVAC Measures'!$E30="High Eff. Heat Pump Unit",'Input HVAC Measures'!$G30*12000/1000*References!$L$5*((1/'HVAC Calcs'!$C27)-(1/'Input HVAC Measures'!$H30))))</f>
        <v>0</v>
      </c>
    </row>
    <row r="28" spans="1:9" ht="15" x14ac:dyDescent="0.25">
      <c r="A28">
        <v>26</v>
      </c>
      <c r="B28" s="95"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8" s="95"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8" s="95"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8" s="95"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8" s="95"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8" s="153">
        <f>IF('Input HVAC Measures'!$E31="High Eff. AC Unit",'Input HVAC Measures'!$G31*12000/1000*References!$K$4*((1/'HVAC Calcs'!$D28)-(1/'Input HVAC Measures'!$I31)),IF('Input HVAC Measures'!$E31="High Eff. Heat Pump Unit",'Input HVAC Measures'!$G31*12000/1000*References!$K$5*((1/'HVAC Calcs'!$E28)-(1/'Input HVAC Measures'!$I31))+'Input HVAC Measures'!$G31*12000/1000*References!$N$5*((1/'HVAC Calcs'!$F28)-(1/'Input HVAC Measures'!$J31)),0))</f>
        <v>0</v>
      </c>
      <c r="I28" s="154" t="b">
        <f>IF('Input HVAC Measures'!$E31="High Eff. AC Unit",'Input HVAC Measures'!$G31*12000/1000*References!$L$4*((1/'HVAC Calcs'!$B28)-(1/'Input HVAC Measures'!$H31)),IF('Input HVAC Measures'!$E31="High Eff. Heat Pump Unit",'Input HVAC Measures'!$G31*12000/1000*References!$L$5*((1/'HVAC Calcs'!$C28)-(1/'Input HVAC Measures'!$H31))))</f>
        <v>0</v>
      </c>
    </row>
    <row r="29" spans="1:9" ht="15" x14ac:dyDescent="0.25">
      <c r="A29">
        <v>27</v>
      </c>
      <c r="B29" s="95"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29" s="95"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29" s="95"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29" s="95"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29" s="95"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29" s="153">
        <f>IF('Input HVAC Measures'!$E32="High Eff. AC Unit",'Input HVAC Measures'!$G32*12000/1000*References!$K$4*((1/'HVAC Calcs'!$D29)-(1/'Input HVAC Measures'!$I32)),IF('Input HVAC Measures'!$E32="High Eff. Heat Pump Unit",'Input HVAC Measures'!$G32*12000/1000*References!$K$5*((1/'HVAC Calcs'!$E29)-(1/'Input HVAC Measures'!$I32))+'Input HVAC Measures'!$G32*12000/1000*References!$N$5*((1/'HVAC Calcs'!$F29)-(1/'Input HVAC Measures'!$J32)),0))</f>
        <v>0</v>
      </c>
      <c r="I29" s="154" t="b">
        <f>IF('Input HVAC Measures'!$E32="High Eff. AC Unit",'Input HVAC Measures'!$G32*12000/1000*References!$L$4*((1/'HVAC Calcs'!$B29)-(1/'Input HVAC Measures'!$H32)),IF('Input HVAC Measures'!$E32="High Eff. Heat Pump Unit",'Input HVAC Measures'!$G32*12000/1000*References!$L$5*((1/'HVAC Calcs'!$C29)-(1/'Input HVAC Measures'!$H32))))</f>
        <v>0</v>
      </c>
    </row>
    <row r="30" spans="1:9" ht="15" x14ac:dyDescent="0.25">
      <c r="A30">
        <v>28</v>
      </c>
      <c r="B30" s="95"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0" s="95"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0" s="95"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0" s="95"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0" s="95"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0" s="153">
        <f>IF('Input HVAC Measures'!$E33="High Eff. AC Unit",'Input HVAC Measures'!$G33*12000/1000*References!$K$4*((1/'HVAC Calcs'!$D30)-(1/'Input HVAC Measures'!$I33)),IF('Input HVAC Measures'!$E33="High Eff. Heat Pump Unit",'Input HVAC Measures'!$G33*12000/1000*References!$K$5*((1/'HVAC Calcs'!$E30)-(1/'Input HVAC Measures'!$I33))+'Input HVAC Measures'!$G33*12000/1000*References!$N$5*((1/'HVAC Calcs'!$F30)-(1/'Input HVAC Measures'!$J33)),0))</f>
        <v>0</v>
      </c>
      <c r="I30" s="154" t="b">
        <f>IF('Input HVAC Measures'!$E33="High Eff. AC Unit",'Input HVAC Measures'!$G33*12000/1000*References!$L$4*((1/'HVAC Calcs'!$B30)-(1/'Input HVAC Measures'!$H33)),IF('Input HVAC Measures'!$E33="High Eff. Heat Pump Unit",'Input HVAC Measures'!$G33*12000/1000*References!$L$5*((1/'HVAC Calcs'!$C30)-(1/'Input HVAC Measures'!$H33))))</f>
        <v>0</v>
      </c>
    </row>
    <row r="31" spans="1:9" ht="15" x14ac:dyDescent="0.25">
      <c r="A31">
        <v>29</v>
      </c>
      <c r="B31" s="95"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1" s="95"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1" s="95"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1" s="95"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1" s="95"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1" s="153">
        <f>IF('Input HVAC Measures'!$E34="High Eff. AC Unit",'Input HVAC Measures'!$G34*12000/1000*References!$K$4*((1/'HVAC Calcs'!$D31)-(1/'Input HVAC Measures'!$I34)),IF('Input HVAC Measures'!$E34="High Eff. Heat Pump Unit",'Input HVAC Measures'!$G34*12000/1000*References!$K$5*((1/'HVAC Calcs'!$E31)-(1/'Input HVAC Measures'!$I34))+'Input HVAC Measures'!$G34*12000/1000*References!$N$5*((1/'HVAC Calcs'!$F31)-(1/'Input HVAC Measures'!$J34)),0))</f>
        <v>0</v>
      </c>
      <c r="I31" s="154" t="b">
        <f>IF('Input HVAC Measures'!$E34="High Eff. AC Unit",'Input HVAC Measures'!$G34*12000/1000*References!$L$4*((1/'HVAC Calcs'!$B31)-(1/'Input HVAC Measures'!$H34)),IF('Input HVAC Measures'!$E34="High Eff. Heat Pump Unit",'Input HVAC Measures'!$G34*12000/1000*References!$L$5*((1/'HVAC Calcs'!$C31)-(1/'Input HVAC Measures'!$H34))))</f>
        <v>0</v>
      </c>
    </row>
    <row r="32" spans="1:9" ht="15" x14ac:dyDescent="0.25">
      <c r="A32">
        <v>30</v>
      </c>
      <c r="B32" s="95"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2" s="95"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2" s="95"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2" s="95"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2" s="95"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2" s="153">
        <f>IF('Input HVAC Measures'!$E35="High Eff. AC Unit",'Input HVAC Measures'!$G35*12000/1000*References!$K$4*((1/'HVAC Calcs'!$D32)-(1/'Input HVAC Measures'!$I35)),IF('Input HVAC Measures'!$E35="High Eff. Heat Pump Unit",'Input HVAC Measures'!$G35*12000/1000*References!$K$5*((1/'HVAC Calcs'!$E32)-(1/'Input HVAC Measures'!$I35))+'Input HVAC Measures'!$G35*12000/1000*References!$N$5*((1/'HVAC Calcs'!$F32)-(1/'Input HVAC Measures'!$J35)),0))</f>
        <v>0</v>
      </c>
      <c r="I32" s="154" t="b">
        <f>IF('Input HVAC Measures'!$E35="High Eff. AC Unit",'Input HVAC Measures'!$G35*12000/1000*References!$L$4*((1/'HVAC Calcs'!$B32)-(1/'Input HVAC Measures'!$H35)),IF('Input HVAC Measures'!$E35="High Eff. Heat Pump Unit",'Input HVAC Measures'!$G35*12000/1000*References!$L$5*((1/'HVAC Calcs'!$C32)-(1/'Input HVAC Measures'!$H35))))</f>
        <v>0</v>
      </c>
    </row>
    <row r="33" spans="1:9" ht="15" x14ac:dyDescent="0.25">
      <c r="A33">
        <v>31</v>
      </c>
      <c r="B33" s="95"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3" s="95"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3" s="95"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3" s="95"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3" s="95"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3" s="153">
        <f>IF('Input HVAC Measures'!$E36="High Eff. AC Unit",'Input HVAC Measures'!$G36*12000/1000*References!$K$4*((1/'HVAC Calcs'!$D33)-(1/'Input HVAC Measures'!$I36)),IF('Input HVAC Measures'!$E36="High Eff. Heat Pump Unit",'Input HVAC Measures'!$G36*12000/1000*References!$K$5*((1/'HVAC Calcs'!$E33)-(1/'Input HVAC Measures'!$I36))+'Input HVAC Measures'!$G36*12000/1000*References!$N$5*((1/'HVAC Calcs'!$F33)-(1/'Input HVAC Measures'!$J36)),0))</f>
        <v>0</v>
      </c>
      <c r="I33" s="154" t="b">
        <f>IF('Input HVAC Measures'!$E36="High Eff. AC Unit",'Input HVAC Measures'!$G36*12000/1000*References!$L$4*((1/'HVAC Calcs'!$B33)-(1/'Input HVAC Measures'!$H36)),IF('Input HVAC Measures'!$E36="High Eff. Heat Pump Unit",'Input HVAC Measures'!$G36*12000/1000*References!$L$5*((1/'HVAC Calcs'!$C33)-(1/'Input HVAC Measures'!$H36))))</f>
        <v>0</v>
      </c>
    </row>
    <row r="34" spans="1:9" ht="15" x14ac:dyDescent="0.25">
      <c r="A34">
        <v>32</v>
      </c>
      <c r="B34" s="95"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4" s="95"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4" s="95"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4" s="95"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4" s="95"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4" s="153">
        <f>IF('Input HVAC Measures'!$E37="High Eff. AC Unit",'Input HVAC Measures'!$G37*12000/1000*References!$K$4*((1/'HVAC Calcs'!$D34)-(1/'Input HVAC Measures'!$I37)),IF('Input HVAC Measures'!$E37="High Eff. Heat Pump Unit",'Input HVAC Measures'!$G37*12000/1000*References!$K$5*((1/'HVAC Calcs'!$E34)-(1/'Input HVAC Measures'!$I37))+'Input HVAC Measures'!$G37*12000/1000*References!$N$5*((1/'HVAC Calcs'!$F34)-(1/'Input HVAC Measures'!$J37)),0))</f>
        <v>0</v>
      </c>
      <c r="I34" s="154" t="b">
        <f>IF('Input HVAC Measures'!$E37="High Eff. AC Unit",'Input HVAC Measures'!$G37*12000/1000*References!$L$4*((1/'HVAC Calcs'!$B34)-(1/'Input HVAC Measures'!$H37)),IF('Input HVAC Measures'!$E37="High Eff. Heat Pump Unit",'Input HVAC Measures'!$G37*12000/1000*References!$L$5*((1/'HVAC Calcs'!$C34)-(1/'Input HVAC Measures'!$H37))))</f>
        <v>0</v>
      </c>
    </row>
    <row r="35" spans="1:9" ht="15" x14ac:dyDescent="0.25">
      <c r="A35">
        <v>33</v>
      </c>
      <c r="B35" s="95"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5" s="95"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5" s="95"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5" s="95"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5" s="95"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5" s="153">
        <f>IF('Input HVAC Measures'!$E38="High Eff. AC Unit",'Input HVAC Measures'!$G38*12000/1000*References!$K$4*((1/'HVAC Calcs'!$D35)-(1/'Input HVAC Measures'!$I38)),IF('Input HVAC Measures'!$E38="High Eff. Heat Pump Unit",'Input HVAC Measures'!$G38*12000/1000*References!$K$5*((1/'HVAC Calcs'!$E35)-(1/'Input HVAC Measures'!$I38))+'Input HVAC Measures'!$G38*12000/1000*References!$N$5*((1/'HVAC Calcs'!$F35)-(1/'Input HVAC Measures'!$J38)),0))</f>
        <v>0</v>
      </c>
      <c r="I35" s="154" t="b">
        <f>IF('Input HVAC Measures'!$E38="High Eff. AC Unit",'Input HVAC Measures'!$G38*12000/1000*References!$L$4*((1/'HVAC Calcs'!$B35)-(1/'Input HVAC Measures'!$H38)),IF('Input HVAC Measures'!$E38="High Eff. Heat Pump Unit",'Input HVAC Measures'!$G38*12000/1000*References!$L$5*((1/'HVAC Calcs'!$C35)-(1/'Input HVAC Measures'!$H38))))</f>
        <v>0</v>
      </c>
    </row>
    <row r="36" spans="1:9" ht="15" x14ac:dyDescent="0.25">
      <c r="A36">
        <v>34</v>
      </c>
      <c r="B36" s="95"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6" s="95"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6" s="95"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6" s="95"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6" s="95"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6" s="153">
        <f>IF('Input HVAC Measures'!$E39="High Eff. AC Unit",'Input HVAC Measures'!$G39*12000/1000*References!$K$4*((1/'HVAC Calcs'!$D36)-(1/'Input HVAC Measures'!$I39)),IF('Input HVAC Measures'!$E39="High Eff. Heat Pump Unit",'Input HVAC Measures'!$G39*12000/1000*References!$K$5*((1/'HVAC Calcs'!$E36)-(1/'Input HVAC Measures'!$I39))+'Input HVAC Measures'!$G39*12000/1000*References!$N$5*((1/'HVAC Calcs'!$F36)-(1/'Input HVAC Measures'!$J39)),0))</f>
        <v>0</v>
      </c>
      <c r="I36" s="154" t="b">
        <f>IF('Input HVAC Measures'!$E39="High Eff. AC Unit",'Input HVAC Measures'!$G39*12000/1000*References!$L$4*((1/'HVAC Calcs'!$B36)-(1/'Input HVAC Measures'!$H39)),IF('Input HVAC Measures'!$E39="High Eff. Heat Pump Unit",'Input HVAC Measures'!$G39*12000/1000*References!$L$5*((1/'HVAC Calcs'!$C36)-(1/'Input HVAC Measures'!$H39))))</f>
        <v>0</v>
      </c>
    </row>
    <row r="37" spans="1:9" ht="15" x14ac:dyDescent="0.25">
      <c r="A37">
        <v>35</v>
      </c>
      <c r="B37" s="95"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7" s="95"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7" s="95"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7" s="95"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7" s="95"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7" s="153">
        <f>IF('Input HVAC Measures'!$E40="High Eff. AC Unit",'Input HVAC Measures'!$G40*12000/1000*References!$K$4*((1/'HVAC Calcs'!$D37)-(1/'Input HVAC Measures'!$I40)),IF('Input HVAC Measures'!$E40="High Eff. Heat Pump Unit",'Input HVAC Measures'!$G40*12000/1000*References!$K$5*((1/'HVAC Calcs'!$E37)-(1/'Input HVAC Measures'!$I40))+'Input HVAC Measures'!$G40*12000/1000*References!$N$5*((1/'HVAC Calcs'!$F37)-(1/'Input HVAC Measures'!$J40)),0))</f>
        <v>0</v>
      </c>
      <c r="I37" s="154" t="b">
        <f>IF('Input HVAC Measures'!$E40="High Eff. AC Unit",'Input HVAC Measures'!$G40*12000/1000*References!$L$4*((1/'HVAC Calcs'!$B37)-(1/'Input HVAC Measures'!$H40)),IF('Input HVAC Measures'!$E40="High Eff. Heat Pump Unit",'Input HVAC Measures'!$G40*12000/1000*References!$L$5*((1/'HVAC Calcs'!$C37)-(1/'Input HVAC Measures'!$H40))))</f>
        <v>0</v>
      </c>
    </row>
    <row r="38" spans="1:9" ht="15" x14ac:dyDescent="0.25">
      <c r="A38">
        <v>36</v>
      </c>
      <c r="B38" s="95"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8" s="95"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8" s="95"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8" s="95"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8" s="95"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8" s="153">
        <f>IF('Input HVAC Measures'!$E41="High Eff. AC Unit",'Input HVAC Measures'!$G41*12000/1000*References!$K$4*((1/'HVAC Calcs'!$D38)-(1/'Input HVAC Measures'!$I41)),IF('Input HVAC Measures'!$E41="High Eff. Heat Pump Unit",'Input HVAC Measures'!$G41*12000/1000*References!$K$5*((1/'HVAC Calcs'!$E38)-(1/'Input HVAC Measures'!$I41))+'Input HVAC Measures'!$G41*12000/1000*References!$N$5*((1/'HVAC Calcs'!$F38)-(1/'Input HVAC Measures'!$J41)),0))</f>
        <v>0</v>
      </c>
      <c r="I38" s="154" t="b">
        <f>IF('Input HVAC Measures'!$E41="High Eff. AC Unit",'Input HVAC Measures'!$G41*12000/1000*References!$L$4*((1/'HVAC Calcs'!$B38)-(1/'Input HVAC Measures'!$H41)),IF('Input HVAC Measures'!$E41="High Eff. Heat Pump Unit",'Input HVAC Measures'!$G41*12000/1000*References!$L$5*((1/'HVAC Calcs'!$C38)-(1/'Input HVAC Measures'!$H41))))</f>
        <v>0</v>
      </c>
    </row>
    <row r="39" spans="1:9" ht="15" x14ac:dyDescent="0.25">
      <c r="A39">
        <v>37</v>
      </c>
      <c r="B39" s="95"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39" s="95"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39" s="95"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39" s="95"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39" s="95"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39" s="153">
        <f>IF('Input HVAC Measures'!$E42="High Eff. AC Unit",'Input HVAC Measures'!$G42*12000/1000*References!$K$4*((1/'HVAC Calcs'!$D39)-(1/'Input HVAC Measures'!$I42)),IF('Input HVAC Measures'!$E42="High Eff. Heat Pump Unit",'Input HVAC Measures'!$G42*12000/1000*References!$K$5*((1/'HVAC Calcs'!$E39)-(1/'Input HVAC Measures'!$I42))+'Input HVAC Measures'!$G42*12000/1000*References!$N$5*((1/'HVAC Calcs'!$F39)-(1/'Input HVAC Measures'!$J42)),0))</f>
        <v>0</v>
      </c>
      <c r="I39" s="154" t="b">
        <f>IF('Input HVAC Measures'!$E42="High Eff. AC Unit",'Input HVAC Measures'!$G42*12000/1000*References!$L$4*((1/'HVAC Calcs'!$B39)-(1/'Input HVAC Measures'!$H42)),IF('Input HVAC Measures'!$E42="High Eff. Heat Pump Unit",'Input HVAC Measures'!$G42*12000/1000*References!$L$5*((1/'HVAC Calcs'!$C39)-(1/'Input HVAC Measures'!$H42))))</f>
        <v>0</v>
      </c>
    </row>
    <row r="40" spans="1:9" ht="15" x14ac:dyDescent="0.25">
      <c r="A40">
        <v>38</v>
      </c>
      <c r="B40" s="95"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0" s="95"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0" s="95"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0" s="95"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0" s="95"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0" s="153">
        <f>IF('Input HVAC Measures'!$E43="High Eff. AC Unit",'Input HVAC Measures'!$G43*12000/1000*References!$K$4*((1/'HVAC Calcs'!$D40)-(1/'Input HVAC Measures'!$I43)),IF('Input HVAC Measures'!$E43="High Eff. Heat Pump Unit",'Input HVAC Measures'!$G43*12000/1000*References!$K$5*((1/'HVAC Calcs'!$E40)-(1/'Input HVAC Measures'!$I43))+'Input HVAC Measures'!$G43*12000/1000*References!$N$5*((1/'HVAC Calcs'!$F40)-(1/'Input HVAC Measures'!$J43)),0))</f>
        <v>0</v>
      </c>
      <c r="I40" s="154" t="b">
        <f>IF('Input HVAC Measures'!$E43="High Eff. AC Unit",'Input HVAC Measures'!$G43*12000/1000*References!$L$4*((1/'HVAC Calcs'!$B40)-(1/'Input HVAC Measures'!$H43)),IF('Input HVAC Measures'!$E43="High Eff. Heat Pump Unit",'Input HVAC Measures'!$G43*12000/1000*References!$L$5*((1/'HVAC Calcs'!$C40)-(1/'Input HVAC Measures'!$H43))))</f>
        <v>0</v>
      </c>
    </row>
    <row r="41" spans="1:9" ht="15" x14ac:dyDescent="0.25">
      <c r="A41">
        <v>39</v>
      </c>
      <c r="B41" s="95"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1" s="95"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1" s="95"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1" s="95"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1" s="95"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1" s="153">
        <f>IF('Input HVAC Measures'!$E44="High Eff. AC Unit",'Input HVAC Measures'!$G44*12000/1000*References!$K$4*((1/'HVAC Calcs'!$D41)-(1/'Input HVAC Measures'!$I44)),IF('Input HVAC Measures'!$E44="High Eff. Heat Pump Unit",'Input HVAC Measures'!$G44*12000/1000*References!$K$5*((1/'HVAC Calcs'!$E41)-(1/'Input HVAC Measures'!$I44))+'Input HVAC Measures'!$G44*12000/1000*References!$N$5*((1/'HVAC Calcs'!$F41)-(1/'Input HVAC Measures'!$J44)),0))</f>
        <v>0</v>
      </c>
      <c r="I41" s="154" t="b">
        <f>IF('Input HVAC Measures'!$E44="High Eff. AC Unit",'Input HVAC Measures'!$G44*12000/1000*References!$L$4*((1/'HVAC Calcs'!$B41)-(1/'Input HVAC Measures'!$H44)),IF('Input HVAC Measures'!$E44="High Eff. Heat Pump Unit",'Input HVAC Measures'!$G44*12000/1000*References!$L$5*((1/'HVAC Calcs'!$C41)-(1/'Input HVAC Measures'!$H44))))</f>
        <v>0</v>
      </c>
    </row>
    <row r="42" spans="1:9" ht="15" x14ac:dyDescent="0.25">
      <c r="A42">
        <v>40</v>
      </c>
      <c r="B42" s="95"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2" s="95"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2" s="95"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2" s="95"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2" s="95"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2" s="153">
        <f>IF('Input HVAC Measures'!$E45="High Eff. AC Unit",'Input HVAC Measures'!$G45*12000/1000*References!$K$4*((1/'HVAC Calcs'!$D42)-(1/'Input HVAC Measures'!$I45)),IF('Input HVAC Measures'!$E45="High Eff. Heat Pump Unit",'Input HVAC Measures'!$G45*12000/1000*References!$K$5*((1/'HVAC Calcs'!$E42)-(1/'Input HVAC Measures'!$I45))+'Input HVAC Measures'!$G45*12000/1000*References!$N$5*((1/'HVAC Calcs'!$F42)-(1/'Input HVAC Measures'!$J45)),0))</f>
        <v>0</v>
      </c>
      <c r="I42" s="154" t="b">
        <f>IF('Input HVAC Measures'!$E45="High Eff. AC Unit",'Input HVAC Measures'!$G45*12000/1000*References!$L$4*((1/'HVAC Calcs'!$B42)-(1/'Input HVAC Measures'!$H45)),IF('Input HVAC Measures'!$E45="High Eff. Heat Pump Unit",'Input HVAC Measures'!$G45*12000/1000*References!$L$5*((1/'HVAC Calcs'!$C42)-(1/'Input HVAC Measures'!$H45))))</f>
        <v>0</v>
      </c>
    </row>
    <row r="43" spans="1:9" ht="15" x14ac:dyDescent="0.25">
      <c r="A43">
        <v>41</v>
      </c>
      <c r="B43" s="95"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3" s="95"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3" s="95"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3" s="95"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3" s="95"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3" s="153">
        <f>IF('Input HVAC Measures'!$E46="High Eff. AC Unit",'Input HVAC Measures'!$G46*12000/1000*References!$K$4*((1/'HVAC Calcs'!$D43)-(1/'Input HVAC Measures'!$I46)),IF('Input HVAC Measures'!$E46="High Eff. Heat Pump Unit",'Input HVAC Measures'!$G46*12000/1000*References!$K$5*((1/'HVAC Calcs'!$E43)-(1/'Input HVAC Measures'!$I46))+'Input HVAC Measures'!$G46*12000/1000*References!$N$5*((1/'HVAC Calcs'!$F43)-(1/'Input HVAC Measures'!$J46)),0))</f>
        <v>0</v>
      </c>
      <c r="I43" s="154" t="b">
        <f>IF('Input HVAC Measures'!$E46="High Eff. AC Unit",'Input HVAC Measures'!$G46*12000/1000*References!$L$4*((1/'HVAC Calcs'!$B43)-(1/'Input HVAC Measures'!$H46)),IF('Input HVAC Measures'!$E46="High Eff. Heat Pump Unit",'Input HVAC Measures'!$G46*12000/1000*References!$L$5*((1/'HVAC Calcs'!$C43)-(1/'Input HVAC Measures'!$H46))))</f>
        <v>0</v>
      </c>
    </row>
    <row r="44" spans="1:9" ht="15" x14ac:dyDescent="0.25">
      <c r="A44">
        <v>42</v>
      </c>
      <c r="B44" s="95"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4" s="95"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4" s="95"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4" s="95"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4" s="95"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4" s="153">
        <f>IF('Input HVAC Measures'!$E47="High Eff. AC Unit",'Input HVAC Measures'!$G47*12000/1000*References!$K$4*((1/'HVAC Calcs'!$D44)-(1/'Input HVAC Measures'!$I47)),IF('Input HVAC Measures'!$E47="High Eff. Heat Pump Unit",'Input HVAC Measures'!$G47*12000/1000*References!$K$5*((1/'HVAC Calcs'!$E44)-(1/'Input HVAC Measures'!$I47))+'Input HVAC Measures'!$G47*12000/1000*References!$N$5*((1/'HVAC Calcs'!$F44)-(1/'Input HVAC Measures'!$J47)),0))</f>
        <v>0</v>
      </c>
      <c r="I44" s="154" t="b">
        <f>IF('Input HVAC Measures'!$E47="High Eff. AC Unit",'Input HVAC Measures'!$G47*12000/1000*References!$L$4*((1/'HVAC Calcs'!$B44)-(1/'Input HVAC Measures'!$H47)),IF('Input HVAC Measures'!$E47="High Eff. Heat Pump Unit",'Input HVAC Measures'!$G47*12000/1000*References!$L$5*((1/'HVAC Calcs'!$C44)-(1/'Input HVAC Measures'!$H47))))</f>
        <v>0</v>
      </c>
    </row>
    <row r="45" spans="1:9" ht="15" x14ac:dyDescent="0.25">
      <c r="A45">
        <v>43</v>
      </c>
      <c r="B45" s="95"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5" s="95"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5" s="95"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5" s="95"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5" s="95"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5" s="153">
        <f>IF('Input HVAC Measures'!$E48="High Eff. AC Unit",'Input HVAC Measures'!$G48*12000/1000*References!$K$4*((1/'HVAC Calcs'!$D45)-(1/'Input HVAC Measures'!$I48)),IF('Input HVAC Measures'!$E48="High Eff. Heat Pump Unit",'Input HVAC Measures'!$G48*12000/1000*References!$K$5*((1/'HVAC Calcs'!$E45)-(1/'Input HVAC Measures'!$I48))+'Input HVAC Measures'!$G48*12000/1000*References!$N$5*((1/'HVAC Calcs'!$F45)-(1/'Input HVAC Measures'!$J48)),0))</f>
        <v>0</v>
      </c>
      <c r="I45" s="154" t="b">
        <f>IF('Input HVAC Measures'!$E48="High Eff. AC Unit",'Input HVAC Measures'!$G48*12000/1000*References!$L$4*((1/'HVAC Calcs'!$B45)-(1/'Input HVAC Measures'!$H48)),IF('Input HVAC Measures'!$E48="High Eff. Heat Pump Unit",'Input HVAC Measures'!$G48*12000/1000*References!$L$5*((1/'HVAC Calcs'!$C45)-(1/'Input HVAC Measures'!$H48))))</f>
        <v>0</v>
      </c>
    </row>
    <row r="46" spans="1:9" ht="15" x14ac:dyDescent="0.25">
      <c r="A46">
        <v>44</v>
      </c>
      <c r="B46" s="95"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6" s="95"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6" s="95"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6" s="95"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6" s="95"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6" s="153">
        <f>IF('Input HVAC Measures'!$E49="High Eff. AC Unit",'Input HVAC Measures'!$G49*12000/1000*References!$K$4*((1/'HVAC Calcs'!$D46)-(1/'Input HVAC Measures'!$I49)),IF('Input HVAC Measures'!$E49="High Eff. Heat Pump Unit",'Input HVAC Measures'!$G49*12000/1000*References!$K$5*((1/'HVAC Calcs'!$E46)-(1/'Input HVAC Measures'!$I49))+'Input HVAC Measures'!$G49*12000/1000*References!$N$5*((1/'HVAC Calcs'!$F46)-(1/'Input HVAC Measures'!$J49)),0))</f>
        <v>0</v>
      </c>
      <c r="I46" s="154" t="b">
        <f>IF('Input HVAC Measures'!$E49="High Eff. AC Unit",'Input HVAC Measures'!$G49*12000/1000*References!$L$4*((1/'HVAC Calcs'!$B46)-(1/'Input HVAC Measures'!$H49)),IF('Input HVAC Measures'!$E49="High Eff. Heat Pump Unit",'Input HVAC Measures'!$G49*12000/1000*References!$L$5*((1/'HVAC Calcs'!$C46)-(1/'Input HVAC Measures'!$H49))))</f>
        <v>0</v>
      </c>
    </row>
    <row r="47" spans="1:9" ht="15" x14ac:dyDescent="0.25">
      <c r="A47">
        <v>45</v>
      </c>
      <c r="B47" s="95"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7" s="95"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7" s="95"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7" s="95"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7" s="95"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7" s="153">
        <f>IF('Input HVAC Measures'!$E50="High Eff. AC Unit",'Input HVAC Measures'!$G50*12000/1000*References!$K$4*((1/'HVAC Calcs'!$D47)-(1/'Input HVAC Measures'!$I50)),IF('Input HVAC Measures'!$E50="High Eff. Heat Pump Unit",'Input HVAC Measures'!$G50*12000/1000*References!$K$5*((1/'HVAC Calcs'!$E47)-(1/'Input HVAC Measures'!$I50))+'Input HVAC Measures'!$G50*12000/1000*References!$N$5*((1/'HVAC Calcs'!$F47)-(1/'Input HVAC Measures'!$J50)),0))</f>
        <v>0</v>
      </c>
      <c r="I47" s="154" t="b">
        <f>IF('Input HVAC Measures'!$E50="High Eff. AC Unit",'Input HVAC Measures'!$G50*12000/1000*References!$L$4*((1/'HVAC Calcs'!$B47)-(1/'Input HVAC Measures'!$H50)),IF('Input HVAC Measures'!$E50="High Eff. Heat Pump Unit",'Input HVAC Measures'!$G50*12000/1000*References!$L$5*((1/'HVAC Calcs'!$C47)-(1/'Input HVAC Measures'!$H50))))</f>
        <v>0</v>
      </c>
    </row>
    <row r="48" spans="1:9" ht="15" x14ac:dyDescent="0.25">
      <c r="A48">
        <v>46</v>
      </c>
      <c r="B48" s="95"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8" s="95"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8" s="95"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8" s="95"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8" s="95"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8" s="153">
        <f>IF('Input HVAC Measures'!$E51="High Eff. AC Unit",'Input HVAC Measures'!$G51*12000/1000*References!$K$4*((1/'HVAC Calcs'!$D48)-(1/'Input HVAC Measures'!$I51)),IF('Input HVAC Measures'!$E51="High Eff. Heat Pump Unit",'Input HVAC Measures'!$G51*12000/1000*References!$K$5*((1/'HVAC Calcs'!$E48)-(1/'Input HVAC Measures'!$I51))+'Input HVAC Measures'!$G51*12000/1000*References!$N$5*((1/'HVAC Calcs'!$F48)-(1/'Input HVAC Measures'!$J51)),0))</f>
        <v>0</v>
      </c>
      <c r="I48" s="154" t="b">
        <f>IF('Input HVAC Measures'!$E51="High Eff. AC Unit",'Input HVAC Measures'!$G51*12000/1000*References!$L$4*((1/'HVAC Calcs'!$B48)-(1/'Input HVAC Measures'!$H51)),IF('Input HVAC Measures'!$E51="High Eff. Heat Pump Unit",'Input HVAC Measures'!$G51*12000/1000*References!$L$5*((1/'HVAC Calcs'!$C48)-(1/'Input HVAC Measures'!$H51))))</f>
        <v>0</v>
      </c>
    </row>
    <row r="49" spans="1:9" ht="15" x14ac:dyDescent="0.25">
      <c r="A49">
        <v>47</v>
      </c>
      <c r="B49" s="95"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49" s="95"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49" s="95"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49" s="95"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49" s="95"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49" s="153">
        <f>IF('Input HVAC Measures'!$E52="High Eff. AC Unit",'Input HVAC Measures'!$G52*12000/1000*References!$K$4*((1/'HVAC Calcs'!$D49)-(1/'Input HVAC Measures'!$I52)),IF('Input HVAC Measures'!$E52="High Eff. Heat Pump Unit",'Input HVAC Measures'!$G52*12000/1000*References!$K$5*((1/'HVAC Calcs'!$E49)-(1/'Input HVAC Measures'!$I52))+'Input HVAC Measures'!$G52*12000/1000*References!$N$5*((1/'HVAC Calcs'!$F49)-(1/'Input HVAC Measures'!$J52)),0))</f>
        <v>0</v>
      </c>
      <c r="I49" s="154" t="b">
        <f>IF('Input HVAC Measures'!$E52="High Eff. AC Unit",'Input HVAC Measures'!$G52*12000/1000*References!$L$4*((1/'HVAC Calcs'!$B49)-(1/'Input HVAC Measures'!$H52)),IF('Input HVAC Measures'!$E52="High Eff. Heat Pump Unit",'Input HVAC Measures'!$G52*12000/1000*References!$L$5*((1/'HVAC Calcs'!$C49)-(1/'Input HVAC Measures'!$H52))))</f>
        <v>0</v>
      </c>
    </row>
    <row r="50" spans="1:9" ht="15" x14ac:dyDescent="0.25">
      <c r="A50">
        <v>48</v>
      </c>
      <c r="B50" s="95"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0" s="95"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0" s="95"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0" s="95"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0" s="95"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0" s="153">
        <f>IF('Input HVAC Measures'!$E53="High Eff. AC Unit",'Input HVAC Measures'!$G53*12000/1000*References!$K$4*((1/'HVAC Calcs'!$D50)-(1/'Input HVAC Measures'!$I53)),IF('Input HVAC Measures'!$E53="High Eff. Heat Pump Unit",'Input HVAC Measures'!$G53*12000/1000*References!$K$5*((1/'HVAC Calcs'!$E50)-(1/'Input HVAC Measures'!$I53))+'Input HVAC Measures'!$G53*12000/1000*References!$N$5*((1/'HVAC Calcs'!$F50)-(1/'Input HVAC Measures'!$J53)),0))</f>
        <v>0</v>
      </c>
      <c r="I50" s="154" t="b">
        <f>IF('Input HVAC Measures'!$E53="High Eff. AC Unit",'Input HVAC Measures'!$G53*12000/1000*References!$L$4*((1/'HVAC Calcs'!$B50)-(1/'Input HVAC Measures'!$H53)),IF('Input HVAC Measures'!$E53="High Eff. Heat Pump Unit",'Input HVAC Measures'!$G53*12000/1000*References!$L$5*((1/'HVAC Calcs'!$C50)-(1/'Input HVAC Measures'!$H53))))</f>
        <v>0</v>
      </c>
    </row>
    <row r="51" spans="1:9" ht="15" x14ac:dyDescent="0.25">
      <c r="A51">
        <v>49</v>
      </c>
      <c r="B51" s="95"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1" s="95"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1" s="95"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1" s="95"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1" s="95"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1" s="153">
        <f>IF('Input HVAC Measures'!$E54="High Eff. AC Unit",'Input HVAC Measures'!$G54*12000/1000*References!$K$4*((1/'HVAC Calcs'!$D51)-(1/'Input HVAC Measures'!$I54)),IF('Input HVAC Measures'!$E54="High Eff. Heat Pump Unit",'Input HVAC Measures'!$G54*12000/1000*References!$K$5*((1/'HVAC Calcs'!$E51)-(1/'Input HVAC Measures'!$I54))+'Input HVAC Measures'!$G54*12000/1000*References!$N$5*((1/'HVAC Calcs'!$F51)-(1/'Input HVAC Measures'!$J54)),0))</f>
        <v>0</v>
      </c>
      <c r="I51" s="154" t="b">
        <f>IF('Input HVAC Measures'!$E54="High Eff. AC Unit",'Input HVAC Measures'!$G54*12000/1000*References!$L$4*((1/'HVAC Calcs'!$B51)-(1/'Input HVAC Measures'!$H54)),IF('Input HVAC Measures'!$E54="High Eff. Heat Pump Unit",'Input HVAC Measures'!$G54*12000/1000*References!$L$5*((1/'HVAC Calcs'!$C51)-(1/'Input HVAC Measures'!$H54))))</f>
        <v>0</v>
      </c>
    </row>
    <row r="52" spans="1:9" ht="15" x14ac:dyDescent="0.25">
      <c r="A52">
        <v>50</v>
      </c>
      <c r="B52" s="95" t="b">
        <f>IF('Input HVAC Measures'!$E55="High Eff. AC Unit",IF('Input HVAC Measures'!$G55&lt;References!$T$116,References!$L$116,IF(AND('Input HVAC Measures'!$G55&lt;References!$T$117,'Input HVAC Measures'!$G55&gt;References!$S$117),References!$L$117,IF(AND('Input HVAC Measures'!$G55&lt;References!$T$118,'Input HVAC Measures'!$G55&gt;References!$S$118),References!$L$118,IF(AND('Input HVAC Measures'!$G55&lt;References!$T$119,'Input HVAC Measures'!$G55&gt;References!$S$119),References!$L$119,IF('Input HVAC Measures'!$G55&gt;References!$S$120,References!$L$120,""))))))</f>
        <v>0</v>
      </c>
      <c r="C52" s="95" t="b">
        <f>IF('Input HVAC Measures'!$E55="High Eff. Heat Pump Unit",IF('Input HVAC Measures'!$G55&lt;References!$T$121,References!$L$121,IF(AND('Input HVAC Measures'!$G55&lt;References!$T$122,'Input HVAC Measures'!$G55&gt;References!$S$122),References!$L$122,IF(AND('Input HVAC Measures'!$G55&lt;References!$T$123,'Input HVAC Measures'!$G55&gt;References!$S$123),References!$L$123,IF('Input HVAC Measures'!$G55&gt;References!$S$124,References!$L$124,"")))))</f>
        <v>0</v>
      </c>
      <c r="D52" s="95" t="b">
        <f>IF('Input HVAC Measures'!$E55="High Eff. AC Unit",IF('Input HVAC Measures'!$G55&lt;References!$T$116,References!$M$116,IF(AND('Input HVAC Measures'!$G55&lt;References!$T$117,'Input HVAC Measures'!$G55&gt;References!$S$117),References!$M$117,IF(AND('Input HVAC Measures'!$G55&lt;References!$T$118,'Input HVAC Measures'!$G55&gt;References!$S$118),References!$M$118,IF(AND('Input HVAC Measures'!$G55&lt;References!$T$119,'Input HVAC Measures'!$G55&gt;References!$S$119),References!$M$119,IF('Input HVAC Measures'!$G55&gt;References!$S$120,References!$M$120,""))))))</f>
        <v>0</v>
      </c>
      <c r="E52" s="95" t="b">
        <f>IF('Input HVAC Measures'!$E55="High Eff. Heat Pump Unit",IF('Input HVAC Measures'!$G55&lt;References!$T$121,References!$M$121,IF(AND('Input HVAC Measures'!$G55&lt;References!$T$122,'Input HVAC Measures'!$G55&gt;References!$S$122),References!$M$122,IF(AND('Input HVAC Measures'!$G55&lt;References!$T$123,'Input HVAC Measures'!$G55&gt;References!$S$123),References!$M$123,IF('Input HVAC Measures'!$G55&gt;References!$S$124,References!$M$124,"")))))</f>
        <v>0</v>
      </c>
      <c r="F52" s="95" t="b">
        <f>IF('Input HVAC Measures'!$E55="High Eff. Heat Pump Unit",IF('Input HVAC Measures'!$G55&lt;References!$T$121,References!$N$121,IF(AND('Input HVAC Measures'!$G55&lt;References!$T$122,'Input HVAC Measures'!$G55&gt;References!$S$122),References!$N$122,IF(AND('Input HVAC Measures'!$G55&lt;References!$T$123,'Input HVAC Measures'!$G55&gt;References!$S$123),References!$N$123,IF('Input HVAC Measures'!$G55&gt;References!$S$124,References!$N$124,"")))))</f>
        <v>0</v>
      </c>
      <c r="H52" s="153">
        <f>IF('Input HVAC Measures'!$E55="High Eff. AC Unit",'Input HVAC Measures'!$G55*12000/1000*References!$K$4*((1/'HVAC Calcs'!$D52)-(1/'Input HVAC Measures'!$I55)),IF('Input HVAC Measures'!$E55="High Eff. Heat Pump Unit",'Input HVAC Measures'!$G55*12000/1000*References!$K$5*((1/'HVAC Calcs'!$E52)-(1/'Input HVAC Measures'!$I55))+'Input HVAC Measures'!$G55*12000/1000*References!$N$5*((1/'HVAC Calcs'!$F52)-(1/'Input HVAC Measures'!$J55)),0))</f>
        <v>0</v>
      </c>
      <c r="I52" s="154" t="b">
        <f>IF('Input HVAC Measures'!$E55="High Eff. AC Unit",'Input HVAC Measures'!$G55*12000/1000*References!$L$4*((1/'HVAC Calcs'!$B52)-(1/'Input HVAC Measures'!$H55)),IF('Input HVAC Measures'!$E55="High Eff. Heat Pump Unit",'Input HVAC Measures'!$G55*12000/1000*References!$L$5*((1/'HVAC Calcs'!$C52)-(1/'Input HVAC Measures'!$H55))))</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6"/>
  <sheetViews>
    <sheetView workbookViewId="0">
      <selection activeCell="C12" sqref="C12"/>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428" t="s">
        <v>317</v>
      </c>
      <c r="B1" s="428"/>
      <c r="L1" s="428" t="s">
        <v>318</v>
      </c>
      <c r="M1" s="428"/>
    </row>
    <row r="2" spans="1:15" s="10" customFormat="1" ht="26.25" thickTop="1" x14ac:dyDescent="0.2">
      <c r="A2" s="52" t="s">
        <v>319</v>
      </c>
      <c r="B2" s="52" t="s">
        <v>53</v>
      </c>
      <c r="C2" s="52" t="s">
        <v>320</v>
      </c>
      <c r="D2" s="52" t="s">
        <v>321</v>
      </c>
      <c r="E2" s="52" t="s">
        <v>322</v>
      </c>
      <c r="F2" s="52" t="s">
        <v>323</v>
      </c>
      <c r="G2" s="52" t="s">
        <v>324</v>
      </c>
      <c r="H2" s="52" t="s">
        <v>325</v>
      </c>
      <c r="I2" s="52" t="s">
        <v>326</v>
      </c>
      <c r="J2" s="52" t="s">
        <v>327</v>
      </c>
      <c r="L2" t="s">
        <v>328</v>
      </c>
      <c r="M2" t="s">
        <v>329</v>
      </c>
      <c r="N2" t="s">
        <v>330</v>
      </c>
      <c r="O2" t="s">
        <v>331</v>
      </c>
    </row>
    <row r="3" spans="1:15" x14ac:dyDescent="0.2">
      <c r="A3" t="s">
        <v>120</v>
      </c>
      <c r="B3" t="s">
        <v>332</v>
      </c>
      <c r="C3" s="91">
        <f>'Input HVAC Measures'!N4</f>
        <v>0</v>
      </c>
      <c r="D3" s="89">
        <f>'Input HVAC Measures'!O4</f>
        <v>0</v>
      </c>
      <c r="E3" s="90">
        <f>'Input HVAC Measures'!P4</f>
        <v>0</v>
      </c>
      <c r="F3" s="91">
        <f>'Input HVAC Measures'!Q4</f>
        <v>0</v>
      </c>
      <c r="G3" s="91">
        <f>'Input HVAC Measures'!R4</f>
        <v>0</v>
      </c>
      <c r="H3" s="91">
        <f>'Input HVAC Measures'!S4</f>
        <v>0</v>
      </c>
      <c r="I3" s="54" t="e">
        <f>Table_Measure_Caps[[#This Row],[Estimated Raw Incentive Total]]/Table_Measure_Caps[[#This Row],[Gross Measure Cost Total]]</f>
        <v>#DIV/0!</v>
      </c>
      <c r="J3" s="53" t="e">
        <f>Table_Measure_Caps[[#This Row],[Estimated Raw Incentive Total]]*MIN($C$12, Table_Measure_Caps[[#Totals],[Gross Measure Cost Total]], Value_Project_CAP)/$C$12</f>
        <v>#DIV/0!</v>
      </c>
      <c r="K3" s="53"/>
      <c r="L3" s="65"/>
      <c r="M3" s="34"/>
      <c r="N3" s="34"/>
      <c r="O3" s="34"/>
    </row>
    <row r="4" spans="1:15" x14ac:dyDescent="0.2">
      <c r="A4" t="s">
        <v>217</v>
      </c>
      <c r="B4" t="s">
        <v>333</v>
      </c>
      <c r="C4" s="91">
        <f>'Input Refrigeration Measures'!K3</f>
        <v>0</v>
      </c>
      <c r="D4" s="89">
        <f>'Input Refrigeration Measures'!L3</f>
        <v>0</v>
      </c>
      <c r="E4" s="90">
        <f>'Input Refrigeration Measures'!M3</f>
        <v>0</v>
      </c>
      <c r="F4" s="91">
        <f>'Input Refrigeration Measures'!N3</f>
        <v>0</v>
      </c>
      <c r="G4" s="91">
        <f>'Input Refrigeration Measures'!O3</f>
        <v>0</v>
      </c>
      <c r="H4" s="91">
        <f>'Input Refrigeration Measures'!P3</f>
        <v>0</v>
      </c>
      <c r="I4" s="54" t="e">
        <f>Table_Measure_Caps[[#This Row],[Estimated Raw Incentive Total]]/Table_Measure_Caps[[#This Row],[Gross Measure Cost Total]]</f>
        <v>#DIV/0!</v>
      </c>
      <c r="J4" s="53" t="e">
        <f>Table_Measure_Caps[[#This Row],[Estimated Raw Incentive Total]]*MIN($C$12, Table_Measure_Caps[[#Totals],[Gross Measure Cost Total]], Value_Project_CAP)/$C$12</f>
        <v>#DIV/0!</v>
      </c>
      <c r="K4" s="53"/>
    </row>
    <row r="5" spans="1:15" x14ac:dyDescent="0.2">
      <c r="A5" t="s">
        <v>334</v>
      </c>
      <c r="B5" t="s">
        <v>335</v>
      </c>
      <c r="C5" s="91">
        <f>'Input Com Kitchen Measures'!K3</f>
        <v>0</v>
      </c>
      <c r="D5" s="89">
        <f>'Input Com Kitchen Measures'!L3</f>
        <v>0</v>
      </c>
      <c r="E5" s="90">
        <f>'Input Com Kitchen Measures'!M3</f>
        <v>0</v>
      </c>
      <c r="F5" s="91">
        <f>'Input Com Kitchen Measures'!N3</f>
        <v>0</v>
      </c>
      <c r="G5" s="91">
        <f>'Input Com Kitchen Measures'!O3</f>
        <v>0</v>
      </c>
      <c r="H5" s="91">
        <f>'Input Com Kitchen Measures'!P3</f>
        <v>0</v>
      </c>
      <c r="I5" s="54" t="e">
        <f>Table_Measure_Caps[[#This Row],[Estimated Raw Incentive Total]]/Table_Measure_Caps[[#This Row],[Gross Measure Cost Total]]</f>
        <v>#DIV/0!</v>
      </c>
      <c r="J5" s="53" t="e">
        <f>Table_Measure_Caps[[#This Row],[Estimated Raw Incentive Total]]*MIN($C$12, Table_Measure_Caps[[#Totals],[Gross Measure Cost Total]], Value_Project_CAP)/$C$12</f>
        <v>#DIV/0!</v>
      </c>
      <c r="K5" s="53"/>
    </row>
    <row r="6" spans="1:15" x14ac:dyDescent="0.2">
      <c r="A6" t="s">
        <v>620</v>
      </c>
      <c r="B6" t="s">
        <v>619</v>
      </c>
      <c r="C6" s="91">
        <f>'Input Low-Flow Water Measures'!K4</f>
        <v>0</v>
      </c>
      <c r="D6" s="89">
        <f>'Input Low-Flow Water Measures'!L4</f>
        <v>0</v>
      </c>
      <c r="E6" s="90">
        <f>'Input Low-Flow Water Measures'!M4</f>
        <v>0</v>
      </c>
      <c r="F6" s="91">
        <f>'Input Low-Flow Water Measures'!N4</f>
        <v>0</v>
      </c>
      <c r="G6" s="91">
        <f>'Input Low-Flow Water Measures'!O4</f>
        <v>0</v>
      </c>
      <c r="H6" s="91">
        <f>'Input Low-Flow Water Measures'!P4</f>
        <v>0</v>
      </c>
      <c r="I6" s="54" t="e">
        <f>Table_Measure_Caps[[#This Row],[Estimated Raw Incentive Total]]/Table_Measure_Caps[[#This Row],[Gross Measure Cost Total]]</f>
        <v>#DIV/0!</v>
      </c>
      <c r="J6" s="53" t="e">
        <f>Table_Measure_Caps[[#This Row],[Estimated Raw Incentive Total]]*MIN($C$12, Table_Measure_Caps[[#Totals],[Gross Measure Cost Total]], Value_Project_CAP)/$C$12</f>
        <v>#DIV/0!</v>
      </c>
    </row>
    <row r="7" spans="1:15" x14ac:dyDescent="0.2">
      <c r="A7" t="s">
        <v>265</v>
      </c>
      <c r="B7" t="s">
        <v>265</v>
      </c>
      <c r="C7" s="91">
        <f>'Input Custom Measures'!Q3</f>
        <v>0</v>
      </c>
      <c r="D7" s="89">
        <f>'Input Custom Measures'!R3</f>
        <v>0</v>
      </c>
      <c r="E7" s="90">
        <f>'Input Custom Measures'!S3</f>
        <v>0</v>
      </c>
      <c r="F7" s="91">
        <f>'Input Custom Measures'!T3</f>
        <v>0</v>
      </c>
      <c r="G7" s="91">
        <f>'Input Custom Measures'!U3</f>
        <v>0</v>
      </c>
      <c r="H7" s="91">
        <f>'Input Custom Measures'!V3</f>
        <v>0</v>
      </c>
      <c r="I7" s="54" t="e">
        <f>Table_Measure_Caps[[#This Row],[Estimated Raw Incentive Total]]/Table_Measure_Caps[[#This Row],[Gross Measure Cost Total]]</f>
        <v>#DIV/0!</v>
      </c>
      <c r="J7" s="53" t="e">
        <f>Table_Measure_Caps[[#This Row],[Estimated Raw Incentive Total]]*MIN($C$12, Table_Measure_Caps[[#Totals],[Gross Measure Cost Total]], Value_Project_CAP)/$C$12</f>
        <v>#DIV/0!</v>
      </c>
    </row>
    <row r="8" spans="1:15" x14ac:dyDescent="0.2">
      <c r="A8" t="s">
        <v>623</v>
      </c>
      <c r="B8" s="194" t="s">
        <v>623</v>
      </c>
      <c r="C8" s="91">
        <f>'Input Interior Light Measures'!Q3</f>
        <v>0</v>
      </c>
      <c r="D8" s="89">
        <f>'Input Interior Light Measures'!R3</f>
        <v>0</v>
      </c>
      <c r="E8" s="90">
        <f>'Input Interior Light Measures'!S3</f>
        <v>0</v>
      </c>
      <c r="F8" s="91">
        <f>'Input Interior Light Measures'!T3</f>
        <v>0</v>
      </c>
      <c r="G8" s="91">
        <f>'Input Interior Light Measures'!U3</f>
        <v>0</v>
      </c>
      <c r="H8" s="91">
        <f>'Input Interior Light Measures'!V3</f>
        <v>0</v>
      </c>
      <c r="I8" s="54" t="e">
        <f>Table_Measure_Caps[[#This Row],[Estimated Raw Incentive Total]]/Table_Measure_Caps[[#This Row],[Gross Measure Cost Total]]</f>
        <v>#DIV/0!</v>
      </c>
      <c r="J8" s="53" t="e">
        <f>Table_Measure_Caps[[#This Row],[Estimated Raw Incentive Total]]*MIN($C$12, Table_Measure_Caps[[#Totals],[Gross Measure Cost Total]], Value_Project_CAP)/$C$12</f>
        <v>#DIV/0!</v>
      </c>
    </row>
    <row r="9" spans="1:15" x14ac:dyDescent="0.2">
      <c r="A9" t="s">
        <v>624</v>
      </c>
      <c r="B9" s="194" t="s">
        <v>624</v>
      </c>
      <c r="C9" s="91">
        <f>'Input Exterior Light Measures'!Q3</f>
        <v>0</v>
      </c>
      <c r="D9" s="89">
        <f>'Input Exterior Light Measures'!R3</f>
        <v>0</v>
      </c>
      <c r="E9" s="90">
        <f>'Input Exterior Light Measures'!S3</f>
        <v>0</v>
      </c>
      <c r="F9" s="91">
        <f>'Input Exterior Light Measures'!T3</f>
        <v>0</v>
      </c>
      <c r="G9" s="91">
        <f>'Input Exterior Light Measures'!U3</f>
        <v>0</v>
      </c>
      <c r="H9" s="91">
        <f>'Input Exterior Light Measures'!V3</f>
        <v>0</v>
      </c>
      <c r="I9" s="54" t="e">
        <f>Table_Measure_Caps[[#This Row],[Estimated Raw Incentive Total]]/Table_Measure_Caps[[#This Row],[Gross Measure Cost Total]]</f>
        <v>#DIV/0!</v>
      </c>
      <c r="J9" s="53" t="e">
        <f>Table_Measure_Caps[[#This Row],[Estimated Raw Incentive Total]]*MIN($C$12, Table_Measure_Caps[[#Totals],[Gross Measure Cost Total]], Value_Project_CAP)/$C$12</f>
        <v>#DIV/0!</v>
      </c>
    </row>
    <row r="10" spans="1:15" x14ac:dyDescent="0.2">
      <c r="A10" t="s">
        <v>640</v>
      </c>
      <c r="B10" s="194" t="s">
        <v>637</v>
      </c>
      <c r="C10" s="91" t="str" cm="1">
        <f t="array" ref="C10">Table_Controls_Input22252[Estimated bonus incentive]</f>
        <v/>
      </c>
      <c r="D10" s="89"/>
      <c r="E10" s="90"/>
      <c r="F10" s="91"/>
      <c r="G10" s="91" cm="1">
        <f t="array" ref="G10">Table_Controls_Input22252[Labor costs for developing the energy model ($)]</f>
        <v>0</v>
      </c>
      <c r="H10" s="91"/>
      <c r="I10" s="196"/>
      <c r="J10" s="53"/>
    </row>
    <row r="11" spans="1:15" x14ac:dyDescent="0.2">
      <c r="A11" t="s">
        <v>68</v>
      </c>
      <c r="C11" s="91">
        <f>SUBTOTAL(109,Table_Measure_Caps[Estimated Raw Incentive Total])</f>
        <v>0</v>
      </c>
      <c r="D11" s="89">
        <f>SUBTOTAL(109,Table_Measure_Caps[Energy Savings Total (kWh)])</f>
        <v>0</v>
      </c>
      <c r="E11" s="90">
        <f>SUBTOTAL(109,Table_Measure_Caps[Demand Reduction Total (kW)])</f>
        <v>0</v>
      </c>
      <c r="F11" s="91">
        <f>SUBTOTAL(109,Table_Measure_Caps[Cost Savings Total])</f>
        <v>0</v>
      </c>
      <c r="G11" s="91">
        <f>SUBTOTAL(109,Table_Measure_Caps[Gross Measure Cost Total])</f>
        <v>0</v>
      </c>
      <c r="H11" s="91">
        <f>SUBTOTAL(109,Table_Measure_Caps[Net Measure Cost Total])</f>
        <v>0</v>
      </c>
      <c r="I11" s="92" t="e">
        <f>Table_Measure_Caps[[#Totals],[Estimated Raw Incentive Total]]/Table_Measure_Caps[[#Totals],[Gross Measure Cost Total]]</f>
        <v>#DIV/0!</v>
      </c>
      <c r="J11" s="53" t="e">
        <f>SUBTOTAL(109,Table_Measure_Caps[Capped Incentive])</f>
        <v>#DIV/0!</v>
      </c>
    </row>
    <row r="12" spans="1:15" x14ac:dyDescent="0.2">
      <c r="C12" s="36">
        <f>SUM(C3:C9)</f>
        <v>0</v>
      </c>
    </row>
    <row r="13" spans="1:15" x14ac:dyDescent="0.2">
      <c r="G13" s="34"/>
      <c r="H13" s="34"/>
    </row>
    <row r="16" spans="1:15" x14ac:dyDescent="0.2">
      <c r="E16" s="34"/>
    </row>
  </sheetData>
  <mergeCells count="2">
    <mergeCell ref="A1:B1"/>
    <mergeCell ref="L1:M1"/>
  </mergeCells>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25" sqref="B25"/>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7" bestFit="1" customWidth="1"/>
  </cols>
  <sheetData>
    <row r="1" spans="1:5" ht="15" x14ac:dyDescent="0.25">
      <c r="A1" s="6" t="s">
        <v>336</v>
      </c>
      <c r="B1" s="19"/>
      <c r="E1" s="18" t="s">
        <v>337</v>
      </c>
    </row>
    <row r="2" spans="1:5" ht="15" x14ac:dyDescent="0.25">
      <c r="A2" s="6" t="s">
        <v>338</v>
      </c>
      <c r="B2" s="20"/>
      <c r="E2" s="18"/>
    </row>
    <row r="3" spans="1:5" ht="15" x14ac:dyDescent="0.25">
      <c r="A3" s="6" t="s">
        <v>339</v>
      </c>
      <c r="B3" s="161" t="str">
        <f>IFERROR(Table16[[#Totals],[Energy savings (kWh)]]/Input_Usage,"")</f>
        <v/>
      </c>
      <c r="E3" s="18"/>
    </row>
    <row r="5" spans="1:5" x14ac:dyDescent="0.2">
      <c r="A5" t="s">
        <v>340</v>
      </c>
      <c r="B5" s="2" t="s">
        <v>341</v>
      </c>
      <c r="C5" s="2" t="s">
        <v>342</v>
      </c>
    </row>
    <row r="6" spans="1:5" x14ac:dyDescent="0.2">
      <c r="A6" s="22" t="s">
        <v>343</v>
      </c>
      <c r="B6" s="17"/>
      <c r="C6" s="17"/>
    </row>
    <row r="7" spans="1:5" x14ac:dyDescent="0.2">
      <c r="A7" s="22" t="s">
        <v>344</v>
      </c>
      <c r="B7" s="17"/>
      <c r="C7" s="17"/>
    </row>
    <row r="8" spans="1:5" x14ac:dyDescent="0.2">
      <c r="A8" s="22" t="s">
        <v>345</v>
      </c>
      <c r="B8" s="17"/>
      <c r="C8" s="17"/>
    </row>
    <row r="9" spans="1:5" x14ac:dyDescent="0.2">
      <c r="A9" s="22" t="s">
        <v>346</v>
      </c>
      <c r="B9" s="21"/>
      <c r="C9" s="21"/>
    </row>
    <row r="10" spans="1:5" x14ac:dyDescent="0.2">
      <c r="A10" s="22" t="s">
        <v>347</v>
      </c>
      <c r="B10" s="21"/>
      <c r="C10" s="21"/>
    </row>
    <row r="11" spans="1:5" x14ac:dyDescent="0.2">
      <c r="A11" s="22" t="s">
        <v>348</v>
      </c>
      <c r="B11" s="21"/>
      <c r="C11" s="21"/>
    </row>
    <row r="12" spans="1:5" x14ac:dyDescent="0.2">
      <c r="A12" s="22" t="s">
        <v>349</v>
      </c>
      <c r="B12" s="21"/>
      <c r="C12" s="21"/>
    </row>
    <row r="13" spans="1:5" x14ac:dyDescent="0.2">
      <c r="A13" s="22" t="s">
        <v>350</v>
      </c>
      <c r="B13" s="21"/>
      <c r="C13" s="21"/>
    </row>
    <row r="14" spans="1:5" x14ac:dyDescent="0.2">
      <c r="A14" s="22" t="s">
        <v>351</v>
      </c>
      <c r="B14" s="21"/>
      <c r="C14" s="21"/>
    </row>
    <row r="15" spans="1:5" x14ac:dyDescent="0.2">
      <c r="A15" s="22" t="s">
        <v>352</v>
      </c>
      <c r="B15" s="21"/>
      <c r="C15" s="21"/>
    </row>
    <row r="16" spans="1:5" x14ac:dyDescent="0.2">
      <c r="A16" s="3"/>
      <c r="B16" s="25"/>
      <c r="C16" s="25"/>
    </row>
    <row r="17" spans="1:4" ht="15" x14ac:dyDescent="0.2">
      <c r="A17" s="26" t="s">
        <v>353</v>
      </c>
      <c r="B17" s="26" t="s">
        <v>354</v>
      </c>
      <c r="C17" s="27" t="s">
        <v>265</v>
      </c>
      <c r="D17" s="27" t="s">
        <v>68</v>
      </c>
    </row>
    <row r="18" spans="1:4" x14ac:dyDescent="0.2">
      <c r="A18" s="24" t="s">
        <v>355</v>
      </c>
      <c r="B18" s="28" t="e">
        <f>SUM('Review the Summary'!E28:E33)</f>
        <v>#DIV/0!</v>
      </c>
      <c r="C18" s="28" t="e">
        <f>'Review the Summary'!E34</f>
        <v>#DIV/0!</v>
      </c>
      <c r="D18" s="28" t="e">
        <f>SUM(B18:C18)</f>
        <v>#DIV/0!</v>
      </c>
    </row>
    <row r="19" spans="1:4" x14ac:dyDescent="0.2">
      <c r="A19" s="24" t="s">
        <v>356</v>
      </c>
      <c r="B19" s="28">
        <f>SUM('Review the Summary'!D28:D33)</f>
        <v>0</v>
      </c>
      <c r="C19" s="28">
        <f>'Review the Summary'!D34</f>
        <v>0</v>
      </c>
      <c r="D19" s="28">
        <f>SUM(B19:C19)</f>
        <v>0</v>
      </c>
    </row>
    <row r="20" spans="1:4" x14ac:dyDescent="0.2">
      <c r="A20" s="5" t="s">
        <v>642</v>
      </c>
      <c r="B20" s="23" t="e">
        <f>B$18/Value_Project_CAP</f>
        <v>#DIV/0!</v>
      </c>
      <c r="C20" s="23" t="e">
        <f>C$18/Value_Project_CAP</f>
        <v>#DIV/0!</v>
      </c>
      <c r="D20" s="23" t="e">
        <f>D$18/Value_Project_CAP</f>
        <v>#DIV/0!</v>
      </c>
    </row>
    <row r="21" spans="1:4" x14ac:dyDescent="0.2">
      <c r="A21" s="24" t="s">
        <v>357</v>
      </c>
      <c r="B21" s="23" t="e">
        <f>B$18/B$19</f>
        <v>#DIV/0!</v>
      </c>
      <c r="C21" s="23" t="e">
        <f>C$18/C$19</f>
        <v>#DIV/0!</v>
      </c>
      <c r="D21" s="23" t="e">
        <f>D$18/D$19</f>
        <v>#DIV/0!</v>
      </c>
    </row>
    <row r="23" spans="1:4" ht="15" x14ac:dyDescent="0.2">
      <c r="A23" s="26" t="s">
        <v>358</v>
      </c>
      <c r="B23" s="26" t="s">
        <v>354</v>
      </c>
    </row>
    <row r="24" spans="1:4" x14ac:dyDescent="0.2">
      <c r="A24" s="24" t="s">
        <v>359</v>
      </c>
      <c r="B24" s="28"/>
    </row>
    <row r="25" spans="1:4" x14ac:dyDescent="0.2">
      <c r="A25" s="24" t="s">
        <v>360</v>
      </c>
      <c r="B25" s="28" t="e">
        <f>Total_Incentive+1000=SUM('APTracks Export Data'!$I:$I)</f>
        <v>#DIV/0!</v>
      </c>
    </row>
    <row r="26" spans="1:4" x14ac:dyDescent="0.2">
      <c r="A26" s="5" t="s">
        <v>361</v>
      </c>
      <c r="B26" s="23"/>
    </row>
    <row r="27" spans="1:4" x14ac:dyDescent="0.2">
      <c r="A27" s="5" t="s">
        <v>362</v>
      </c>
      <c r="B27" s="2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A2" sqref="A2"/>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6" t="s">
        <v>363</v>
      </c>
    </row>
    <row r="3" spans="1:18" ht="13.5" thickTop="1" x14ac:dyDescent="0.2">
      <c r="A3" t="s">
        <v>364</v>
      </c>
      <c r="B3" t="s">
        <v>11</v>
      </c>
      <c r="C3" t="s">
        <v>365</v>
      </c>
      <c r="D3" t="s">
        <v>366</v>
      </c>
      <c r="E3" t="s">
        <v>6</v>
      </c>
      <c r="F3" t="s">
        <v>7</v>
      </c>
      <c r="G3" t="s">
        <v>367</v>
      </c>
      <c r="H3" t="s">
        <v>368</v>
      </c>
      <c r="I3" t="s">
        <v>369</v>
      </c>
      <c r="J3" t="s">
        <v>370</v>
      </c>
      <c r="K3" t="s">
        <v>371</v>
      </c>
      <c r="L3" t="s">
        <v>372</v>
      </c>
      <c r="M3" t="s">
        <v>373</v>
      </c>
      <c r="N3" t="s">
        <v>24</v>
      </c>
      <c r="O3" t="s">
        <v>77</v>
      </c>
      <c r="P3" t="s">
        <v>374</v>
      </c>
      <c r="Q3" t="s">
        <v>26</v>
      </c>
      <c r="R3" t="s">
        <v>28</v>
      </c>
    </row>
    <row r="4" spans="1:18" x14ac:dyDescent="0.2">
      <c r="A4" s="50" t="s">
        <v>23</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375</v>
      </c>
      <c r="N4" t="str">
        <f>Table_Contacts[[#This Row],[Entity]]</f>
        <v>Customer</v>
      </c>
      <c r="O4" t="s">
        <v>375</v>
      </c>
      <c r="P4" t="s">
        <v>375</v>
      </c>
      <c r="Q4" t="s">
        <v>375</v>
      </c>
      <c r="R4" t="s">
        <v>375</v>
      </c>
    </row>
    <row r="5" spans="1:18" x14ac:dyDescent="0.2">
      <c r="A5" s="50" t="s">
        <v>140</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375</v>
      </c>
      <c r="K5" t="s">
        <v>375</v>
      </c>
      <c r="L5" t="s">
        <v>375</v>
      </c>
      <c r="M5">
        <f>'Fill in the Application'!$C$25</f>
        <v>0</v>
      </c>
      <c r="N5" t="str">
        <f>Table_Contacts[[#This Row],[Entity]]</f>
        <v>Trade Ally/Contractor</v>
      </c>
      <c r="O5" t="s">
        <v>375</v>
      </c>
      <c r="P5" t="s">
        <v>375</v>
      </c>
      <c r="Q5" t="s">
        <v>375</v>
      </c>
      <c r="R5" t="s">
        <v>375</v>
      </c>
    </row>
    <row r="6" spans="1:18" x14ac:dyDescent="0.2">
      <c r="A6" s="50" t="s">
        <v>67</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375</v>
      </c>
      <c r="K6" t="s">
        <v>375</v>
      </c>
      <c r="L6" t="s">
        <v>375</v>
      </c>
      <c r="M6" t="s">
        <v>375</v>
      </c>
      <c r="N6">
        <f>'Fill in the Application'!$C$35</f>
        <v>0</v>
      </c>
      <c r="O6" t="s">
        <v>375</v>
      </c>
      <c r="P6" t="s">
        <v>375</v>
      </c>
      <c r="Q6" t="s">
        <v>375</v>
      </c>
      <c r="R6" t="s">
        <v>375</v>
      </c>
    </row>
    <row r="7" spans="1:18" x14ac:dyDescent="0.2">
      <c r="A7" s="50" t="s">
        <v>166</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375</v>
      </c>
      <c r="K7" t="s">
        <v>375</v>
      </c>
      <c r="L7" t="s">
        <v>375</v>
      </c>
      <c r="M7" t="s">
        <v>375</v>
      </c>
      <c r="N7" t="str">
        <f>Table_Contacts[[#This Row],[Entity]]</f>
        <v>Job Site</v>
      </c>
      <c r="O7" t="s">
        <v>375</v>
      </c>
      <c r="P7" t="s">
        <v>375</v>
      </c>
      <c r="Q7" t="s">
        <v>375</v>
      </c>
      <c r="R7" t="s">
        <v>375</v>
      </c>
    </row>
    <row r="8" spans="1:18" x14ac:dyDescent="0.2">
      <c r="A8" s="50" t="s">
        <v>376</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375</v>
      </c>
      <c r="L8" t="s">
        <v>375</v>
      </c>
      <c r="M8" t="s">
        <v>375</v>
      </c>
      <c r="N8" t="s">
        <v>375</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314"/>
  <sheetViews>
    <sheetView workbookViewId="0">
      <selection activeCell="G1" sqref="G1"/>
    </sheetView>
  </sheetViews>
  <sheetFormatPr defaultColWidth="9.140625" defaultRowHeight="12.75" x14ac:dyDescent="0.2"/>
  <cols>
    <col min="1" max="1" width="24" bestFit="1"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40" customWidth="1"/>
    <col min="11" max="11" width="13" customWidth="1"/>
    <col min="12" max="12" width="19.28515625" customWidth="1"/>
    <col min="13" max="13" width="56" customWidth="1"/>
    <col min="14" max="14" width="12.28515625" style="40" customWidth="1"/>
  </cols>
  <sheetData>
    <row r="1" spans="1:14" ht="30" x14ac:dyDescent="0.25">
      <c r="A1" s="59" t="s">
        <v>377</v>
      </c>
      <c r="B1" s="60" t="s">
        <v>378</v>
      </c>
      <c r="C1" s="60" t="s">
        <v>379</v>
      </c>
      <c r="D1" s="60" t="s">
        <v>33</v>
      </c>
      <c r="E1" s="60" t="s">
        <v>34</v>
      </c>
      <c r="F1" s="60" t="s">
        <v>89</v>
      </c>
      <c r="G1" s="61" t="s">
        <v>315</v>
      </c>
      <c r="H1" s="60" t="s">
        <v>316</v>
      </c>
      <c r="I1" s="62" t="s">
        <v>355</v>
      </c>
      <c r="J1" s="62" t="s">
        <v>380</v>
      </c>
      <c r="K1" s="60" t="s">
        <v>381</v>
      </c>
      <c r="L1" s="60" t="s">
        <v>382</v>
      </c>
      <c r="M1" s="63" t="s">
        <v>86</v>
      </c>
      <c r="N1" s="62" t="s">
        <v>383</v>
      </c>
    </row>
    <row r="2" spans="1:14" x14ac:dyDescent="0.2">
      <c r="A2" s="38" t="s">
        <v>634</v>
      </c>
      <c r="B2" s="37">
        <f>Input_ProjectNumber</f>
        <v>0</v>
      </c>
      <c r="C2" s="37"/>
      <c r="D2" s="37">
        <v>927197</v>
      </c>
      <c r="E2" s="37" t="s">
        <v>622</v>
      </c>
      <c r="F2" s="37">
        <v>1</v>
      </c>
      <c r="G2" s="217">
        <v>0</v>
      </c>
      <c r="H2" s="83">
        <v>0</v>
      </c>
      <c r="I2" s="225">
        <v>1000</v>
      </c>
      <c r="J2" s="225">
        <v>0</v>
      </c>
      <c r="K2" s="225">
        <v>0</v>
      </c>
      <c r="L2" s="39" t="str">
        <f>Value_Application_Version</f>
        <v>Version 5.2</v>
      </c>
      <c r="M2" s="57" t="s">
        <v>635</v>
      </c>
      <c r="N2" s="233"/>
    </row>
    <row r="3" spans="1:14" x14ac:dyDescent="0.2">
      <c r="A3" s="13" t="s">
        <v>120</v>
      </c>
      <c r="B3" s="12">
        <f t="shared" ref="B3:B104" si="0">Input_ProjectNumber</f>
        <v>0</v>
      </c>
      <c r="C3" s="12">
        <f>'Input HVAC Measures'!B6</f>
        <v>1</v>
      </c>
      <c r="D3" s="12" t="str">
        <f>'Input HVAC Measures'!C6</f>
        <v/>
      </c>
      <c r="E3" s="12" t="str">
        <f>'Input HVAC Measures'!F6</f>
        <v/>
      </c>
      <c r="F3" s="12" t="str">
        <f>IF(ISNUMBER($D3)=TRUE,'Input HVAC Measures'!G6,"")</f>
        <v/>
      </c>
      <c r="G3" s="218" t="str">
        <f>IF(ISNUMBER($D3)=TRUE,'Input HVAC Measures'!O6,"")</f>
        <v/>
      </c>
      <c r="H3" s="84" t="str">
        <f>IF(ISNUMBER($D3)=TRUE,'Input HVAC Measures'!P6,"")</f>
        <v/>
      </c>
      <c r="I3" s="226" t="str">
        <f>IFERROR(N3*MIN(Table_Measure_Caps[[#Totals],[Estimated Raw Incentive Total]], Table_Measure_Caps[[#Totals],[Gross Measure Cost Total]], Value_Project_CAP)/Table_Measure_Caps[[#Totals],[Estimated Raw Incentive Total]], "")</f>
        <v/>
      </c>
      <c r="J3" s="226" t="str">
        <f>IF(ISNUMBER($D3)=TRUE,'Input HVAC Measures'!K6,"")</f>
        <v/>
      </c>
      <c r="K3" s="226" t="str">
        <f>IF(ISNUMBER($D3)=TRUE,'Input HVAC Measures'!L6,"")</f>
        <v/>
      </c>
      <c r="L3" s="29" t="str">
        <f t="shared" ref="L3:L65" si="1">Value_Application_Version</f>
        <v>Version 5.2</v>
      </c>
      <c r="M3" s="58" t="str">
        <f>IF(ISNUMBER($D3)=TRUE,'Input HVAC Measures'!E6,"")</f>
        <v/>
      </c>
      <c r="N3" s="234" t="str">
        <f>'Input HVAC Measures'!N6</f>
        <v/>
      </c>
    </row>
    <row r="4" spans="1:14" x14ac:dyDescent="0.2">
      <c r="A4" s="13" t="s">
        <v>120</v>
      </c>
      <c r="B4" s="12">
        <f t="shared" si="0"/>
        <v>0</v>
      </c>
      <c r="C4" s="12">
        <f>'Input HVAC Measures'!B7</f>
        <v>2</v>
      </c>
      <c r="D4" s="12" t="str">
        <f>'Input HVAC Measures'!C7</f>
        <v/>
      </c>
      <c r="E4" s="12" t="str">
        <f>'Input HVAC Measures'!F7</f>
        <v/>
      </c>
      <c r="F4" s="12" t="str">
        <f>IF(ISNUMBER($D4)=TRUE,'Input HVAC Measures'!G7,"")</f>
        <v/>
      </c>
      <c r="G4" s="218" t="str">
        <f>IF(ISNUMBER($D4)=TRUE,'Input HVAC Measures'!O7,"")</f>
        <v/>
      </c>
      <c r="H4" s="84" t="str">
        <f>IF(ISNUMBER($D4)=TRUE,'Input HVAC Measures'!P7,"")</f>
        <v/>
      </c>
      <c r="I4" s="226" t="str">
        <f>IFERROR(N4*MIN(Table_Measure_Caps[[#Totals],[Estimated Raw Incentive Total]], Table_Measure_Caps[[#Totals],[Gross Measure Cost Total]], Value_Project_CAP)/Table_Measure_Caps[[#Totals],[Estimated Raw Incentive Total]], "")</f>
        <v/>
      </c>
      <c r="J4" s="226" t="str">
        <f>IF(ISNUMBER($D4)=TRUE,'Input HVAC Measures'!K7,"")</f>
        <v/>
      </c>
      <c r="K4" s="226" t="str">
        <f>IF(ISNUMBER($D4)=TRUE,'Input HVAC Measures'!L7,"")</f>
        <v/>
      </c>
      <c r="L4" s="29" t="str">
        <f t="shared" si="1"/>
        <v>Version 5.2</v>
      </c>
      <c r="M4" s="58" t="str">
        <f>IF(ISNUMBER($D4)=TRUE,'Input HVAC Measures'!E7,"")</f>
        <v/>
      </c>
      <c r="N4" s="234" t="str">
        <f>'Input HVAC Measures'!N7</f>
        <v/>
      </c>
    </row>
    <row r="5" spans="1:14" x14ac:dyDescent="0.2">
      <c r="A5" s="13" t="s">
        <v>120</v>
      </c>
      <c r="B5" s="12">
        <f t="shared" si="0"/>
        <v>0</v>
      </c>
      <c r="C5" s="12">
        <f>'Input HVAC Measures'!B8</f>
        <v>3</v>
      </c>
      <c r="D5" s="12" t="str">
        <f>'Input HVAC Measures'!C8</f>
        <v/>
      </c>
      <c r="E5" s="12" t="str">
        <f>'Input HVAC Measures'!F8</f>
        <v/>
      </c>
      <c r="F5" s="12" t="str">
        <f>IF(ISNUMBER($D5)=TRUE,'Input HVAC Measures'!G8,"")</f>
        <v/>
      </c>
      <c r="G5" s="218" t="str">
        <f>IF(ISNUMBER($D5)=TRUE,'Input HVAC Measures'!O8,"")</f>
        <v/>
      </c>
      <c r="H5" s="84" t="str">
        <f>IF(ISNUMBER($D5)=TRUE,'Input HVAC Measures'!P8,"")</f>
        <v/>
      </c>
      <c r="I5" s="226" t="str">
        <f>IFERROR(N5*MIN(Table_Measure_Caps[[#Totals],[Estimated Raw Incentive Total]], Table_Measure_Caps[[#Totals],[Gross Measure Cost Total]], Value_Project_CAP)/Table_Measure_Caps[[#Totals],[Estimated Raw Incentive Total]], "")</f>
        <v/>
      </c>
      <c r="J5" s="226" t="str">
        <f>IF(ISNUMBER($D5)=TRUE,'Input HVAC Measures'!K8,"")</f>
        <v/>
      </c>
      <c r="K5" s="226" t="str">
        <f>IF(ISNUMBER($D5)=TRUE,'Input HVAC Measures'!L8,"")</f>
        <v/>
      </c>
      <c r="L5" s="29" t="str">
        <f t="shared" si="1"/>
        <v>Version 5.2</v>
      </c>
      <c r="M5" s="58" t="str">
        <f>IF(ISNUMBER($D5)=TRUE,'Input HVAC Measures'!E8,"")</f>
        <v/>
      </c>
      <c r="N5" s="234" t="str">
        <f>'Input HVAC Measures'!N8</f>
        <v/>
      </c>
    </row>
    <row r="6" spans="1:14" x14ac:dyDescent="0.2">
      <c r="A6" s="13" t="s">
        <v>120</v>
      </c>
      <c r="B6" s="12">
        <f t="shared" si="0"/>
        <v>0</v>
      </c>
      <c r="C6" s="12">
        <f>'Input HVAC Measures'!B9</f>
        <v>4</v>
      </c>
      <c r="D6" s="12" t="str">
        <f>'Input HVAC Measures'!C9</f>
        <v/>
      </c>
      <c r="E6" s="12" t="str">
        <f>'Input HVAC Measures'!F9</f>
        <v/>
      </c>
      <c r="F6" s="12" t="str">
        <f>IF(ISNUMBER($D6)=TRUE,'Input HVAC Measures'!G9,"")</f>
        <v/>
      </c>
      <c r="G6" s="218" t="str">
        <f>IF(ISNUMBER($D6)=TRUE,'Input HVAC Measures'!O9,"")</f>
        <v/>
      </c>
      <c r="H6" s="84" t="str">
        <f>IF(ISNUMBER($D6)=TRUE,'Input HVAC Measures'!P9,"")</f>
        <v/>
      </c>
      <c r="I6" s="226" t="str">
        <f>IFERROR(N6*MIN(Table_Measure_Caps[[#Totals],[Estimated Raw Incentive Total]], Table_Measure_Caps[[#Totals],[Gross Measure Cost Total]], Value_Project_CAP)/Table_Measure_Caps[[#Totals],[Estimated Raw Incentive Total]], "")</f>
        <v/>
      </c>
      <c r="J6" s="226" t="str">
        <f>IF(ISNUMBER($D6)=TRUE,'Input HVAC Measures'!K9,"")</f>
        <v/>
      </c>
      <c r="K6" s="226" t="str">
        <f>IF(ISNUMBER($D6)=TRUE,'Input HVAC Measures'!L9,"")</f>
        <v/>
      </c>
      <c r="L6" s="29" t="str">
        <f t="shared" si="1"/>
        <v>Version 5.2</v>
      </c>
      <c r="M6" s="58" t="str">
        <f>IF(ISNUMBER($D6)=TRUE,'Input HVAC Measures'!E9,"")</f>
        <v/>
      </c>
      <c r="N6" s="234" t="str">
        <f>'Input HVAC Measures'!N9</f>
        <v/>
      </c>
    </row>
    <row r="7" spans="1:14" x14ac:dyDescent="0.2">
      <c r="A7" s="13" t="s">
        <v>120</v>
      </c>
      <c r="B7" s="12">
        <f t="shared" si="0"/>
        <v>0</v>
      </c>
      <c r="C7" s="12">
        <f>'Input HVAC Measures'!B10</f>
        <v>5</v>
      </c>
      <c r="D7" s="12" t="str">
        <f>'Input HVAC Measures'!C10</f>
        <v/>
      </c>
      <c r="E7" s="12" t="str">
        <f>'Input HVAC Measures'!F10</f>
        <v/>
      </c>
      <c r="F7" s="12" t="str">
        <f>IF(ISNUMBER($D7)=TRUE,'Input HVAC Measures'!G10,"")</f>
        <v/>
      </c>
      <c r="G7" s="218" t="str">
        <f>IF(ISNUMBER($D7)=TRUE,'Input HVAC Measures'!O10,"")</f>
        <v/>
      </c>
      <c r="H7" s="84" t="str">
        <f>IF(ISNUMBER($D7)=TRUE,'Input HVAC Measures'!P10,"")</f>
        <v/>
      </c>
      <c r="I7" s="226" t="str">
        <f>IFERROR(N7*MIN(Table_Measure_Caps[[#Totals],[Estimated Raw Incentive Total]], Table_Measure_Caps[[#Totals],[Gross Measure Cost Total]], Value_Project_CAP)/Table_Measure_Caps[[#Totals],[Estimated Raw Incentive Total]], "")</f>
        <v/>
      </c>
      <c r="J7" s="226" t="str">
        <f>IF(ISNUMBER($D7)=TRUE,'Input HVAC Measures'!K10,"")</f>
        <v/>
      </c>
      <c r="K7" s="226" t="str">
        <f>IF(ISNUMBER($D7)=TRUE,'Input HVAC Measures'!L10,"")</f>
        <v/>
      </c>
      <c r="L7" s="29" t="str">
        <f t="shared" si="1"/>
        <v>Version 5.2</v>
      </c>
      <c r="M7" s="58" t="str">
        <f>IF(ISNUMBER($D7)=TRUE,'Input HVAC Measures'!E10,"")</f>
        <v/>
      </c>
      <c r="N7" s="234" t="str">
        <f>'Input HVAC Measures'!N10</f>
        <v/>
      </c>
    </row>
    <row r="8" spans="1:14" x14ac:dyDescent="0.2">
      <c r="A8" s="13" t="s">
        <v>120</v>
      </c>
      <c r="B8" s="12">
        <f t="shared" si="0"/>
        <v>0</v>
      </c>
      <c r="C8" s="12">
        <f>'Input HVAC Measures'!B11</f>
        <v>6</v>
      </c>
      <c r="D8" s="12" t="str">
        <f>'Input HVAC Measures'!C11</f>
        <v/>
      </c>
      <c r="E8" s="12" t="str">
        <f>'Input HVAC Measures'!F11</f>
        <v/>
      </c>
      <c r="F8" s="12" t="str">
        <f>IF(ISNUMBER($D8)=TRUE,'Input HVAC Measures'!G11,"")</f>
        <v/>
      </c>
      <c r="G8" s="218" t="str">
        <f>IF(ISNUMBER($D8)=TRUE,'Input HVAC Measures'!O11,"")</f>
        <v/>
      </c>
      <c r="H8" s="84" t="str">
        <f>IF(ISNUMBER($D8)=TRUE,'Input HVAC Measures'!P11,"")</f>
        <v/>
      </c>
      <c r="I8" s="226" t="str">
        <f>IFERROR(N8*MIN(Table_Measure_Caps[[#Totals],[Estimated Raw Incentive Total]], Table_Measure_Caps[[#Totals],[Gross Measure Cost Total]], Value_Project_CAP)/Table_Measure_Caps[[#Totals],[Estimated Raw Incentive Total]], "")</f>
        <v/>
      </c>
      <c r="J8" s="226" t="str">
        <f>IF(ISNUMBER($D8)=TRUE,'Input HVAC Measures'!K11,"")</f>
        <v/>
      </c>
      <c r="K8" s="226" t="str">
        <f>IF(ISNUMBER($D8)=TRUE,'Input HVAC Measures'!L11,"")</f>
        <v/>
      </c>
      <c r="L8" s="29" t="str">
        <f t="shared" si="1"/>
        <v>Version 5.2</v>
      </c>
      <c r="M8" s="58" t="str">
        <f>IF(ISNUMBER($D8)=TRUE,'Input HVAC Measures'!E11,"")</f>
        <v/>
      </c>
      <c r="N8" s="234" t="str">
        <f>'Input HVAC Measures'!N11</f>
        <v/>
      </c>
    </row>
    <row r="9" spans="1:14" x14ac:dyDescent="0.2">
      <c r="A9" s="13" t="s">
        <v>120</v>
      </c>
      <c r="B9" s="12">
        <f t="shared" si="0"/>
        <v>0</v>
      </c>
      <c r="C9" s="12">
        <f>'Input HVAC Measures'!B12</f>
        <v>7</v>
      </c>
      <c r="D9" s="12" t="str">
        <f>'Input HVAC Measures'!C12</f>
        <v/>
      </c>
      <c r="E9" s="12" t="str">
        <f>'Input HVAC Measures'!F12</f>
        <v/>
      </c>
      <c r="F9" s="12" t="str">
        <f>IF(ISNUMBER($D9)=TRUE,'Input HVAC Measures'!G12,"")</f>
        <v/>
      </c>
      <c r="G9" s="218" t="str">
        <f>IF(ISNUMBER($D9)=TRUE,'Input HVAC Measures'!O12,"")</f>
        <v/>
      </c>
      <c r="H9" s="84" t="str">
        <f>IF(ISNUMBER($D9)=TRUE,'Input HVAC Measures'!P12,"")</f>
        <v/>
      </c>
      <c r="I9" s="226" t="str">
        <f>IFERROR(N9*MIN(Table_Measure_Caps[[#Totals],[Estimated Raw Incentive Total]], Table_Measure_Caps[[#Totals],[Gross Measure Cost Total]], Value_Project_CAP)/Table_Measure_Caps[[#Totals],[Estimated Raw Incentive Total]], "")</f>
        <v/>
      </c>
      <c r="J9" s="226" t="str">
        <f>IF(ISNUMBER($D9)=TRUE,'Input HVAC Measures'!K12,"")</f>
        <v/>
      </c>
      <c r="K9" s="226" t="str">
        <f>IF(ISNUMBER($D9)=TRUE,'Input HVAC Measures'!L12,"")</f>
        <v/>
      </c>
      <c r="L9" s="29" t="str">
        <f t="shared" si="1"/>
        <v>Version 5.2</v>
      </c>
      <c r="M9" s="58" t="str">
        <f>IF(ISNUMBER($D9)=TRUE,'Input HVAC Measures'!E12,"")</f>
        <v/>
      </c>
      <c r="N9" s="234" t="str">
        <f>'Input HVAC Measures'!N12</f>
        <v/>
      </c>
    </row>
    <row r="10" spans="1:14" x14ac:dyDescent="0.2">
      <c r="A10" s="13" t="s">
        <v>120</v>
      </c>
      <c r="B10" s="12">
        <f t="shared" si="0"/>
        <v>0</v>
      </c>
      <c r="C10" s="12">
        <f>'Input HVAC Measures'!B13</f>
        <v>8</v>
      </c>
      <c r="D10" s="12" t="str">
        <f>'Input HVAC Measures'!C13</f>
        <v/>
      </c>
      <c r="E10" s="12" t="str">
        <f>'Input HVAC Measures'!F13</f>
        <v/>
      </c>
      <c r="F10" s="12" t="str">
        <f>IF(ISNUMBER($D10)=TRUE,'Input HVAC Measures'!G13,"")</f>
        <v/>
      </c>
      <c r="G10" s="218" t="str">
        <f>IF(ISNUMBER($D10)=TRUE,'Input HVAC Measures'!O13,"")</f>
        <v/>
      </c>
      <c r="H10" s="84" t="str">
        <f>IF(ISNUMBER($D10)=TRUE,'Input HVAC Measures'!P13,"")</f>
        <v/>
      </c>
      <c r="I10" s="226" t="str">
        <f>IFERROR(N10*MIN(Table_Measure_Caps[[#Totals],[Estimated Raw Incentive Total]], Table_Measure_Caps[[#Totals],[Gross Measure Cost Total]], Value_Project_CAP)/Table_Measure_Caps[[#Totals],[Estimated Raw Incentive Total]], "")</f>
        <v/>
      </c>
      <c r="J10" s="226" t="str">
        <f>IF(ISNUMBER($D10)=TRUE,'Input HVAC Measures'!K13,"")</f>
        <v/>
      </c>
      <c r="K10" s="226" t="str">
        <f>IF(ISNUMBER($D10)=TRUE,'Input HVAC Measures'!L13,"")</f>
        <v/>
      </c>
      <c r="L10" s="29" t="str">
        <f t="shared" si="1"/>
        <v>Version 5.2</v>
      </c>
      <c r="M10" s="58" t="str">
        <f>IF(ISNUMBER($D10)=TRUE,'Input HVAC Measures'!E13,"")</f>
        <v/>
      </c>
      <c r="N10" s="234" t="str">
        <f>'Input HVAC Measures'!N13</f>
        <v/>
      </c>
    </row>
    <row r="11" spans="1:14" x14ac:dyDescent="0.2">
      <c r="A11" s="13" t="s">
        <v>120</v>
      </c>
      <c r="B11" s="12">
        <f t="shared" si="0"/>
        <v>0</v>
      </c>
      <c r="C11" s="12">
        <f>'Input HVAC Measures'!B14</f>
        <v>9</v>
      </c>
      <c r="D11" s="12" t="str">
        <f>'Input HVAC Measures'!C14</f>
        <v/>
      </c>
      <c r="E11" s="12" t="str">
        <f>'Input HVAC Measures'!F14</f>
        <v/>
      </c>
      <c r="F11" s="12" t="str">
        <f>IF(ISNUMBER($D11)=TRUE,'Input HVAC Measures'!G14,"")</f>
        <v/>
      </c>
      <c r="G11" s="218" t="str">
        <f>IF(ISNUMBER($D11)=TRUE,'Input HVAC Measures'!O14,"")</f>
        <v/>
      </c>
      <c r="H11" s="84" t="str">
        <f>IF(ISNUMBER($D11)=TRUE,'Input HVAC Measures'!P14,"")</f>
        <v/>
      </c>
      <c r="I11" s="226" t="str">
        <f>IFERROR(N11*MIN(Table_Measure_Caps[[#Totals],[Estimated Raw Incentive Total]], Table_Measure_Caps[[#Totals],[Gross Measure Cost Total]], Value_Project_CAP)/Table_Measure_Caps[[#Totals],[Estimated Raw Incentive Total]], "")</f>
        <v/>
      </c>
      <c r="J11" s="226" t="str">
        <f>IF(ISNUMBER($D11)=TRUE,'Input HVAC Measures'!K14,"")</f>
        <v/>
      </c>
      <c r="K11" s="226" t="str">
        <f>IF(ISNUMBER($D11)=TRUE,'Input HVAC Measures'!L14,"")</f>
        <v/>
      </c>
      <c r="L11" s="29" t="str">
        <f t="shared" si="1"/>
        <v>Version 5.2</v>
      </c>
      <c r="M11" s="58" t="str">
        <f>IF(ISNUMBER($D11)=TRUE,'Input HVAC Measures'!E14,"")</f>
        <v/>
      </c>
      <c r="N11" s="234" t="str">
        <f>'Input HVAC Measures'!N14</f>
        <v/>
      </c>
    </row>
    <row r="12" spans="1:14" x14ac:dyDescent="0.2">
      <c r="A12" s="13" t="s">
        <v>120</v>
      </c>
      <c r="B12" s="12">
        <f t="shared" si="0"/>
        <v>0</v>
      </c>
      <c r="C12" s="12">
        <f>'Input HVAC Measures'!B15</f>
        <v>10</v>
      </c>
      <c r="D12" s="12" t="str">
        <f>'Input HVAC Measures'!C15</f>
        <v/>
      </c>
      <c r="E12" s="12" t="str">
        <f>'Input HVAC Measures'!F15</f>
        <v/>
      </c>
      <c r="F12" s="12" t="str">
        <f>IF(ISNUMBER($D12)=TRUE,'Input HVAC Measures'!G15,"")</f>
        <v/>
      </c>
      <c r="G12" s="218" t="str">
        <f>IF(ISNUMBER($D12)=TRUE,'Input HVAC Measures'!O15,"")</f>
        <v/>
      </c>
      <c r="H12" s="84" t="str">
        <f>IF(ISNUMBER($D12)=TRUE,'Input HVAC Measures'!P15,"")</f>
        <v/>
      </c>
      <c r="I12" s="226" t="str">
        <f>IFERROR(N12*MIN(Table_Measure_Caps[[#Totals],[Estimated Raw Incentive Total]], Table_Measure_Caps[[#Totals],[Gross Measure Cost Total]], Value_Project_CAP)/Table_Measure_Caps[[#Totals],[Estimated Raw Incentive Total]], "")</f>
        <v/>
      </c>
      <c r="J12" s="226" t="str">
        <f>IF(ISNUMBER($D12)=TRUE,'Input HVAC Measures'!K15,"")</f>
        <v/>
      </c>
      <c r="K12" s="226" t="str">
        <f>IF(ISNUMBER($D12)=TRUE,'Input HVAC Measures'!L15,"")</f>
        <v/>
      </c>
      <c r="L12" s="29" t="str">
        <f t="shared" si="1"/>
        <v>Version 5.2</v>
      </c>
      <c r="M12" s="58" t="str">
        <f>IF(ISNUMBER($D12)=TRUE,'Input HVAC Measures'!E15,"")</f>
        <v/>
      </c>
      <c r="N12" s="234" t="str">
        <f>'Input HVAC Measures'!N15</f>
        <v/>
      </c>
    </row>
    <row r="13" spans="1:14" x14ac:dyDescent="0.2">
      <c r="A13" s="13" t="s">
        <v>120</v>
      </c>
      <c r="B13" s="12">
        <f t="shared" si="0"/>
        <v>0</v>
      </c>
      <c r="C13" s="12">
        <f>'Input HVAC Measures'!B16</f>
        <v>11</v>
      </c>
      <c r="D13" s="12" t="str">
        <f>'Input HVAC Measures'!C16</f>
        <v/>
      </c>
      <c r="E13" s="12" t="str">
        <f>'Input HVAC Measures'!F16</f>
        <v/>
      </c>
      <c r="F13" s="12" t="str">
        <f>IF(ISNUMBER($D13)=TRUE,'Input HVAC Measures'!G16,"")</f>
        <v/>
      </c>
      <c r="G13" s="218" t="str">
        <f>IF(ISNUMBER($D13)=TRUE,'Input HVAC Measures'!O16,"")</f>
        <v/>
      </c>
      <c r="H13" s="84" t="str">
        <f>IF(ISNUMBER($D13)=TRUE,'Input HVAC Measures'!P16,"")</f>
        <v/>
      </c>
      <c r="I13" s="226" t="str">
        <f>IFERROR(N13*MIN(Table_Measure_Caps[[#Totals],[Estimated Raw Incentive Total]], Table_Measure_Caps[[#Totals],[Gross Measure Cost Total]], Value_Project_CAP)/Table_Measure_Caps[[#Totals],[Estimated Raw Incentive Total]], "")</f>
        <v/>
      </c>
      <c r="J13" s="226" t="str">
        <f>IF(ISNUMBER($D13)=TRUE,'Input HVAC Measures'!K16,"")</f>
        <v/>
      </c>
      <c r="K13" s="226" t="str">
        <f>IF(ISNUMBER($D13)=TRUE,'Input HVAC Measures'!L16,"")</f>
        <v/>
      </c>
      <c r="L13" s="29" t="str">
        <f t="shared" si="1"/>
        <v>Version 5.2</v>
      </c>
      <c r="M13" s="58" t="str">
        <f>IF(ISNUMBER($D13)=TRUE,'Input HVAC Measures'!E16,"")</f>
        <v/>
      </c>
      <c r="N13" s="234" t="str">
        <f>'Input HVAC Measures'!N16</f>
        <v/>
      </c>
    </row>
    <row r="14" spans="1:14" x14ac:dyDescent="0.2">
      <c r="A14" s="13" t="s">
        <v>120</v>
      </c>
      <c r="B14" s="12">
        <f t="shared" si="0"/>
        <v>0</v>
      </c>
      <c r="C14" s="12">
        <f>'Input HVAC Measures'!B17</f>
        <v>12</v>
      </c>
      <c r="D14" s="12" t="str">
        <f>'Input HVAC Measures'!C17</f>
        <v/>
      </c>
      <c r="E14" s="12" t="str">
        <f>'Input HVAC Measures'!F17</f>
        <v/>
      </c>
      <c r="F14" s="12" t="str">
        <f>IF(ISNUMBER($D14)=TRUE,'Input HVAC Measures'!G17,"")</f>
        <v/>
      </c>
      <c r="G14" s="218" t="str">
        <f>IF(ISNUMBER($D14)=TRUE,'Input HVAC Measures'!O17,"")</f>
        <v/>
      </c>
      <c r="H14" s="84" t="str">
        <f>IF(ISNUMBER($D14)=TRUE,'Input HVAC Measures'!P17,"")</f>
        <v/>
      </c>
      <c r="I14" s="226" t="str">
        <f>IFERROR(N14*MIN(Table_Measure_Caps[[#Totals],[Estimated Raw Incentive Total]], Table_Measure_Caps[[#Totals],[Gross Measure Cost Total]], Value_Project_CAP)/Table_Measure_Caps[[#Totals],[Estimated Raw Incentive Total]], "")</f>
        <v/>
      </c>
      <c r="J14" s="226" t="str">
        <f>IF(ISNUMBER($D14)=TRUE,'Input HVAC Measures'!K17,"")</f>
        <v/>
      </c>
      <c r="K14" s="226" t="str">
        <f>IF(ISNUMBER($D14)=TRUE,'Input HVAC Measures'!L17,"")</f>
        <v/>
      </c>
      <c r="L14" s="29" t="str">
        <f t="shared" si="1"/>
        <v>Version 5.2</v>
      </c>
      <c r="M14" s="58" t="str">
        <f>IF(ISNUMBER($D14)=TRUE,'Input HVAC Measures'!E17,"")</f>
        <v/>
      </c>
      <c r="N14" s="234" t="str">
        <f>'Input HVAC Measures'!N17</f>
        <v/>
      </c>
    </row>
    <row r="15" spans="1:14" x14ac:dyDescent="0.2">
      <c r="A15" s="13" t="s">
        <v>120</v>
      </c>
      <c r="B15" s="12">
        <f t="shared" si="0"/>
        <v>0</v>
      </c>
      <c r="C15" s="12">
        <f>'Input HVAC Measures'!B18</f>
        <v>13</v>
      </c>
      <c r="D15" s="12" t="str">
        <f>'Input HVAC Measures'!C18</f>
        <v/>
      </c>
      <c r="E15" s="12" t="str">
        <f>'Input HVAC Measures'!F18</f>
        <v/>
      </c>
      <c r="F15" s="12" t="str">
        <f>IF(ISNUMBER($D15)=TRUE,'Input HVAC Measures'!G18,"")</f>
        <v/>
      </c>
      <c r="G15" s="218" t="str">
        <f>IF(ISNUMBER($D15)=TRUE,'Input HVAC Measures'!O18,"")</f>
        <v/>
      </c>
      <c r="H15" s="84" t="str">
        <f>IF(ISNUMBER($D15)=TRUE,'Input HVAC Measures'!P18,"")</f>
        <v/>
      </c>
      <c r="I15" s="226" t="str">
        <f>IFERROR(N15*MIN(Table_Measure_Caps[[#Totals],[Estimated Raw Incentive Total]], Table_Measure_Caps[[#Totals],[Gross Measure Cost Total]], Value_Project_CAP)/Table_Measure_Caps[[#Totals],[Estimated Raw Incentive Total]], "")</f>
        <v/>
      </c>
      <c r="J15" s="226" t="str">
        <f>IF(ISNUMBER($D15)=TRUE,'Input HVAC Measures'!K18,"")</f>
        <v/>
      </c>
      <c r="K15" s="226" t="str">
        <f>IF(ISNUMBER($D15)=TRUE,'Input HVAC Measures'!L18,"")</f>
        <v/>
      </c>
      <c r="L15" s="29" t="str">
        <f t="shared" si="1"/>
        <v>Version 5.2</v>
      </c>
      <c r="M15" s="58" t="str">
        <f>IF(ISNUMBER($D15)=TRUE,'Input HVAC Measures'!E18,"")</f>
        <v/>
      </c>
      <c r="N15" s="234" t="str">
        <f>'Input HVAC Measures'!N18</f>
        <v/>
      </c>
    </row>
    <row r="16" spans="1:14" x14ac:dyDescent="0.2">
      <c r="A16" s="13" t="s">
        <v>120</v>
      </c>
      <c r="B16" s="12">
        <f t="shared" si="0"/>
        <v>0</v>
      </c>
      <c r="C16" s="12">
        <f>'Input HVAC Measures'!B19</f>
        <v>14</v>
      </c>
      <c r="D16" s="12" t="str">
        <f>'Input HVAC Measures'!C19</f>
        <v/>
      </c>
      <c r="E16" s="12" t="str">
        <f>'Input HVAC Measures'!F19</f>
        <v/>
      </c>
      <c r="F16" s="12" t="str">
        <f>IF(ISNUMBER($D16)=TRUE,'Input HVAC Measures'!G19,"")</f>
        <v/>
      </c>
      <c r="G16" s="218" t="str">
        <f>IF(ISNUMBER($D16)=TRUE,'Input HVAC Measures'!O19,"")</f>
        <v/>
      </c>
      <c r="H16" s="84" t="str">
        <f>IF(ISNUMBER($D16)=TRUE,'Input HVAC Measures'!P19,"")</f>
        <v/>
      </c>
      <c r="I16" s="226" t="str">
        <f>IFERROR(N16*MIN(Table_Measure_Caps[[#Totals],[Estimated Raw Incentive Total]], Table_Measure_Caps[[#Totals],[Gross Measure Cost Total]], Value_Project_CAP)/Table_Measure_Caps[[#Totals],[Estimated Raw Incentive Total]], "")</f>
        <v/>
      </c>
      <c r="J16" s="226" t="str">
        <f>IF(ISNUMBER($D16)=TRUE,'Input HVAC Measures'!K19,"")</f>
        <v/>
      </c>
      <c r="K16" s="226" t="str">
        <f>IF(ISNUMBER($D16)=TRUE,'Input HVAC Measures'!L19,"")</f>
        <v/>
      </c>
      <c r="L16" s="29" t="str">
        <f t="shared" si="1"/>
        <v>Version 5.2</v>
      </c>
      <c r="M16" s="58" t="str">
        <f>IF(ISNUMBER($D16)=TRUE,'Input HVAC Measures'!E19,"")</f>
        <v/>
      </c>
      <c r="N16" s="234" t="str">
        <f>'Input HVAC Measures'!N19</f>
        <v/>
      </c>
    </row>
    <row r="17" spans="1:14" x14ac:dyDescent="0.2">
      <c r="A17" s="13" t="s">
        <v>120</v>
      </c>
      <c r="B17" s="12">
        <f t="shared" si="0"/>
        <v>0</v>
      </c>
      <c r="C17" s="12">
        <f>'Input HVAC Measures'!B20</f>
        <v>15</v>
      </c>
      <c r="D17" s="12" t="str">
        <f>'Input HVAC Measures'!C20</f>
        <v/>
      </c>
      <c r="E17" s="12" t="str">
        <f>'Input HVAC Measures'!F20</f>
        <v/>
      </c>
      <c r="F17" s="12" t="str">
        <f>IF(ISNUMBER($D17)=TRUE,'Input HVAC Measures'!G20,"")</f>
        <v/>
      </c>
      <c r="G17" s="218" t="str">
        <f>IF(ISNUMBER($D17)=TRUE,'Input HVAC Measures'!O20,"")</f>
        <v/>
      </c>
      <c r="H17" s="84" t="str">
        <f>IF(ISNUMBER($D17)=TRUE,'Input HVAC Measures'!P20,"")</f>
        <v/>
      </c>
      <c r="I17" s="226" t="str">
        <f>IFERROR(N17*MIN(Table_Measure_Caps[[#Totals],[Estimated Raw Incentive Total]], Table_Measure_Caps[[#Totals],[Gross Measure Cost Total]], Value_Project_CAP)/Table_Measure_Caps[[#Totals],[Estimated Raw Incentive Total]], "")</f>
        <v/>
      </c>
      <c r="J17" s="226" t="str">
        <f>IF(ISNUMBER($D17)=TRUE,'Input HVAC Measures'!K20,"")</f>
        <v/>
      </c>
      <c r="K17" s="226" t="str">
        <f>IF(ISNUMBER($D17)=TRUE,'Input HVAC Measures'!L20,"")</f>
        <v/>
      </c>
      <c r="L17" s="29" t="str">
        <f t="shared" si="1"/>
        <v>Version 5.2</v>
      </c>
      <c r="M17" s="58" t="str">
        <f>IF(ISNUMBER($D17)=TRUE,'Input HVAC Measures'!E20,"")</f>
        <v/>
      </c>
      <c r="N17" s="234" t="str">
        <f>'Input HVAC Measures'!N20</f>
        <v/>
      </c>
    </row>
    <row r="18" spans="1:14" x14ac:dyDescent="0.2">
      <c r="A18" s="13" t="s">
        <v>120</v>
      </c>
      <c r="B18" s="12">
        <f t="shared" si="0"/>
        <v>0</v>
      </c>
      <c r="C18" s="12">
        <f>'Input HVAC Measures'!B21</f>
        <v>16</v>
      </c>
      <c r="D18" s="12" t="str">
        <f>'Input HVAC Measures'!C21</f>
        <v/>
      </c>
      <c r="E18" s="12" t="str">
        <f>'Input HVAC Measures'!F21</f>
        <v/>
      </c>
      <c r="F18" s="12" t="str">
        <f>IF(ISNUMBER($D18)=TRUE,'Input HVAC Measures'!G21,"")</f>
        <v/>
      </c>
      <c r="G18" s="218" t="str">
        <f>IF(ISNUMBER($D18)=TRUE,'Input HVAC Measures'!O21,"")</f>
        <v/>
      </c>
      <c r="H18" s="84" t="str">
        <f>IF(ISNUMBER($D18)=TRUE,'Input HVAC Measures'!P21,"")</f>
        <v/>
      </c>
      <c r="I18" s="226" t="str">
        <f>IFERROR(N18*MIN(Table_Measure_Caps[[#Totals],[Estimated Raw Incentive Total]], Table_Measure_Caps[[#Totals],[Gross Measure Cost Total]], Value_Project_CAP)/Table_Measure_Caps[[#Totals],[Estimated Raw Incentive Total]], "")</f>
        <v/>
      </c>
      <c r="J18" s="226" t="str">
        <f>IF(ISNUMBER($D18)=TRUE,'Input HVAC Measures'!K21,"")</f>
        <v/>
      </c>
      <c r="K18" s="226" t="str">
        <f>IF(ISNUMBER($D18)=TRUE,'Input HVAC Measures'!L21,"")</f>
        <v/>
      </c>
      <c r="L18" s="29" t="str">
        <f t="shared" si="1"/>
        <v>Version 5.2</v>
      </c>
      <c r="M18" s="58" t="str">
        <f>IF(ISNUMBER($D18)=TRUE,'Input HVAC Measures'!E21,"")</f>
        <v/>
      </c>
      <c r="N18" s="234" t="str">
        <f>'Input HVAC Measures'!N21</f>
        <v/>
      </c>
    </row>
    <row r="19" spans="1:14" x14ac:dyDescent="0.2">
      <c r="A19" s="13" t="s">
        <v>120</v>
      </c>
      <c r="B19" s="12">
        <f t="shared" si="0"/>
        <v>0</v>
      </c>
      <c r="C19" s="12">
        <f>'Input HVAC Measures'!B22</f>
        <v>17</v>
      </c>
      <c r="D19" s="12" t="str">
        <f>'Input HVAC Measures'!C22</f>
        <v/>
      </c>
      <c r="E19" s="12" t="str">
        <f>'Input HVAC Measures'!F22</f>
        <v/>
      </c>
      <c r="F19" s="12" t="str">
        <f>IF(ISNUMBER($D19)=TRUE,'Input HVAC Measures'!G22,"")</f>
        <v/>
      </c>
      <c r="G19" s="218" t="str">
        <f>IF(ISNUMBER($D19)=TRUE,'Input HVAC Measures'!O22,"")</f>
        <v/>
      </c>
      <c r="H19" s="84" t="str">
        <f>IF(ISNUMBER($D19)=TRUE,'Input HVAC Measures'!P22,"")</f>
        <v/>
      </c>
      <c r="I19" s="226" t="str">
        <f>IFERROR(N19*MIN(Table_Measure_Caps[[#Totals],[Estimated Raw Incentive Total]], Table_Measure_Caps[[#Totals],[Gross Measure Cost Total]], Value_Project_CAP)/Table_Measure_Caps[[#Totals],[Estimated Raw Incentive Total]], "")</f>
        <v/>
      </c>
      <c r="J19" s="226" t="str">
        <f>IF(ISNUMBER($D19)=TRUE,'Input HVAC Measures'!K22,"")</f>
        <v/>
      </c>
      <c r="K19" s="226" t="str">
        <f>IF(ISNUMBER($D19)=TRUE,'Input HVAC Measures'!L22,"")</f>
        <v/>
      </c>
      <c r="L19" s="29" t="str">
        <f t="shared" si="1"/>
        <v>Version 5.2</v>
      </c>
      <c r="M19" s="58" t="str">
        <f>IF(ISNUMBER($D19)=TRUE,'Input HVAC Measures'!E22,"")</f>
        <v/>
      </c>
      <c r="N19" s="234" t="str">
        <f>'Input HVAC Measures'!N22</f>
        <v/>
      </c>
    </row>
    <row r="20" spans="1:14" x14ac:dyDescent="0.2">
      <c r="A20" s="13" t="s">
        <v>120</v>
      </c>
      <c r="B20" s="12">
        <f t="shared" si="0"/>
        <v>0</v>
      </c>
      <c r="C20" s="12">
        <f>'Input HVAC Measures'!B23</f>
        <v>18</v>
      </c>
      <c r="D20" s="12" t="str">
        <f>'Input HVAC Measures'!C23</f>
        <v/>
      </c>
      <c r="E20" s="12" t="str">
        <f>'Input HVAC Measures'!F23</f>
        <v/>
      </c>
      <c r="F20" s="12" t="str">
        <f>IF(ISNUMBER($D20)=TRUE,'Input HVAC Measures'!G23,"")</f>
        <v/>
      </c>
      <c r="G20" s="218" t="str">
        <f>IF(ISNUMBER($D20)=TRUE,'Input HVAC Measures'!O23,"")</f>
        <v/>
      </c>
      <c r="H20" s="84" t="str">
        <f>IF(ISNUMBER($D20)=TRUE,'Input HVAC Measures'!P23,"")</f>
        <v/>
      </c>
      <c r="I20" s="226" t="str">
        <f>IFERROR(N20*MIN(Table_Measure_Caps[[#Totals],[Estimated Raw Incentive Total]], Table_Measure_Caps[[#Totals],[Gross Measure Cost Total]], Value_Project_CAP)/Table_Measure_Caps[[#Totals],[Estimated Raw Incentive Total]], "")</f>
        <v/>
      </c>
      <c r="J20" s="226" t="str">
        <f>IF(ISNUMBER($D20)=TRUE,'Input HVAC Measures'!K23,"")</f>
        <v/>
      </c>
      <c r="K20" s="226" t="str">
        <f>IF(ISNUMBER($D20)=TRUE,'Input HVAC Measures'!L23,"")</f>
        <v/>
      </c>
      <c r="L20" s="29" t="str">
        <f t="shared" si="1"/>
        <v>Version 5.2</v>
      </c>
      <c r="M20" s="58" t="str">
        <f>IF(ISNUMBER($D20)=TRUE,'Input HVAC Measures'!E23,"")</f>
        <v/>
      </c>
      <c r="N20" s="234" t="str">
        <f>'Input HVAC Measures'!N23</f>
        <v/>
      </c>
    </row>
    <row r="21" spans="1:14" x14ac:dyDescent="0.2">
      <c r="A21" s="13" t="s">
        <v>120</v>
      </c>
      <c r="B21" s="12">
        <f t="shared" si="0"/>
        <v>0</v>
      </c>
      <c r="C21" s="12">
        <f>'Input HVAC Measures'!B24</f>
        <v>19</v>
      </c>
      <c r="D21" s="12" t="str">
        <f>'Input HVAC Measures'!C24</f>
        <v/>
      </c>
      <c r="E21" s="12" t="str">
        <f>'Input HVAC Measures'!F24</f>
        <v/>
      </c>
      <c r="F21" s="12" t="str">
        <f>IF(ISNUMBER($D21)=TRUE,'Input HVAC Measures'!G24,"")</f>
        <v/>
      </c>
      <c r="G21" s="218" t="str">
        <f>IF(ISNUMBER($D21)=TRUE,'Input HVAC Measures'!O24,"")</f>
        <v/>
      </c>
      <c r="H21" s="84" t="str">
        <f>IF(ISNUMBER($D21)=TRUE,'Input HVAC Measures'!P24,"")</f>
        <v/>
      </c>
      <c r="I21" s="226" t="str">
        <f>IFERROR(N21*MIN(Table_Measure_Caps[[#Totals],[Estimated Raw Incentive Total]], Table_Measure_Caps[[#Totals],[Gross Measure Cost Total]], Value_Project_CAP)/Table_Measure_Caps[[#Totals],[Estimated Raw Incentive Total]], "")</f>
        <v/>
      </c>
      <c r="J21" s="226" t="str">
        <f>IF(ISNUMBER($D21)=TRUE,'Input HVAC Measures'!K24,"")</f>
        <v/>
      </c>
      <c r="K21" s="226" t="str">
        <f>IF(ISNUMBER($D21)=TRUE,'Input HVAC Measures'!L24,"")</f>
        <v/>
      </c>
      <c r="L21" s="29" t="str">
        <f t="shared" si="1"/>
        <v>Version 5.2</v>
      </c>
      <c r="M21" s="58" t="str">
        <f>IF(ISNUMBER($D21)=TRUE,'Input HVAC Measures'!E24,"")</f>
        <v/>
      </c>
      <c r="N21" s="234" t="str">
        <f>'Input HVAC Measures'!N24</f>
        <v/>
      </c>
    </row>
    <row r="22" spans="1:14" x14ac:dyDescent="0.2">
      <c r="A22" s="13" t="s">
        <v>120</v>
      </c>
      <c r="B22" s="12">
        <f t="shared" si="0"/>
        <v>0</v>
      </c>
      <c r="C22" s="12">
        <f>'Input HVAC Measures'!B25</f>
        <v>20</v>
      </c>
      <c r="D22" s="12" t="str">
        <f>'Input HVAC Measures'!C25</f>
        <v/>
      </c>
      <c r="E22" s="12" t="str">
        <f>'Input HVAC Measures'!F25</f>
        <v/>
      </c>
      <c r="F22" s="12" t="str">
        <f>IF(ISNUMBER($D22)=TRUE,'Input HVAC Measures'!G25,"")</f>
        <v/>
      </c>
      <c r="G22" s="218" t="str">
        <f>IF(ISNUMBER($D22)=TRUE,'Input HVAC Measures'!O25,"")</f>
        <v/>
      </c>
      <c r="H22" s="84" t="str">
        <f>IF(ISNUMBER($D22)=TRUE,'Input HVAC Measures'!P25,"")</f>
        <v/>
      </c>
      <c r="I22" s="226" t="str">
        <f>IFERROR(N22*MIN(Table_Measure_Caps[[#Totals],[Estimated Raw Incentive Total]], Table_Measure_Caps[[#Totals],[Gross Measure Cost Total]], Value_Project_CAP)/Table_Measure_Caps[[#Totals],[Estimated Raw Incentive Total]], "")</f>
        <v/>
      </c>
      <c r="J22" s="226" t="str">
        <f>IF(ISNUMBER($D22)=TRUE,'Input HVAC Measures'!K25,"")</f>
        <v/>
      </c>
      <c r="K22" s="226" t="str">
        <f>IF(ISNUMBER($D22)=TRUE,'Input HVAC Measures'!L25,"")</f>
        <v/>
      </c>
      <c r="L22" s="29" t="str">
        <f t="shared" si="1"/>
        <v>Version 5.2</v>
      </c>
      <c r="M22" s="58" t="str">
        <f>IF(ISNUMBER($D22)=TRUE,'Input HVAC Measures'!E25,"")</f>
        <v/>
      </c>
      <c r="N22" s="234" t="str">
        <f>'Input HVAC Measures'!N25</f>
        <v/>
      </c>
    </row>
    <row r="23" spans="1:14" x14ac:dyDescent="0.2">
      <c r="A23" s="13" t="s">
        <v>120</v>
      </c>
      <c r="B23" s="12">
        <f t="shared" si="0"/>
        <v>0</v>
      </c>
      <c r="C23" s="12">
        <f>'Input HVAC Measures'!B26</f>
        <v>21</v>
      </c>
      <c r="D23" s="12" t="str">
        <f>'Input HVAC Measures'!C26</f>
        <v/>
      </c>
      <c r="E23" s="12" t="str">
        <f>'Input HVAC Measures'!F26</f>
        <v/>
      </c>
      <c r="F23" s="12" t="str">
        <f>IF(ISNUMBER($D23)=TRUE,'Input HVAC Measures'!G26,"")</f>
        <v/>
      </c>
      <c r="G23" s="218" t="str">
        <f>IF(ISNUMBER($D23)=TRUE,'Input HVAC Measures'!O26,"")</f>
        <v/>
      </c>
      <c r="H23" s="84" t="str">
        <f>IF(ISNUMBER($D23)=TRUE,'Input HVAC Measures'!P26,"")</f>
        <v/>
      </c>
      <c r="I23" s="226" t="str">
        <f>IFERROR(N23*MIN(Table_Measure_Caps[[#Totals],[Estimated Raw Incentive Total]], Table_Measure_Caps[[#Totals],[Gross Measure Cost Total]], Value_Project_CAP)/Table_Measure_Caps[[#Totals],[Estimated Raw Incentive Total]], "")</f>
        <v/>
      </c>
      <c r="J23" s="226" t="str">
        <f>IF(ISNUMBER($D23)=TRUE,'Input HVAC Measures'!K26,"")</f>
        <v/>
      </c>
      <c r="K23" s="226" t="str">
        <f>IF(ISNUMBER($D23)=TRUE,'Input HVAC Measures'!L26,"")</f>
        <v/>
      </c>
      <c r="L23" s="29" t="str">
        <f t="shared" si="1"/>
        <v>Version 5.2</v>
      </c>
      <c r="M23" s="58" t="str">
        <f>IF(ISNUMBER($D23)=TRUE,'Input HVAC Measures'!E26,"")</f>
        <v/>
      </c>
      <c r="N23" s="234" t="str">
        <f>'Input HVAC Measures'!N26</f>
        <v/>
      </c>
    </row>
    <row r="24" spans="1:14" x14ac:dyDescent="0.2">
      <c r="A24" s="13" t="s">
        <v>120</v>
      </c>
      <c r="B24" s="12">
        <f t="shared" si="0"/>
        <v>0</v>
      </c>
      <c r="C24" s="12">
        <f>'Input HVAC Measures'!B27</f>
        <v>22</v>
      </c>
      <c r="D24" s="12" t="str">
        <f>'Input HVAC Measures'!C27</f>
        <v/>
      </c>
      <c r="E24" s="12" t="str">
        <f>'Input HVAC Measures'!F27</f>
        <v/>
      </c>
      <c r="F24" s="12" t="str">
        <f>IF(ISNUMBER($D24)=TRUE,'Input HVAC Measures'!G27,"")</f>
        <v/>
      </c>
      <c r="G24" s="218" t="str">
        <f>IF(ISNUMBER($D24)=TRUE,'Input HVAC Measures'!O27,"")</f>
        <v/>
      </c>
      <c r="H24" s="84" t="str">
        <f>IF(ISNUMBER($D24)=TRUE,'Input HVAC Measures'!P27,"")</f>
        <v/>
      </c>
      <c r="I24" s="226" t="str">
        <f>IFERROR(N24*MIN(Table_Measure_Caps[[#Totals],[Estimated Raw Incentive Total]], Table_Measure_Caps[[#Totals],[Gross Measure Cost Total]], Value_Project_CAP)/Table_Measure_Caps[[#Totals],[Estimated Raw Incentive Total]], "")</f>
        <v/>
      </c>
      <c r="J24" s="226" t="str">
        <f>IF(ISNUMBER($D24)=TRUE,'Input HVAC Measures'!K27,"")</f>
        <v/>
      </c>
      <c r="K24" s="226" t="str">
        <f>IF(ISNUMBER($D24)=TRUE,'Input HVAC Measures'!L27,"")</f>
        <v/>
      </c>
      <c r="L24" s="29" t="str">
        <f t="shared" si="1"/>
        <v>Version 5.2</v>
      </c>
      <c r="M24" s="58" t="str">
        <f>IF(ISNUMBER($D24)=TRUE,'Input HVAC Measures'!E27,"")</f>
        <v/>
      </c>
      <c r="N24" s="234" t="str">
        <f>'Input HVAC Measures'!N27</f>
        <v/>
      </c>
    </row>
    <row r="25" spans="1:14" x14ac:dyDescent="0.2">
      <c r="A25" s="13" t="s">
        <v>120</v>
      </c>
      <c r="B25" s="12">
        <f t="shared" si="0"/>
        <v>0</v>
      </c>
      <c r="C25" s="12">
        <f>'Input HVAC Measures'!B28</f>
        <v>23</v>
      </c>
      <c r="D25" s="12" t="str">
        <f>'Input HVAC Measures'!C28</f>
        <v/>
      </c>
      <c r="E25" s="12" t="str">
        <f>'Input HVAC Measures'!F28</f>
        <v/>
      </c>
      <c r="F25" s="12" t="str">
        <f>IF(ISNUMBER($D25)=TRUE,'Input HVAC Measures'!G28,"")</f>
        <v/>
      </c>
      <c r="G25" s="218" t="str">
        <f>IF(ISNUMBER($D25)=TRUE,'Input HVAC Measures'!O28,"")</f>
        <v/>
      </c>
      <c r="H25" s="84" t="str">
        <f>IF(ISNUMBER($D25)=TRUE,'Input HVAC Measures'!P28,"")</f>
        <v/>
      </c>
      <c r="I25" s="226" t="str">
        <f>IFERROR(N25*MIN(Table_Measure_Caps[[#Totals],[Estimated Raw Incentive Total]], Table_Measure_Caps[[#Totals],[Gross Measure Cost Total]], Value_Project_CAP)/Table_Measure_Caps[[#Totals],[Estimated Raw Incentive Total]], "")</f>
        <v/>
      </c>
      <c r="J25" s="226" t="str">
        <f>IF(ISNUMBER($D25)=TRUE,'Input HVAC Measures'!K28,"")</f>
        <v/>
      </c>
      <c r="K25" s="226" t="str">
        <f>IF(ISNUMBER($D25)=TRUE,'Input HVAC Measures'!L28,"")</f>
        <v/>
      </c>
      <c r="L25" s="29" t="str">
        <f t="shared" si="1"/>
        <v>Version 5.2</v>
      </c>
      <c r="M25" s="58" t="str">
        <f>IF(ISNUMBER($D25)=TRUE,'Input HVAC Measures'!E28,"")</f>
        <v/>
      </c>
      <c r="N25" s="234" t="str">
        <f>'Input HVAC Measures'!N28</f>
        <v/>
      </c>
    </row>
    <row r="26" spans="1:14" x14ac:dyDescent="0.2">
      <c r="A26" s="13" t="s">
        <v>120</v>
      </c>
      <c r="B26" s="12">
        <f t="shared" si="0"/>
        <v>0</v>
      </c>
      <c r="C26" s="12">
        <f>'Input HVAC Measures'!B29</f>
        <v>24</v>
      </c>
      <c r="D26" s="12" t="str">
        <f>'Input HVAC Measures'!C29</f>
        <v/>
      </c>
      <c r="E26" s="12" t="str">
        <f>'Input HVAC Measures'!F29</f>
        <v/>
      </c>
      <c r="F26" s="12" t="str">
        <f>IF(ISNUMBER($D26)=TRUE,'Input HVAC Measures'!G29,"")</f>
        <v/>
      </c>
      <c r="G26" s="218" t="str">
        <f>IF(ISNUMBER($D26)=TRUE,'Input HVAC Measures'!O29,"")</f>
        <v/>
      </c>
      <c r="H26" s="84" t="str">
        <f>IF(ISNUMBER($D26)=TRUE,'Input HVAC Measures'!P29,"")</f>
        <v/>
      </c>
      <c r="I26" s="226" t="str">
        <f>IFERROR(N26*MIN(Table_Measure_Caps[[#Totals],[Estimated Raw Incentive Total]], Table_Measure_Caps[[#Totals],[Gross Measure Cost Total]], Value_Project_CAP)/Table_Measure_Caps[[#Totals],[Estimated Raw Incentive Total]], "")</f>
        <v/>
      </c>
      <c r="J26" s="226" t="str">
        <f>IF(ISNUMBER($D26)=TRUE,'Input HVAC Measures'!K29,"")</f>
        <v/>
      </c>
      <c r="K26" s="226" t="str">
        <f>IF(ISNUMBER($D26)=TRUE,'Input HVAC Measures'!L29,"")</f>
        <v/>
      </c>
      <c r="L26" s="29" t="str">
        <f t="shared" si="1"/>
        <v>Version 5.2</v>
      </c>
      <c r="M26" s="58" t="str">
        <f>IF(ISNUMBER($D26)=TRUE,'Input HVAC Measures'!E29,"")</f>
        <v/>
      </c>
      <c r="N26" s="234" t="str">
        <f>'Input HVAC Measures'!N29</f>
        <v/>
      </c>
    </row>
    <row r="27" spans="1:14" x14ac:dyDescent="0.2">
      <c r="A27" s="13" t="s">
        <v>120</v>
      </c>
      <c r="B27" s="12">
        <f t="shared" si="0"/>
        <v>0</v>
      </c>
      <c r="C27" s="12">
        <f>'Input HVAC Measures'!B30</f>
        <v>25</v>
      </c>
      <c r="D27" s="12" t="str">
        <f>'Input HVAC Measures'!C30</f>
        <v/>
      </c>
      <c r="E27" s="12" t="str">
        <f>'Input HVAC Measures'!F30</f>
        <v/>
      </c>
      <c r="F27" s="12" t="str">
        <f>IF(ISNUMBER($D27)=TRUE,'Input HVAC Measures'!G30,"")</f>
        <v/>
      </c>
      <c r="G27" s="218" t="str">
        <f>IF(ISNUMBER($D27)=TRUE,'Input HVAC Measures'!O30,"")</f>
        <v/>
      </c>
      <c r="H27" s="84" t="str">
        <f>IF(ISNUMBER($D27)=TRUE,'Input HVAC Measures'!P30,"")</f>
        <v/>
      </c>
      <c r="I27" s="226" t="str">
        <f>IFERROR(N27*MIN(Table_Measure_Caps[[#Totals],[Estimated Raw Incentive Total]], Table_Measure_Caps[[#Totals],[Gross Measure Cost Total]], Value_Project_CAP)/Table_Measure_Caps[[#Totals],[Estimated Raw Incentive Total]], "")</f>
        <v/>
      </c>
      <c r="J27" s="226" t="str">
        <f>IF(ISNUMBER($D27)=TRUE,'Input HVAC Measures'!K30,"")</f>
        <v/>
      </c>
      <c r="K27" s="226" t="str">
        <f>IF(ISNUMBER($D27)=TRUE,'Input HVAC Measures'!L30,"")</f>
        <v/>
      </c>
      <c r="L27" s="29" t="str">
        <f t="shared" si="1"/>
        <v>Version 5.2</v>
      </c>
      <c r="M27" s="58" t="str">
        <f>IF(ISNUMBER($D27)=TRUE,'Input HVAC Measures'!E30,"")</f>
        <v/>
      </c>
      <c r="N27" s="234" t="str">
        <f>'Input HVAC Measures'!N30</f>
        <v/>
      </c>
    </row>
    <row r="28" spans="1:14" x14ac:dyDescent="0.2">
      <c r="A28" s="13" t="s">
        <v>120</v>
      </c>
      <c r="B28" s="12">
        <f t="shared" si="0"/>
        <v>0</v>
      </c>
      <c r="C28" s="12">
        <f>'Input HVAC Measures'!B31</f>
        <v>26</v>
      </c>
      <c r="D28" s="12" t="str">
        <f>'Input HVAC Measures'!C31</f>
        <v/>
      </c>
      <c r="E28" s="12" t="str">
        <f>'Input HVAC Measures'!F31</f>
        <v/>
      </c>
      <c r="F28" s="12" t="str">
        <f>IF(ISNUMBER($D28)=TRUE,'Input HVAC Measures'!G31,"")</f>
        <v/>
      </c>
      <c r="G28" s="218" t="str">
        <f>IF(ISNUMBER($D28)=TRUE,'Input HVAC Measures'!O31,"")</f>
        <v/>
      </c>
      <c r="H28" s="84" t="str">
        <f>IF(ISNUMBER($D28)=TRUE,'Input HVAC Measures'!P31,"")</f>
        <v/>
      </c>
      <c r="I28" s="226" t="str">
        <f>IFERROR(N28*MIN(Table_Measure_Caps[[#Totals],[Estimated Raw Incentive Total]], Table_Measure_Caps[[#Totals],[Gross Measure Cost Total]], Value_Project_CAP)/Table_Measure_Caps[[#Totals],[Estimated Raw Incentive Total]], "")</f>
        <v/>
      </c>
      <c r="J28" s="226" t="str">
        <f>IF(ISNUMBER($D28)=TRUE,'Input HVAC Measures'!K31,"")</f>
        <v/>
      </c>
      <c r="K28" s="226" t="str">
        <f>IF(ISNUMBER($D28)=TRUE,'Input HVAC Measures'!L31,"")</f>
        <v/>
      </c>
      <c r="L28" s="29" t="str">
        <f t="shared" si="1"/>
        <v>Version 5.2</v>
      </c>
      <c r="M28" s="58" t="str">
        <f>IF(ISNUMBER($D28)=TRUE,'Input HVAC Measures'!E31,"")</f>
        <v/>
      </c>
      <c r="N28" s="234" t="str">
        <f>'Input HVAC Measures'!N31</f>
        <v/>
      </c>
    </row>
    <row r="29" spans="1:14" x14ac:dyDescent="0.2">
      <c r="A29" s="13" t="s">
        <v>120</v>
      </c>
      <c r="B29" s="12">
        <f t="shared" si="0"/>
        <v>0</v>
      </c>
      <c r="C29" s="12">
        <f>'Input HVAC Measures'!B32</f>
        <v>27</v>
      </c>
      <c r="D29" s="12" t="str">
        <f>'Input HVAC Measures'!C32</f>
        <v/>
      </c>
      <c r="E29" s="12" t="str">
        <f>'Input HVAC Measures'!F32</f>
        <v/>
      </c>
      <c r="F29" s="12" t="str">
        <f>IF(ISNUMBER($D29)=TRUE,'Input HVAC Measures'!G32,"")</f>
        <v/>
      </c>
      <c r="G29" s="218" t="str">
        <f>IF(ISNUMBER($D29)=TRUE,'Input HVAC Measures'!O32,"")</f>
        <v/>
      </c>
      <c r="H29" s="84" t="str">
        <f>IF(ISNUMBER($D29)=TRUE,'Input HVAC Measures'!P32,"")</f>
        <v/>
      </c>
      <c r="I29" s="226" t="str">
        <f>IFERROR(N29*MIN(Table_Measure_Caps[[#Totals],[Estimated Raw Incentive Total]], Table_Measure_Caps[[#Totals],[Gross Measure Cost Total]], Value_Project_CAP)/Table_Measure_Caps[[#Totals],[Estimated Raw Incentive Total]], "")</f>
        <v/>
      </c>
      <c r="J29" s="226" t="str">
        <f>IF(ISNUMBER($D29)=TRUE,'Input HVAC Measures'!K32,"")</f>
        <v/>
      </c>
      <c r="K29" s="226" t="str">
        <f>IF(ISNUMBER($D29)=TRUE,'Input HVAC Measures'!L32,"")</f>
        <v/>
      </c>
      <c r="L29" s="29" t="str">
        <f t="shared" si="1"/>
        <v>Version 5.2</v>
      </c>
      <c r="M29" s="58" t="str">
        <f>IF(ISNUMBER($D29)=TRUE,'Input HVAC Measures'!E32,"")</f>
        <v/>
      </c>
      <c r="N29" s="234" t="str">
        <f>'Input HVAC Measures'!N32</f>
        <v/>
      </c>
    </row>
    <row r="30" spans="1:14" x14ac:dyDescent="0.2">
      <c r="A30" s="13" t="s">
        <v>120</v>
      </c>
      <c r="B30" s="12">
        <f t="shared" si="0"/>
        <v>0</v>
      </c>
      <c r="C30" s="12">
        <f>'Input HVAC Measures'!B33</f>
        <v>28</v>
      </c>
      <c r="D30" s="12" t="str">
        <f>'Input HVAC Measures'!C33</f>
        <v/>
      </c>
      <c r="E30" s="12" t="str">
        <f>'Input HVAC Measures'!F33</f>
        <v/>
      </c>
      <c r="F30" s="12" t="str">
        <f>IF(ISNUMBER($D30)=TRUE,'Input HVAC Measures'!G33,"")</f>
        <v/>
      </c>
      <c r="G30" s="218" t="str">
        <f>IF(ISNUMBER($D30)=TRUE,'Input HVAC Measures'!O33,"")</f>
        <v/>
      </c>
      <c r="H30" s="84" t="str">
        <f>IF(ISNUMBER($D30)=TRUE,'Input HVAC Measures'!P33,"")</f>
        <v/>
      </c>
      <c r="I30" s="226" t="str">
        <f>IFERROR(N30*MIN(Table_Measure_Caps[[#Totals],[Estimated Raw Incentive Total]], Table_Measure_Caps[[#Totals],[Gross Measure Cost Total]], Value_Project_CAP)/Table_Measure_Caps[[#Totals],[Estimated Raw Incentive Total]], "")</f>
        <v/>
      </c>
      <c r="J30" s="226" t="str">
        <f>IF(ISNUMBER($D30)=TRUE,'Input HVAC Measures'!K33,"")</f>
        <v/>
      </c>
      <c r="K30" s="226" t="str">
        <f>IF(ISNUMBER($D30)=TRUE,'Input HVAC Measures'!L33,"")</f>
        <v/>
      </c>
      <c r="L30" s="29" t="str">
        <f t="shared" si="1"/>
        <v>Version 5.2</v>
      </c>
      <c r="M30" s="58" t="str">
        <f>IF(ISNUMBER($D30)=TRUE,'Input HVAC Measures'!E33,"")</f>
        <v/>
      </c>
      <c r="N30" s="234" t="str">
        <f>'Input HVAC Measures'!N33</f>
        <v/>
      </c>
    </row>
    <row r="31" spans="1:14" x14ac:dyDescent="0.2">
      <c r="A31" s="13" t="s">
        <v>120</v>
      </c>
      <c r="B31" s="12">
        <f t="shared" si="0"/>
        <v>0</v>
      </c>
      <c r="C31" s="12">
        <f>'Input HVAC Measures'!B34</f>
        <v>29</v>
      </c>
      <c r="D31" s="12" t="str">
        <f>'Input HVAC Measures'!C34</f>
        <v/>
      </c>
      <c r="E31" s="12" t="str">
        <f>'Input HVAC Measures'!F34</f>
        <v/>
      </c>
      <c r="F31" s="12" t="str">
        <f>IF(ISNUMBER($D31)=TRUE,'Input HVAC Measures'!G34,"")</f>
        <v/>
      </c>
      <c r="G31" s="218" t="str">
        <f>IF(ISNUMBER($D31)=TRUE,'Input HVAC Measures'!O34,"")</f>
        <v/>
      </c>
      <c r="H31" s="84" t="str">
        <f>IF(ISNUMBER($D31)=TRUE,'Input HVAC Measures'!P34,"")</f>
        <v/>
      </c>
      <c r="I31" s="226" t="str">
        <f>IFERROR(N31*MIN(Table_Measure_Caps[[#Totals],[Estimated Raw Incentive Total]], Table_Measure_Caps[[#Totals],[Gross Measure Cost Total]], Value_Project_CAP)/Table_Measure_Caps[[#Totals],[Estimated Raw Incentive Total]], "")</f>
        <v/>
      </c>
      <c r="J31" s="226" t="str">
        <f>IF(ISNUMBER($D31)=TRUE,'Input HVAC Measures'!K34,"")</f>
        <v/>
      </c>
      <c r="K31" s="226" t="str">
        <f>IF(ISNUMBER($D31)=TRUE,'Input HVAC Measures'!L34,"")</f>
        <v/>
      </c>
      <c r="L31" s="29" t="str">
        <f t="shared" si="1"/>
        <v>Version 5.2</v>
      </c>
      <c r="M31" s="58" t="str">
        <f>IF(ISNUMBER($D31)=TRUE,'Input HVAC Measures'!E34,"")</f>
        <v/>
      </c>
      <c r="N31" s="234" t="str">
        <f>'Input HVAC Measures'!N34</f>
        <v/>
      </c>
    </row>
    <row r="32" spans="1:14" x14ac:dyDescent="0.2">
      <c r="A32" s="13" t="s">
        <v>120</v>
      </c>
      <c r="B32" s="12">
        <f t="shared" si="0"/>
        <v>0</v>
      </c>
      <c r="C32" s="12">
        <f>'Input HVAC Measures'!B35</f>
        <v>30</v>
      </c>
      <c r="D32" s="12" t="str">
        <f>'Input HVAC Measures'!C35</f>
        <v/>
      </c>
      <c r="E32" s="12" t="str">
        <f>'Input HVAC Measures'!F35</f>
        <v/>
      </c>
      <c r="F32" s="12" t="str">
        <f>IF(ISNUMBER($D32)=TRUE,'Input HVAC Measures'!G35,"")</f>
        <v/>
      </c>
      <c r="G32" s="218" t="str">
        <f>IF(ISNUMBER($D32)=TRUE,'Input HVAC Measures'!O35,"")</f>
        <v/>
      </c>
      <c r="H32" s="84" t="str">
        <f>IF(ISNUMBER($D32)=TRUE,'Input HVAC Measures'!P35,"")</f>
        <v/>
      </c>
      <c r="I32" s="226" t="str">
        <f>IFERROR(N32*MIN(Table_Measure_Caps[[#Totals],[Estimated Raw Incentive Total]], Table_Measure_Caps[[#Totals],[Gross Measure Cost Total]], Value_Project_CAP)/Table_Measure_Caps[[#Totals],[Estimated Raw Incentive Total]], "")</f>
        <v/>
      </c>
      <c r="J32" s="226" t="str">
        <f>IF(ISNUMBER($D32)=TRUE,'Input HVAC Measures'!K35,"")</f>
        <v/>
      </c>
      <c r="K32" s="226" t="str">
        <f>IF(ISNUMBER($D32)=TRUE,'Input HVAC Measures'!L35,"")</f>
        <v/>
      </c>
      <c r="L32" s="29" t="str">
        <f t="shared" si="1"/>
        <v>Version 5.2</v>
      </c>
      <c r="M32" s="58" t="str">
        <f>IF(ISNUMBER($D32)=TRUE,'Input HVAC Measures'!E35,"")</f>
        <v/>
      </c>
      <c r="N32" s="234" t="str">
        <f>'Input HVAC Measures'!N35</f>
        <v/>
      </c>
    </row>
    <row r="33" spans="1:14" x14ac:dyDescent="0.2">
      <c r="A33" s="13" t="s">
        <v>120</v>
      </c>
      <c r="B33" s="12">
        <f t="shared" si="0"/>
        <v>0</v>
      </c>
      <c r="C33" s="12">
        <f>'Input HVAC Measures'!B36</f>
        <v>31</v>
      </c>
      <c r="D33" s="12" t="str">
        <f>'Input HVAC Measures'!C36</f>
        <v/>
      </c>
      <c r="E33" s="12" t="str">
        <f>'Input HVAC Measures'!F36</f>
        <v/>
      </c>
      <c r="F33" s="12" t="str">
        <f>IF(ISNUMBER($D33)=TRUE,'Input HVAC Measures'!G36,"")</f>
        <v/>
      </c>
      <c r="G33" s="218" t="str">
        <f>IF(ISNUMBER($D33)=TRUE,'Input HVAC Measures'!O36,"")</f>
        <v/>
      </c>
      <c r="H33" s="84" t="str">
        <f>IF(ISNUMBER($D33)=TRUE,'Input HVAC Measures'!P36,"")</f>
        <v/>
      </c>
      <c r="I33" s="226" t="str">
        <f>IFERROR(N33*MIN(Table_Measure_Caps[[#Totals],[Estimated Raw Incentive Total]], Table_Measure_Caps[[#Totals],[Gross Measure Cost Total]], Value_Project_CAP)/Table_Measure_Caps[[#Totals],[Estimated Raw Incentive Total]], "")</f>
        <v/>
      </c>
      <c r="J33" s="226" t="str">
        <f>IF(ISNUMBER($D33)=TRUE,'Input HVAC Measures'!K36,"")</f>
        <v/>
      </c>
      <c r="K33" s="226" t="str">
        <f>IF(ISNUMBER($D33)=TRUE,'Input HVAC Measures'!L36,"")</f>
        <v/>
      </c>
      <c r="L33" s="29" t="str">
        <f t="shared" si="1"/>
        <v>Version 5.2</v>
      </c>
      <c r="M33" s="58" t="str">
        <f>IF(ISNUMBER($D33)=TRUE,'Input HVAC Measures'!E36,"")</f>
        <v/>
      </c>
      <c r="N33" s="234" t="str">
        <f>'Input HVAC Measures'!N36</f>
        <v/>
      </c>
    </row>
    <row r="34" spans="1:14" x14ac:dyDescent="0.2">
      <c r="A34" s="13" t="s">
        <v>120</v>
      </c>
      <c r="B34" s="12">
        <f t="shared" si="0"/>
        <v>0</v>
      </c>
      <c r="C34" s="12">
        <f>'Input HVAC Measures'!B37</f>
        <v>32</v>
      </c>
      <c r="D34" s="12" t="str">
        <f>'Input HVAC Measures'!C37</f>
        <v/>
      </c>
      <c r="E34" s="12" t="str">
        <f>'Input HVAC Measures'!F37</f>
        <v/>
      </c>
      <c r="F34" s="12" t="str">
        <f>IF(ISNUMBER($D34)=TRUE,'Input HVAC Measures'!G37,"")</f>
        <v/>
      </c>
      <c r="G34" s="218" t="str">
        <f>IF(ISNUMBER($D34)=TRUE,'Input HVAC Measures'!O37,"")</f>
        <v/>
      </c>
      <c r="H34" s="84" t="str">
        <f>IF(ISNUMBER($D34)=TRUE,'Input HVAC Measures'!P37,"")</f>
        <v/>
      </c>
      <c r="I34" s="226" t="str">
        <f>IFERROR(N34*MIN(Table_Measure_Caps[[#Totals],[Estimated Raw Incentive Total]], Table_Measure_Caps[[#Totals],[Gross Measure Cost Total]], Value_Project_CAP)/Table_Measure_Caps[[#Totals],[Estimated Raw Incentive Total]], "")</f>
        <v/>
      </c>
      <c r="J34" s="226" t="str">
        <f>IF(ISNUMBER($D34)=TRUE,'Input HVAC Measures'!K37,"")</f>
        <v/>
      </c>
      <c r="K34" s="226" t="str">
        <f>IF(ISNUMBER($D34)=TRUE,'Input HVAC Measures'!L37,"")</f>
        <v/>
      </c>
      <c r="L34" s="29" t="str">
        <f t="shared" si="1"/>
        <v>Version 5.2</v>
      </c>
      <c r="M34" s="58" t="str">
        <f>IF(ISNUMBER($D34)=TRUE,'Input HVAC Measures'!E37,"")</f>
        <v/>
      </c>
      <c r="N34" s="234" t="str">
        <f>'Input HVAC Measures'!N37</f>
        <v/>
      </c>
    </row>
    <row r="35" spans="1:14" x14ac:dyDescent="0.2">
      <c r="A35" s="13" t="s">
        <v>120</v>
      </c>
      <c r="B35" s="12">
        <f t="shared" si="0"/>
        <v>0</v>
      </c>
      <c r="C35" s="12">
        <f>'Input HVAC Measures'!B38</f>
        <v>33</v>
      </c>
      <c r="D35" s="12" t="str">
        <f>'Input HVAC Measures'!C38</f>
        <v/>
      </c>
      <c r="E35" s="12" t="str">
        <f>'Input HVAC Measures'!F38</f>
        <v/>
      </c>
      <c r="F35" s="12" t="str">
        <f>IF(ISNUMBER($D35)=TRUE,'Input HVAC Measures'!G38,"")</f>
        <v/>
      </c>
      <c r="G35" s="218" t="str">
        <f>IF(ISNUMBER($D35)=TRUE,'Input HVAC Measures'!O38,"")</f>
        <v/>
      </c>
      <c r="H35" s="84" t="str">
        <f>IF(ISNUMBER($D35)=TRUE,'Input HVAC Measures'!P38,"")</f>
        <v/>
      </c>
      <c r="I35" s="226" t="str">
        <f>IFERROR(N35*MIN(Table_Measure_Caps[[#Totals],[Estimated Raw Incentive Total]], Table_Measure_Caps[[#Totals],[Gross Measure Cost Total]], Value_Project_CAP)/Table_Measure_Caps[[#Totals],[Estimated Raw Incentive Total]], "")</f>
        <v/>
      </c>
      <c r="J35" s="226" t="str">
        <f>IF(ISNUMBER($D35)=TRUE,'Input HVAC Measures'!K38,"")</f>
        <v/>
      </c>
      <c r="K35" s="226" t="str">
        <f>IF(ISNUMBER($D35)=TRUE,'Input HVAC Measures'!L38,"")</f>
        <v/>
      </c>
      <c r="L35" s="29" t="str">
        <f t="shared" si="1"/>
        <v>Version 5.2</v>
      </c>
      <c r="M35" s="58" t="str">
        <f>IF(ISNUMBER($D35)=TRUE,'Input HVAC Measures'!E38,"")</f>
        <v/>
      </c>
      <c r="N35" s="234" t="str">
        <f>'Input HVAC Measures'!N38</f>
        <v/>
      </c>
    </row>
    <row r="36" spans="1:14" x14ac:dyDescent="0.2">
      <c r="A36" s="13" t="s">
        <v>120</v>
      </c>
      <c r="B36" s="12">
        <f t="shared" si="0"/>
        <v>0</v>
      </c>
      <c r="C36" s="12">
        <f>'Input HVAC Measures'!B39</f>
        <v>34</v>
      </c>
      <c r="D36" s="12" t="str">
        <f>'Input HVAC Measures'!C39</f>
        <v/>
      </c>
      <c r="E36" s="12" t="str">
        <f>'Input HVAC Measures'!F39</f>
        <v/>
      </c>
      <c r="F36" s="12" t="str">
        <f>IF(ISNUMBER($D36)=TRUE,'Input HVAC Measures'!G39,"")</f>
        <v/>
      </c>
      <c r="G36" s="218" t="str">
        <f>IF(ISNUMBER($D36)=TRUE,'Input HVAC Measures'!O39,"")</f>
        <v/>
      </c>
      <c r="H36" s="84" t="str">
        <f>IF(ISNUMBER($D36)=TRUE,'Input HVAC Measures'!P39,"")</f>
        <v/>
      </c>
      <c r="I36" s="226" t="str">
        <f>IFERROR(N36*MIN(Table_Measure_Caps[[#Totals],[Estimated Raw Incentive Total]], Table_Measure_Caps[[#Totals],[Gross Measure Cost Total]], Value_Project_CAP)/Table_Measure_Caps[[#Totals],[Estimated Raw Incentive Total]], "")</f>
        <v/>
      </c>
      <c r="J36" s="226" t="str">
        <f>IF(ISNUMBER($D36)=TRUE,'Input HVAC Measures'!K39,"")</f>
        <v/>
      </c>
      <c r="K36" s="226" t="str">
        <f>IF(ISNUMBER($D36)=TRUE,'Input HVAC Measures'!L39,"")</f>
        <v/>
      </c>
      <c r="L36" s="29" t="str">
        <f t="shared" si="1"/>
        <v>Version 5.2</v>
      </c>
      <c r="M36" s="58" t="str">
        <f>IF(ISNUMBER($D36)=TRUE,'Input HVAC Measures'!E39,"")</f>
        <v/>
      </c>
      <c r="N36" s="234" t="str">
        <f>'Input HVAC Measures'!N39</f>
        <v/>
      </c>
    </row>
    <row r="37" spans="1:14" x14ac:dyDescent="0.2">
      <c r="A37" s="13" t="s">
        <v>120</v>
      </c>
      <c r="B37" s="12">
        <f t="shared" si="0"/>
        <v>0</v>
      </c>
      <c r="C37" s="12">
        <f>'Input HVAC Measures'!B40</f>
        <v>35</v>
      </c>
      <c r="D37" s="12" t="str">
        <f>'Input HVAC Measures'!C40</f>
        <v/>
      </c>
      <c r="E37" s="12" t="str">
        <f>'Input HVAC Measures'!F40</f>
        <v/>
      </c>
      <c r="F37" s="12" t="str">
        <f>IF(ISNUMBER($D37)=TRUE,'Input HVAC Measures'!G40,"")</f>
        <v/>
      </c>
      <c r="G37" s="218" t="str">
        <f>IF(ISNUMBER($D37)=TRUE,'Input HVAC Measures'!O40,"")</f>
        <v/>
      </c>
      <c r="H37" s="84" t="str">
        <f>IF(ISNUMBER($D37)=TRUE,'Input HVAC Measures'!P40,"")</f>
        <v/>
      </c>
      <c r="I37" s="226" t="str">
        <f>IFERROR(N37*MIN(Table_Measure_Caps[[#Totals],[Estimated Raw Incentive Total]], Table_Measure_Caps[[#Totals],[Gross Measure Cost Total]], Value_Project_CAP)/Table_Measure_Caps[[#Totals],[Estimated Raw Incentive Total]], "")</f>
        <v/>
      </c>
      <c r="J37" s="226" t="str">
        <f>IF(ISNUMBER($D37)=TRUE,'Input HVAC Measures'!K40,"")</f>
        <v/>
      </c>
      <c r="K37" s="226" t="str">
        <f>IF(ISNUMBER($D37)=TRUE,'Input HVAC Measures'!L40,"")</f>
        <v/>
      </c>
      <c r="L37" s="29" t="str">
        <f t="shared" si="1"/>
        <v>Version 5.2</v>
      </c>
      <c r="M37" s="58" t="str">
        <f>IF(ISNUMBER($D37)=TRUE,'Input HVAC Measures'!E40,"")</f>
        <v/>
      </c>
      <c r="N37" s="234" t="str">
        <f>'Input HVAC Measures'!N40</f>
        <v/>
      </c>
    </row>
    <row r="38" spans="1:14" x14ac:dyDescent="0.2">
      <c r="A38" s="13" t="s">
        <v>120</v>
      </c>
      <c r="B38" s="12">
        <f t="shared" si="0"/>
        <v>0</v>
      </c>
      <c r="C38" s="12">
        <f>'Input HVAC Measures'!B41</f>
        <v>36</v>
      </c>
      <c r="D38" s="12" t="str">
        <f>'Input HVAC Measures'!C41</f>
        <v/>
      </c>
      <c r="E38" s="12" t="str">
        <f>'Input HVAC Measures'!F41</f>
        <v/>
      </c>
      <c r="F38" s="12" t="str">
        <f>IF(ISNUMBER($D38)=TRUE,'Input HVAC Measures'!G41,"")</f>
        <v/>
      </c>
      <c r="G38" s="218" t="str">
        <f>IF(ISNUMBER($D38)=TRUE,'Input HVAC Measures'!O41,"")</f>
        <v/>
      </c>
      <c r="H38" s="84" t="str">
        <f>IF(ISNUMBER($D38)=TRUE,'Input HVAC Measures'!P41,"")</f>
        <v/>
      </c>
      <c r="I38" s="226" t="str">
        <f>IFERROR(N38*MIN(Table_Measure_Caps[[#Totals],[Estimated Raw Incentive Total]], Table_Measure_Caps[[#Totals],[Gross Measure Cost Total]], Value_Project_CAP)/Table_Measure_Caps[[#Totals],[Estimated Raw Incentive Total]], "")</f>
        <v/>
      </c>
      <c r="J38" s="226" t="str">
        <f>IF(ISNUMBER($D38)=TRUE,'Input HVAC Measures'!K41,"")</f>
        <v/>
      </c>
      <c r="K38" s="226" t="str">
        <f>IF(ISNUMBER($D38)=TRUE,'Input HVAC Measures'!L41,"")</f>
        <v/>
      </c>
      <c r="L38" s="29" t="str">
        <f t="shared" si="1"/>
        <v>Version 5.2</v>
      </c>
      <c r="M38" s="58" t="str">
        <f>IF(ISNUMBER($D38)=TRUE,'Input HVAC Measures'!E41,"")</f>
        <v/>
      </c>
      <c r="N38" s="234" t="str">
        <f>'Input HVAC Measures'!N41</f>
        <v/>
      </c>
    </row>
    <row r="39" spans="1:14" x14ac:dyDescent="0.2">
      <c r="A39" s="13" t="s">
        <v>120</v>
      </c>
      <c r="B39" s="12">
        <f t="shared" si="0"/>
        <v>0</v>
      </c>
      <c r="C39" s="12">
        <f>'Input HVAC Measures'!B42</f>
        <v>37</v>
      </c>
      <c r="D39" s="12" t="str">
        <f>'Input HVAC Measures'!C42</f>
        <v/>
      </c>
      <c r="E39" s="12" t="str">
        <f>'Input HVAC Measures'!F42</f>
        <v/>
      </c>
      <c r="F39" s="12" t="str">
        <f>IF(ISNUMBER($D39)=TRUE,'Input HVAC Measures'!G42,"")</f>
        <v/>
      </c>
      <c r="G39" s="218" t="str">
        <f>IF(ISNUMBER($D39)=TRUE,'Input HVAC Measures'!O42,"")</f>
        <v/>
      </c>
      <c r="H39" s="84" t="str">
        <f>IF(ISNUMBER($D39)=TRUE,'Input HVAC Measures'!P42,"")</f>
        <v/>
      </c>
      <c r="I39" s="226" t="str">
        <f>IFERROR(N39*MIN(Table_Measure_Caps[[#Totals],[Estimated Raw Incentive Total]], Table_Measure_Caps[[#Totals],[Gross Measure Cost Total]], Value_Project_CAP)/Table_Measure_Caps[[#Totals],[Estimated Raw Incentive Total]], "")</f>
        <v/>
      </c>
      <c r="J39" s="226" t="str">
        <f>IF(ISNUMBER($D39)=TRUE,'Input HVAC Measures'!K42,"")</f>
        <v/>
      </c>
      <c r="K39" s="226" t="str">
        <f>IF(ISNUMBER($D39)=TRUE,'Input HVAC Measures'!L42,"")</f>
        <v/>
      </c>
      <c r="L39" s="29" t="str">
        <f t="shared" si="1"/>
        <v>Version 5.2</v>
      </c>
      <c r="M39" s="58" t="str">
        <f>IF(ISNUMBER($D39)=TRUE,'Input HVAC Measures'!E42,"")</f>
        <v/>
      </c>
      <c r="N39" s="234" t="str">
        <f>'Input HVAC Measures'!N42</f>
        <v/>
      </c>
    </row>
    <row r="40" spans="1:14" x14ac:dyDescent="0.2">
      <c r="A40" s="13" t="s">
        <v>120</v>
      </c>
      <c r="B40" s="12">
        <f t="shared" si="0"/>
        <v>0</v>
      </c>
      <c r="C40" s="12">
        <f>'Input HVAC Measures'!B43</f>
        <v>38</v>
      </c>
      <c r="D40" s="12" t="str">
        <f>'Input HVAC Measures'!C43</f>
        <v/>
      </c>
      <c r="E40" s="12" t="str">
        <f>'Input HVAC Measures'!F43</f>
        <v/>
      </c>
      <c r="F40" s="12" t="str">
        <f>IF(ISNUMBER($D40)=TRUE,'Input HVAC Measures'!G43,"")</f>
        <v/>
      </c>
      <c r="G40" s="218" t="str">
        <f>IF(ISNUMBER($D40)=TRUE,'Input HVAC Measures'!O43,"")</f>
        <v/>
      </c>
      <c r="H40" s="84" t="str">
        <f>IF(ISNUMBER($D40)=TRUE,'Input HVAC Measures'!P43,"")</f>
        <v/>
      </c>
      <c r="I40" s="226" t="str">
        <f>IFERROR(N40*MIN(Table_Measure_Caps[[#Totals],[Estimated Raw Incentive Total]], Table_Measure_Caps[[#Totals],[Gross Measure Cost Total]], Value_Project_CAP)/Table_Measure_Caps[[#Totals],[Estimated Raw Incentive Total]], "")</f>
        <v/>
      </c>
      <c r="J40" s="226" t="str">
        <f>IF(ISNUMBER($D40)=TRUE,'Input HVAC Measures'!K43,"")</f>
        <v/>
      </c>
      <c r="K40" s="226" t="str">
        <f>IF(ISNUMBER($D40)=TRUE,'Input HVAC Measures'!L43,"")</f>
        <v/>
      </c>
      <c r="L40" s="29" t="str">
        <f t="shared" si="1"/>
        <v>Version 5.2</v>
      </c>
      <c r="M40" s="58" t="str">
        <f>IF(ISNUMBER($D40)=TRUE,'Input HVAC Measures'!E43,"")</f>
        <v/>
      </c>
      <c r="N40" s="234" t="str">
        <f>'Input HVAC Measures'!N43</f>
        <v/>
      </c>
    </row>
    <row r="41" spans="1:14" x14ac:dyDescent="0.2">
      <c r="A41" s="13" t="s">
        <v>120</v>
      </c>
      <c r="B41" s="12">
        <f t="shared" si="0"/>
        <v>0</v>
      </c>
      <c r="C41" s="12">
        <f>'Input HVAC Measures'!B44</f>
        <v>39</v>
      </c>
      <c r="D41" s="12" t="str">
        <f>'Input HVAC Measures'!C44</f>
        <v/>
      </c>
      <c r="E41" s="12" t="str">
        <f>'Input HVAC Measures'!F44</f>
        <v/>
      </c>
      <c r="F41" s="12" t="str">
        <f>IF(ISNUMBER($D41)=TRUE,'Input HVAC Measures'!G44,"")</f>
        <v/>
      </c>
      <c r="G41" s="218" t="str">
        <f>IF(ISNUMBER($D41)=TRUE,'Input HVAC Measures'!O44,"")</f>
        <v/>
      </c>
      <c r="H41" s="84" t="str">
        <f>IF(ISNUMBER($D41)=TRUE,'Input HVAC Measures'!P44,"")</f>
        <v/>
      </c>
      <c r="I41" s="226" t="str">
        <f>IFERROR(N41*MIN(Table_Measure_Caps[[#Totals],[Estimated Raw Incentive Total]], Table_Measure_Caps[[#Totals],[Gross Measure Cost Total]], Value_Project_CAP)/Table_Measure_Caps[[#Totals],[Estimated Raw Incentive Total]], "")</f>
        <v/>
      </c>
      <c r="J41" s="226" t="str">
        <f>IF(ISNUMBER($D41)=TRUE,'Input HVAC Measures'!K44,"")</f>
        <v/>
      </c>
      <c r="K41" s="226" t="str">
        <f>IF(ISNUMBER($D41)=TRUE,'Input HVAC Measures'!L44,"")</f>
        <v/>
      </c>
      <c r="L41" s="29" t="str">
        <f t="shared" si="1"/>
        <v>Version 5.2</v>
      </c>
      <c r="M41" s="58" t="str">
        <f>IF(ISNUMBER($D41)=TRUE,'Input HVAC Measures'!E44,"")</f>
        <v/>
      </c>
      <c r="N41" s="234" t="str">
        <f>'Input HVAC Measures'!N44</f>
        <v/>
      </c>
    </row>
    <row r="42" spans="1:14" x14ac:dyDescent="0.2">
      <c r="A42" s="13" t="s">
        <v>120</v>
      </c>
      <c r="B42" s="12">
        <f t="shared" si="0"/>
        <v>0</v>
      </c>
      <c r="C42" s="12">
        <f>'Input HVAC Measures'!B45</f>
        <v>40</v>
      </c>
      <c r="D42" s="12" t="str">
        <f>'Input HVAC Measures'!C45</f>
        <v/>
      </c>
      <c r="E42" s="12" t="str">
        <f>'Input HVAC Measures'!F45</f>
        <v/>
      </c>
      <c r="F42" s="12" t="str">
        <f>IF(ISNUMBER($D42)=TRUE,'Input HVAC Measures'!G45,"")</f>
        <v/>
      </c>
      <c r="G42" s="218" t="str">
        <f>IF(ISNUMBER($D42)=TRUE,'Input HVAC Measures'!O45,"")</f>
        <v/>
      </c>
      <c r="H42" s="84" t="str">
        <f>IF(ISNUMBER($D42)=TRUE,'Input HVAC Measures'!P45,"")</f>
        <v/>
      </c>
      <c r="I42" s="226" t="str">
        <f>IFERROR(N42*MIN(Table_Measure_Caps[[#Totals],[Estimated Raw Incentive Total]], Table_Measure_Caps[[#Totals],[Gross Measure Cost Total]], Value_Project_CAP)/Table_Measure_Caps[[#Totals],[Estimated Raw Incentive Total]], "")</f>
        <v/>
      </c>
      <c r="J42" s="226" t="str">
        <f>IF(ISNUMBER($D42)=TRUE,'Input HVAC Measures'!K45,"")</f>
        <v/>
      </c>
      <c r="K42" s="226" t="str">
        <f>IF(ISNUMBER($D42)=TRUE,'Input HVAC Measures'!L45,"")</f>
        <v/>
      </c>
      <c r="L42" s="29" t="str">
        <f t="shared" si="1"/>
        <v>Version 5.2</v>
      </c>
      <c r="M42" s="58" t="str">
        <f>IF(ISNUMBER($D42)=TRUE,'Input HVAC Measures'!E45,"")</f>
        <v/>
      </c>
      <c r="N42" s="234" t="str">
        <f>'Input HVAC Measures'!N45</f>
        <v/>
      </c>
    </row>
    <row r="43" spans="1:14" x14ac:dyDescent="0.2">
      <c r="A43" s="13" t="s">
        <v>120</v>
      </c>
      <c r="B43" s="12">
        <f t="shared" si="0"/>
        <v>0</v>
      </c>
      <c r="C43" s="12">
        <f>'Input HVAC Measures'!B46</f>
        <v>41</v>
      </c>
      <c r="D43" s="12" t="str">
        <f>'Input HVAC Measures'!C46</f>
        <v/>
      </c>
      <c r="E43" s="12" t="str">
        <f>'Input HVAC Measures'!F46</f>
        <v/>
      </c>
      <c r="F43" s="12" t="str">
        <f>IF(ISNUMBER($D43)=TRUE,'Input HVAC Measures'!G46,"")</f>
        <v/>
      </c>
      <c r="G43" s="218" t="str">
        <f>IF(ISNUMBER($D43)=TRUE,'Input HVAC Measures'!O46,"")</f>
        <v/>
      </c>
      <c r="H43" s="84" t="str">
        <f>IF(ISNUMBER($D43)=TRUE,'Input HVAC Measures'!P46,"")</f>
        <v/>
      </c>
      <c r="I43" s="226" t="str">
        <f>IFERROR(N43*MIN(Table_Measure_Caps[[#Totals],[Estimated Raw Incentive Total]], Table_Measure_Caps[[#Totals],[Gross Measure Cost Total]], Value_Project_CAP)/Table_Measure_Caps[[#Totals],[Estimated Raw Incentive Total]], "")</f>
        <v/>
      </c>
      <c r="J43" s="226" t="str">
        <f>IF(ISNUMBER($D43)=TRUE,'Input HVAC Measures'!K46,"")</f>
        <v/>
      </c>
      <c r="K43" s="226" t="str">
        <f>IF(ISNUMBER($D43)=TRUE,'Input HVAC Measures'!L46,"")</f>
        <v/>
      </c>
      <c r="L43" s="29" t="str">
        <f t="shared" si="1"/>
        <v>Version 5.2</v>
      </c>
      <c r="M43" s="58" t="str">
        <f>IF(ISNUMBER($D43)=TRUE,'Input HVAC Measures'!E46,"")</f>
        <v/>
      </c>
      <c r="N43" s="234" t="str">
        <f>'Input HVAC Measures'!N46</f>
        <v/>
      </c>
    </row>
    <row r="44" spans="1:14" x14ac:dyDescent="0.2">
      <c r="A44" s="13" t="s">
        <v>120</v>
      </c>
      <c r="B44" s="12">
        <f t="shared" si="0"/>
        <v>0</v>
      </c>
      <c r="C44" s="12">
        <f>'Input HVAC Measures'!B47</f>
        <v>42</v>
      </c>
      <c r="D44" s="12" t="str">
        <f>'Input HVAC Measures'!C47</f>
        <v/>
      </c>
      <c r="E44" s="12" t="str">
        <f>'Input HVAC Measures'!F47</f>
        <v/>
      </c>
      <c r="F44" s="12" t="str">
        <f>IF(ISNUMBER($D44)=TRUE,'Input HVAC Measures'!G47,"")</f>
        <v/>
      </c>
      <c r="G44" s="218" t="str">
        <f>IF(ISNUMBER($D44)=TRUE,'Input HVAC Measures'!O47,"")</f>
        <v/>
      </c>
      <c r="H44" s="84" t="str">
        <f>IF(ISNUMBER($D44)=TRUE,'Input HVAC Measures'!P47,"")</f>
        <v/>
      </c>
      <c r="I44" s="226" t="str">
        <f>IFERROR(N44*MIN(Table_Measure_Caps[[#Totals],[Estimated Raw Incentive Total]], Table_Measure_Caps[[#Totals],[Gross Measure Cost Total]], Value_Project_CAP)/Table_Measure_Caps[[#Totals],[Estimated Raw Incentive Total]], "")</f>
        <v/>
      </c>
      <c r="J44" s="226" t="str">
        <f>IF(ISNUMBER($D44)=TRUE,'Input HVAC Measures'!K47,"")</f>
        <v/>
      </c>
      <c r="K44" s="226" t="str">
        <f>IF(ISNUMBER($D44)=TRUE,'Input HVAC Measures'!L47,"")</f>
        <v/>
      </c>
      <c r="L44" s="29" t="str">
        <f t="shared" si="1"/>
        <v>Version 5.2</v>
      </c>
      <c r="M44" s="58" t="str">
        <f>IF(ISNUMBER($D44)=TRUE,'Input HVAC Measures'!E47,"")</f>
        <v/>
      </c>
      <c r="N44" s="234" t="str">
        <f>'Input HVAC Measures'!N47</f>
        <v/>
      </c>
    </row>
    <row r="45" spans="1:14" x14ac:dyDescent="0.2">
      <c r="A45" s="13" t="s">
        <v>120</v>
      </c>
      <c r="B45" s="12">
        <f t="shared" si="0"/>
        <v>0</v>
      </c>
      <c r="C45" s="12">
        <f>'Input HVAC Measures'!B48</f>
        <v>43</v>
      </c>
      <c r="D45" s="12" t="str">
        <f>'Input HVAC Measures'!C48</f>
        <v/>
      </c>
      <c r="E45" s="12" t="str">
        <f>'Input HVAC Measures'!F48</f>
        <v/>
      </c>
      <c r="F45" s="12" t="str">
        <f>IF(ISNUMBER($D45)=TRUE,'Input HVAC Measures'!G48,"")</f>
        <v/>
      </c>
      <c r="G45" s="218" t="str">
        <f>IF(ISNUMBER($D45)=TRUE,'Input HVAC Measures'!O48,"")</f>
        <v/>
      </c>
      <c r="H45" s="84" t="str">
        <f>IF(ISNUMBER($D45)=TRUE,'Input HVAC Measures'!P48,"")</f>
        <v/>
      </c>
      <c r="I45" s="226" t="str">
        <f>IFERROR(N45*MIN(Table_Measure_Caps[[#Totals],[Estimated Raw Incentive Total]], Table_Measure_Caps[[#Totals],[Gross Measure Cost Total]], Value_Project_CAP)/Table_Measure_Caps[[#Totals],[Estimated Raw Incentive Total]], "")</f>
        <v/>
      </c>
      <c r="J45" s="226" t="str">
        <f>IF(ISNUMBER($D45)=TRUE,'Input HVAC Measures'!K48,"")</f>
        <v/>
      </c>
      <c r="K45" s="226" t="str">
        <f>IF(ISNUMBER($D45)=TRUE,'Input HVAC Measures'!L48,"")</f>
        <v/>
      </c>
      <c r="L45" s="29" t="str">
        <f t="shared" si="1"/>
        <v>Version 5.2</v>
      </c>
      <c r="M45" s="58" t="str">
        <f>IF(ISNUMBER($D45)=TRUE,'Input HVAC Measures'!E48,"")</f>
        <v/>
      </c>
      <c r="N45" s="234" t="str">
        <f>'Input HVAC Measures'!N48</f>
        <v/>
      </c>
    </row>
    <row r="46" spans="1:14" x14ac:dyDescent="0.2">
      <c r="A46" s="13" t="s">
        <v>120</v>
      </c>
      <c r="B46" s="12">
        <f t="shared" si="0"/>
        <v>0</v>
      </c>
      <c r="C46" s="12">
        <f>'Input HVAC Measures'!B49</f>
        <v>44</v>
      </c>
      <c r="D46" s="12" t="str">
        <f>'Input HVAC Measures'!C49</f>
        <v/>
      </c>
      <c r="E46" s="12" t="str">
        <f>'Input HVAC Measures'!F49</f>
        <v/>
      </c>
      <c r="F46" s="12" t="str">
        <f>IF(ISNUMBER($D46)=TRUE,'Input HVAC Measures'!G49,"")</f>
        <v/>
      </c>
      <c r="G46" s="218" t="str">
        <f>IF(ISNUMBER($D46)=TRUE,'Input HVAC Measures'!O49,"")</f>
        <v/>
      </c>
      <c r="H46" s="84" t="str">
        <f>IF(ISNUMBER($D46)=TRUE,'Input HVAC Measures'!P49,"")</f>
        <v/>
      </c>
      <c r="I46" s="226" t="str">
        <f>IFERROR(N46*MIN(Table_Measure_Caps[[#Totals],[Estimated Raw Incentive Total]], Table_Measure_Caps[[#Totals],[Gross Measure Cost Total]], Value_Project_CAP)/Table_Measure_Caps[[#Totals],[Estimated Raw Incentive Total]], "")</f>
        <v/>
      </c>
      <c r="J46" s="226" t="str">
        <f>IF(ISNUMBER($D46)=TRUE,'Input HVAC Measures'!K49,"")</f>
        <v/>
      </c>
      <c r="K46" s="226" t="str">
        <f>IF(ISNUMBER($D46)=TRUE,'Input HVAC Measures'!L49,"")</f>
        <v/>
      </c>
      <c r="L46" s="29" t="str">
        <f t="shared" si="1"/>
        <v>Version 5.2</v>
      </c>
      <c r="M46" s="58" t="str">
        <f>IF(ISNUMBER($D46)=TRUE,'Input HVAC Measures'!E49,"")</f>
        <v/>
      </c>
      <c r="N46" s="234" t="str">
        <f>'Input HVAC Measures'!N49</f>
        <v/>
      </c>
    </row>
    <row r="47" spans="1:14" x14ac:dyDescent="0.2">
      <c r="A47" s="13" t="s">
        <v>120</v>
      </c>
      <c r="B47" s="12">
        <f t="shared" si="0"/>
        <v>0</v>
      </c>
      <c r="C47" s="12">
        <f>'Input HVAC Measures'!B50</f>
        <v>45</v>
      </c>
      <c r="D47" s="12" t="str">
        <f>'Input HVAC Measures'!C50</f>
        <v/>
      </c>
      <c r="E47" s="12" t="str">
        <f>'Input HVAC Measures'!F50</f>
        <v/>
      </c>
      <c r="F47" s="12" t="str">
        <f>IF(ISNUMBER($D47)=TRUE,'Input HVAC Measures'!G50,"")</f>
        <v/>
      </c>
      <c r="G47" s="218" t="str">
        <f>IF(ISNUMBER($D47)=TRUE,'Input HVAC Measures'!O50,"")</f>
        <v/>
      </c>
      <c r="H47" s="84" t="str">
        <f>IF(ISNUMBER($D47)=TRUE,'Input HVAC Measures'!P50,"")</f>
        <v/>
      </c>
      <c r="I47" s="226" t="str">
        <f>IFERROR(N47*MIN(Table_Measure_Caps[[#Totals],[Estimated Raw Incentive Total]], Table_Measure_Caps[[#Totals],[Gross Measure Cost Total]], Value_Project_CAP)/Table_Measure_Caps[[#Totals],[Estimated Raw Incentive Total]], "")</f>
        <v/>
      </c>
      <c r="J47" s="226" t="str">
        <f>IF(ISNUMBER($D47)=TRUE,'Input HVAC Measures'!K50,"")</f>
        <v/>
      </c>
      <c r="K47" s="226" t="str">
        <f>IF(ISNUMBER($D47)=TRUE,'Input HVAC Measures'!L50,"")</f>
        <v/>
      </c>
      <c r="L47" s="29" t="str">
        <f t="shared" si="1"/>
        <v>Version 5.2</v>
      </c>
      <c r="M47" s="58" t="str">
        <f>IF(ISNUMBER($D47)=TRUE,'Input HVAC Measures'!E50,"")</f>
        <v/>
      </c>
      <c r="N47" s="234" t="str">
        <f>'Input HVAC Measures'!N50</f>
        <v/>
      </c>
    </row>
    <row r="48" spans="1:14" x14ac:dyDescent="0.2">
      <c r="A48" s="13" t="s">
        <v>120</v>
      </c>
      <c r="B48" s="12">
        <f t="shared" si="0"/>
        <v>0</v>
      </c>
      <c r="C48" s="12">
        <f>'Input HVAC Measures'!B51</f>
        <v>46</v>
      </c>
      <c r="D48" s="12" t="str">
        <f>'Input HVAC Measures'!C51</f>
        <v/>
      </c>
      <c r="E48" s="12" t="str">
        <f>'Input HVAC Measures'!F51</f>
        <v/>
      </c>
      <c r="F48" s="12" t="str">
        <f>IF(ISNUMBER($D48)=TRUE,'Input HVAC Measures'!G51,"")</f>
        <v/>
      </c>
      <c r="G48" s="218" t="str">
        <f>IF(ISNUMBER($D48)=TRUE,'Input HVAC Measures'!O51,"")</f>
        <v/>
      </c>
      <c r="H48" s="84" t="str">
        <f>IF(ISNUMBER($D48)=TRUE,'Input HVAC Measures'!P51,"")</f>
        <v/>
      </c>
      <c r="I48" s="226" t="str">
        <f>IFERROR(N48*MIN(Table_Measure_Caps[[#Totals],[Estimated Raw Incentive Total]], Table_Measure_Caps[[#Totals],[Gross Measure Cost Total]], Value_Project_CAP)/Table_Measure_Caps[[#Totals],[Estimated Raw Incentive Total]], "")</f>
        <v/>
      </c>
      <c r="J48" s="226" t="str">
        <f>IF(ISNUMBER($D48)=TRUE,'Input HVAC Measures'!K51,"")</f>
        <v/>
      </c>
      <c r="K48" s="226" t="str">
        <f>IF(ISNUMBER($D48)=TRUE,'Input HVAC Measures'!L51,"")</f>
        <v/>
      </c>
      <c r="L48" s="29" t="str">
        <f t="shared" si="1"/>
        <v>Version 5.2</v>
      </c>
      <c r="M48" s="58" t="str">
        <f>IF(ISNUMBER($D48)=TRUE,'Input HVAC Measures'!E51,"")</f>
        <v/>
      </c>
      <c r="N48" s="234" t="str">
        <f>'Input HVAC Measures'!N51</f>
        <v/>
      </c>
    </row>
    <row r="49" spans="1:14" x14ac:dyDescent="0.2">
      <c r="A49" s="13" t="s">
        <v>120</v>
      </c>
      <c r="B49" s="12">
        <f t="shared" si="0"/>
        <v>0</v>
      </c>
      <c r="C49" s="12">
        <f>'Input HVAC Measures'!B52</f>
        <v>47</v>
      </c>
      <c r="D49" s="12" t="str">
        <f>'Input HVAC Measures'!C52</f>
        <v/>
      </c>
      <c r="E49" s="12" t="str">
        <f>'Input HVAC Measures'!F52</f>
        <v/>
      </c>
      <c r="F49" s="12" t="str">
        <f>IF(ISNUMBER($D49)=TRUE,'Input HVAC Measures'!G52,"")</f>
        <v/>
      </c>
      <c r="G49" s="218" t="str">
        <f>IF(ISNUMBER($D49)=TRUE,'Input HVAC Measures'!O52,"")</f>
        <v/>
      </c>
      <c r="H49" s="84" t="str">
        <f>IF(ISNUMBER($D49)=TRUE,'Input HVAC Measures'!P52,"")</f>
        <v/>
      </c>
      <c r="I49" s="226" t="str">
        <f>IFERROR(N49*MIN(Table_Measure_Caps[[#Totals],[Estimated Raw Incentive Total]], Table_Measure_Caps[[#Totals],[Gross Measure Cost Total]], Value_Project_CAP)/Table_Measure_Caps[[#Totals],[Estimated Raw Incentive Total]], "")</f>
        <v/>
      </c>
      <c r="J49" s="226" t="str">
        <f>IF(ISNUMBER($D49)=TRUE,'Input HVAC Measures'!K52,"")</f>
        <v/>
      </c>
      <c r="K49" s="226" t="str">
        <f>IF(ISNUMBER($D49)=TRUE,'Input HVAC Measures'!L52,"")</f>
        <v/>
      </c>
      <c r="L49" s="29" t="str">
        <f t="shared" si="1"/>
        <v>Version 5.2</v>
      </c>
      <c r="M49" s="58" t="str">
        <f>IF(ISNUMBER($D49)=TRUE,'Input HVAC Measures'!E52,"")</f>
        <v/>
      </c>
      <c r="N49" s="234" t="str">
        <f>'Input HVAC Measures'!N52</f>
        <v/>
      </c>
    </row>
    <row r="50" spans="1:14" x14ac:dyDescent="0.2">
      <c r="A50" s="13" t="s">
        <v>120</v>
      </c>
      <c r="B50" s="12">
        <f t="shared" si="0"/>
        <v>0</v>
      </c>
      <c r="C50" s="12">
        <f>'Input HVAC Measures'!B53</f>
        <v>48</v>
      </c>
      <c r="D50" s="12" t="str">
        <f>'Input HVAC Measures'!C53</f>
        <v/>
      </c>
      <c r="E50" s="12" t="str">
        <f>'Input HVAC Measures'!F53</f>
        <v/>
      </c>
      <c r="F50" s="12" t="str">
        <f>IF(ISNUMBER($D50)=TRUE,'Input HVAC Measures'!G53,"")</f>
        <v/>
      </c>
      <c r="G50" s="218" t="str">
        <f>IF(ISNUMBER($D50)=TRUE,'Input HVAC Measures'!O53,"")</f>
        <v/>
      </c>
      <c r="H50" s="84" t="str">
        <f>IF(ISNUMBER($D50)=TRUE,'Input HVAC Measures'!P53,"")</f>
        <v/>
      </c>
      <c r="I50" s="226" t="str">
        <f>IFERROR(N50*MIN(Table_Measure_Caps[[#Totals],[Estimated Raw Incentive Total]], Table_Measure_Caps[[#Totals],[Gross Measure Cost Total]], Value_Project_CAP)/Table_Measure_Caps[[#Totals],[Estimated Raw Incentive Total]], "")</f>
        <v/>
      </c>
      <c r="J50" s="226" t="str">
        <f>IF(ISNUMBER($D50)=TRUE,'Input HVAC Measures'!K53,"")</f>
        <v/>
      </c>
      <c r="K50" s="226" t="str">
        <f>IF(ISNUMBER($D50)=TRUE,'Input HVAC Measures'!L53,"")</f>
        <v/>
      </c>
      <c r="L50" s="29" t="str">
        <f t="shared" si="1"/>
        <v>Version 5.2</v>
      </c>
      <c r="M50" s="58" t="str">
        <f>IF(ISNUMBER($D50)=TRUE,'Input HVAC Measures'!E53,"")</f>
        <v/>
      </c>
      <c r="N50" s="234" t="str">
        <f>'Input HVAC Measures'!N53</f>
        <v/>
      </c>
    </row>
    <row r="51" spans="1:14" x14ac:dyDescent="0.2">
      <c r="A51" s="13" t="s">
        <v>120</v>
      </c>
      <c r="B51" s="12">
        <f t="shared" si="0"/>
        <v>0</v>
      </c>
      <c r="C51" s="12">
        <f>'Input HVAC Measures'!B54</f>
        <v>49</v>
      </c>
      <c r="D51" s="12" t="str">
        <f>'Input HVAC Measures'!C54</f>
        <v/>
      </c>
      <c r="E51" s="12" t="str">
        <f>'Input HVAC Measures'!F54</f>
        <v/>
      </c>
      <c r="F51" s="12" t="str">
        <f>IF(ISNUMBER($D51)=TRUE,'Input HVAC Measures'!G54,"")</f>
        <v/>
      </c>
      <c r="G51" s="218" t="str">
        <f>IF(ISNUMBER($D51)=TRUE,'Input HVAC Measures'!O54,"")</f>
        <v/>
      </c>
      <c r="H51" s="84" t="str">
        <f>IF(ISNUMBER($D51)=TRUE,'Input HVAC Measures'!P54,"")</f>
        <v/>
      </c>
      <c r="I51" s="226" t="str">
        <f>IFERROR(N51*MIN(Table_Measure_Caps[[#Totals],[Estimated Raw Incentive Total]], Table_Measure_Caps[[#Totals],[Gross Measure Cost Total]], Value_Project_CAP)/Table_Measure_Caps[[#Totals],[Estimated Raw Incentive Total]], "")</f>
        <v/>
      </c>
      <c r="J51" s="226" t="str">
        <f>IF(ISNUMBER($D51)=TRUE,'Input HVAC Measures'!K54,"")</f>
        <v/>
      </c>
      <c r="K51" s="226" t="str">
        <f>IF(ISNUMBER($D51)=TRUE,'Input HVAC Measures'!L54,"")</f>
        <v/>
      </c>
      <c r="L51" s="29" t="str">
        <f t="shared" si="1"/>
        <v>Version 5.2</v>
      </c>
      <c r="M51" s="58" t="str">
        <f>IF(ISNUMBER($D51)=TRUE,'Input HVAC Measures'!E54,"")</f>
        <v/>
      </c>
      <c r="N51" s="234" t="str">
        <f>'Input HVAC Measures'!N54</f>
        <v/>
      </c>
    </row>
    <row r="52" spans="1:14" x14ac:dyDescent="0.2">
      <c r="A52" s="13" t="s">
        <v>120</v>
      </c>
      <c r="B52" s="12">
        <f t="shared" si="0"/>
        <v>0</v>
      </c>
      <c r="C52" s="12">
        <f>'Input HVAC Measures'!B55</f>
        <v>50</v>
      </c>
      <c r="D52" s="12" t="str">
        <f>'Input HVAC Measures'!C55</f>
        <v/>
      </c>
      <c r="E52" s="12" t="str">
        <f>'Input HVAC Measures'!F55</f>
        <v/>
      </c>
      <c r="F52" s="12" t="str">
        <f>IF(ISNUMBER($D52)=TRUE,'Input HVAC Measures'!G55,"")</f>
        <v/>
      </c>
      <c r="G52" s="218" t="str">
        <f>IF(ISNUMBER($D52)=TRUE,'Input HVAC Measures'!O55,"")</f>
        <v/>
      </c>
      <c r="H52" s="84" t="str">
        <f>IF(ISNUMBER($D52)=TRUE,'Input HVAC Measures'!P55,"")</f>
        <v/>
      </c>
      <c r="I52" s="226" t="str">
        <f>IFERROR(N52*MIN(Table_Measure_Caps[[#Totals],[Estimated Raw Incentive Total]], Table_Measure_Caps[[#Totals],[Gross Measure Cost Total]], Value_Project_CAP)/Table_Measure_Caps[[#Totals],[Estimated Raw Incentive Total]], "")</f>
        <v/>
      </c>
      <c r="J52" s="226" t="str">
        <f>IF(ISNUMBER($D52)=TRUE,'Input HVAC Measures'!K55,"")</f>
        <v/>
      </c>
      <c r="K52" s="226" t="str">
        <f>IF(ISNUMBER($D52)=TRUE,'Input HVAC Measures'!L55,"")</f>
        <v/>
      </c>
      <c r="L52" s="29" t="str">
        <f t="shared" si="1"/>
        <v>Version 5.2</v>
      </c>
      <c r="M52" s="58" t="str">
        <f>IF(ISNUMBER($D52)=TRUE,'Input HVAC Measures'!E55,"")</f>
        <v/>
      </c>
      <c r="N52" s="234" t="str">
        <f>'Input HVAC Measures'!N55</f>
        <v/>
      </c>
    </row>
    <row r="53" spans="1:14" x14ac:dyDescent="0.2">
      <c r="A53" s="32" t="s">
        <v>217</v>
      </c>
      <c r="B53" s="30">
        <f t="shared" si="0"/>
        <v>0</v>
      </c>
      <c r="C53" s="30">
        <f>'Input Refrigeration Measures'!B5</f>
        <v>1</v>
      </c>
      <c r="D53" s="30" t="str">
        <f>'Input Refrigeration Measures'!C5</f>
        <v/>
      </c>
      <c r="E53" s="30" t="str">
        <f>'Input Refrigeration Measures'!F5</f>
        <v/>
      </c>
      <c r="F53" s="31">
        <f>'Input Refrigeration Measures'!G5</f>
        <v>0</v>
      </c>
      <c r="G53" s="219" t="str">
        <f>'Input Refrigeration Measures'!L5</f>
        <v/>
      </c>
      <c r="H53" s="85" t="str">
        <f>'Input Refrigeration Measures'!M5</f>
        <v/>
      </c>
      <c r="I53" s="227" t="str">
        <f>IFERROR(N53*MIN(Table_Measure_Caps[[#Totals],[Estimated Raw Incentive Total]], Table_Measure_Caps[[#Totals],[Gross Measure Cost Total]], Value_Project_CAP)/Table_Measure_Caps[[#Totals],[Estimated Raw Incentive Total]], "")</f>
        <v/>
      </c>
      <c r="J53" s="227">
        <f>'Input Refrigeration Measures'!H5</f>
        <v>0</v>
      </c>
      <c r="K53" s="227">
        <f>'Input Refrigeration Measures'!I5</f>
        <v>0</v>
      </c>
      <c r="L53" s="29" t="str">
        <f t="shared" si="1"/>
        <v>Version 5.2</v>
      </c>
      <c r="M53" s="64">
        <f>'Input Refrigeration Measures'!E5</f>
        <v>0</v>
      </c>
      <c r="N53" s="235" t="str">
        <f>'Input Refrigeration Measures'!K5</f>
        <v/>
      </c>
    </row>
    <row r="54" spans="1:14" x14ac:dyDescent="0.2">
      <c r="A54" s="32" t="s">
        <v>217</v>
      </c>
      <c r="B54" s="30">
        <f t="shared" ref="B54:B102" si="2">Input_ProjectNumber</f>
        <v>0</v>
      </c>
      <c r="C54" s="30">
        <f>'Input Refrigeration Measures'!B6</f>
        <v>2</v>
      </c>
      <c r="D54" s="30" t="str">
        <f>'Input Refrigeration Measures'!C6</f>
        <v/>
      </c>
      <c r="E54" s="30" t="str">
        <f>'Input Refrigeration Measures'!F6</f>
        <v/>
      </c>
      <c r="F54" s="31">
        <f>'Input Refrigeration Measures'!G6</f>
        <v>0</v>
      </c>
      <c r="G54" s="219" t="str">
        <f>'Input Refrigeration Measures'!L6</f>
        <v/>
      </c>
      <c r="H54" s="85" t="str">
        <f>'Input Refrigeration Measures'!M6</f>
        <v/>
      </c>
      <c r="I54" s="227" t="str">
        <f>IFERROR(N54*MIN(Table_Measure_Caps[[#Totals],[Estimated Raw Incentive Total]], Table_Measure_Caps[[#Totals],[Gross Measure Cost Total]], Value_Project_CAP)/Table_Measure_Caps[[#Totals],[Estimated Raw Incentive Total]], "")</f>
        <v/>
      </c>
      <c r="J54" s="227">
        <f>'Input Refrigeration Measures'!H6</f>
        <v>0</v>
      </c>
      <c r="K54" s="227">
        <f>'Input Refrigeration Measures'!I6</f>
        <v>0</v>
      </c>
      <c r="L54" s="29" t="str">
        <f t="shared" si="1"/>
        <v>Version 5.2</v>
      </c>
      <c r="M54" s="64">
        <f>'Input Refrigeration Measures'!E6</f>
        <v>0</v>
      </c>
      <c r="N54" s="235" t="str">
        <f>'Input Refrigeration Measures'!K6</f>
        <v/>
      </c>
    </row>
    <row r="55" spans="1:14" x14ac:dyDescent="0.2">
      <c r="A55" s="32" t="s">
        <v>217</v>
      </c>
      <c r="B55" s="30">
        <f t="shared" si="2"/>
        <v>0</v>
      </c>
      <c r="C55" s="30">
        <f>'Input Refrigeration Measures'!B7</f>
        <v>3</v>
      </c>
      <c r="D55" s="30" t="str">
        <f>'Input Refrigeration Measures'!C7</f>
        <v/>
      </c>
      <c r="E55" s="30" t="str">
        <f>'Input Refrigeration Measures'!F7</f>
        <v/>
      </c>
      <c r="F55" s="31">
        <f>'Input Refrigeration Measures'!G7</f>
        <v>0</v>
      </c>
      <c r="G55" s="219" t="str">
        <f>'Input Refrigeration Measures'!L7</f>
        <v/>
      </c>
      <c r="H55" s="85" t="str">
        <f>'Input Refrigeration Measures'!M7</f>
        <v/>
      </c>
      <c r="I55" s="227" t="str">
        <f>IFERROR(N55*MIN(Table_Measure_Caps[[#Totals],[Estimated Raw Incentive Total]], Table_Measure_Caps[[#Totals],[Gross Measure Cost Total]], Value_Project_CAP)/Table_Measure_Caps[[#Totals],[Estimated Raw Incentive Total]], "")</f>
        <v/>
      </c>
      <c r="J55" s="227">
        <f>'Input Refrigeration Measures'!H7</f>
        <v>0</v>
      </c>
      <c r="K55" s="227">
        <f>'Input Refrigeration Measures'!I7</f>
        <v>0</v>
      </c>
      <c r="L55" s="29" t="str">
        <f t="shared" si="1"/>
        <v>Version 5.2</v>
      </c>
      <c r="M55" s="64">
        <f>'Input Refrigeration Measures'!E7</f>
        <v>0</v>
      </c>
      <c r="N55" s="235" t="str">
        <f>'Input Refrigeration Measures'!K7</f>
        <v/>
      </c>
    </row>
    <row r="56" spans="1:14" x14ac:dyDescent="0.2">
      <c r="A56" s="32" t="s">
        <v>217</v>
      </c>
      <c r="B56" s="30">
        <f t="shared" si="2"/>
        <v>0</v>
      </c>
      <c r="C56" s="30">
        <f>'Input Refrigeration Measures'!B8</f>
        <v>4</v>
      </c>
      <c r="D56" s="30" t="str">
        <f>'Input Refrigeration Measures'!C8</f>
        <v/>
      </c>
      <c r="E56" s="30" t="str">
        <f>'Input Refrigeration Measures'!F8</f>
        <v/>
      </c>
      <c r="F56" s="31">
        <f>'Input Refrigeration Measures'!G8</f>
        <v>0</v>
      </c>
      <c r="G56" s="219" t="str">
        <f>'Input Refrigeration Measures'!L8</f>
        <v/>
      </c>
      <c r="H56" s="85" t="str">
        <f>'Input Refrigeration Measures'!M8</f>
        <v/>
      </c>
      <c r="I56" s="227" t="str">
        <f>IFERROR(N56*MIN(Table_Measure_Caps[[#Totals],[Estimated Raw Incentive Total]], Table_Measure_Caps[[#Totals],[Gross Measure Cost Total]], Value_Project_CAP)/Table_Measure_Caps[[#Totals],[Estimated Raw Incentive Total]], "")</f>
        <v/>
      </c>
      <c r="J56" s="227">
        <f>'Input Refrigeration Measures'!H8</f>
        <v>0</v>
      </c>
      <c r="K56" s="227">
        <f>'Input Refrigeration Measures'!I8</f>
        <v>0</v>
      </c>
      <c r="L56" s="29" t="str">
        <f t="shared" si="1"/>
        <v>Version 5.2</v>
      </c>
      <c r="M56" s="64">
        <f>'Input Refrigeration Measures'!E8</f>
        <v>0</v>
      </c>
      <c r="N56" s="235" t="str">
        <f>'Input Refrigeration Measures'!K8</f>
        <v/>
      </c>
    </row>
    <row r="57" spans="1:14" x14ac:dyDescent="0.2">
      <c r="A57" s="32" t="s">
        <v>217</v>
      </c>
      <c r="B57" s="30">
        <f t="shared" si="2"/>
        <v>0</v>
      </c>
      <c r="C57" s="30">
        <f>'Input Refrigeration Measures'!B9</f>
        <v>5</v>
      </c>
      <c r="D57" s="30" t="str">
        <f>'Input Refrigeration Measures'!C9</f>
        <v/>
      </c>
      <c r="E57" s="30" t="str">
        <f>'Input Refrigeration Measures'!F9</f>
        <v/>
      </c>
      <c r="F57" s="31">
        <f>'Input Refrigeration Measures'!G9</f>
        <v>0</v>
      </c>
      <c r="G57" s="219" t="str">
        <f>'Input Refrigeration Measures'!L9</f>
        <v/>
      </c>
      <c r="H57" s="85" t="str">
        <f>'Input Refrigeration Measures'!M9</f>
        <v/>
      </c>
      <c r="I57" s="227" t="str">
        <f>IFERROR(N57*MIN(Table_Measure_Caps[[#Totals],[Estimated Raw Incentive Total]], Table_Measure_Caps[[#Totals],[Gross Measure Cost Total]], Value_Project_CAP)/Table_Measure_Caps[[#Totals],[Estimated Raw Incentive Total]], "")</f>
        <v/>
      </c>
      <c r="J57" s="227">
        <f>'Input Refrigeration Measures'!H9</f>
        <v>0</v>
      </c>
      <c r="K57" s="227">
        <f>'Input Refrigeration Measures'!I9</f>
        <v>0</v>
      </c>
      <c r="L57" s="29" t="str">
        <f t="shared" si="1"/>
        <v>Version 5.2</v>
      </c>
      <c r="M57" s="64">
        <f>'Input Refrigeration Measures'!E9</f>
        <v>0</v>
      </c>
      <c r="N57" s="235" t="str">
        <f>'Input Refrigeration Measures'!K9</f>
        <v/>
      </c>
    </row>
    <row r="58" spans="1:14" x14ac:dyDescent="0.2">
      <c r="A58" s="32" t="s">
        <v>217</v>
      </c>
      <c r="B58" s="30">
        <f t="shared" si="2"/>
        <v>0</v>
      </c>
      <c r="C58" s="30">
        <f>'Input Refrigeration Measures'!B10</f>
        <v>6</v>
      </c>
      <c r="D58" s="30" t="str">
        <f>'Input Refrigeration Measures'!C10</f>
        <v/>
      </c>
      <c r="E58" s="30" t="str">
        <f>'Input Refrigeration Measures'!F10</f>
        <v/>
      </c>
      <c r="F58" s="31">
        <f>'Input Refrigeration Measures'!G10</f>
        <v>0</v>
      </c>
      <c r="G58" s="219" t="str">
        <f>'Input Refrigeration Measures'!L10</f>
        <v/>
      </c>
      <c r="H58" s="85" t="str">
        <f>'Input Refrigeration Measures'!M10</f>
        <v/>
      </c>
      <c r="I58" s="227" t="str">
        <f>IFERROR(N58*MIN(Table_Measure_Caps[[#Totals],[Estimated Raw Incentive Total]], Table_Measure_Caps[[#Totals],[Gross Measure Cost Total]], Value_Project_CAP)/Table_Measure_Caps[[#Totals],[Estimated Raw Incentive Total]], "")</f>
        <v/>
      </c>
      <c r="J58" s="227">
        <f>'Input Refrigeration Measures'!H10</f>
        <v>0</v>
      </c>
      <c r="K58" s="227">
        <f>'Input Refrigeration Measures'!I10</f>
        <v>0</v>
      </c>
      <c r="L58" s="29" t="str">
        <f t="shared" si="1"/>
        <v>Version 5.2</v>
      </c>
      <c r="M58" s="64">
        <f>'Input Refrigeration Measures'!E10</f>
        <v>0</v>
      </c>
      <c r="N58" s="235" t="str">
        <f>'Input Refrigeration Measures'!K10</f>
        <v/>
      </c>
    </row>
    <row r="59" spans="1:14" x14ac:dyDescent="0.2">
      <c r="A59" s="32" t="s">
        <v>217</v>
      </c>
      <c r="B59" s="30">
        <f t="shared" si="2"/>
        <v>0</v>
      </c>
      <c r="C59" s="30">
        <f>'Input Refrigeration Measures'!B11</f>
        <v>7</v>
      </c>
      <c r="D59" s="30" t="str">
        <f>'Input Refrigeration Measures'!C11</f>
        <v/>
      </c>
      <c r="E59" s="30" t="str">
        <f>'Input Refrigeration Measures'!F11</f>
        <v/>
      </c>
      <c r="F59" s="31">
        <f>'Input Refrigeration Measures'!G11</f>
        <v>0</v>
      </c>
      <c r="G59" s="219" t="str">
        <f>'Input Refrigeration Measures'!L11</f>
        <v/>
      </c>
      <c r="H59" s="85" t="str">
        <f>'Input Refrigeration Measures'!M11</f>
        <v/>
      </c>
      <c r="I59" s="227" t="str">
        <f>IFERROR(N59*MIN(Table_Measure_Caps[[#Totals],[Estimated Raw Incentive Total]], Table_Measure_Caps[[#Totals],[Gross Measure Cost Total]], Value_Project_CAP)/Table_Measure_Caps[[#Totals],[Estimated Raw Incentive Total]], "")</f>
        <v/>
      </c>
      <c r="J59" s="227">
        <f>'Input Refrigeration Measures'!H11</f>
        <v>0</v>
      </c>
      <c r="K59" s="227">
        <f>'Input Refrigeration Measures'!I11</f>
        <v>0</v>
      </c>
      <c r="L59" s="29" t="str">
        <f t="shared" si="1"/>
        <v>Version 5.2</v>
      </c>
      <c r="M59" s="64">
        <f>'Input Refrigeration Measures'!E11</f>
        <v>0</v>
      </c>
      <c r="N59" s="235" t="str">
        <f>'Input Refrigeration Measures'!K11</f>
        <v/>
      </c>
    </row>
    <row r="60" spans="1:14" x14ac:dyDescent="0.2">
      <c r="A60" s="32" t="s">
        <v>217</v>
      </c>
      <c r="B60" s="30">
        <f t="shared" si="2"/>
        <v>0</v>
      </c>
      <c r="C60" s="30">
        <f>'Input Refrigeration Measures'!B12</f>
        <v>8</v>
      </c>
      <c r="D60" s="30" t="str">
        <f>'Input Refrigeration Measures'!C12</f>
        <v/>
      </c>
      <c r="E60" s="30" t="str">
        <f>'Input Refrigeration Measures'!F12</f>
        <v/>
      </c>
      <c r="F60" s="31">
        <f>'Input Refrigeration Measures'!G12</f>
        <v>0</v>
      </c>
      <c r="G60" s="219" t="str">
        <f>'Input Refrigeration Measures'!L12</f>
        <v/>
      </c>
      <c r="H60" s="85" t="str">
        <f>'Input Refrigeration Measures'!M12</f>
        <v/>
      </c>
      <c r="I60" s="227" t="str">
        <f>IFERROR(N60*MIN(Table_Measure_Caps[[#Totals],[Estimated Raw Incentive Total]], Table_Measure_Caps[[#Totals],[Gross Measure Cost Total]], Value_Project_CAP)/Table_Measure_Caps[[#Totals],[Estimated Raw Incentive Total]], "")</f>
        <v/>
      </c>
      <c r="J60" s="227">
        <f>'Input Refrigeration Measures'!H12</f>
        <v>0</v>
      </c>
      <c r="K60" s="227">
        <f>'Input Refrigeration Measures'!I12</f>
        <v>0</v>
      </c>
      <c r="L60" s="29" t="str">
        <f t="shared" si="1"/>
        <v>Version 5.2</v>
      </c>
      <c r="M60" s="64">
        <f>'Input Refrigeration Measures'!E12</f>
        <v>0</v>
      </c>
      <c r="N60" s="235" t="str">
        <f>'Input Refrigeration Measures'!K12</f>
        <v/>
      </c>
    </row>
    <row r="61" spans="1:14" x14ac:dyDescent="0.2">
      <c r="A61" s="32" t="s">
        <v>217</v>
      </c>
      <c r="B61" s="30">
        <f t="shared" si="2"/>
        <v>0</v>
      </c>
      <c r="C61" s="30">
        <f>'Input Refrigeration Measures'!B13</f>
        <v>9</v>
      </c>
      <c r="D61" s="30" t="str">
        <f>'Input Refrigeration Measures'!C13</f>
        <v/>
      </c>
      <c r="E61" s="30" t="str">
        <f>'Input Refrigeration Measures'!F13</f>
        <v/>
      </c>
      <c r="F61" s="31">
        <f>'Input Refrigeration Measures'!G13</f>
        <v>0</v>
      </c>
      <c r="G61" s="219" t="str">
        <f>'Input Refrigeration Measures'!L13</f>
        <v/>
      </c>
      <c r="H61" s="85" t="str">
        <f>'Input Refrigeration Measures'!M13</f>
        <v/>
      </c>
      <c r="I61" s="227" t="str">
        <f>IFERROR(N61*MIN(Table_Measure_Caps[[#Totals],[Estimated Raw Incentive Total]], Table_Measure_Caps[[#Totals],[Gross Measure Cost Total]], Value_Project_CAP)/Table_Measure_Caps[[#Totals],[Estimated Raw Incentive Total]], "")</f>
        <v/>
      </c>
      <c r="J61" s="227">
        <f>'Input Refrigeration Measures'!H13</f>
        <v>0</v>
      </c>
      <c r="K61" s="227">
        <f>'Input Refrigeration Measures'!I13</f>
        <v>0</v>
      </c>
      <c r="L61" s="29" t="str">
        <f t="shared" si="1"/>
        <v>Version 5.2</v>
      </c>
      <c r="M61" s="64">
        <f>'Input Refrigeration Measures'!E13</f>
        <v>0</v>
      </c>
      <c r="N61" s="235" t="str">
        <f>'Input Refrigeration Measures'!K13</f>
        <v/>
      </c>
    </row>
    <row r="62" spans="1:14" x14ac:dyDescent="0.2">
      <c r="A62" s="32" t="s">
        <v>217</v>
      </c>
      <c r="B62" s="30">
        <f t="shared" si="2"/>
        <v>0</v>
      </c>
      <c r="C62" s="30">
        <f>'Input Refrigeration Measures'!B14</f>
        <v>10</v>
      </c>
      <c r="D62" s="30" t="str">
        <f>'Input Refrigeration Measures'!C14</f>
        <v/>
      </c>
      <c r="E62" s="30" t="str">
        <f>'Input Refrigeration Measures'!F14</f>
        <v/>
      </c>
      <c r="F62" s="31">
        <f>'Input Refrigeration Measures'!G14</f>
        <v>0</v>
      </c>
      <c r="G62" s="219" t="str">
        <f>'Input Refrigeration Measures'!L14</f>
        <v/>
      </c>
      <c r="H62" s="85" t="str">
        <f>'Input Refrigeration Measures'!M14</f>
        <v/>
      </c>
      <c r="I62" s="227" t="str">
        <f>IFERROR(N62*MIN(Table_Measure_Caps[[#Totals],[Estimated Raw Incentive Total]], Table_Measure_Caps[[#Totals],[Gross Measure Cost Total]], Value_Project_CAP)/Table_Measure_Caps[[#Totals],[Estimated Raw Incentive Total]], "")</f>
        <v/>
      </c>
      <c r="J62" s="227">
        <f>'Input Refrigeration Measures'!H14</f>
        <v>0</v>
      </c>
      <c r="K62" s="227">
        <f>'Input Refrigeration Measures'!I14</f>
        <v>0</v>
      </c>
      <c r="L62" s="29" t="str">
        <f t="shared" si="1"/>
        <v>Version 5.2</v>
      </c>
      <c r="M62" s="64">
        <f>'Input Refrigeration Measures'!E14</f>
        <v>0</v>
      </c>
      <c r="N62" s="235" t="str">
        <f>'Input Refrigeration Measures'!K14</f>
        <v/>
      </c>
    </row>
    <row r="63" spans="1:14" x14ac:dyDescent="0.2">
      <c r="A63" s="32" t="s">
        <v>217</v>
      </c>
      <c r="B63" s="30">
        <f t="shared" si="2"/>
        <v>0</v>
      </c>
      <c r="C63" s="30">
        <f>'Input Refrigeration Measures'!B15</f>
        <v>11</v>
      </c>
      <c r="D63" s="30" t="str">
        <f>'Input Refrigeration Measures'!C15</f>
        <v/>
      </c>
      <c r="E63" s="30" t="str">
        <f>'Input Refrigeration Measures'!F15</f>
        <v/>
      </c>
      <c r="F63" s="31">
        <f>'Input Refrigeration Measures'!G15</f>
        <v>0</v>
      </c>
      <c r="G63" s="219" t="str">
        <f>'Input Refrigeration Measures'!L15</f>
        <v/>
      </c>
      <c r="H63" s="85" t="str">
        <f>'Input Refrigeration Measures'!M15</f>
        <v/>
      </c>
      <c r="I63" s="227" t="str">
        <f>IFERROR(N63*MIN(Table_Measure_Caps[[#Totals],[Estimated Raw Incentive Total]], Table_Measure_Caps[[#Totals],[Gross Measure Cost Total]], Value_Project_CAP)/Table_Measure_Caps[[#Totals],[Estimated Raw Incentive Total]], "")</f>
        <v/>
      </c>
      <c r="J63" s="227">
        <f>'Input Refrigeration Measures'!H15</f>
        <v>0</v>
      </c>
      <c r="K63" s="227">
        <f>'Input Refrigeration Measures'!I15</f>
        <v>0</v>
      </c>
      <c r="L63" s="29" t="str">
        <f t="shared" si="1"/>
        <v>Version 5.2</v>
      </c>
      <c r="M63" s="64">
        <f>'Input Refrigeration Measures'!E15</f>
        <v>0</v>
      </c>
      <c r="N63" s="235" t="str">
        <f>'Input Refrigeration Measures'!K15</f>
        <v/>
      </c>
    </row>
    <row r="64" spans="1:14" x14ac:dyDescent="0.2">
      <c r="A64" s="32" t="s">
        <v>217</v>
      </c>
      <c r="B64" s="30">
        <f t="shared" si="2"/>
        <v>0</v>
      </c>
      <c r="C64" s="30">
        <f>'Input Refrigeration Measures'!B16</f>
        <v>12</v>
      </c>
      <c r="D64" s="30" t="str">
        <f>'Input Refrigeration Measures'!C16</f>
        <v/>
      </c>
      <c r="E64" s="30" t="str">
        <f>'Input Refrigeration Measures'!F16</f>
        <v/>
      </c>
      <c r="F64" s="31">
        <f>'Input Refrigeration Measures'!G16</f>
        <v>0</v>
      </c>
      <c r="G64" s="219" t="str">
        <f>'Input Refrigeration Measures'!L16</f>
        <v/>
      </c>
      <c r="H64" s="85" t="str">
        <f>'Input Refrigeration Measures'!M16</f>
        <v/>
      </c>
      <c r="I64" s="227" t="str">
        <f>IFERROR(N64*MIN(Table_Measure_Caps[[#Totals],[Estimated Raw Incentive Total]], Table_Measure_Caps[[#Totals],[Gross Measure Cost Total]], Value_Project_CAP)/Table_Measure_Caps[[#Totals],[Estimated Raw Incentive Total]], "")</f>
        <v/>
      </c>
      <c r="J64" s="227">
        <f>'Input Refrigeration Measures'!H16</f>
        <v>0</v>
      </c>
      <c r="K64" s="227">
        <f>'Input Refrigeration Measures'!I16</f>
        <v>0</v>
      </c>
      <c r="L64" s="29" t="str">
        <f t="shared" si="1"/>
        <v>Version 5.2</v>
      </c>
      <c r="M64" s="64">
        <f>'Input Refrigeration Measures'!E16</f>
        <v>0</v>
      </c>
      <c r="N64" s="235" t="str">
        <f>'Input Refrigeration Measures'!K16</f>
        <v/>
      </c>
    </row>
    <row r="65" spans="1:14" x14ac:dyDescent="0.2">
      <c r="A65" s="32" t="s">
        <v>217</v>
      </c>
      <c r="B65" s="30">
        <f t="shared" si="2"/>
        <v>0</v>
      </c>
      <c r="C65" s="30">
        <f>'Input Refrigeration Measures'!B17</f>
        <v>13</v>
      </c>
      <c r="D65" s="30" t="str">
        <f>'Input Refrigeration Measures'!C17</f>
        <v/>
      </c>
      <c r="E65" s="30" t="str">
        <f>'Input Refrigeration Measures'!F17</f>
        <v/>
      </c>
      <c r="F65" s="31">
        <f>'Input Refrigeration Measures'!G17</f>
        <v>0</v>
      </c>
      <c r="G65" s="219" t="str">
        <f>'Input Refrigeration Measures'!L17</f>
        <v/>
      </c>
      <c r="H65" s="85" t="str">
        <f>'Input Refrigeration Measures'!M17</f>
        <v/>
      </c>
      <c r="I65" s="227" t="str">
        <f>IFERROR(N65*MIN(Table_Measure_Caps[[#Totals],[Estimated Raw Incentive Total]], Table_Measure_Caps[[#Totals],[Gross Measure Cost Total]], Value_Project_CAP)/Table_Measure_Caps[[#Totals],[Estimated Raw Incentive Total]], "")</f>
        <v/>
      </c>
      <c r="J65" s="227">
        <f>'Input Refrigeration Measures'!H17</f>
        <v>0</v>
      </c>
      <c r="K65" s="227">
        <f>'Input Refrigeration Measures'!I17</f>
        <v>0</v>
      </c>
      <c r="L65" s="29" t="str">
        <f t="shared" si="1"/>
        <v>Version 5.2</v>
      </c>
      <c r="M65" s="64">
        <f>'Input Refrigeration Measures'!E17</f>
        <v>0</v>
      </c>
      <c r="N65" s="235" t="str">
        <f>'Input Refrigeration Measures'!K17</f>
        <v/>
      </c>
    </row>
    <row r="66" spans="1:14" x14ac:dyDescent="0.2">
      <c r="A66" s="32" t="s">
        <v>217</v>
      </c>
      <c r="B66" s="30">
        <f t="shared" si="2"/>
        <v>0</v>
      </c>
      <c r="C66" s="30">
        <f>'Input Refrigeration Measures'!B18</f>
        <v>14</v>
      </c>
      <c r="D66" s="30" t="str">
        <f>'Input Refrigeration Measures'!C18</f>
        <v/>
      </c>
      <c r="E66" s="30" t="str">
        <f>'Input Refrigeration Measures'!F18</f>
        <v/>
      </c>
      <c r="F66" s="31">
        <f>'Input Refrigeration Measures'!G18</f>
        <v>0</v>
      </c>
      <c r="G66" s="219" t="str">
        <f>'Input Refrigeration Measures'!L18</f>
        <v/>
      </c>
      <c r="H66" s="85" t="str">
        <f>'Input Refrigeration Measures'!M18</f>
        <v/>
      </c>
      <c r="I66" s="227" t="str">
        <f>IFERROR(N66*MIN(Table_Measure_Caps[[#Totals],[Estimated Raw Incentive Total]], Table_Measure_Caps[[#Totals],[Gross Measure Cost Total]], Value_Project_CAP)/Table_Measure_Caps[[#Totals],[Estimated Raw Incentive Total]], "")</f>
        <v/>
      </c>
      <c r="J66" s="227">
        <f>'Input Refrigeration Measures'!H18</f>
        <v>0</v>
      </c>
      <c r="K66" s="227">
        <f>'Input Refrigeration Measures'!I18</f>
        <v>0</v>
      </c>
      <c r="L66" s="29" t="str">
        <f t="shared" ref="L66:L129" si="3">Value_Application_Version</f>
        <v>Version 5.2</v>
      </c>
      <c r="M66" s="64">
        <f>'Input Refrigeration Measures'!E18</f>
        <v>0</v>
      </c>
      <c r="N66" s="235" t="str">
        <f>'Input Refrigeration Measures'!K18</f>
        <v/>
      </c>
    </row>
    <row r="67" spans="1:14" x14ac:dyDescent="0.2">
      <c r="A67" s="32" t="s">
        <v>217</v>
      </c>
      <c r="B67" s="30">
        <f t="shared" si="2"/>
        <v>0</v>
      </c>
      <c r="C67" s="30">
        <f>'Input Refrigeration Measures'!B19</f>
        <v>15</v>
      </c>
      <c r="D67" s="30" t="str">
        <f>'Input Refrigeration Measures'!C19</f>
        <v/>
      </c>
      <c r="E67" s="30" t="str">
        <f>'Input Refrigeration Measures'!F19</f>
        <v/>
      </c>
      <c r="F67" s="31">
        <f>'Input Refrigeration Measures'!G19</f>
        <v>0</v>
      </c>
      <c r="G67" s="219" t="str">
        <f>'Input Refrigeration Measures'!L19</f>
        <v/>
      </c>
      <c r="H67" s="85" t="str">
        <f>'Input Refrigeration Measures'!M19</f>
        <v/>
      </c>
      <c r="I67" s="227" t="str">
        <f>IFERROR(N67*MIN(Table_Measure_Caps[[#Totals],[Estimated Raw Incentive Total]], Table_Measure_Caps[[#Totals],[Gross Measure Cost Total]], Value_Project_CAP)/Table_Measure_Caps[[#Totals],[Estimated Raw Incentive Total]], "")</f>
        <v/>
      </c>
      <c r="J67" s="227">
        <f>'Input Refrigeration Measures'!H19</f>
        <v>0</v>
      </c>
      <c r="K67" s="227">
        <f>'Input Refrigeration Measures'!I19</f>
        <v>0</v>
      </c>
      <c r="L67" s="29" t="str">
        <f t="shared" si="3"/>
        <v>Version 5.2</v>
      </c>
      <c r="M67" s="64">
        <f>'Input Refrigeration Measures'!E19</f>
        <v>0</v>
      </c>
      <c r="N67" s="235" t="str">
        <f>'Input Refrigeration Measures'!K19</f>
        <v/>
      </c>
    </row>
    <row r="68" spans="1:14" x14ac:dyDescent="0.2">
      <c r="A68" s="32" t="s">
        <v>217</v>
      </c>
      <c r="B68" s="30">
        <f t="shared" si="2"/>
        <v>0</v>
      </c>
      <c r="C68" s="30">
        <f>'Input Refrigeration Measures'!B20</f>
        <v>16</v>
      </c>
      <c r="D68" s="30" t="str">
        <f>'Input Refrigeration Measures'!C20</f>
        <v/>
      </c>
      <c r="E68" s="30" t="str">
        <f>'Input Refrigeration Measures'!F20</f>
        <v/>
      </c>
      <c r="F68" s="31">
        <f>'Input Refrigeration Measures'!G20</f>
        <v>0</v>
      </c>
      <c r="G68" s="219" t="str">
        <f>'Input Refrigeration Measures'!L20</f>
        <v/>
      </c>
      <c r="H68" s="85" t="str">
        <f>'Input Refrigeration Measures'!M20</f>
        <v/>
      </c>
      <c r="I68" s="227" t="str">
        <f>IFERROR(N68*MIN(Table_Measure_Caps[[#Totals],[Estimated Raw Incentive Total]], Table_Measure_Caps[[#Totals],[Gross Measure Cost Total]], Value_Project_CAP)/Table_Measure_Caps[[#Totals],[Estimated Raw Incentive Total]], "")</f>
        <v/>
      </c>
      <c r="J68" s="227">
        <f>'Input Refrigeration Measures'!H20</f>
        <v>0</v>
      </c>
      <c r="K68" s="227">
        <f>'Input Refrigeration Measures'!I20</f>
        <v>0</v>
      </c>
      <c r="L68" s="29" t="str">
        <f t="shared" si="3"/>
        <v>Version 5.2</v>
      </c>
      <c r="M68" s="64">
        <f>'Input Refrigeration Measures'!E20</f>
        <v>0</v>
      </c>
      <c r="N68" s="235" t="str">
        <f>'Input Refrigeration Measures'!K20</f>
        <v/>
      </c>
    </row>
    <row r="69" spans="1:14" x14ac:dyDescent="0.2">
      <c r="A69" s="32" t="s">
        <v>217</v>
      </c>
      <c r="B69" s="30">
        <f t="shared" si="2"/>
        <v>0</v>
      </c>
      <c r="C69" s="30">
        <f>'Input Refrigeration Measures'!B21</f>
        <v>17</v>
      </c>
      <c r="D69" s="30" t="str">
        <f>'Input Refrigeration Measures'!C21</f>
        <v/>
      </c>
      <c r="E69" s="30" t="str">
        <f>'Input Refrigeration Measures'!F21</f>
        <v/>
      </c>
      <c r="F69" s="31">
        <f>'Input Refrigeration Measures'!G21</f>
        <v>0</v>
      </c>
      <c r="G69" s="219" t="str">
        <f>'Input Refrigeration Measures'!L21</f>
        <v/>
      </c>
      <c r="H69" s="85" t="str">
        <f>'Input Refrigeration Measures'!M21</f>
        <v/>
      </c>
      <c r="I69" s="227" t="str">
        <f>IFERROR(N69*MIN(Table_Measure_Caps[[#Totals],[Estimated Raw Incentive Total]], Table_Measure_Caps[[#Totals],[Gross Measure Cost Total]], Value_Project_CAP)/Table_Measure_Caps[[#Totals],[Estimated Raw Incentive Total]], "")</f>
        <v/>
      </c>
      <c r="J69" s="227">
        <f>'Input Refrigeration Measures'!H21</f>
        <v>0</v>
      </c>
      <c r="K69" s="227">
        <f>'Input Refrigeration Measures'!I21</f>
        <v>0</v>
      </c>
      <c r="L69" s="29" t="str">
        <f t="shared" si="3"/>
        <v>Version 5.2</v>
      </c>
      <c r="M69" s="64">
        <f>'Input Refrigeration Measures'!E21</f>
        <v>0</v>
      </c>
      <c r="N69" s="235" t="str">
        <f>'Input Refrigeration Measures'!K21</f>
        <v/>
      </c>
    </row>
    <row r="70" spans="1:14" x14ac:dyDescent="0.2">
      <c r="A70" s="32" t="s">
        <v>217</v>
      </c>
      <c r="B70" s="30">
        <f t="shared" si="2"/>
        <v>0</v>
      </c>
      <c r="C70" s="30">
        <f>'Input Refrigeration Measures'!B22</f>
        <v>18</v>
      </c>
      <c r="D70" s="30" t="str">
        <f>'Input Refrigeration Measures'!C22</f>
        <v/>
      </c>
      <c r="E70" s="30" t="str">
        <f>'Input Refrigeration Measures'!F22</f>
        <v/>
      </c>
      <c r="F70" s="31">
        <f>'Input Refrigeration Measures'!G22</f>
        <v>0</v>
      </c>
      <c r="G70" s="219" t="str">
        <f>'Input Refrigeration Measures'!L22</f>
        <v/>
      </c>
      <c r="H70" s="85" t="str">
        <f>'Input Refrigeration Measures'!M22</f>
        <v/>
      </c>
      <c r="I70" s="227" t="str">
        <f>IFERROR(N70*MIN(Table_Measure_Caps[[#Totals],[Estimated Raw Incentive Total]], Table_Measure_Caps[[#Totals],[Gross Measure Cost Total]], Value_Project_CAP)/Table_Measure_Caps[[#Totals],[Estimated Raw Incentive Total]], "")</f>
        <v/>
      </c>
      <c r="J70" s="227">
        <f>'Input Refrigeration Measures'!H22</f>
        <v>0</v>
      </c>
      <c r="K70" s="227">
        <f>'Input Refrigeration Measures'!I22</f>
        <v>0</v>
      </c>
      <c r="L70" s="29" t="str">
        <f t="shared" si="3"/>
        <v>Version 5.2</v>
      </c>
      <c r="M70" s="64">
        <f>'Input Refrigeration Measures'!E22</f>
        <v>0</v>
      </c>
      <c r="N70" s="235" t="str">
        <f>'Input Refrigeration Measures'!K22</f>
        <v/>
      </c>
    </row>
    <row r="71" spans="1:14" x14ac:dyDescent="0.2">
      <c r="A71" s="32" t="s">
        <v>217</v>
      </c>
      <c r="B71" s="30">
        <f t="shared" si="2"/>
        <v>0</v>
      </c>
      <c r="C71" s="30">
        <f>'Input Refrigeration Measures'!B23</f>
        <v>19</v>
      </c>
      <c r="D71" s="30" t="str">
        <f>'Input Refrigeration Measures'!C23</f>
        <v/>
      </c>
      <c r="E71" s="30" t="str">
        <f>'Input Refrigeration Measures'!F23</f>
        <v/>
      </c>
      <c r="F71" s="31">
        <f>'Input Refrigeration Measures'!G23</f>
        <v>0</v>
      </c>
      <c r="G71" s="219" t="str">
        <f>'Input Refrigeration Measures'!L23</f>
        <v/>
      </c>
      <c r="H71" s="85" t="str">
        <f>'Input Refrigeration Measures'!M23</f>
        <v/>
      </c>
      <c r="I71" s="227" t="str">
        <f>IFERROR(N71*MIN(Table_Measure_Caps[[#Totals],[Estimated Raw Incentive Total]], Table_Measure_Caps[[#Totals],[Gross Measure Cost Total]], Value_Project_CAP)/Table_Measure_Caps[[#Totals],[Estimated Raw Incentive Total]], "")</f>
        <v/>
      </c>
      <c r="J71" s="227">
        <f>'Input Refrigeration Measures'!H23</f>
        <v>0</v>
      </c>
      <c r="K71" s="227">
        <f>'Input Refrigeration Measures'!I23</f>
        <v>0</v>
      </c>
      <c r="L71" s="29" t="str">
        <f t="shared" si="3"/>
        <v>Version 5.2</v>
      </c>
      <c r="M71" s="64">
        <f>'Input Refrigeration Measures'!E23</f>
        <v>0</v>
      </c>
      <c r="N71" s="235" t="str">
        <f>'Input Refrigeration Measures'!K23</f>
        <v/>
      </c>
    </row>
    <row r="72" spans="1:14" x14ac:dyDescent="0.2">
      <c r="A72" s="32" t="s">
        <v>217</v>
      </c>
      <c r="B72" s="30">
        <f t="shared" si="2"/>
        <v>0</v>
      </c>
      <c r="C72" s="30">
        <f>'Input Refrigeration Measures'!B24</f>
        <v>20</v>
      </c>
      <c r="D72" s="30" t="str">
        <f>'Input Refrigeration Measures'!C24</f>
        <v/>
      </c>
      <c r="E72" s="30" t="str">
        <f>'Input Refrigeration Measures'!F24</f>
        <v/>
      </c>
      <c r="F72" s="31">
        <f>'Input Refrigeration Measures'!G24</f>
        <v>0</v>
      </c>
      <c r="G72" s="219" t="str">
        <f>'Input Refrigeration Measures'!L24</f>
        <v/>
      </c>
      <c r="H72" s="85" t="str">
        <f>'Input Refrigeration Measures'!M24</f>
        <v/>
      </c>
      <c r="I72" s="227" t="str">
        <f>IFERROR(N72*MIN(Table_Measure_Caps[[#Totals],[Estimated Raw Incentive Total]], Table_Measure_Caps[[#Totals],[Gross Measure Cost Total]], Value_Project_CAP)/Table_Measure_Caps[[#Totals],[Estimated Raw Incentive Total]], "")</f>
        <v/>
      </c>
      <c r="J72" s="227">
        <f>'Input Refrigeration Measures'!H24</f>
        <v>0</v>
      </c>
      <c r="K72" s="227">
        <f>'Input Refrigeration Measures'!I24</f>
        <v>0</v>
      </c>
      <c r="L72" s="29" t="str">
        <f t="shared" si="3"/>
        <v>Version 5.2</v>
      </c>
      <c r="M72" s="64">
        <f>'Input Refrigeration Measures'!E24</f>
        <v>0</v>
      </c>
      <c r="N72" s="235" t="str">
        <f>'Input Refrigeration Measures'!K24</f>
        <v/>
      </c>
    </row>
    <row r="73" spans="1:14" x14ac:dyDescent="0.2">
      <c r="A73" s="32" t="s">
        <v>217</v>
      </c>
      <c r="B73" s="30">
        <f t="shared" si="2"/>
        <v>0</v>
      </c>
      <c r="C73" s="30">
        <f>'Input Refrigeration Measures'!B25</f>
        <v>21</v>
      </c>
      <c r="D73" s="30" t="str">
        <f>'Input Refrigeration Measures'!C25</f>
        <v/>
      </c>
      <c r="E73" s="30" t="str">
        <f>'Input Refrigeration Measures'!F25</f>
        <v/>
      </c>
      <c r="F73" s="31">
        <f>'Input Refrigeration Measures'!G25</f>
        <v>0</v>
      </c>
      <c r="G73" s="219" t="str">
        <f>'Input Refrigeration Measures'!L25</f>
        <v/>
      </c>
      <c r="H73" s="85" t="str">
        <f>'Input Refrigeration Measures'!M25</f>
        <v/>
      </c>
      <c r="I73" s="227" t="str">
        <f>IFERROR(N73*MIN(Table_Measure_Caps[[#Totals],[Estimated Raw Incentive Total]], Table_Measure_Caps[[#Totals],[Gross Measure Cost Total]], Value_Project_CAP)/Table_Measure_Caps[[#Totals],[Estimated Raw Incentive Total]], "")</f>
        <v/>
      </c>
      <c r="J73" s="227">
        <f>'Input Refrigeration Measures'!H25</f>
        <v>0</v>
      </c>
      <c r="K73" s="227">
        <f>'Input Refrigeration Measures'!I25</f>
        <v>0</v>
      </c>
      <c r="L73" s="29" t="str">
        <f t="shared" si="3"/>
        <v>Version 5.2</v>
      </c>
      <c r="M73" s="64">
        <f>'Input Refrigeration Measures'!E25</f>
        <v>0</v>
      </c>
      <c r="N73" s="235" t="str">
        <f>'Input Refrigeration Measures'!K25</f>
        <v/>
      </c>
    </row>
    <row r="74" spans="1:14" x14ac:dyDescent="0.2">
      <c r="A74" s="32" t="s">
        <v>217</v>
      </c>
      <c r="B74" s="30">
        <f t="shared" si="2"/>
        <v>0</v>
      </c>
      <c r="C74" s="30">
        <f>'Input Refrigeration Measures'!B26</f>
        <v>22</v>
      </c>
      <c r="D74" s="30" t="str">
        <f>'Input Refrigeration Measures'!C26</f>
        <v/>
      </c>
      <c r="E74" s="30" t="str">
        <f>'Input Refrigeration Measures'!F26</f>
        <v/>
      </c>
      <c r="F74" s="31">
        <f>'Input Refrigeration Measures'!G26</f>
        <v>0</v>
      </c>
      <c r="G74" s="219" t="str">
        <f>'Input Refrigeration Measures'!L26</f>
        <v/>
      </c>
      <c r="H74" s="85" t="str">
        <f>'Input Refrigeration Measures'!M26</f>
        <v/>
      </c>
      <c r="I74" s="227" t="str">
        <f>IFERROR(N74*MIN(Table_Measure_Caps[[#Totals],[Estimated Raw Incentive Total]], Table_Measure_Caps[[#Totals],[Gross Measure Cost Total]], Value_Project_CAP)/Table_Measure_Caps[[#Totals],[Estimated Raw Incentive Total]], "")</f>
        <v/>
      </c>
      <c r="J74" s="227">
        <f>'Input Refrigeration Measures'!H26</f>
        <v>0</v>
      </c>
      <c r="K74" s="227">
        <f>'Input Refrigeration Measures'!I26</f>
        <v>0</v>
      </c>
      <c r="L74" s="29" t="str">
        <f t="shared" si="3"/>
        <v>Version 5.2</v>
      </c>
      <c r="M74" s="64">
        <f>'Input Refrigeration Measures'!E26</f>
        <v>0</v>
      </c>
      <c r="N74" s="235" t="str">
        <f>'Input Refrigeration Measures'!K26</f>
        <v/>
      </c>
    </row>
    <row r="75" spans="1:14" x14ac:dyDescent="0.2">
      <c r="A75" s="32" t="s">
        <v>217</v>
      </c>
      <c r="B75" s="30">
        <f t="shared" si="2"/>
        <v>0</v>
      </c>
      <c r="C75" s="30">
        <f>'Input Refrigeration Measures'!B27</f>
        <v>23</v>
      </c>
      <c r="D75" s="30" t="str">
        <f>'Input Refrigeration Measures'!C27</f>
        <v/>
      </c>
      <c r="E75" s="30" t="str">
        <f>'Input Refrigeration Measures'!F27</f>
        <v/>
      </c>
      <c r="F75" s="31">
        <f>'Input Refrigeration Measures'!G27</f>
        <v>0</v>
      </c>
      <c r="G75" s="219" t="str">
        <f>'Input Refrigeration Measures'!L27</f>
        <v/>
      </c>
      <c r="H75" s="85" t="str">
        <f>'Input Refrigeration Measures'!M27</f>
        <v/>
      </c>
      <c r="I75" s="227" t="str">
        <f>IFERROR(N75*MIN(Table_Measure_Caps[[#Totals],[Estimated Raw Incentive Total]], Table_Measure_Caps[[#Totals],[Gross Measure Cost Total]], Value_Project_CAP)/Table_Measure_Caps[[#Totals],[Estimated Raw Incentive Total]], "")</f>
        <v/>
      </c>
      <c r="J75" s="227">
        <f>'Input Refrigeration Measures'!H27</f>
        <v>0</v>
      </c>
      <c r="K75" s="227">
        <f>'Input Refrigeration Measures'!I27</f>
        <v>0</v>
      </c>
      <c r="L75" s="29" t="str">
        <f t="shared" si="3"/>
        <v>Version 5.2</v>
      </c>
      <c r="M75" s="64">
        <f>'Input Refrigeration Measures'!E27</f>
        <v>0</v>
      </c>
      <c r="N75" s="235" t="str">
        <f>'Input Refrigeration Measures'!K27</f>
        <v/>
      </c>
    </row>
    <row r="76" spans="1:14" x14ac:dyDescent="0.2">
      <c r="A76" s="32" t="s">
        <v>217</v>
      </c>
      <c r="B76" s="30">
        <f t="shared" si="2"/>
        <v>0</v>
      </c>
      <c r="C76" s="30">
        <f>'Input Refrigeration Measures'!B28</f>
        <v>24</v>
      </c>
      <c r="D76" s="30" t="str">
        <f>'Input Refrigeration Measures'!C28</f>
        <v/>
      </c>
      <c r="E76" s="30" t="str">
        <f>'Input Refrigeration Measures'!F28</f>
        <v/>
      </c>
      <c r="F76" s="31">
        <f>'Input Refrigeration Measures'!G28</f>
        <v>0</v>
      </c>
      <c r="G76" s="219" t="str">
        <f>'Input Refrigeration Measures'!L28</f>
        <v/>
      </c>
      <c r="H76" s="85" t="str">
        <f>'Input Refrigeration Measures'!M28</f>
        <v/>
      </c>
      <c r="I76" s="227" t="str">
        <f>IFERROR(N76*MIN(Table_Measure_Caps[[#Totals],[Estimated Raw Incentive Total]], Table_Measure_Caps[[#Totals],[Gross Measure Cost Total]], Value_Project_CAP)/Table_Measure_Caps[[#Totals],[Estimated Raw Incentive Total]], "")</f>
        <v/>
      </c>
      <c r="J76" s="227">
        <f>'Input Refrigeration Measures'!H28</f>
        <v>0</v>
      </c>
      <c r="K76" s="227">
        <f>'Input Refrigeration Measures'!I28</f>
        <v>0</v>
      </c>
      <c r="L76" s="29" t="str">
        <f t="shared" si="3"/>
        <v>Version 5.2</v>
      </c>
      <c r="M76" s="64">
        <f>'Input Refrigeration Measures'!E28</f>
        <v>0</v>
      </c>
      <c r="N76" s="235" t="str">
        <f>'Input Refrigeration Measures'!K28</f>
        <v/>
      </c>
    </row>
    <row r="77" spans="1:14" x14ac:dyDescent="0.2">
      <c r="A77" s="32" t="s">
        <v>217</v>
      </c>
      <c r="B77" s="30">
        <f t="shared" si="2"/>
        <v>0</v>
      </c>
      <c r="C77" s="30">
        <f>'Input Refrigeration Measures'!B29</f>
        <v>25</v>
      </c>
      <c r="D77" s="30" t="str">
        <f>'Input Refrigeration Measures'!C29</f>
        <v/>
      </c>
      <c r="E77" s="30" t="str">
        <f>'Input Refrigeration Measures'!F29</f>
        <v/>
      </c>
      <c r="F77" s="31">
        <f>'Input Refrigeration Measures'!G29</f>
        <v>0</v>
      </c>
      <c r="G77" s="219" t="str">
        <f>'Input Refrigeration Measures'!L29</f>
        <v/>
      </c>
      <c r="H77" s="85" t="str">
        <f>'Input Refrigeration Measures'!M29</f>
        <v/>
      </c>
      <c r="I77" s="227" t="str">
        <f>IFERROR(N77*MIN(Table_Measure_Caps[[#Totals],[Estimated Raw Incentive Total]], Table_Measure_Caps[[#Totals],[Gross Measure Cost Total]], Value_Project_CAP)/Table_Measure_Caps[[#Totals],[Estimated Raw Incentive Total]], "")</f>
        <v/>
      </c>
      <c r="J77" s="227">
        <f>'Input Refrigeration Measures'!H29</f>
        <v>0</v>
      </c>
      <c r="K77" s="227">
        <f>'Input Refrigeration Measures'!I29</f>
        <v>0</v>
      </c>
      <c r="L77" s="29" t="str">
        <f t="shared" si="3"/>
        <v>Version 5.2</v>
      </c>
      <c r="M77" s="64">
        <f>'Input Refrigeration Measures'!E29</f>
        <v>0</v>
      </c>
      <c r="N77" s="235" t="str">
        <f>'Input Refrigeration Measures'!K29</f>
        <v/>
      </c>
    </row>
    <row r="78" spans="1:14" x14ac:dyDescent="0.2">
      <c r="A78" s="32" t="s">
        <v>217</v>
      </c>
      <c r="B78" s="30">
        <f t="shared" si="2"/>
        <v>0</v>
      </c>
      <c r="C78" s="30">
        <f>'Input Refrigeration Measures'!B30</f>
        <v>26</v>
      </c>
      <c r="D78" s="30" t="str">
        <f>'Input Refrigeration Measures'!C30</f>
        <v/>
      </c>
      <c r="E78" s="30" t="str">
        <f>'Input Refrigeration Measures'!F30</f>
        <v/>
      </c>
      <c r="F78" s="31">
        <f>'Input Refrigeration Measures'!G30</f>
        <v>0</v>
      </c>
      <c r="G78" s="219" t="str">
        <f>'Input Refrigeration Measures'!L30</f>
        <v/>
      </c>
      <c r="H78" s="85" t="str">
        <f>'Input Refrigeration Measures'!M30</f>
        <v/>
      </c>
      <c r="I78" s="227" t="str">
        <f>IFERROR(N78*MIN(Table_Measure_Caps[[#Totals],[Estimated Raw Incentive Total]], Table_Measure_Caps[[#Totals],[Gross Measure Cost Total]], Value_Project_CAP)/Table_Measure_Caps[[#Totals],[Estimated Raw Incentive Total]], "")</f>
        <v/>
      </c>
      <c r="J78" s="227">
        <f>'Input Refrigeration Measures'!H30</f>
        <v>0</v>
      </c>
      <c r="K78" s="227">
        <f>'Input Refrigeration Measures'!I30</f>
        <v>0</v>
      </c>
      <c r="L78" s="29" t="str">
        <f t="shared" si="3"/>
        <v>Version 5.2</v>
      </c>
      <c r="M78" s="64">
        <f>'Input Refrigeration Measures'!E30</f>
        <v>0</v>
      </c>
      <c r="N78" s="235" t="str">
        <f>'Input Refrigeration Measures'!K30</f>
        <v/>
      </c>
    </row>
    <row r="79" spans="1:14" x14ac:dyDescent="0.2">
      <c r="A79" s="32" t="s">
        <v>217</v>
      </c>
      <c r="B79" s="30">
        <f t="shared" si="2"/>
        <v>0</v>
      </c>
      <c r="C79" s="30">
        <f>'Input Refrigeration Measures'!B31</f>
        <v>27</v>
      </c>
      <c r="D79" s="30" t="str">
        <f>'Input Refrigeration Measures'!C31</f>
        <v/>
      </c>
      <c r="E79" s="30" t="str">
        <f>'Input Refrigeration Measures'!F31</f>
        <v/>
      </c>
      <c r="F79" s="31">
        <f>'Input Refrigeration Measures'!G31</f>
        <v>0</v>
      </c>
      <c r="G79" s="219" t="str">
        <f>'Input Refrigeration Measures'!L31</f>
        <v/>
      </c>
      <c r="H79" s="85" t="str">
        <f>'Input Refrigeration Measures'!M31</f>
        <v/>
      </c>
      <c r="I79" s="227" t="str">
        <f>IFERROR(N79*MIN(Table_Measure_Caps[[#Totals],[Estimated Raw Incentive Total]], Table_Measure_Caps[[#Totals],[Gross Measure Cost Total]], Value_Project_CAP)/Table_Measure_Caps[[#Totals],[Estimated Raw Incentive Total]], "")</f>
        <v/>
      </c>
      <c r="J79" s="227">
        <f>'Input Refrigeration Measures'!H31</f>
        <v>0</v>
      </c>
      <c r="K79" s="227">
        <f>'Input Refrigeration Measures'!I31</f>
        <v>0</v>
      </c>
      <c r="L79" s="29" t="str">
        <f t="shared" si="3"/>
        <v>Version 5.2</v>
      </c>
      <c r="M79" s="64">
        <f>'Input Refrigeration Measures'!E31</f>
        <v>0</v>
      </c>
      <c r="N79" s="235" t="str">
        <f>'Input Refrigeration Measures'!K31</f>
        <v/>
      </c>
    </row>
    <row r="80" spans="1:14" x14ac:dyDescent="0.2">
      <c r="A80" s="32" t="s">
        <v>217</v>
      </c>
      <c r="B80" s="30">
        <f t="shared" si="2"/>
        <v>0</v>
      </c>
      <c r="C80" s="30">
        <f>'Input Refrigeration Measures'!B32</f>
        <v>28</v>
      </c>
      <c r="D80" s="30" t="str">
        <f>'Input Refrigeration Measures'!C32</f>
        <v/>
      </c>
      <c r="E80" s="30" t="str">
        <f>'Input Refrigeration Measures'!F32</f>
        <v/>
      </c>
      <c r="F80" s="31">
        <f>'Input Refrigeration Measures'!G32</f>
        <v>0</v>
      </c>
      <c r="G80" s="219" t="str">
        <f>'Input Refrigeration Measures'!L32</f>
        <v/>
      </c>
      <c r="H80" s="85" t="str">
        <f>'Input Refrigeration Measures'!M32</f>
        <v/>
      </c>
      <c r="I80" s="227" t="str">
        <f>IFERROR(N80*MIN(Table_Measure_Caps[[#Totals],[Estimated Raw Incentive Total]], Table_Measure_Caps[[#Totals],[Gross Measure Cost Total]], Value_Project_CAP)/Table_Measure_Caps[[#Totals],[Estimated Raw Incentive Total]], "")</f>
        <v/>
      </c>
      <c r="J80" s="227">
        <f>'Input Refrigeration Measures'!H32</f>
        <v>0</v>
      </c>
      <c r="K80" s="227">
        <f>'Input Refrigeration Measures'!I32</f>
        <v>0</v>
      </c>
      <c r="L80" s="29" t="str">
        <f t="shared" si="3"/>
        <v>Version 5.2</v>
      </c>
      <c r="M80" s="64">
        <f>'Input Refrigeration Measures'!E32</f>
        <v>0</v>
      </c>
      <c r="N80" s="235" t="str">
        <f>'Input Refrigeration Measures'!K32</f>
        <v/>
      </c>
    </row>
    <row r="81" spans="1:14" x14ac:dyDescent="0.2">
      <c r="A81" s="32" t="s">
        <v>217</v>
      </c>
      <c r="B81" s="30">
        <f t="shared" si="2"/>
        <v>0</v>
      </c>
      <c r="C81" s="30">
        <f>'Input Refrigeration Measures'!B33</f>
        <v>29</v>
      </c>
      <c r="D81" s="30" t="str">
        <f>'Input Refrigeration Measures'!C33</f>
        <v/>
      </c>
      <c r="E81" s="30" t="str">
        <f>'Input Refrigeration Measures'!F33</f>
        <v/>
      </c>
      <c r="F81" s="31">
        <f>'Input Refrigeration Measures'!G33</f>
        <v>0</v>
      </c>
      <c r="G81" s="219" t="str">
        <f>'Input Refrigeration Measures'!L33</f>
        <v/>
      </c>
      <c r="H81" s="85" t="str">
        <f>'Input Refrigeration Measures'!M33</f>
        <v/>
      </c>
      <c r="I81" s="227" t="str">
        <f>IFERROR(N81*MIN(Table_Measure_Caps[[#Totals],[Estimated Raw Incentive Total]], Table_Measure_Caps[[#Totals],[Gross Measure Cost Total]], Value_Project_CAP)/Table_Measure_Caps[[#Totals],[Estimated Raw Incentive Total]], "")</f>
        <v/>
      </c>
      <c r="J81" s="227">
        <f>'Input Refrigeration Measures'!H33</f>
        <v>0</v>
      </c>
      <c r="K81" s="227">
        <f>'Input Refrigeration Measures'!I33</f>
        <v>0</v>
      </c>
      <c r="L81" s="29" t="str">
        <f t="shared" si="3"/>
        <v>Version 5.2</v>
      </c>
      <c r="M81" s="64">
        <f>'Input Refrigeration Measures'!E33</f>
        <v>0</v>
      </c>
      <c r="N81" s="235" t="str">
        <f>'Input Refrigeration Measures'!K33</f>
        <v/>
      </c>
    </row>
    <row r="82" spans="1:14" x14ac:dyDescent="0.2">
      <c r="A82" s="32" t="s">
        <v>217</v>
      </c>
      <c r="B82" s="30">
        <f t="shared" si="2"/>
        <v>0</v>
      </c>
      <c r="C82" s="30">
        <f>'Input Refrigeration Measures'!B34</f>
        <v>30</v>
      </c>
      <c r="D82" s="30" t="str">
        <f>'Input Refrigeration Measures'!C34</f>
        <v/>
      </c>
      <c r="E82" s="30" t="str">
        <f>'Input Refrigeration Measures'!F34</f>
        <v/>
      </c>
      <c r="F82" s="31">
        <f>'Input Refrigeration Measures'!G34</f>
        <v>0</v>
      </c>
      <c r="G82" s="219" t="str">
        <f>'Input Refrigeration Measures'!L34</f>
        <v/>
      </c>
      <c r="H82" s="85" t="str">
        <f>'Input Refrigeration Measures'!M34</f>
        <v/>
      </c>
      <c r="I82" s="227" t="str">
        <f>IFERROR(N82*MIN(Table_Measure_Caps[[#Totals],[Estimated Raw Incentive Total]], Table_Measure_Caps[[#Totals],[Gross Measure Cost Total]], Value_Project_CAP)/Table_Measure_Caps[[#Totals],[Estimated Raw Incentive Total]], "")</f>
        <v/>
      </c>
      <c r="J82" s="227">
        <f>'Input Refrigeration Measures'!H34</f>
        <v>0</v>
      </c>
      <c r="K82" s="227">
        <f>'Input Refrigeration Measures'!I34</f>
        <v>0</v>
      </c>
      <c r="L82" s="29" t="str">
        <f t="shared" si="3"/>
        <v>Version 5.2</v>
      </c>
      <c r="M82" s="64">
        <f>'Input Refrigeration Measures'!E34</f>
        <v>0</v>
      </c>
      <c r="N82" s="235" t="str">
        <f>'Input Refrigeration Measures'!K34</f>
        <v/>
      </c>
    </row>
    <row r="83" spans="1:14" x14ac:dyDescent="0.2">
      <c r="A83" s="32" t="s">
        <v>217</v>
      </c>
      <c r="B83" s="30">
        <f t="shared" si="2"/>
        <v>0</v>
      </c>
      <c r="C83" s="30">
        <f>'Input Refrigeration Measures'!B35</f>
        <v>31</v>
      </c>
      <c r="D83" s="30" t="str">
        <f>'Input Refrigeration Measures'!C35</f>
        <v/>
      </c>
      <c r="E83" s="30" t="str">
        <f>'Input Refrigeration Measures'!F35</f>
        <v/>
      </c>
      <c r="F83" s="31">
        <f>'Input Refrigeration Measures'!G35</f>
        <v>0</v>
      </c>
      <c r="G83" s="219" t="str">
        <f>'Input Refrigeration Measures'!L35</f>
        <v/>
      </c>
      <c r="H83" s="85" t="str">
        <f>'Input Refrigeration Measures'!M35</f>
        <v/>
      </c>
      <c r="I83" s="227" t="str">
        <f>IFERROR(N83*MIN(Table_Measure_Caps[[#Totals],[Estimated Raw Incentive Total]], Table_Measure_Caps[[#Totals],[Gross Measure Cost Total]], Value_Project_CAP)/Table_Measure_Caps[[#Totals],[Estimated Raw Incentive Total]], "")</f>
        <v/>
      </c>
      <c r="J83" s="227">
        <f>'Input Refrigeration Measures'!H35</f>
        <v>0</v>
      </c>
      <c r="K83" s="227">
        <f>'Input Refrigeration Measures'!I35</f>
        <v>0</v>
      </c>
      <c r="L83" s="29" t="str">
        <f t="shared" si="3"/>
        <v>Version 5.2</v>
      </c>
      <c r="M83" s="64">
        <f>'Input Refrigeration Measures'!E35</f>
        <v>0</v>
      </c>
      <c r="N83" s="235" t="str">
        <f>'Input Refrigeration Measures'!K35</f>
        <v/>
      </c>
    </row>
    <row r="84" spans="1:14" x14ac:dyDescent="0.2">
      <c r="A84" s="32" t="s">
        <v>217</v>
      </c>
      <c r="B84" s="30">
        <f t="shared" si="2"/>
        <v>0</v>
      </c>
      <c r="C84" s="30">
        <f>'Input Refrigeration Measures'!B36</f>
        <v>32</v>
      </c>
      <c r="D84" s="30" t="str">
        <f>'Input Refrigeration Measures'!C36</f>
        <v/>
      </c>
      <c r="E84" s="30" t="str">
        <f>'Input Refrigeration Measures'!F36</f>
        <v/>
      </c>
      <c r="F84" s="31">
        <f>'Input Refrigeration Measures'!G36</f>
        <v>0</v>
      </c>
      <c r="G84" s="219" t="str">
        <f>'Input Refrigeration Measures'!L36</f>
        <v/>
      </c>
      <c r="H84" s="85" t="str">
        <f>'Input Refrigeration Measures'!M36</f>
        <v/>
      </c>
      <c r="I84" s="227" t="str">
        <f>IFERROR(N84*MIN(Table_Measure_Caps[[#Totals],[Estimated Raw Incentive Total]], Table_Measure_Caps[[#Totals],[Gross Measure Cost Total]], Value_Project_CAP)/Table_Measure_Caps[[#Totals],[Estimated Raw Incentive Total]], "")</f>
        <v/>
      </c>
      <c r="J84" s="227">
        <f>'Input Refrigeration Measures'!H36</f>
        <v>0</v>
      </c>
      <c r="K84" s="227">
        <f>'Input Refrigeration Measures'!I36</f>
        <v>0</v>
      </c>
      <c r="L84" s="29" t="str">
        <f t="shared" si="3"/>
        <v>Version 5.2</v>
      </c>
      <c r="M84" s="64">
        <f>'Input Refrigeration Measures'!E36</f>
        <v>0</v>
      </c>
      <c r="N84" s="235" t="str">
        <f>'Input Refrigeration Measures'!K36</f>
        <v/>
      </c>
    </row>
    <row r="85" spans="1:14" x14ac:dyDescent="0.2">
      <c r="A85" s="32" t="s">
        <v>217</v>
      </c>
      <c r="B85" s="30">
        <f t="shared" si="2"/>
        <v>0</v>
      </c>
      <c r="C85" s="30">
        <f>'Input Refrigeration Measures'!B37</f>
        <v>33</v>
      </c>
      <c r="D85" s="30" t="str">
        <f>'Input Refrigeration Measures'!C37</f>
        <v/>
      </c>
      <c r="E85" s="30" t="str">
        <f>'Input Refrigeration Measures'!F37</f>
        <v/>
      </c>
      <c r="F85" s="31">
        <f>'Input Refrigeration Measures'!G37</f>
        <v>0</v>
      </c>
      <c r="G85" s="219" t="str">
        <f>'Input Refrigeration Measures'!L37</f>
        <v/>
      </c>
      <c r="H85" s="85" t="str">
        <f>'Input Refrigeration Measures'!M37</f>
        <v/>
      </c>
      <c r="I85" s="227" t="str">
        <f>IFERROR(N85*MIN(Table_Measure_Caps[[#Totals],[Estimated Raw Incentive Total]], Table_Measure_Caps[[#Totals],[Gross Measure Cost Total]], Value_Project_CAP)/Table_Measure_Caps[[#Totals],[Estimated Raw Incentive Total]], "")</f>
        <v/>
      </c>
      <c r="J85" s="227">
        <f>'Input Refrigeration Measures'!H37</f>
        <v>0</v>
      </c>
      <c r="K85" s="227">
        <f>'Input Refrigeration Measures'!I37</f>
        <v>0</v>
      </c>
      <c r="L85" s="29" t="str">
        <f t="shared" si="3"/>
        <v>Version 5.2</v>
      </c>
      <c r="M85" s="64">
        <f>'Input Refrigeration Measures'!E37</f>
        <v>0</v>
      </c>
      <c r="N85" s="235" t="str">
        <f>'Input Refrigeration Measures'!K37</f>
        <v/>
      </c>
    </row>
    <row r="86" spans="1:14" x14ac:dyDescent="0.2">
      <c r="A86" s="32" t="s">
        <v>217</v>
      </c>
      <c r="B86" s="30">
        <f t="shared" si="2"/>
        <v>0</v>
      </c>
      <c r="C86" s="30">
        <f>'Input Refrigeration Measures'!B38</f>
        <v>34</v>
      </c>
      <c r="D86" s="30" t="str">
        <f>'Input Refrigeration Measures'!C38</f>
        <v/>
      </c>
      <c r="E86" s="30" t="str">
        <f>'Input Refrigeration Measures'!F38</f>
        <v/>
      </c>
      <c r="F86" s="31">
        <f>'Input Refrigeration Measures'!G38</f>
        <v>0</v>
      </c>
      <c r="G86" s="219" t="str">
        <f>'Input Refrigeration Measures'!L38</f>
        <v/>
      </c>
      <c r="H86" s="85" t="str">
        <f>'Input Refrigeration Measures'!M38</f>
        <v/>
      </c>
      <c r="I86" s="227" t="str">
        <f>IFERROR(N86*MIN(Table_Measure_Caps[[#Totals],[Estimated Raw Incentive Total]], Table_Measure_Caps[[#Totals],[Gross Measure Cost Total]], Value_Project_CAP)/Table_Measure_Caps[[#Totals],[Estimated Raw Incentive Total]], "")</f>
        <v/>
      </c>
      <c r="J86" s="227">
        <f>'Input Refrigeration Measures'!H38</f>
        <v>0</v>
      </c>
      <c r="K86" s="227">
        <f>'Input Refrigeration Measures'!I38</f>
        <v>0</v>
      </c>
      <c r="L86" s="29" t="str">
        <f t="shared" si="3"/>
        <v>Version 5.2</v>
      </c>
      <c r="M86" s="64">
        <f>'Input Refrigeration Measures'!E38</f>
        <v>0</v>
      </c>
      <c r="N86" s="235" t="str">
        <f>'Input Refrigeration Measures'!K38</f>
        <v/>
      </c>
    </row>
    <row r="87" spans="1:14" x14ac:dyDescent="0.2">
      <c r="A87" s="32" t="s">
        <v>217</v>
      </c>
      <c r="B87" s="30">
        <f t="shared" si="2"/>
        <v>0</v>
      </c>
      <c r="C87" s="30">
        <f>'Input Refrigeration Measures'!B39</f>
        <v>35</v>
      </c>
      <c r="D87" s="30" t="str">
        <f>'Input Refrigeration Measures'!C39</f>
        <v/>
      </c>
      <c r="E87" s="30" t="str">
        <f>'Input Refrigeration Measures'!F39</f>
        <v/>
      </c>
      <c r="F87" s="31">
        <f>'Input Refrigeration Measures'!G39</f>
        <v>0</v>
      </c>
      <c r="G87" s="219" t="str">
        <f>'Input Refrigeration Measures'!L39</f>
        <v/>
      </c>
      <c r="H87" s="85" t="str">
        <f>'Input Refrigeration Measures'!M39</f>
        <v/>
      </c>
      <c r="I87" s="227" t="str">
        <f>IFERROR(N87*MIN(Table_Measure_Caps[[#Totals],[Estimated Raw Incentive Total]], Table_Measure_Caps[[#Totals],[Gross Measure Cost Total]], Value_Project_CAP)/Table_Measure_Caps[[#Totals],[Estimated Raw Incentive Total]], "")</f>
        <v/>
      </c>
      <c r="J87" s="227">
        <f>'Input Refrigeration Measures'!H39</f>
        <v>0</v>
      </c>
      <c r="K87" s="227">
        <f>'Input Refrigeration Measures'!I39</f>
        <v>0</v>
      </c>
      <c r="L87" s="29" t="str">
        <f t="shared" si="3"/>
        <v>Version 5.2</v>
      </c>
      <c r="M87" s="64">
        <f>'Input Refrigeration Measures'!E39</f>
        <v>0</v>
      </c>
      <c r="N87" s="235" t="str">
        <f>'Input Refrigeration Measures'!K39</f>
        <v/>
      </c>
    </row>
    <row r="88" spans="1:14" x14ac:dyDescent="0.2">
      <c r="A88" s="32" t="s">
        <v>217</v>
      </c>
      <c r="B88" s="30">
        <f t="shared" si="2"/>
        <v>0</v>
      </c>
      <c r="C88" s="30">
        <f>'Input Refrigeration Measures'!B40</f>
        <v>36</v>
      </c>
      <c r="D88" s="30" t="str">
        <f>'Input Refrigeration Measures'!C40</f>
        <v/>
      </c>
      <c r="E88" s="30" t="str">
        <f>'Input Refrigeration Measures'!F40</f>
        <v/>
      </c>
      <c r="F88" s="31">
        <f>'Input Refrigeration Measures'!G40</f>
        <v>0</v>
      </c>
      <c r="G88" s="219" t="str">
        <f>'Input Refrigeration Measures'!L40</f>
        <v/>
      </c>
      <c r="H88" s="85" t="str">
        <f>'Input Refrigeration Measures'!M40</f>
        <v/>
      </c>
      <c r="I88" s="227" t="str">
        <f>IFERROR(N88*MIN(Table_Measure_Caps[[#Totals],[Estimated Raw Incentive Total]], Table_Measure_Caps[[#Totals],[Gross Measure Cost Total]], Value_Project_CAP)/Table_Measure_Caps[[#Totals],[Estimated Raw Incentive Total]], "")</f>
        <v/>
      </c>
      <c r="J88" s="227">
        <f>'Input Refrigeration Measures'!H40</f>
        <v>0</v>
      </c>
      <c r="K88" s="227">
        <f>'Input Refrigeration Measures'!I40</f>
        <v>0</v>
      </c>
      <c r="L88" s="29" t="str">
        <f t="shared" si="3"/>
        <v>Version 5.2</v>
      </c>
      <c r="M88" s="64">
        <f>'Input Refrigeration Measures'!E40</f>
        <v>0</v>
      </c>
      <c r="N88" s="235" t="str">
        <f>'Input Refrigeration Measures'!K40</f>
        <v/>
      </c>
    </row>
    <row r="89" spans="1:14" x14ac:dyDescent="0.2">
      <c r="A89" s="32" t="s">
        <v>217</v>
      </c>
      <c r="B89" s="30">
        <f t="shared" si="2"/>
        <v>0</v>
      </c>
      <c r="C89" s="30">
        <f>'Input Refrigeration Measures'!B41</f>
        <v>37</v>
      </c>
      <c r="D89" s="30" t="str">
        <f>'Input Refrigeration Measures'!C41</f>
        <v/>
      </c>
      <c r="E89" s="30" t="str">
        <f>'Input Refrigeration Measures'!F41</f>
        <v/>
      </c>
      <c r="F89" s="31">
        <f>'Input Refrigeration Measures'!G41</f>
        <v>0</v>
      </c>
      <c r="G89" s="219" t="str">
        <f>'Input Refrigeration Measures'!L41</f>
        <v/>
      </c>
      <c r="H89" s="85" t="str">
        <f>'Input Refrigeration Measures'!M41</f>
        <v/>
      </c>
      <c r="I89" s="227" t="str">
        <f>IFERROR(N89*MIN(Table_Measure_Caps[[#Totals],[Estimated Raw Incentive Total]], Table_Measure_Caps[[#Totals],[Gross Measure Cost Total]], Value_Project_CAP)/Table_Measure_Caps[[#Totals],[Estimated Raw Incentive Total]], "")</f>
        <v/>
      </c>
      <c r="J89" s="227">
        <f>'Input Refrigeration Measures'!H41</f>
        <v>0</v>
      </c>
      <c r="K89" s="227">
        <f>'Input Refrigeration Measures'!I41</f>
        <v>0</v>
      </c>
      <c r="L89" s="29" t="str">
        <f t="shared" si="3"/>
        <v>Version 5.2</v>
      </c>
      <c r="M89" s="64">
        <f>'Input Refrigeration Measures'!E41</f>
        <v>0</v>
      </c>
      <c r="N89" s="235" t="str">
        <f>'Input Refrigeration Measures'!K41</f>
        <v/>
      </c>
    </row>
    <row r="90" spans="1:14" x14ac:dyDescent="0.2">
      <c r="A90" s="32" t="s">
        <v>217</v>
      </c>
      <c r="B90" s="30">
        <f t="shared" si="2"/>
        <v>0</v>
      </c>
      <c r="C90" s="30">
        <f>'Input Refrigeration Measures'!B42</f>
        <v>38</v>
      </c>
      <c r="D90" s="30" t="str">
        <f>'Input Refrigeration Measures'!C42</f>
        <v/>
      </c>
      <c r="E90" s="30" t="str">
        <f>'Input Refrigeration Measures'!F42</f>
        <v/>
      </c>
      <c r="F90" s="31">
        <f>'Input Refrigeration Measures'!G42</f>
        <v>0</v>
      </c>
      <c r="G90" s="219" t="str">
        <f>'Input Refrigeration Measures'!L42</f>
        <v/>
      </c>
      <c r="H90" s="85" t="str">
        <f>'Input Refrigeration Measures'!M42</f>
        <v/>
      </c>
      <c r="I90" s="227" t="str">
        <f>IFERROR(N90*MIN(Table_Measure_Caps[[#Totals],[Estimated Raw Incentive Total]], Table_Measure_Caps[[#Totals],[Gross Measure Cost Total]], Value_Project_CAP)/Table_Measure_Caps[[#Totals],[Estimated Raw Incentive Total]], "")</f>
        <v/>
      </c>
      <c r="J90" s="227">
        <f>'Input Refrigeration Measures'!H42</f>
        <v>0</v>
      </c>
      <c r="K90" s="227">
        <f>'Input Refrigeration Measures'!I42</f>
        <v>0</v>
      </c>
      <c r="L90" s="29" t="str">
        <f t="shared" si="3"/>
        <v>Version 5.2</v>
      </c>
      <c r="M90" s="64">
        <f>'Input Refrigeration Measures'!E42</f>
        <v>0</v>
      </c>
      <c r="N90" s="235" t="str">
        <f>'Input Refrigeration Measures'!K42</f>
        <v/>
      </c>
    </row>
    <row r="91" spans="1:14" x14ac:dyDescent="0.2">
      <c r="A91" s="32" t="s">
        <v>217</v>
      </c>
      <c r="B91" s="30">
        <f t="shared" si="2"/>
        <v>0</v>
      </c>
      <c r="C91" s="30">
        <f>'Input Refrigeration Measures'!B43</f>
        <v>39</v>
      </c>
      <c r="D91" s="30" t="str">
        <f>'Input Refrigeration Measures'!C43</f>
        <v/>
      </c>
      <c r="E91" s="30" t="str">
        <f>'Input Refrigeration Measures'!F43</f>
        <v/>
      </c>
      <c r="F91" s="31">
        <f>'Input Refrigeration Measures'!G43</f>
        <v>0</v>
      </c>
      <c r="G91" s="219" t="str">
        <f>'Input Refrigeration Measures'!L43</f>
        <v/>
      </c>
      <c r="H91" s="85" t="str">
        <f>'Input Refrigeration Measures'!M43</f>
        <v/>
      </c>
      <c r="I91" s="227" t="str">
        <f>IFERROR(N91*MIN(Table_Measure_Caps[[#Totals],[Estimated Raw Incentive Total]], Table_Measure_Caps[[#Totals],[Gross Measure Cost Total]], Value_Project_CAP)/Table_Measure_Caps[[#Totals],[Estimated Raw Incentive Total]], "")</f>
        <v/>
      </c>
      <c r="J91" s="227">
        <f>'Input Refrigeration Measures'!H43</f>
        <v>0</v>
      </c>
      <c r="K91" s="227">
        <f>'Input Refrigeration Measures'!I43</f>
        <v>0</v>
      </c>
      <c r="L91" s="29" t="str">
        <f t="shared" si="3"/>
        <v>Version 5.2</v>
      </c>
      <c r="M91" s="64">
        <f>'Input Refrigeration Measures'!E43</f>
        <v>0</v>
      </c>
      <c r="N91" s="235" t="str">
        <f>'Input Refrigeration Measures'!K43</f>
        <v/>
      </c>
    </row>
    <row r="92" spans="1:14" x14ac:dyDescent="0.2">
      <c r="A92" s="32" t="s">
        <v>217</v>
      </c>
      <c r="B92" s="30">
        <f t="shared" si="2"/>
        <v>0</v>
      </c>
      <c r="C92" s="30">
        <f>'Input Refrigeration Measures'!B44</f>
        <v>40</v>
      </c>
      <c r="D92" s="30" t="str">
        <f>'Input Refrigeration Measures'!C44</f>
        <v/>
      </c>
      <c r="E92" s="30" t="str">
        <f>'Input Refrigeration Measures'!F44</f>
        <v/>
      </c>
      <c r="F92" s="31">
        <f>'Input Refrigeration Measures'!G44</f>
        <v>0</v>
      </c>
      <c r="G92" s="219" t="str">
        <f>'Input Refrigeration Measures'!L44</f>
        <v/>
      </c>
      <c r="H92" s="85" t="str">
        <f>'Input Refrigeration Measures'!M44</f>
        <v/>
      </c>
      <c r="I92" s="227" t="str">
        <f>IFERROR(N92*MIN(Table_Measure_Caps[[#Totals],[Estimated Raw Incentive Total]], Table_Measure_Caps[[#Totals],[Gross Measure Cost Total]], Value_Project_CAP)/Table_Measure_Caps[[#Totals],[Estimated Raw Incentive Total]], "")</f>
        <v/>
      </c>
      <c r="J92" s="227">
        <f>'Input Refrigeration Measures'!H44</f>
        <v>0</v>
      </c>
      <c r="K92" s="227">
        <f>'Input Refrigeration Measures'!I44</f>
        <v>0</v>
      </c>
      <c r="L92" s="29" t="str">
        <f t="shared" si="3"/>
        <v>Version 5.2</v>
      </c>
      <c r="M92" s="64">
        <f>'Input Refrigeration Measures'!E44</f>
        <v>0</v>
      </c>
      <c r="N92" s="235" t="str">
        <f>'Input Refrigeration Measures'!K44</f>
        <v/>
      </c>
    </row>
    <row r="93" spans="1:14" x14ac:dyDescent="0.2">
      <c r="A93" s="32" t="s">
        <v>217</v>
      </c>
      <c r="B93" s="30">
        <f t="shared" si="2"/>
        <v>0</v>
      </c>
      <c r="C93" s="30">
        <f>'Input Refrigeration Measures'!B45</f>
        <v>41</v>
      </c>
      <c r="D93" s="30" t="str">
        <f>'Input Refrigeration Measures'!C45</f>
        <v/>
      </c>
      <c r="E93" s="30" t="str">
        <f>'Input Refrigeration Measures'!F45</f>
        <v/>
      </c>
      <c r="F93" s="31">
        <f>'Input Refrigeration Measures'!G45</f>
        <v>0</v>
      </c>
      <c r="G93" s="219" t="str">
        <f>'Input Refrigeration Measures'!L45</f>
        <v/>
      </c>
      <c r="H93" s="85" t="str">
        <f>'Input Refrigeration Measures'!M45</f>
        <v/>
      </c>
      <c r="I93" s="227" t="str">
        <f>IFERROR(N93*MIN(Table_Measure_Caps[[#Totals],[Estimated Raw Incentive Total]], Table_Measure_Caps[[#Totals],[Gross Measure Cost Total]], Value_Project_CAP)/Table_Measure_Caps[[#Totals],[Estimated Raw Incentive Total]], "")</f>
        <v/>
      </c>
      <c r="J93" s="227">
        <f>'Input Refrigeration Measures'!H45</f>
        <v>0</v>
      </c>
      <c r="K93" s="227">
        <f>'Input Refrigeration Measures'!I45</f>
        <v>0</v>
      </c>
      <c r="L93" s="29" t="str">
        <f t="shared" si="3"/>
        <v>Version 5.2</v>
      </c>
      <c r="M93" s="64">
        <f>'Input Refrigeration Measures'!E45</f>
        <v>0</v>
      </c>
      <c r="N93" s="235" t="str">
        <f>'Input Refrigeration Measures'!K45</f>
        <v/>
      </c>
    </row>
    <row r="94" spans="1:14" x14ac:dyDescent="0.2">
      <c r="A94" s="32" t="s">
        <v>217</v>
      </c>
      <c r="B94" s="30">
        <f t="shared" si="2"/>
        <v>0</v>
      </c>
      <c r="C94" s="30">
        <f>'Input Refrigeration Measures'!B46</f>
        <v>42</v>
      </c>
      <c r="D94" s="30" t="str">
        <f>'Input Refrigeration Measures'!C46</f>
        <v/>
      </c>
      <c r="E94" s="30" t="str">
        <f>'Input Refrigeration Measures'!F46</f>
        <v/>
      </c>
      <c r="F94" s="31">
        <f>'Input Refrigeration Measures'!G46</f>
        <v>0</v>
      </c>
      <c r="G94" s="219" t="str">
        <f>'Input Refrigeration Measures'!L46</f>
        <v/>
      </c>
      <c r="H94" s="85" t="str">
        <f>'Input Refrigeration Measures'!M46</f>
        <v/>
      </c>
      <c r="I94" s="227" t="str">
        <f>IFERROR(N94*MIN(Table_Measure_Caps[[#Totals],[Estimated Raw Incentive Total]], Table_Measure_Caps[[#Totals],[Gross Measure Cost Total]], Value_Project_CAP)/Table_Measure_Caps[[#Totals],[Estimated Raw Incentive Total]], "")</f>
        <v/>
      </c>
      <c r="J94" s="227">
        <f>'Input Refrigeration Measures'!H46</f>
        <v>0</v>
      </c>
      <c r="K94" s="227">
        <f>'Input Refrigeration Measures'!I46</f>
        <v>0</v>
      </c>
      <c r="L94" s="29" t="str">
        <f t="shared" si="3"/>
        <v>Version 5.2</v>
      </c>
      <c r="M94" s="64">
        <f>'Input Refrigeration Measures'!E46</f>
        <v>0</v>
      </c>
      <c r="N94" s="235" t="str">
        <f>'Input Refrigeration Measures'!K46</f>
        <v/>
      </c>
    </row>
    <row r="95" spans="1:14" x14ac:dyDescent="0.2">
      <c r="A95" s="32" t="s">
        <v>217</v>
      </c>
      <c r="B95" s="30">
        <f t="shared" si="2"/>
        <v>0</v>
      </c>
      <c r="C95" s="30">
        <f>'Input Refrigeration Measures'!B47</f>
        <v>43</v>
      </c>
      <c r="D95" s="30" t="str">
        <f>'Input Refrigeration Measures'!C47</f>
        <v/>
      </c>
      <c r="E95" s="30" t="str">
        <f>'Input Refrigeration Measures'!F47</f>
        <v/>
      </c>
      <c r="F95" s="31">
        <f>'Input Refrigeration Measures'!G47</f>
        <v>0</v>
      </c>
      <c r="G95" s="219" t="str">
        <f>'Input Refrigeration Measures'!L47</f>
        <v/>
      </c>
      <c r="H95" s="85" t="str">
        <f>'Input Refrigeration Measures'!M47</f>
        <v/>
      </c>
      <c r="I95" s="227" t="str">
        <f>IFERROR(N95*MIN(Table_Measure_Caps[[#Totals],[Estimated Raw Incentive Total]], Table_Measure_Caps[[#Totals],[Gross Measure Cost Total]], Value_Project_CAP)/Table_Measure_Caps[[#Totals],[Estimated Raw Incentive Total]], "")</f>
        <v/>
      </c>
      <c r="J95" s="227">
        <f>'Input Refrigeration Measures'!H47</f>
        <v>0</v>
      </c>
      <c r="K95" s="227">
        <f>'Input Refrigeration Measures'!I47</f>
        <v>0</v>
      </c>
      <c r="L95" s="29" t="str">
        <f t="shared" si="3"/>
        <v>Version 5.2</v>
      </c>
      <c r="M95" s="64">
        <f>'Input Refrigeration Measures'!E47</f>
        <v>0</v>
      </c>
      <c r="N95" s="235" t="str">
        <f>'Input Refrigeration Measures'!K47</f>
        <v/>
      </c>
    </row>
    <row r="96" spans="1:14" x14ac:dyDescent="0.2">
      <c r="A96" s="32" t="s">
        <v>217</v>
      </c>
      <c r="B96" s="30">
        <f t="shared" si="2"/>
        <v>0</v>
      </c>
      <c r="C96" s="30">
        <f>'Input Refrigeration Measures'!B48</f>
        <v>44</v>
      </c>
      <c r="D96" s="30" t="str">
        <f>'Input Refrigeration Measures'!C48</f>
        <v/>
      </c>
      <c r="E96" s="30" t="str">
        <f>'Input Refrigeration Measures'!F48</f>
        <v/>
      </c>
      <c r="F96" s="31">
        <f>'Input Refrigeration Measures'!G48</f>
        <v>0</v>
      </c>
      <c r="G96" s="219" t="str">
        <f>'Input Refrigeration Measures'!L48</f>
        <v/>
      </c>
      <c r="H96" s="85" t="str">
        <f>'Input Refrigeration Measures'!M48</f>
        <v/>
      </c>
      <c r="I96" s="227" t="str">
        <f>IFERROR(N96*MIN(Table_Measure_Caps[[#Totals],[Estimated Raw Incentive Total]], Table_Measure_Caps[[#Totals],[Gross Measure Cost Total]], Value_Project_CAP)/Table_Measure_Caps[[#Totals],[Estimated Raw Incentive Total]], "")</f>
        <v/>
      </c>
      <c r="J96" s="227">
        <f>'Input Refrigeration Measures'!H48</f>
        <v>0</v>
      </c>
      <c r="K96" s="227">
        <f>'Input Refrigeration Measures'!I48</f>
        <v>0</v>
      </c>
      <c r="L96" s="29" t="str">
        <f t="shared" si="3"/>
        <v>Version 5.2</v>
      </c>
      <c r="M96" s="64">
        <f>'Input Refrigeration Measures'!E48</f>
        <v>0</v>
      </c>
      <c r="N96" s="235" t="str">
        <f>'Input Refrigeration Measures'!K48</f>
        <v/>
      </c>
    </row>
    <row r="97" spans="1:14" x14ac:dyDescent="0.2">
      <c r="A97" s="32" t="s">
        <v>217</v>
      </c>
      <c r="B97" s="30">
        <f t="shared" si="2"/>
        <v>0</v>
      </c>
      <c r="C97" s="30">
        <f>'Input Refrigeration Measures'!B49</f>
        <v>45</v>
      </c>
      <c r="D97" s="30" t="str">
        <f>'Input Refrigeration Measures'!C49</f>
        <v/>
      </c>
      <c r="E97" s="30" t="str">
        <f>'Input Refrigeration Measures'!F49</f>
        <v/>
      </c>
      <c r="F97" s="31">
        <f>'Input Refrigeration Measures'!G49</f>
        <v>0</v>
      </c>
      <c r="G97" s="219" t="str">
        <f>'Input Refrigeration Measures'!L49</f>
        <v/>
      </c>
      <c r="H97" s="85" t="str">
        <f>'Input Refrigeration Measures'!M49</f>
        <v/>
      </c>
      <c r="I97" s="227" t="str">
        <f>IFERROR(N97*MIN(Table_Measure_Caps[[#Totals],[Estimated Raw Incentive Total]], Table_Measure_Caps[[#Totals],[Gross Measure Cost Total]], Value_Project_CAP)/Table_Measure_Caps[[#Totals],[Estimated Raw Incentive Total]], "")</f>
        <v/>
      </c>
      <c r="J97" s="227">
        <f>'Input Refrigeration Measures'!H49</f>
        <v>0</v>
      </c>
      <c r="K97" s="227">
        <f>'Input Refrigeration Measures'!I49</f>
        <v>0</v>
      </c>
      <c r="L97" s="29" t="str">
        <f t="shared" si="3"/>
        <v>Version 5.2</v>
      </c>
      <c r="M97" s="64">
        <f>'Input Refrigeration Measures'!E49</f>
        <v>0</v>
      </c>
      <c r="N97" s="235" t="str">
        <f>'Input Refrigeration Measures'!K49</f>
        <v/>
      </c>
    </row>
    <row r="98" spans="1:14" x14ac:dyDescent="0.2">
      <c r="A98" s="32" t="s">
        <v>217</v>
      </c>
      <c r="B98" s="30">
        <f t="shared" si="2"/>
        <v>0</v>
      </c>
      <c r="C98" s="30">
        <f>'Input Refrigeration Measures'!B50</f>
        <v>46</v>
      </c>
      <c r="D98" s="30" t="str">
        <f>'Input Refrigeration Measures'!C50</f>
        <v/>
      </c>
      <c r="E98" s="30" t="str">
        <f>'Input Refrigeration Measures'!F50</f>
        <v/>
      </c>
      <c r="F98" s="31">
        <f>'Input Refrigeration Measures'!G50</f>
        <v>0</v>
      </c>
      <c r="G98" s="219" t="str">
        <f>'Input Refrigeration Measures'!L50</f>
        <v/>
      </c>
      <c r="H98" s="85" t="str">
        <f>'Input Refrigeration Measures'!M50</f>
        <v/>
      </c>
      <c r="I98" s="227" t="str">
        <f>IFERROR(N98*MIN(Table_Measure_Caps[[#Totals],[Estimated Raw Incentive Total]], Table_Measure_Caps[[#Totals],[Gross Measure Cost Total]], Value_Project_CAP)/Table_Measure_Caps[[#Totals],[Estimated Raw Incentive Total]], "")</f>
        <v/>
      </c>
      <c r="J98" s="227">
        <f>'Input Refrigeration Measures'!H50</f>
        <v>0</v>
      </c>
      <c r="K98" s="227">
        <f>'Input Refrigeration Measures'!I50</f>
        <v>0</v>
      </c>
      <c r="L98" s="29" t="str">
        <f t="shared" si="3"/>
        <v>Version 5.2</v>
      </c>
      <c r="M98" s="64">
        <f>'Input Refrigeration Measures'!E50</f>
        <v>0</v>
      </c>
      <c r="N98" s="235" t="str">
        <f>'Input Refrigeration Measures'!K50</f>
        <v/>
      </c>
    </row>
    <row r="99" spans="1:14" x14ac:dyDescent="0.2">
      <c r="A99" s="32" t="s">
        <v>217</v>
      </c>
      <c r="B99" s="30">
        <f t="shared" si="2"/>
        <v>0</v>
      </c>
      <c r="C99" s="30">
        <f>'Input Refrigeration Measures'!B51</f>
        <v>47</v>
      </c>
      <c r="D99" s="30" t="str">
        <f>'Input Refrigeration Measures'!C51</f>
        <v/>
      </c>
      <c r="E99" s="30" t="str">
        <f>'Input Refrigeration Measures'!F51</f>
        <v/>
      </c>
      <c r="F99" s="31">
        <f>'Input Refrigeration Measures'!G51</f>
        <v>0</v>
      </c>
      <c r="G99" s="219" t="str">
        <f>'Input Refrigeration Measures'!L51</f>
        <v/>
      </c>
      <c r="H99" s="85" t="str">
        <f>'Input Refrigeration Measures'!M51</f>
        <v/>
      </c>
      <c r="I99" s="227" t="str">
        <f>IFERROR(N99*MIN(Table_Measure_Caps[[#Totals],[Estimated Raw Incentive Total]], Table_Measure_Caps[[#Totals],[Gross Measure Cost Total]], Value_Project_CAP)/Table_Measure_Caps[[#Totals],[Estimated Raw Incentive Total]], "")</f>
        <v/>
      </c>
      <c r="J99" s="227">
        <f>'Input Refrigeration Measures'!H51</f>
        <v>0</v>
      </c>
      <c r="K99" s="227">
        <f>'Input Refrigeration Measures'!I51</f>
        <v>0</v>
      </c>
      <c r="L99" s="29" t="str">
        <f t="shared" si="3"/>
        <v>Version 5.2</v>
      </c>
      <c r="M99" s="64">
        <f>'Input Refrigeration Measures'!E51</f>
        <v>0</v>
      </c>
      <c r="N99" s="235" t="str">
        <f>'Input Refrigeration Measures'!K51</f>
        <v/>
      </c>
    </row>
    <row r="100" spans="1:14" x14ac:dyDescent="0.2">
      <c r="A100" s="32" t="s">
        <v>217</v>
      </c>
      <c r="B100" s="30">
        <f t="shared" si="2"/>
        <v>0</v>
      </c>
      <c r="C100" s="30">
        <f>'Input Refrigeration Measures'!B52</f>
        <v>48</v>
      </c>
      <c r="D100" s="30" t="str">
        <f>'Input Refrigeration Measures'!C52</f>
        <v/>
      </c>
      <c r="E100" s="30" t="str">
        <f>'Input Refrigeration Measures'!F52</f>
        <v/>
      </c>
      <c r="F100" s="31">
        <f>'Input Refrigeration Measures'!G52</f>
        <v>0</v>
      </c>
      <c r="G100" s="219" t="str">
        <f>'Input Refrigeration Measures'!L52</f>
        <v/>
      </c>
      <c r="H100" s="85" t="str">
        <f>'Input Refrigeration Measures'!M52</f>
        <v/>
      </c>
      <c r="I100" s="227" t="str">
        <f>IFERROR(N100*MIN(Table_Measure_Caps[[#Totals],[Estimated Raw Incentive Total]], Table_Measure_Caps[[#Totals],[Gross Measure Cost Total]], Value_Project_CAP)/Table_Measure_Caps[[#Totals],[Estimated Raw Incentive Total]], "")</f>
        <v/>
      </c>
      <c r="J100" s="227">
        <f>'Input Refrigeration Measures'!H52</f>
        <v>0</v>
      </c>
      <c r="K100" s="227">
        <f>'Input Refrigeration Measures'!I52</f>
        <v>0</v>
      </c>
      <c r="L100" s="29" t="str">
        <f t="shared" si="3"/>
        <v>Version 5.2</v>
      </c>
      <c r="M100" s="64">
        <f>'Input Refrigeration Measures'!E52</f>
        <v>0</v>
      </c>
      <c r="N100" s="235" t="str">
        <f>'Input Refrigeration Measures'!K52</f>
        <v/>
      </c>
    </row>
    <row r="101" spans="1:14" x14ac:dyDescent="0.2">
      <c r="A101" s="32" t="s">
        <v>217</v>
      </c>
      <c r="B101" s="30">
        <f t="shared" si="2"/>
        <v>0</v>
      </c>
      <c r="C101" s="30">
        <f>'Input Refrigeration Measures'!B53</f>
        <v>49</v>
      </c>
      <c r="D101" s="30" t="str">
        <f>'Input Refrigeration Measures'!C53</f>
        <v/>
      </c>
      <c r="E101" s="30" t="str">
        <f>'Input Refrigeration Measures'!F53</f>
        <v/>
      </c>
      <c r="F101" s="31">
        <f>'Input Refrigeration Measures'!G53</f>
        <v>0</v>
      </c>
      <c r="G101" s="219" t="str">
        <f>'Input Refrigeration Measures'!L53</f>
        <v/>
      </c>
      <c r="H101" s="85" t="str">
        <f>'Input Refrigeration Measures'!M53</f>
        <v/>
      </c>
      <c r="I101" s="227" t="str">
        <f>IFERROR(N101*MIN(Table_Measure_Caps[[#Totals],[Estimated Raw Incentive Total]], Table_Measure_Caps[[#Totals],[Gross Measure Cost Total]], Value_Project_CAP)/Table_Measure_Caps[[#Totals],[Estimated Raw Incentive Total]], "")</f>
        <v/>
      </c>
      <c r="J101" s="227">
        <f>'Input Refrigeration Measures'!H53</f>
        <v>0</v>
      </c>
      <c r="K101" s="227">
        <f>'Input Refrigeration Measures'!I53</f>
        <v>0</v>
      </c>
      <c r="L101" s="29" t="str">
        <f t="shared" si="3"/>
        <v>Version 5.2</v>
      </c>
      <c r="M101" s="64">
        <f>'Input Refrigeration Measures'!E53</f>
        <v>0</v>
      </c>
      <c r="N101" s="235" t="str">
        <f>'Input Refrigeration Measures'!K53</f>
        <v/>
      </c>
    </row>
    <row r="102" spans="1:14" x14ac:dyDescent="0.2">
      <c r="A102" s="32" t="s">
        <v>217</v>
      </c>
      <c r="B102" s="30">
        <f t="shared" si="2"/>
        <v>0</v>
      </c>
      <c r="C102" s="30">
        <f>'Input Refrigeration Measures'!B54</f>
        <v>50</v>
      </c>
      <c r="D102" s="30" t="str">
        <f>'Input Refrigeration Measures'!C54</f>
        <v/>
      </c>
      <c r="E102" s="30" t="str">
        <f>'Input Refrigeration Measures'!F54</f>
        <v/>
      </c>
      <c r="F102" s="31">
        <f>'Input Refrigeration Measures'!G54</f>
        <v>0</v>
      </c>
      <c r="G102" s="219" t="str">
        <f>'Input Refrigeration Measures'!L54</f>
        <v/>
      </c>
      <c r="H102" s="85" t="str">
        <f>'Input Refrigeration Measures'!M54</f>
        <v/>
      </c>
      <c r="I102" s="227" t="str">
        <f>IFERROR(N102*MIN(Table_Measure_Caps[[#Totals],[Estimated Raw Incentive Total]], Table_Measure_Caps[[#Totals],[Gross Measure Cost Total]], Value_Project_CAP)/Table_Measure_Caps[[#Totals],[Estimated Raw Incentive Total]], "")</f>
        <v/>
      </c>
      <c r="J102" s="227">
        <f>'Input Refrigeration Measures'!H54</f>
        <v>0</v>
      </c>
      <c r="K102" s="227">
        <f>'Input Refrigeration Measures'!I54</f>
        <v>0</v>
      </c>
      <c r="L102" s="29" t="str">
        <f t="shared" si="3"/>
        <v>Version 5.2</v>
      </c>
      <c r="M102" s="64">
        <f>'Input Refrigeration Measures'!E54</f>
        <v>0</v>
      </c>
      <c r="N102" s="235" t="str">
        <f>'Input Refrigeration Measures'!K54</f>
        <v/>
      </c>
    </row>
    <row r="103" spans="1:14" x14ac:dyDescent="0.2">
      <c r="A103" s="13" t="s">
        <v>334</v>
      </c>
      <c r="B103" s="12">
        <f t="shared" si="0"/>
        <v>0</v>
      </c>
      <c r="C103" s="12">
        <f>'Input Com Kitchen Measures'!B5</f>
        <v>1</v>
      </c>
      <c r="D103" s="12" t="str">
        <f>'Input Com Kitchen Measures'!C5</f>
        <v/>
      </c>
      <c r="E103" s="12" t="s">
        <v>384</v>
      </c>
      <c r="F103" s="14">
        <f>'Input Com Kitchen Measures'!G5</f>
        <v>0</v>
      </c>
      <c r="G103" s="218" t="str">
        <f>'Input Com Kitchen Measures'!L5</f>
        <v/>
      </c>
      <c r="H103" s="84" t="str">
        <f>'Input Com Kitchen Measures'!M5</f>
        <v/>
      </c>
      <c r="I103" s="226" t="str">
        <f>IFERROR(N103*MIN(Table_Measure_Caps[[#Totals],[Estimated Raw Incentive Total]], Table_Measure_Caps[[#Totals],[Gross Measure Cost Total]], Value_Project_CAP)/Table_Measure_Caps[[#Totals],[Estimated Raw Incentive Total]], "")</f>
        <v/>
      </c>
      <c r="J103" s="226">
        <f>'Input Com Kitchen Measures'!H5</f>
        <v>0</v>
      </c>
      <c r="K103" s="226">
        <f>'Input Com Kitchen Measures'!I5</f>
        <v>0</v>
      </c>
      <c r="L103" s="29" t="str">
        <f t="shared" si="3"/>
        <v>Version 5.2</v>
      </c>
      <c r="M103" s="58">
        <f>'Input Com Kitchen Measures'!E5</f>
        <v>0</v>
      </c>
      <c r="N103" s="234" t="str">
        <f>'Input Com Kitchen Measures'!K5</f>
        <v/>
      </c>
    </row>
    <row r="104" spans="1:14" x14ac:dyDescent="0.2">
      <c r="A104" s="13" t="s">
        <v>334</v>
      </c>
      <c r="B104" s="12">
        <f t="shared" si="0"/>
        <v>0</v>
      </c>
      <c r="C104" s="12">
        <f>'Input Com Kitchen Measures'!B6</f>
        <v>2</v>
      </c>
      <c r="D104" s="12" t="str">
        <f>'Input Com Kitchen Measures'!C6</f>
        <v/>
      </c>
      <c r="E104" s="12" t="s">
        <v>384</v>
      </c>
      <c r="F104" s="14">
        <f>'Input Com Kitchen Measures'!G6</f>
        <v>0</v>
      </c>
      <c r="G104" s="218" t="str">
        <f>'Input Com Kitchen Measures'!L6</f>
        <v/>
      </c>
      <c r="H104" s="84" t="str">
        <f>'Input Com Kitchen Measures'!M6</f>
        <v/>
      </c>
      <c r="I104" s="226" t="str">
        <f>IFERROR(N104*MIN(Table_Measure_Caps[[#Totals],[Estimated Raw Incentive Total]], Table_Measure_Caps[[#Totals],[Gross Measure Cost Total]], Value_Project_CAP)/Table_Measure_Caps[[#Totals],[Estimated Raw Incentive Total]], "")</f>
        <v/>
      </c>
      <c r="J104" s="226">
        <f>'Input Com Kitchen Measures'!H6</f>
        <v>0</v>
      </c>
      <c r="K104" s="226">
        <f>'Input Com Kitchen Measures'!I6</f>
        <v>0</v>
      </c>
      <c r="L104" s="29" t="str">
        <f t="shared" si="3"/>
        <v>Version 5.2</v>
      </c>
      <c r="M104" s="58">
        <f>'Input Com Kitchen Measures'!E6</f>
        <v>0</v>
      </c>
      <c r="N104" s="234" t="str">
        <f>'Input Com Kitchen Measures'!K6</f>
        <v/>
      </c>
    </row>
    <row r="105" spans="1:14" x14ac:dyDescent="0.2">
      <c r="A105" s="13" t="s">
        <v>334</v>
      </c>
      <c r="B105" s="12">
        <f t="shared" ref="B105:B132" si="4">Input_ProjectNumber</f>
        <v>0</v>
      </c>
      <c r="C105" s="12">
        <f>'Input Com Kitchen Measures'!B7</f>
        <v>3</v>
      </c>
      <c r="D105" s="12" t="str">
        <f>'Input Com Kitchen Measures'!C7</f>
        <v/>
      </c>
      <c r="E105" s="12" t="s">
        <v>384</v>
      </c>
      <c r="F105" s="14">
        <f>'Input Com Kitchen Measures'!G7</f>
        <v>0</v>
      </c>
      <c r="G105" s="218" t="str">
        <f>'Input Com Kitchen Measures'!L7</f>
        <v/>
      </c>
      <c r="H105" s="84" t="str">
        <f>'Input Com Kitchen Measures'!M7</f>
        <v/>
      </c>
      <c r="I105" s="226" t="str">
        <f>IFERROR(N105*MIN(Table_Measure_Caps[[#Totals],[Estimated Raw Incentive Total]], Table_Measure_Caps[[#Totals],[Gross Measure Cost Total]], Value_Project_CAP)/Table_Measure_Caps[[#Totals],[Estimated Raw Incentive Total]], "")</f>
        <v/>
      </c>
      <c r="J105" s="226">
        <f>'Input Com Kitchen Measures'!H7</f>
        <v>0</v>
      </c>
      <c r="K105" s="226">
        <f>'Input Com Kitchen Measures'!I7</f>
        <v>0</v>
      </c>
      <c r="L105" s="29" t="str">
        <f t="shared" si="3"/>
        <v>Version 5.2</v>
      </c>
      <c r="M105" s="58">
        <f>'Input Com Kitchen Measures'!E7</f>
        <v>0</v>
      </c>
      <c r="N105" s="234" t="str">
        <f>'Input Com Kitchen Measures'!K7</f>
        <v/>
      </c>
    </row>
    <row r="106" spans="1:14" x14ac:dyDescent="0.2">
      <c r="A106" s="13" t="s">
        <v>334</v>
      </c>
      <c r="B106" s="12">
        <f t="shared" si="4"/>
        <v>0</v>
      </c>
      <c r="C106" s="12">
        <f>'Input Com Kitchen Measures'!B8</f>
        <v>4</v>
      </c>
      <c r="D106" s="12" t="str">
        <f>'Input Com Kitchen Measures'!C8</f>
        <v/>
      </c>
      <c r="E106" s="12" t="s">
        <v>384</v>
      </c>
      <c r="F106" s="14">
        <f>'Input Com Kitchen Measures'!G8</f>
        <v>0</v>
      </c>
      <c r="G106" s="218" t="str">
        <f>'Input Com Kitchen Measures'!L8</f>
        <v/>
      </c>
      <c r="H106" s="84" t="str">
        <f>'Input Com Kitchen Measures'!M8</f>
        <v/>
      </c>
      <c r="I106" s="226" t="str">
        <f>IFERROR(N106*MIN(Table_Measure_Caps[[#Totals],[Estimated Raw Incentive Total]], Table_Measure_Caps[[#Totals],[Gross Measure Cost Total]], Value_Project_CAP)/Table_Measure_Caps[[#Totals],[Estimated Raw Incentive Total]], "")</f>
        <v/>
      </c>
      <c r="J106" s="226">
        <f>'Input Com Kitchen Measures'!H8</f>
        <v>0</v>
      </c>
      <c r="K106" s="226">
        <f>'Input Com Kitchen Measures'!I8</f>
        <v>0</v>
      </c>
      <c r="L106" s="29" t="str">
        <f t="shared" si="3"/>
        <v>Version 5.2</v>
      </c>
      <c r="M106" s="58">
        <f>'Input Com Kitchen Measures'!E8</f>
        <v>0</v>
      </c>
      <c r="N106" s="234" t="str">
        <f>'Input Com Kitchen Measures'!K8</f>
        <v/>
      </c>
    </row>
    <row r="107" spans="1:14" x14ac:dyDescent="0.2">
      <c r="A107" s="13" t="s">
        <v>334</v>
      </c>
      <c r="B107" s="12">
        <f t="shared" si="4"/>
        <v>0</v>
      </c>
      <c r="C107" s="12">
        <f>'Input Com Kitchen Measures'!B9</f>
        <v>5</v>
      </c>
      <c r="D107" s="12" t="str">
        <f>'Input Com Kitchen Measures'!C9</f>
        <v/>
      </c>
      <c r="E107" s="12" t="s">
        <v>384</v>
      </c>
      <c r="F107" s="14">
        <f>'Input Com Kitchen Measures'!G9</f>
        <v>0</v>
      </c>
      <c r="G107" s="218" t="str">
        <f>'Input Com Kitchen Measures'!L9</f>
        <v/>
      </c>
      <c r="H107" s="84" t="str">
        <f>'Input Com Kitchen Measures'!M9</f>
        <v/>
      </c>
      <c r="I107" s="226" t="str">
        <f>IFERROR(N107*MIN(Table_Measure_Caps[[#Totals],[Estimated Raw Incentive Total]], Table_Measure_Caps[[#Totals],[Gross Measure Cost Total]], Value_Project_CAP)/Table_Measure_Caps[[#Totals],[Estimated Raw Incentive Total]], "")</f>
        <v/>
      </c>
      <c r="J107" s="226">
        <f>'Input Com Kitchen Measures'!H9</f>
        <v>0</v>
      </c>
      <c r="K107" s="226">
        <f>'Input Com Kitchen Measures'!I9</f>
        <v>0</v>
      </c>
      <c r="L107" s="29" t="str">
        <f t="shared" si="3"/>
        <v>Version 5.2</v>
      </c>
      <c r="M107" s="58">
        <f>'Input Com Kitchen Measures'!E9</f>
        <v>0</v>
      </c>
      <c r="N107" s="234" t="str">
        <f>'Input Com Kitchen Measures'!K9</f>
        <v/>
      </c>
    </row>
    <row r="108" spans="1:14" x14ac:dyDescent="0.2">
      <c r="A108" s="13" t="s">
        <v>334</v>
      </c>
      <c r="B108" s="12">
        <f t="shared" si="4"/>
        <v>0</v>
      </c>
      <c r="C108" s="12">
        <f>'Input Com Kitchen Measures'!B10</f>
        <v>6</v>
      </c>
      <c r="D108" s="12" t="str">
        <f>'Input Com Kitchen Measures'!C10</f>
        <v/>
      </c>
      <c r="E108" s="12" t="s">
        <v>384</v>
      </c>
      <c r="F108" s="14">
        <f>'Input Com Kitchen Measures'!G10</f>
        <v>0</v>
      </c>
      <c r="G108" s="218" t="str">
        <f>'Input Com Kitchen Measures'!L10</f>
        <v/>
      </c>
      <c r="H108" s="84" t="str">
        <f>'Input Com Kitchen Measures'!M10</f>
        <v/>
      </c>
      <c r="I108" s="226" t="str">
        <f>IFERROR(N108*MIN(Table_Measure_Caps[[#Totals],[Estimated Raw Incentive Total]], Table_Measure_Caps[[#Totals],[Gross Measure Cost Total]], Value_Project_CAP)/Table_Measure_Caps[[#Totals],[Estimated Raw Incentive Total]], "")</f>
        <v/>
      </c>
      <c r="J108" s="226">
        <f>'Input Com Kitchen Measures'!H10</f>
        <v>0</v>
      </c>
      <c r="K108" s="226">
        <f>'Input Com Kitchen Measures'!I10</f>
        <v>0</v>
      </c>
      <c r="L108" s="29" t="str">
        <f t="shared" si="3"/>
        <v>Version 5.2</v>
      </c>
      <c r="M108" s="58">
        <f>'Input Com Kitchen Measures'!E10</f>
        <v>0</v>
      </c>
      <c r="N108" s="234" t="str">
        <f>'Input Com Kitchen Measures'!K10</f>
        <v/>
      </c>
    </row>
    <row r="109" spans="1:14" x14ac:dyDescent="0.2">
      <c r="A109" s="13" t="s">
        <v>334</v>
      </c>
      <c r="B109" s="12">
        <f t="shared" si="4"/>
        <v>0</v>
      </c>
      <c r="C109" s="12">
        <f>'Input Com Kitchen Measures'!B11</f>
        <v>7</v>
      </c>
      <c r="D109" s="12" t="str">
        <f>'Input Com Kitchen Measures'!C11</f>
        <v/>
      </c>
      <c r="E109" s="12" t="s">
        <v>384</v>
      </c>
      <c r="F109" s="14">
        <f>'Input Com Kitchen Measures'!G11</f>
        <v>0</v>
      </c>
      <c r="G109" s="218" t="str">
        <f>'Input Com Kitchen Measures'!L11</f>
        <v/>
      </c>
      <c r="H109" s="84" t="str">
        <f>'Input Com Kitchen Measures'!M11</f>
        <v/>
      </c>
      <c r="I109" s="226" t="str">
        <f>IFERROR(N109*MIN(Table_Measure_Caps[[#Totals],[Estimated Raw Incentive Total]], Table_Measure_Caps[[#Totals],[Gross Measure Cost Total]], Value_Project_CAP)/Table_Measure_Caps[[#Totals],[Estimated Raw Incentive Total]], "")</f>
        <v/>
      </c>
      <c r="J109" s="226">
        <f>'Input Com Kitchen Measures'!H11</f>
        <v>0</v>
      </c>
      <c r="K109" s="226">
        <f>'Input Com Kitchen Measures'!I11</f>
        <v>0</v>
      </c>
      <c r="L109" s="29" t="str">
        <f t="shared" si="3"/>
        <v>Version 5.2</v>
      </c>
      <c r="M109" s="58">
        <f>'Input Com Kitchen Measures'!E11</f>
        <v>0</v>
      </c>
      <c r="N109" s="234" t="str">
        <f>'Input Com Kitchen Measures'!K11</f>
        <v/>
      </c>
    </row>
    <row r="110" spans="1:14" x14ac:dyDescent="0.2">
      <c r="A110" s="13" t="s">
        <v>334</v>
      </c>
      <c r="B110" s="12">
        <f t="shared" si="4"/>
        <v>0</v>
      </c>
      <c r="C110" s="12">
        <f>'Input Com Kitchen Measures'!B12</f>
        <v>8</v>
      </c>
      <c r="D110" s="12" t="str">
        <f>'Input Com Kitchen Measures'!C12</f>
        <v/>
      </c>
      <c r="E110" s="12" t="s">
        <v>384</v>
      </c>
      <c r="F110" s="14">
        <f>'Input Com Kitchen Measures'!G12</f>
        <v>0</v>
      </c>
      <c r="G110" s="218" t="str">
        <f>'Input Com Kitchen Measures'!L12</f>
        <v/>
      </c>
      <c r="H110" s="84" t="str">
        <f>'Input Com Kitchen Measures'!M12</f>
        <v/>
      </c>
      <c r="I110" s="226" t="str">
        <f>IFERROR(N110*MIN(Table_Measure_Caps[[#Totals],[Estimated Raw Incentive Total]], Table_Measure_Caps[[#Totals],[Gross Measure Cost Total]], Value_Project_CAP)/Table_Measure_Caps[[#Totals],[Estimated Raw Incentive Total]], "")</f>
        <v/>
      </c>
      <c r="J110" s="226">
        <f>'Input Com Kitchen Measures'!H12</f>
        <v>0</v>
      </c>
      <c r="K110" s="226">
        <f>'Input Com Kitchen Measures'!I12</f>
        <v>0</v>
      </c>
      <c r="L110" s="29" t="str">
        <f t="shared" si="3"/>
        <v>Version 5.2</v>
      </c>
      <c r="M110" s="58">
        <f>'Input Com Kitchen Measures'!E12</f>
        <v>0</v>
      </c>
      <c r="N110" s="234" t="str">
        <f>'Input Com Kitchen Measures'!K12</f>
        <v/>
      </c>
    </row>
    <row r="111" spans="1:14" x14ac:dyDescent="0.2">
      <c r="A111" s="13" t="s">
        <v>334</v>
      </c>
      <c r="B111" s="12">
        <f t="shared" si="4"/>
        <v>0</v>
      </c>
      <c r="C111" s="12">
        <f>'Input Com Kitchen Measures'!B13</f>
        <v>9</v>
      </c>
      <c r="D111" s="12" t="str">
        <f>'Input Com Kitchen Measures'!C13</f>
        <v/>
      </c>
      <c r="E111" s="12" t="s">
        <v>384</v>
      </c>
      <c r="F111" s="14">
        <f>'Input Com Kitchen Measures'!G13</f>
        <v>0</v>
      </c>
      <c r="G111" s="218" t="str">
        <f>'Input Com Kitchen Measures'!L13</f>
        <v/>
      </c>
      <c r="H111" s="84" t="str">
        <f>'Input Com Kitchen Measures'!M13</f>
        <v/>
      </c>
      <c r="I111" s="226" t="str">
        <f>IFERROR(N111*MIN(Table_Measure_Caps[[#Totals],[Estimated Raw Incentive Total]], Table_Measure_Caps[[#Totals],[Gross Measure Cost Total]], Value_Project_CAP)/Table_Measure_Caps[[#Totals],[Estimated Raw Incentive Total]], "")</f>
        <v/>
      </c>
      <c r="J111" s="226">
        <f>'Input Com Kitchen Measures'!H13</f>
        <v>0</v>
      </c>
      <c r="K111" s="226">
        <f>'Input Com Kitchen Measures'!I13</f>
        <v>0</v>
      </c>
      <c r="L111" s="29" t="str">
        <f t="shared" si="3"/>
        <v>Version 5.2</v>
      </c>
      <c r="M111" s="58">
        <f>'Input Com Kitchen Measures'!E13</f>
        <v>0</v>
      </c>
      <c r="N111" s="234" t="str">
        <f>'Input Com Kitchen Measures'!K13</f>
        <v/>
      </c>
    </row>
    <row r="112" spans="1:14" x14ac:dyDescent="0.2">
      <c r="A112" s="13" t="s">
        <v>334</v>
      </c>
      <c r="B112" s="12">
        <f t="shared" si="4"/>
        <v>0</v>
      </c>
      <c r="C112" s="12">
        <f>'Input Com Kitchen Measures'!B14</f>
        <v>10</v>
      </c>
      <c r="D112" s="12" t="str">
        <f>'Input Com Kitchen Measures'!C14</f>
        <v/>
      </c>
      <c r="E112" s="12" t="s">
        <v>384</v>
      </c>
      <c r="F112" s="14">
        <f>'Input Com Kitchen Measures'!G14</f>
        <v>0</v>
      </c>
      <c r="G112" s="218" t="str">
        <f>'Input Com Kitchen Measures'!L14</f>
        <v/>
      </c>
      <c r="H112" s="84" t="str">
        <f>'Input Com Kitchen Measures'!M14</f>
        <v/>
      </c>
      <c r="I112" s="226" t="str">
        <f>IFERROR(N112*MIN(Table_Measure_Caps[[#Totals],[Estimated Raw Incentive Total]], Table_Measure_Caps[[#Totals],[Gross Measure Cost Total]], Value_Project_CAP)/Table_Measure_Caps[[#Totals],[Estimated Raw Incentive Total]], "")</f>
        <v/>
      </c>
      <c r="J112" s="226">
        <f>'Input Com Kitchen Measures'!H14</f>
        <v>0</v>
      </c>
      <c r="K112" s="226">
        <f>'Input Com Kitchen Measures'!I14</f>
        <v>0</v>
      </c>
      <c r="L112" s="29" t="str">
        <f t="shared" si="3"/>
        <v>Version 5.2</v>
      </c>
      <c r="M112" s="58">
        <f>'Input Com Kitchen Measures'!E14</f>
        <v>0</v>
      </c>
      <c r="N112" s="234" t="str">
        <f>'Input Com Kitchen Measures'!K14</f>
        <v/>
      </c>
    </row>
    <row r="113" spans="1:14" x14ac:dyDescent="0.2">
      <c r="A113" s="13" t="s">
        <v>334</v>
      </c>
      <c r="B113" s="12">
        <f t="shared" si="4"/>
        <v>0</v>
      </c>
      <c r="C113" s="12">
        <f>'Input Com Kitchen Measures'!B15</f>
        <v>11</v>
      </c>
      <c r="D113" s="12" t="str">
        <f>'Input Com Kitchen Measures'!C15</f>
        <v/>
      </c>
      <c r="E113" s="12" t="s">
        <v>384</v>
      </c>
      <c r="F113" s="14">
        <f>'Input Com Kitchen Measures'!G15</f>
        <v>0</v>
      </c>
      <c r="G113" s="218" t="str">
        <f>'Input Com Kitchen Measures'!L15</f>
        <v/>
      </c>
      <c r="H113" s="84" t="str">
        <f>'Input Com Kitchen Measures'!M15</f>
        <v/>
      </c>
      <c r="I113" s="226" t="str">
        <f>IFERROR(N113*MIN(Table_Measure_Caps[[#Totals],[Estimated Raw Incentive Total]], Table_Measure_Caps[[#Totals],[Gross Measure Cost Total]], Value_Project_CAP)/Table_Measure_Caps[[#Totals],[Estimated Raw Incentive Total]], "")</f>
        <v/>
      </c>
      <c r="J113" s="226">
        <f>'Input Com Kitchen Measures'!H15</f>
        <v>0</v>
      </c>
      <c r="K113" s="226">
        <f>'Input Com Kitchen Measures'!I15</f>
        <v>0</v>
      </c>
      <c r="L113" s="29" t="str">
        <f t="shared" si="3"/>
        <v>Version 5.2</v>
      </c>
      <c r="M113" s="58">
        <f>'Input Com Kitchen Measures'!E15</f>
        <v>0</v>
      </c>
      <c r="N113" s="234" t="str">
        <f>'Input Com Kitchen Measures'!K15</f>
        <v/>
      </c>
    </row>
    <row r="114" spans="1:14" x14ac:dyDescent="0.2">
      <c r="A114" s="13" t="s">
        <v>334</v>
      </c>
      <c r="B114" s="12">
        <f t="shared" si="4"/>
        <v>0</v>
      </c>
      <c r="C114" s="12">
        <f>'Input Com Kitchen Measures'!B16</f>
        <v>12</v>
      </c>
      <c r="D114" s="12" t="str">
        <f>'Input Com Kitchen Measures'!C16</f>
        <v/>
      </c>
      <c r="E114" s="12" t="s">
        <v>384</v>
      </c>
      <c r="F114" s="14">
        <f>'Input Com Kitchen Measures'!G16</f>
        <v>0</v>
      </c>
      <c r="G114" s="218" t="str">
        <f>'Input Com Kitchen Measures'!L16</f>
        <v/>
      </c>
      <c r="H114" s="84" t="str">
        <f>'Input Com Kitchen Measures'!M16</f>
        <v/>
      </c>
      <c r="I114" s="226" t="str">
        <f>IFERROR(N114*MIN(Table_Measure_Caps[[#Totals],[Estimated Raw Incentive Total]], Table_Measure_Caps[[#Totals],[Gross Measure Cost Total]], Value_Project_CAP)/Table_Measure_Caps[[#Totals],[Estimated Raw Incentive Total]], "")</f>
        <v/>
      </c>
      <c r="J114" s="226">
        <f>'Input Com Kitchen Measures'!H16</f>
        <v>0</v>
      </c>
      <c r="K114" s="226">
        <f>'Input Com Kitchen Measures'!I16</f>
        <v>0</v>
      </c>
      <c r="L114" s="29" t="str">
        <f t="shared" si="3"/>
        <v>Version 5.2</v>
      </c>
      <c r="M114" s="58">
        <f>'Input Com Kitchen Measures'!E16</f>
        <v>0</v>
      </c>
      <c r="N114" s="234" t="str">
        <f>'Input Com Kitchen Measures'!K16</f>
        <v/>
      </c>
    </row>
    <row r="115" spans="1:14" x14ac:dyDescent="0.2">
      <c r="A115" s="13" t="s">
        <v>334</v>
      </c>
      <c r="B115" s="12">
        <f t="shared" si="4"/>
        <v>0</v>
      </c>
      <c r="C115" s="12">
        <f>'Input Com Kitchen Measures'!B17</f>
        <v>13</v>
      </c>
      <c r="D115" s="12" t="str">
        <f>'Input Com Kitchen Measures'!C17</f>
        <v/>
      </c>
      <c r="E115" s="12" t="s">
        <v>384</v>
      </c>
      <c r="F115" s="14">
        <f>'Input Com Kitchen Measures'!G17</f>
        <v>0</v>
      </c>
      <c r="G115" s="218" t="str">
        <f>'Input Com Kitchen Measures'!L17</f>
        <v/>
      </c>
      <c r="H115" s="84" t="str">
        <f>'Input Com Kitchen Measures'!M17</f>
        <v/>
      </c>
      <c r="I115" s="226" t="str">
        <f>IFERROR(N115*MIN(Table_Measure_Caps[[#Totals],[Estimated Raw Incentive Total]], Table_Measure_Caps[[#Totals],[Gross Measure Cost Total]], Value_Project_CAP)/Table_Measure_Caps[[#Totals],[Estimated Raw Incentive Total]], "")</f>
        <v/>
      </c>
      <c r="J115" s="226">
        <f>'Input Com Kitchen Measures'!H17</f>
        <v>0</v>
      </c>
      <c r="K115" s="226">
        <f>'Input Com Kitchen Measures'!I17</f>
        <v>0</v>
      </c>
      <c r="L115" s="29" t="str">
        <f t="shared" si="3"/>
        <v>Version 5.2</v>
      </c>
      <c r="M115" s="58">
        <f>'Input Com Kitchen Measures'!E17</f>
        <v>0</v>
      </c>
      <c r="N115" s="234" t="str">
        <f>'Input Com Kitchen Measures'!K17</f>
        <v/>
      </c>
    </row>
    <row r="116" spans="1:14" x14ac:dyDescent="0.2">
      <c r="A116" s="13" t="s">
        <v>334</v>
      </c>
      <c r="B116" s="12">
        <f t="shared" si="4"/>
        <v>0</v>
      </c>
      <c r="C116" s="12">
        <f>'Input Com Kitchen Measures'!B18</f>
        <v>14</v>
      </c>
      <c r="D116" s="12" t="str">
        <f>'Input Com Kitchen Measures'!C18</f>
        <v/>
      </c>
      <c r="E116" s="12" t="s">
        <v>384</v>
      </c>
      <c r="F116" s="14">
        <f>'Input Com Kitchen Measures'!G18</f>
        <v>0</v>
      </c>
      <c r="G116" s="218" t="str">
        <f>'Input Com Kitchen Measures'!L18</f>
        <v/>
      </c>
      <c r="H116" s="84" t="str">
        <f>'Input Com Kitchen Measures'!M18</f>
        <v/>
      </c>
      <c r="I116" s="226" t="str">
        <f>IFERROR(N116*MIN(Table_Measure_Caps[[#Totals],[Estimated Raw Incentive Total]], Table_Measure_Caps[[#Totals],[Gross Measure Cost Total]], Value_Project_CAP)/Table_Measure_Caps[[#Totals],[Estimated Raw Incentive Total]], "")</f>
        <v/>
      </c>
      <c r="J116" s="226">
        <f>'Input Com Kitchen Measures'!H18</f>
        <v>0</v>
      </c>
      <c r="K116" s="226">
        <f>'Input Com Kitchen Measures'!I18</f>
        <v>0</v>
      </c>
      <c r="L116" s="29" t="str">
        <f t="shared" si="3"/>
        <v>Version 5.2</v>
      </c>
      <c r="M116" s="58">
        <f>'Input Com Kitchen Measures'!E18</f>
        <v>0</v>
      </c>
      <c r="N116" s="234" t="str">
        <f>'Input Com Kitchen Measures'!K18</f>
        <v/>
      </c>
    </row>
    <row r="117" spans="1:14" x14ac:dyDescent="0.2">
      <c r="A117" s="13" t="s">
        <v>334</v>
      </c>
      <c r="B117" s="12">
        <f t="shared" si="4"/>
        <v>0</v>
      </c>
      <c r="C117" s="12">
        <f>'Input Com Kitchen Measures'!B19</f>
        <v>15</v>
      </c>
      <c r="D117" s="12" t="str">
        <f>'Input Com Kitchen Measures'!C19</f>
        <v/>
      </c>
      <c r="E117" s="12" t="s">
        <v>384</v>
      </c>
      <c r="F117" s="14">
        <f>'Input Com Kitchen Measures'!G19</f>
        <v>0</v>
      </c>
      <c r="G117" s="218" t="str">
        <f>'Input Com Kitchen Measures'!L19</f>
        <v/>
      </c>
      <c r="H117" s="84" t="str">
        <f>'Input Com Kitchen Measures'!M19</f>
        <v/>
      </c>
      <c r="I117" s="226" t="str">
        <f>IFERROR(N117*MIN(Table_Measure_Caps[[#Totals],[Estimated Raw Incentive Total]], Table_Measure_Caps[[#Totals],[Gross Measure Cost Total]], Value_Project_CAP)/Table_Measure_Caps[[#Totals],[Estimated Raw Incentive Total]], "")</f>
        <v/>
      </c>
      <c r="J117" s="226">
        <f>'Input Com Kitchen Measures'!H19</f>
        <v>0</v>
      </c>
      <c r="K117" s="226">
        <f>'Input Com Kitchen Measures'!I19</f>
        <v>0</v>
      </c>
      <c r="L117" s="29" t="str">
        <f t="shared" si="3"/>
        <v>Version 5.2</v>
      </c>
      <c r="M117" s="58">
        <f>'Input Com Kitchen Measures'!E19</f>
        <v>0</v>
      </c>
      <c r="N117" s="234" t="str">
        <f>'Input Com Kitchen Measures'!K19</f>
        <v/>
      </c>
    </row>
    <row r="118" spans="1:14" x14ac:dyDescent="0.2">
      <c r="A118" s="13" t="s">
        <v>334</v>
      </c>
      <c r="B118" s="12">
        <f t="shared" si="4"/>
        <v>0</v>
      </c>
      <c r="C118" s="12">
        <f>'Input Com Kitchen Measures'!B20</f>
        <v>16</v>
      </c>
      <c r="D118" s="12" t="str">
        <f>'Input Com Kitchen Measures'!C20</f>
        <v/>
      </c>
      <c r="E118" s="12" t="s">
        <v>384</v>
      </c>
      <c r="F118" s="14">
        <f>'Input Com Kitchen Measures'!G20</f>
        <v>0</v>
      </c>
      <c r="G118" s="218" t="str">
        <f>'Input Com Kitchen Measures'!L20</f>
        <v/>
      </c>
      <c r="H118" s="84" t="str">
        <f>'Input Com Kitchen Measures'!M20</f>
        <v/>
      </c>
      <c r="I118" s="226" t="str">
        <f>IFERROR(N118*MIN(Table_Measure_Caps[[#Totals],[Estimated Raw Incentive Total]], Table_Measure_Caps[[#Totals],[Gross Measure Cost Total]], Value_Project_CAP)/Table_Measure_Caps[[#Totals],[Estimated Raw Incentive Total]], "")</f>
        <v/>
      </c>
      <c r="J118" s="226">
        <f>'Input Com Kitchen Measures'!H20</f>
        <v>0</v>
      </c>
      <c r="K118" s="226">
        <f>'Input Com Kitchen Measures'!I20</f>
        <v>0</v>
      </c>
      <c r="L118" s="29" t="str">
        <f t="shared" si="3"/>
        <v>Version 5.2</v>
      </c>
      <c r="M118" s="58">
        <f>'Input Com Kitchen Measures'!E20</f>
        <v>0</v>
      </c>
      <c r="N118" s="234" t="str">
        <f>'Input Com Kitchen Measures'!K20</f>
        <v/>
      </c>
    </row>
    <row r="119" spans="1:14" x14ac:dyDescent="0.2">
      <c r="A119" s="13" t="s">
        <v>334</v>
      </c>
      <c r="B119" s="12">
        <f t="shared" si="4"/>
        <v>0</v>
      </c>
      <c r="C119" s="12">
        <f>'Input Com Kitchen Measures'!B21</f>
        <v>17</v>
      </c>
      <c r="D119" s="12" t="str">
        <f>'Input Com Kitchen Measures'!C21</f>
        <v/>
      </c>
      <c r="E119" s="12" t="s">
        <v>384</v>
      </c>
      <c r="F119" s="14">
        <f>'Input Com Kitchen Measures'!G21</f>
        <v>0</v>
      </c>
      <c r="G119" s="218" t="str">
        <f>'Input Com Kitchen Measures'!L21</f>
        <v/>
      </c>
      <c r="H119" s="84" t="str">
        <f>'Input Com Kitchen Measures'!M21</f>
        <v/>
      </c>
      <c r="I119" s="226" t="str">
        <f>IFERROR(N119*MIN(Table_Measure_Caps[[#Totals],[Estimated Raw Incentive Total]], Table_Measure_Caps[[#Totals],[Gross Measure Cost Total]], Value_Project_CAP)/Table_Measure_Caps[[#Totals],[Estimated Raw Incentive Total]], "")</f>
        <v/>
      </c>
      <c r="J119" s="226">
        <f>'Input Com Kitchen Measures'!H21</f>
        <v>0</v>
      </c>
      <c r="K119" s="226">
        <f>'Input Com Kitchen Measures'!I21</f>
        <v>0</v>
      </c>
      <c r="L119" s="29" t="str">
        <f t="shared" si="3"/>
        <v>Version 5.2</v>
      </c>
      <c r="M119" s="58">
        <f>'Input Com Kitchen Measures'!E21</f>
        <v>0</v>
      </c>
      <c r="N119" s="234" t="str">
        <f>'Input Com Kitchen Measures'!K21</f>
        <v/>
      </c>
    </row>
    <row r="120" spans="1:14" x14ac:dyDescent="0.2">
      <c r="A120" s="13" t="s">
        <v>334</v>
      </c>
      <c r="B120" s="12">
        <f t="shared" si="4"/>
        <v>0</v>
      </c>
      <c r="C120" s="12">
        <f>'Input Com Kitchen Measures'!B22</f>
        <v>18</v>
      </c>
      <c r="D120" s="12" t="str">
        <f>'Input Com Kitchen Measures'!C22</f>
        <v/>
      </c>
      <c r="E120" s="12" t="s">
        <v>384</v>
      </c>
      <c r="F120" s="14">
        <f>'Input Com Kitchen Measures'!G22</f>
        <v>0</v>
      </c>
      <c r="G120" s="218" t="str">
        <f>'Input Com Kitchen Measures'!L22</f>
        <v/>
      </c>
      <c r="H120" s="84" t="str">
        <f>'Input Com Kitchen Measures'!M22</f>
        <v/>
      </c>
      <c r="I120" s="226" t="str">
        <f>IFERROR(N120*MIN(Table_Measure_Caps[[#Totals],[Estimated Raw Incentive Total]], Table_Measure_Caps[[#Totals],[Gross Measure Cost Total]], Value_Project_CAP)/Table_Measure_Caps[[#Totals],[Estimated Raw Incentive Total]], "")</f>
        <v/>
      </c>
      <c r="J120" s="226">
        <f>'Input Com Kitchen Measures'!H22</f>
        <v>0</v>
      </c>
      <c r="K120" s="226">
        <f>'Input Com Kitchen Measures'!I22</f>
        <v>0</v>
      </c>
      <c r="L120" s="29" t="str">
        <f t="shared" si="3"/>
        <v>Version 5.2</v>
      </c>
      <c r="M120" s="58">
        <f>'Input Com Kitchen Measures'!E22</f>
        <v>0</v>
      </c>
      <c r="N120" s="234" t="str">
        <f>'Input Com Kitchen Measures'!K22</f>
        <v/>
      </c>
    </row>
    <row r="121" spans="1:14" x14ac:dyDescent="0.2">
      <c r="A121" s="13" t="s">
        <v>334</v>
      </c>
      <c r="B121" s="12">
        <f t="shared" si="4"/>
        <v>0</v>
      </c>
      <c r="C121" s="12">
        <f>'Input Com Kitchen Measures'!B23</f>
        <v>19</v>
      </c>
      <c r="D121" s="12" t="str">
        <f>'Input Com Kitchen Measures'!C23</f>
        <v/>
      </c>
      <c r="E121" s="12" t="s">
        <v>384</v>
      </c>
      <c r="F121" s="14">
        <f>'Input Com Kitchen Measures'!G23</f>
        <v>0</v>
      </c>
      <c r="G121" s="218" t="str">
        <f>'Input Com Kitchen Measures'!L23</f>
        <v/>
      </c>
      <c r="H121" s="84" t="str">
        <f>'Input Com Kitchen Measures'!M23</f>
        <v/>
      </c>
      <c r="I121" s="226" t="str">
        <f>IFERROR(N121*MIN(Table_Measure_Caps[[#Totals],[Estimated Raw Incentive Total]], Table_Measure_Caps[[#Totals],[Gross Measure Cost Total]], Value_Project_CAP)/Table_Measure_Caps[[#Totals],[Estimated Raw Incentive Total]], "")</f>
        <v/>
      </c>
      <c r="J121" s="226">
        <f>'Input Com Kitchen Measures'!H23</f>
        <v>0</v>
      </c>
      <c r="K121" s="226">
        <f>'Input Com Kitchen Measures'!I23</f>
        <v>0</v>
      </c>
      <c r="L121" s="29" t="str">
        <f t="shared" si="3"/>
        <v>Version 5.2</v>
      </c>
      <c r="M121" s="58">
        <f>'Input Com Kitchen Measures'!E23</f>
        <v>0</v>
      </c>
      <c r="N121" s="234" t="str">
        <f>'Input Com Kitchen Measures'!K23</f>
        <v/>
      </c>
    </row>
    <row r="122" spans="1:14" x14ac:dyDescent="0.2">
      <c r="A122" s="13" t="s">
        <v>334</v>
      </c>
      <c r="B122" s="12">
        <f t="shared" si="4"/>
        <v>0</v>
      </c>
      <c r="C122" s="12">
        <f>'Input Com Kitchen Measures'!B24</f>
        <v>20</v>
      </c>
      <c r="D122" s="12" t="str">
        <f>'Input Com Kitchen Measures'!C24</f>
        <v/>
      </c>
      <c r="E122" s="12" t="s">
        <v>384</v>
      </c>
      <c r="F122" s="14">
        <f>'Input Com Kitchen Measures'!G24</f>
        <v>0</v>
      </c>
      <c r="G122" s="218" t="str">
        <f>'Input Com Kitchen Measures'!L24</f>
        <v/>
      </c>
      <c r="H122" s="84" t="str">
        <f>'Input Com Kitchen Measures'!M24</f>
        <v/>
      </c>
      <c r="I122" s="226" t="str">
        <f>IFERROR(N122*MIN(Table_Measure_Caps[[#Totals],[Estimated Raw Incentive Total]], Table_Measure_Caps[[#Totals],[Gross Measure Cost Total]], Value_Project_CAP)/Table_Measure_Caps[[#Totals],[Estimated Raw Incentive Total]], "")</f>
        <v/>
      </c>
      <c r="J122" s="226">
        <f>'Input Com Kitchen Measures'!H24</f>
        <v>0</v>
      </c>
      <c r="K122" s="226">
        <f>'Input Com Kitchen Measures'!I24</f>
        <v>0</v>
      </c>
      <c r="L122" s="29" t="str">
        <f t="shared" si="3"/>
        <v>Version 5.2</v>
      </c>
      <c r="M122" s="58">
        <f>'Input Com Kitchen Measures'!E24</f>
        <v>0</v>
      </c>
      <c r="N122" s="234" t="str">
        <f>'Input Com Kitchen Measures'!K24</f>
        <v/>
      </c>
    </row>
    <row r="123" spans="1:14" x14ac:dyDescent="0.2">
      <c r="A123" s="13" t="s">
        <v>334</v>
      </c>
      <c r="B123" s="12">
        <f t="shared" si="4"/>
        <v>0</v>
      </c>
      <c r="C123" s="12">
        <f>'Input Com Kitchen Measures'!B25</f>
        <v>21</v>
      </c>
      <c r="D123" s="12" t="str">
        <f>'Input Com Kitchen Measures'!C25</f>
        <v/>
      </c>
      <c r="E123" s="12" t="s">
        <v>384</v>
      </c>
      <c r="F123" s="14">
        <f>'Input Com Kitchen Measures'!G25</f>
        <v>0</v>
      </c>
      <c r="G123" s="218" t="str">
        <f>'Input Com Kitchen Measures'!L25</f>
        <v/>
      </c>
      <c r="H123" s="84" t="str">
        <f>'Input Com Kitchen Measures'!M25</f>
        <v/>
      </c>
      <c r="I123" s="226" t="str">
        <f>IFERROR(N123*MIN(Table_Measure_Caps[[#Totals],[Estimated Raw Incentive Total]], Table_Measure_Caps[[#Totals],[Gross Measure Cost Total]], Value_Project_CAP)/Table_Measure_Caps[[#Totals],[Estimated Raw Incentive Total]], "")</f>
        <v/>
      </c>
      <c r="J123" s="226">
        <f>'Input Com Kitchen Measures'!H25</f>
        <v>0</v>
      </c>
      <c r="K123" s="226">
        <f>'Input Com Kitchen Measures'!I25</f>
        <v>0</v>
      </c>
      <c r="L123" s="29" t="str">
        <f t="shared" si="3"/>
        <v>Version 5.2</v>
      </c>
      <c r="M123" s="58">
        <f>'Input Com Kitchen Measures'!E25</f>
        <v>0</v>
      </c>
      <c r="N123" s="234" t="str">
        <f>'Input Com Kitchen Measures'!K25</f>
        <v/>
      </c>
    </row>
    <row r="124" spans="1:14" x14ac:dyDescent="0.2">
      <c r="A124" s="13" t="s">
        <v>334</v>
      </c>
      <c r="B124" s="12">
        <f t="shared" si="4"/>
        <v>0</v>
      </c>
      <c r="C124" s="12">
        <f>'Input Com Kitchen Measures'!B26</f>
        <v>22</v>
      </c>
      <c r="D124" s="12" t="str">
        <f>'Input Com Kitchen Measures'!C26</f>
        <v/>
      </c>
      <c r="E124" s="12" t="s">
        <v>384</v>
      </c>
      <c r="F124" s="14">
        <f>'Input Com Kitchen Measures'!G26</f>
        <v>0</v>
      </c>
      <c r="G124" s="218" t="str">
        <f>'Input Com Kitchen Measures'!L26</f>
        <v/>
      </c>
      <c r="H124" s="84" t="str">
        <f>'Input Com Kitchen Measures'!M26</f>
        <v/>
      </c>
      <c r="I124" s="226" t="str">
        <f>IFERROR(N124*MIN(Table_Measure_Caps[[#Totals],[Estimated Raw Incentive Total]], Table_Measure_Caps[[#Totals],[Gross Measure Cost Total]], Value_Project_CAP)/Table_Measure_Caps[[#Totals],[Estimated Raw Incentive Total]], "")</f>
        <v/>
      </c>
      <c r="J124" s="226">
        <f>'Input Com Kitchen Measures'!H26</f>
        <v>0</v>
      </c>
      <c r="K124" s="226">
        <f>'Input Com Kitchen Measures'!I26</f>
        <v>0</v>
      </c>
      <c r="L124" s="29" t="str">
        <f t="shared" si="3"/>
        <v>Version 5.2</v>
      </c>
      <c r="M124" s="58">
        <f>'Input Com Kitchen Measures'!E26</f>
        <v>0</v>
      </c>
      <c r="N124" s="234" t="str">
        <f>'Input Com Kitchen Measures'!K26</f>
        <v/>
      </c>
    </row>
    <row r="125" spans="1:14" x14ac:dyDescent="0.2">
      <c r="A125" s="13" t="s">
        <v>334</v>
      </c>
      <c r="B125" s="12">
        <f t="shared" si="4"/>
        <v>0</v>
      </c>
      <c r="C125" s="12">
        <f>'Input Com Kitchen Measures'!B27</f>
        <v>23</v>
      </c>
      <c r="D125" s="12" t="str">
        <f>'Input Com Kitchen Measures'!C27</f>
        <v/>
      </c>
      <c r="E125" s="12" t="s">
        <v>384</v>
      </c>
      <c r="F125" s="14">
        <f>'Input Com Kitchen Measures'!G27</f>
        <v>0</v>
      </c>
      <c r="G125" s="218" t="str">
        <f>'Input Com Kitchen Measures'!L27</f>
        <v/>
      </c>
      <c r="H125" s="84" t="str">
        <f>'Input Com Kitchen Measures'!M27</f>
        <v/>
      </c>
      <c r="I125" s="226" t="str">
        <f>IFERROR(N125*MIN(Table_Measure_Caps[[#Totals],[Estimated Raw Incentive Total]], Table_Measure_Caps[[#Totals],[Gross Measure Cost Total]], Value_Project_CAP)/Table_Measure_Caps[[#Totals],[Estimated Raw Incentive Total]], "")</f>
        <v/>
      </c>
      <c r="J125" s="226">
        <f>'Input Com Kitchen Measures'!H27</f>
        <v>0</v>
      </c>
      <c r="K125" s="226">
        <f>'Input Com Kitchen Measures'!I27</f>
        <v>0</v>
      </c>
      <c r="L125" s="29" t="str">
        <f t="shared" si="3"/>
        <v>Version 5.2</v>
      </c>
      <c r="M125" s="58">
        <f>'Input Com Kitchen Measures'!E27</f>
        <v>0</v>
      </c>
      <c r="N125" s="234" t="str">
        <f>'Input Com Kitchen Measures'!K27</f>
        <v/>
      </c>
    </row>
    <row r="126" spans="1:14" x14ac:dyDescent="0.2">
      <c r="A126" s="13" t="s">
        <v>334</v>
      </c>
      <c r="B126" s="12">
        <f t="shared" si="4"/>
        <v>0</v>
      </c>
      <c r="C126" s="12">
        <f>'Input Com Kitchen Measures'!B28</f>
        <v>24</v>
      </c>
      <c r="D126" s="12" t="str">
        <f>'Input Com Kitchen Measures'!C28</f>
        <v/>
      </c>
      <c r="E126" s="12" t="s">
        <v>384</v>
      </c>
      <c r="F126" s="14">
        <f>'Input Com Kitchen Measures'!G28</f>
        <v>0</v>
      </c>
      <c r="G126" s="218" t="str">
        <f>'Input Com Kitchen Measures'!L28</f>
        <v/>
      </c>
      <c r="H126" s="84" t="str">
        <f>'Input Com Kitchen Measures'!M28</f>
        <v/>
      </c>
      <c r="I126" s="226" t="str">
        <f>IFERROR(N126*MIN(Table_Measure_Caps[[#Totals],[Estimated Raw Incentive Total]], Table_Measure_Caps[[#Totals],[Gross Measure Cost Total]], Value_Project_CAP)/Table_Measure_Caps[[#Totals],[Estimated Raw Incentive Total]], "")</f>
        <v/>
      </c>
      <c r="J126" s="226">
        <f>'Input Com Kitchen Measures'!H28</f>
        <v>0</v>
      </c>
      <c r="K126" s="226">
        <f>'Input Com Kitchen Measures'!I28</f>
        <v>0</v>
      </c>
      <c r="L126" s="29" t="str">
        <f t="shared" si="3"/>
        <v>Version 5.2</v>
      </c>
      <c r="M126" s="58">
        <f>'Input Com Kitchen Measures'!E28</f>
        <v>0</v>
      </c>
      <c r="N126" s="234" t="str">
        <f>'Input Com Kitchen Measures'!K28</f>
        <v/>
      </c>
    </row>
    <row r="127" spans="1:14" x14ac:dyDescent="0.2">
      <c r="A127" s="13" t="s">
        <v>334</v>
      </c>
      <c r="B127" s="12">
        <f t="shared" si="4"/>
        <v>0</v>
      </c>
      <c r="C127" s="12">
        <f>'Input Com Kitchen Measures'!B29</f>
        <v>25</v>
      </c>
      <c r="D127" s="12" t="str">
        <f>'Input Com Kitchen Measures'!C29</f>
        <v/>
      </c>
      <c r="E127" s="12" t="s">
        <v>384</v>
      </c>
      <c r="F127" s="14">
        <f>'Input Com Kitchen Measures'!G29</f>
        <v>0</v>
      </c>
      <c r="G127" s="218" t="str">
        <f>'Input Com Kitchen Measures'!L29</f>
        <v/>
      </c>
      <c r="H127" s="84" t="str">
        <f>'Input Com Kitchen Measures'!M29</f>
        <v/>
      </c>
      <c r="I127" s="226" t="str">
        <f>IFERROR(N127*MIN(Table_Measure_Caps[[#Totals],[Estimated Raw Incentive Total]], Table_Measure_Caps[[#Totals],[Gross Measure Cost Total]], Value_Project_CAP)/Table_Measure_Caps[[#Totals],[Estimated Raw Incentive Total]], "")</f>
        <v/>
      </c>
      <c r="J127" s="226">
        <f>'Input Com Kitchen Measures'!H29</f>
        <v>0</v>
      </c>
      <c r="K127" s="226">
        <f>'Input Com Kitchen Measures'!I29</f>
        <v>0</v>
      </c>
      <c r="L127" s="29" t="str">
        <f t="shared" si="3"/>
        <v>Version 5.2</v>
      </c>
      <c r="M127" s="58">
        <f>'Input Com Kitchen Measures'!E29</f>
        <v>0</v>
      </c>
      <c r="N127" s="234" t="str">
        <f>'Input Com Kitchen Measures'!K29</f>
        <v/>
      </c>
    </row>
    <row r="128" spans="1:14" x14ac:dyDescent="0.2">
      <c r="A128" s="13" t="s">
        <v>334</v>
      </c>
      <c r="B128" s="12">
        <f t="shared" si="4"/>
        <v>0</v>
      </c>
      <c r="C128" s="12">
        <f>'Input Com Kitchen Measures'!B30</f>
        <v>26</v>
      </c>
      <c r="D128" s="12" t="str">
        <f>'Input Com Kitchen Measures'!C30</f>
        <v/>
      </c>
      <c r="E128" s="12" t="s">
        <v>384</v>
      </c>
      <c r="F128" s="14">
        <f>'Input Com Kitchen Measures'!G30</f>
        <v>0</v>
      </c>
      <c r="G128" s="218" t="str">
        <f>'Input Com Kitchen Measures'!L30</f>
        <v/>
      </c>
      <c r="H128" s="84" t="str">
        <f>'Input Com Kitchen Measures'!M30</f>
        <v/>
      </c>
      <c r="I128" s="226" t="str">
        <f>IFERROR(N128*MIN(Table_Measure_Caps[[#Totals],[Estimated Raw Incentive Total]], Table_Measure_Caps[[#Totals],[Gross Measure Cost Total]], Value_Project_CAP)/Table_Measure_Caps[[#Totals],[Estimated Raw Incentive Total]], "")</f>
        <v/>
      </c>
      <c r="J128" s="226">
        <f>'Input Com Kitchen Measures'!H30</f>
        <v>0</v>
      </c>
      <c r="K128" s="226">
        <f>'Input Com Kitchen Measures'!I30</f>
        <v>0</v>
      </c>
      <c r="L128" s="29" t="str">
        <f t="shared" si="3"/>
        <v>Version 5.2</v>
      </c>
      <c r="M128" s="58">
        <f>'Input Com Kitchen Measures'!E30</f>
        <v>0</v>
      </c>
      <c r="N128" s="234" t="str">
        <f>'Input Com Kitchen Measures'!K30</f>
        <v/>
      </c>
    </row>
    <row r="129" spans="1:14" x14ac:dyDescent="0.2">
      <c r="A129" s="13" t="s">
        <v>334</v>
      </c>
      <c r="B129" s="12">
        <f t="shared" si="4"/>
        <v>0</v>
      </c>
      <c r="C129" s="12">
        <f>'Input Com Kitchen Measures'!B31</f>
        <v>27</v>
      </c>
      <c r="D129" s="12" t="str">
        <f>'Input Com Kitchen Measures'!C31</f>
        <v/>
      </c>
      <c r="E129" s="12" t="s">
        <v>384</v>
      </c>
      <c r="F129" s="14">
        <f>'Input Com Kitchen Measures'!G31</f>
        <v>0</v>
      </c>
      <c r="G129" s="218" t="str">
        <f>'Input Com Kitchen Measures'!L31</f>
        <v/>
      </c>
      <c r="H129" s="84" t="str">
        <f>'Input Com Kitchen Measures'!M31</f>
        <v/>
      </c>
      <c r="I129" s="226" t="str">
        <f>IFERROR(N129*MIN(Table_Measure_Caps[[#Totals],[Estimated Raw Incentive Total]], Table_Measure_Caps[[#Totals],[Gross Measure Cost Total]], Value_Project_CAP)/Table_Measure_Caps[[#Totals],[Estimated Raw Incentive Total]], "")</f>
        <v/>
      </c>
      <c r="J129" s="226">
        <f>'Input Com Kitchen Measures'!H31</f>
        <v>0</v>
      </c>
      <c r="K129" s="226">
        <f>'Input Com Kitchen Measures'!I31</f>
        <v>0</v>
      </c>
      <c r="L129" s="29" t="str">
        <f t="shared" si="3"/>
        <v>Version 5.2</v>
      </c>
      <c r="M129" s="58">
        <f>'Input Com Kitchen Measures'!E31</f>
        <v>0</v>
      </c>
      <c r="N129" s="234" t="str">
        <f>'Input Com Kitchen Measures'!K31</f>
        <v/>
      </c>
    </row>
    <row r="130" spans="1:14" x14ac:dyDescent="0.2">
      <c r="A130" s="13" t="s">
        <v>334</v>
      </c>
      <c r="B130" s="12">
        <f t="shared" si="4"/>
        <v>0</v>
      </c>
      <c r="C130" s="12">
        <f>'Input Com Kitchen Measures'!B32</f>
        <v>28</v>
      </c>
      <c r="D130" s="12" t="str">
        <f>'Input Com Kitchen Measures'!C32</f>
        <v/>
      </c>
      <c r="E130" s="12" t="s">
        <v>384</v>
      </c>
      <c r="F130" s="14">
        <f>'Input Com Kitchen Measures'!G32</f>
        <v>0</v>
      </c>
      <c r="G130" s="218" t="str">
        <f>'Input Com Kitchen Measures'!L32</f>
        <v/>
      </c>
      <c r="H130" s="84" t="str">
        <f>'Input Com Kitchen Measures'!M32</f>
        <v/>
      </c>
      <c r="I130" s="226" t="str">
        <f>IFERROR(N130*MIN(Table_Measure_Caps[[#Totals],[Estimated Raw Incentive Total]], Table_Measure_Caps[[#Totals],[Gross Measure Cost Total]], Value_Project_CAP)/Table_Measure_Caps[[#Totals],[Estimated Raw Incentive Total]], "")</f>
        <v/>
      </c>
      <c r="J130" s="226">
        <f>'Input Com Kitchen Measures'!H32</f>
        <v>0</v>
      </c>
      <c r="K130" s="226">
        <f>'Input Com Kitchen Measures'!I32</f>
        <v>0</v>
      </c>
      <c r="L130" s="29" t="str">
        <f t="shared" ref="L130:L193" si="5">Value_Application_Version</f>
        <v>Version 5.2</v>
      </c>
      <c r="M130" s="58">
        <f>'Input Com Kitchen Measures'!E32</f>
        <v>0</v>
      </c>
      <c r="N130" s="234" t="str">
        <f>'Input Com Kitchen Measures'!K32</f>
        <v/>
      </c>
    </row>
    <row r="131" spans="1:14" x14ac:dyDescent="0.2">
      <c r="A131" s="13" t="s">
        <v>334</v>
      </c>
      <c r="B131" s="12">
        <f t="shared" si="4"/>
        <v>0</v>
      </c>
      <c r="C131" s="12">
        <f>'Input Com Kitchen Measures'!B33</f>
        <v>29</v>
      </c>
      <c r="D131" s="12" t="str">
        <f>'Input Com Kitchen Measures'!C33</f>
        <v/>
      </c>
      <c r="E131" s="12" t="s">
        <v>384</v>
      </c>
      <c r="F131" s="14">
        <f>'Input Com Kitchen Measures'!G33</f>
        <v>0</v>
      </c>
      <c r="G131" s="218" t="str">
        <f>'Input Com Kitchen Measures'!L33</f>
        <v/>
      </c>
      <c r="H131" s="84" t="str">
        <f>'Input Com Kitchen Measures'!M33</f>
        <v/>
      </c>
      <c r="I131" s="226" t="str">
        <f>IFERROR(N131*MIN(Table_Measure_Caps[[#Totals],[Estimated Raw Incentive Total]], Table_Measure_Caps[[#Totals],[Gross Measure Cost Total]], Value_Project_CAP)/Table_Measure_Caps[[#Totals],[Estimated Raw Incentive Total]], "")</f>
        <v/>
      </c>
      <c r="J131" s="226">
        <f>'Input Com Kitchen Measures'!H33</f>
        <v>0</v>
      </c>
      <c r="K131" s="226">
        <f>'Input Com Kitchen Measures'!I33</f>
        <v>0</v>
      </c>
      <c r="L131" s="29" t="str">
        <f t="shared" si="5"/>
        <v>Version 5.2</v>
      </c>
      <c r="M131" s="58">
        <f>'Input Com Kitchen Measures'!E33</f>
        <v>0</v>
      </c>
      <c r="N131" s="234" t="str">
        <f>'Input Com Kitchen Measures'!K33</f>
        <v/>
      </c>
    </row>
    <row r="132" spans="1:14" x14ac:dyDescent="0.2">
      <c r="A132" s="13" t="s">
        <v>334</v>
      </c>
      <c r="B132" s="12">
        <f t="shared" si="4"/>
        <v>0</v>
      </c>
      <c r="C132" s="12">
        <f>'Input Com Kitchen Measures'!B34</f>
        <v>30</v>
      </c>
      <c r="D132" s="12" t="str">
        <f>'Input Com Kitchen Measures'!C34</f>
        <v/>
      </c>
      <c r="E132" s="12" t="s">
        <v>384</v>
      </c>
      <c r="F132" s="14">
        <f>'Input Com Kitchen Measures'!G34</f>
        <v>0</v>
      </c>
      <c r="G132" s="218" t="str">
        <f>'Input Com Kitchen Measures'!L34</f>
        <v/>
      </c>
      <c r="H132" s="84" t="str">
        <f>'Input Com Kitchen Measures'!M34</f>
        <v/>
      </c>
      <c r="I132" s="226" t="str">
        <f>IFERROR(N132*MIN(Table_Measure_Caps[[#Totals],[Estimated Raw Incentive Total]], Table_Measure_Caps[[#Totals],[Gross Measure Cost Total]], Value_Project_CAP)/Table_Measure_Caps[[#Totals],[Estimated Raw Incentive Total]], "")</f>
        <v/>
      </c>
      <c r="J132" s="226">
        <f>'Input Com Kitchen Measures'!H34</f>
        <v>0</v>
      </c>
      <c r="K132" s="226">
        <f>'Input Com Kitchen Measures'!I34</f>
        <v>0</v>
      </c>
      <c r="L132" s="29" t="str">
        <f t="shared" si="5"/>
        <v>Version 5.2</v>
      </c>
      <c r="M132" s="58">
        <f>'Input Com Kitchen Measures'!E34</f>
        <v>0</v>
      </c>
      <c r="N132" s="234" t="str">
        <f>'Input Com Kitchen Measures'!K34</f>
        <v/>
      </c>
    </row>
    <row r="133" spans="1:14" hidden="1" x14ac:dyDescent="0.2">
      <c r="A133" s="70" t="s">
        <v>261</v>
      </c>
      <c r="B133" s="71">
        <f t="shared" ref="B133:B164" si="6">Input_ProjectNumber</f>
        <v>0</v>
      </c>
      <c r="C133" s="71">
        <v>1</v>
      </c>
      <c r="D133" s="71" t="e">
        <f>#REF!</f>
        <v>#REF!</v>
      </c>
      <c r="E133" s="71" t="e">
        <f>#REF!</f>
        <v>#REF!</v>
      </c>
      <c r="F133" s="71" t="e">
        <f>#REF!</f>
        <v>#REF!</v>
      </c>
      <c r="G133" s="220" t="e">
        <f>#REF!</f>
        <v>#REF!</v>
      </c>
      <c r="H133" s="86" t="e">
        <f>#REF!</f>
        <v>#REF!</v>
      </c>
      <c r="I133" s="228" t="str">
        <f>IFERROR(N133*MIN(Table_Measure_Caps[[#Totals],[Estimated Raw Incentive Total]], Table_Measure_Caps[[#Totals],[Gross Measure Cost Total]], Value_Project_CAP)/Table_Measure_Caps[[#Totals],[Estimated Raw Incentive Total]], "")</f>
        <v/>
      </c>
      <c r="J133" s="228" t="e">
        <f>#REF!</f>
        <v>#REF!</v>
      </c>
      <c r="K133" s="228" t="e">
        <f>#REF!</f>
        <v>#REF!</v>
      </c>
      <c r="L133" s="72" t="str">
        <f t="shared" si="5"/>
        <v>Version 5.2</v>
      </c>
      <c r="M133" s="73" t="e">
        <f>#REF!</f>
        <v>#REF!</v>
      </c>
      <c r="N133" s="236" t="e">
        <f>#REF!</f>
        <v>#REF!</v>
      </c>
    </row>
    <row r="134" spans="1:14" hidden="1" x14ac:dyDescent="0.2">
      <c r="A134" s="70" t="s">
        <v>261</v>
      </c>
      <c r="B134" s="74">
        <f t="shared" si="6"/>
        <v>0</v>
      </c>
      <c r="C134" s="74">
        <v>2</v>
      </c>
      <c r="D134" s="71" t="e">
        <f>#REF!</f>
        <v>#REF!</v>
      </c>
      <c r="E134" s="71" t="e">
        <f>#REF!</f>
        <v>#REF!</v>
      </c>
      <c r="F134" s="71" t="e">
        <f>#REF!</f>
        <v>#REF!</v>
      </c>
      <c r="G134" s="220" t="e">
        <f>#REF!</f>
        <v>#REF!</v>
      </c>
      <c r="H134" s="86" t="e">
        <f>#REF!</f>
        <v>#REF!</v>
      </c>
      <c r="I134" s="228" t="str">
        <f>IFERROR(N134*MIN(Table_Measure_Caps[[#Totals],[Estimated Raw Incentive Total]], Table_Measure_Caps[[#Totals],[Gross Measure Cost Total]], Value_Project_CAP)/Table_Measure_Caps[[#Totals],[Estimated Raw Incentive Total]], "")</f>
        <v/>
      </c>
      <c r="J134" s="228" t="e">
        <f>#REF!</f>
        <v>#REF!</v>
      </c>
      <c r="K134" s="228" t="e">
        <f>#REF!</f>
        <v>#REF!</v>
      </c>
      <c r="L134" s="72" t="str">
        <f t="shared" si="5"/>
        <v>Version 5.2</v>
      </c>
      <c r="M134" s="73" t="e">
        <f>#REF!</f>
        <v>#REF!</v>
      </c>
      <c r="N134" s="236" t="e">
        <f>#REF!</f>
        <v>#REF!</v>
      </c>
    </row>
    <row r="135" spans="1:14" hidden="1" x14ac:dyDescent="0.2">
      <c r="A135" s="70" t="s">
        <v>261</v>
      </c>
      <c r="B135" s="71">
        <f t="shared" si="6"/>
        <v>0</v>
      </c>
      <c r="C135" s="71">
        <v>3</v>
      </c>
      <c r="D135" s="71" t="e">
        <f>#REF!</f>
        <v>#REF!</v>
      </c>
      <c r="E135" s="71" t="e">
        <f>#REF!</f>
        <v>#REF!</v>
      </c>
      <c r="F135" s="71" t="e">
        <f>#REF!</f>
        <v>#REF!</v>
      </c>
      <c r="G135" s="220" t="e">
        <f>#REF!</f>
        <v>#REF!</v>
      </c>
      <c r="H135" s="86" t="e">
        <f>#REF!</f>
        <v>#REF!</v>
      </c>
      <c r="I135" s="228" t="str">
        <f>IFERROR(N135*MIN(Table_Measure_Caps[[#Totals],[Estimated Raw Incentive Total]], Table_Measure_Caps[[#Totals],[Gross Measure Cost Total]], Value_Project_CAP)/Table_Measure_Caps[[#Totals],[Estimated Raw Incentive Total]], "")</f>
        <v/>
      </c>
      <c r="J135" s="228" t="e">
        <f>#REF!</f>
        <v>#REF!</v>
      </c>
      <c r="K135" s="228" t="e">
        <f>#REF!</f>
        <v>#REF!</v>
      </c>
      <c r="L135" s="72" t="str">
        <f t="shared" si="5"/>
        <v>Version 5.2</v>
      </c>
      <c r="M135" s="73" t="e">
        <f>#REF!</f>
        <v>#REF!</v>
      </c>
      <c r="N135" s="236" t="e">
        <f>#REF!</f>
        <v>#REF!</v>
      </c>
    </row>
    <row r="136" spans="1:14" hidden="1" x14ac:dyDescent="0.2">
      <c r="A136" s="70" t="s">
        <v>261</v>
      </c>
      <c r="B136" s="74">
        <f t="shared" si="6"/>
        <v>0</v>
      </c>
      <c r="C136" s="74">
        <v>4</v>
      </c>
      <c r="D136" s="71" t="e">
        <f>#REF!</f>
        <v>#REF!</v>
      </c>
      <c r="E136" s="71" t="e">
        <f>#REF!</f>
        <v>#REF!</v>
      </c>
      <c r="F136" s="71" t="e">
        <f>#REF!</f>
        <v>#REF!</v>
      </c>
      <c r="G136" s="220" t="e">
        <f>#REF!</f>
        <v>#REF!</v>
      </c>
      <c r="H136" s="86" t="e">
        <f>#REF!</f>
        <v>#REF!</v>
      </c>
      <c r="I136" s="228" t="str">
        <f>IFERROR(N136*MIN(Table_Measure_Caps[[#Totals],[Estimated Raw Incentive Total]], Table_Measure_Caps[[#Totals],[Gross Measure Cost Total]], Value_Project_CAP)/Table_Measure_Caps[[#Totals],[Estimated Raw Incentive Total]], "")</f>
        <v/>
      </c>
      <c r="J136" s="228" t="e">
        <f>#REF!</f>
        <v>#REF!</v>
      </c>
      <c r="K136" s="228" t="e">
        <f>#REF!</f>
        <v>#REF!</v>
      </c>
      <c r="L136" s="72" t="str">
        <f t="shared" si="5"/>
        <v>Version 5.2</v>
      </c>
      <c r="M136" s="73" t="e">
        <f>#REF!</f>
        <v>#REF!</v>
      </c>
      <c r="N136" s="236" t="e">
        <f>#REF!</f>
        <v>#REF!</v>
      </c>
    </row>
    <row r="137" spans="1:14" hidden="1" x14ac:dyDescent="0.2">
      <c r="A137" s="70" t="s">
        <v>261</v>
      </c>
      <c r="B137" s="71">
        <f t="shared" si="6"/>
        <v>0</v>
      </c>
      <c r="C137" s="71">
        <v>5</v>
      </c>
      <c r="D137" s="71" t="e">
        <f>#REF!</f>
        <v>#REF!</v>
      </c>
      <c r="E137" s="71" t="e">
        <f>#REF!</f>
        <v>#REF!</v>
      </c>
      <c r="F137" s="71" t="e">
        <f>#REF!</f>
        <v>#REF!</v>
      </c>
      <c r="G137" s="220" t="e">
        <f>#REF!</f>
        <v>#REF!</v>
      </c>
      <c r="H137" s="86" t="e">
        <f>#REF!</f>
        <v>#REF!</v>
      </c>
      <c r="I137" s="228" t="str">
        <f>IFERROR(N137*MIN(Table_Measure_Caps[[#Totals],[Estimated Raw Incentive Total]], Table_Measure_Caps[[#Totals],[Gross Measure Cost Total]], Value_Project_CAP)/Table_Measure_Caps[[#Totals],[Estimated Raw Incentive Total]], "")</f>
        <v/>
      </c>
      <c r="J137" s="228" t="e">
        <f>#REF!</f>
        <v>#REF!</v>
      </c>
      <c r="K137" s="228" t="e">
        <f>#REF!</f>
        <v>#REF!</v>
      </c>
      <c r="L137" s="72" t="str">
        <f t="shared" si="5"/>
        <v>Version 5.2</v>
      </c>
      <c r="M137" s="73" t="e">
        <f>#REF!</f>
        <v>#REF!</v>
      </c>
      <c r="N137" s="236" t="e">
        <f>#REF!</f>
        <v>#REF!</v>
      </c>
    </row>
    <row r="138" spans="1:14" hidden="1" x14ac:dyDescent="0.2">
      <c r="A138" s="70" t="s">
        <v>261</v>
      </c>
      <c r="B138" s="74">
        <f t="shared" si="6"/>
        <v>0</v>
      </c>
      <c r="C138" s="74">
        <v>6</v>
      </c>
      <c r="D138" s="71" t="e">
        <f>#REF!</f>
        <v>#REF!</v>
      </c>
      <c r="E138" s="71" t="e">
        <f>#REF!</f>
        <v>#REF!</v>
      </c>
      <c r="F138" s="71" t="e">
        <f>#REF!</f>
        <v>#REF!</v>
      </c>
      <c r="G138" s="220" t="e">
        <f>#REF!</f>
        <v>#REF!</v>
      </c>
      <c r="H138" s="86" t="e">
        <f>#REF!</f>
        <v>#REF!</v>
      </c>
      <c r="I138" s="228" t="str">
        <f>IFERROR(N138*MIN(Table_Measure_Caps[[#Totals],[Estimated Raw Incentive Total]], Table_Measure_Caps[[#Totals],[Gross Measure Cost Total]], Value_Project_CAP)/Table_Measure_Caps[[#Totals],[Estimated Raw Incentive Total]], "")</f>
        <v/>
      </c>
      <c r="J138" s="228" t="e">
        <f>#REF!</f>
        <v>#REF!</v>
      </c>
      <c r="K138" s="228" t="e">
        <f>#REF!</f>
        <v>#REF!</v>
      </c>
      <c r="L138" s="72" t="str">
        <f t="shared" si="5"/>
        <v>Version 5.2</v>
      </c>
      <c r="M138" s="73" t="e">
        <f>#REF!</f>
        <v>#REF!</v>
      </c>
      <c r="N138" s="236" t="e">
        <f>#REF!</f>
        <v>#REF!</v>
      </c>
    </row>
    <row r="139" spans="1:14" hidden="1" x14ac:dyDescent="0.2">
      <c r="A139" s="70" t="s">
        <v>261</v>
      </c>
      <c r="B139" s="71">
        <f t="shared" si="6"/>
        <v>0</v>
      </c>
      <c r="C139" s="71">
        <v>7</v>
      </c>
      <c r="D139" s="71" t="e">
        <f>#REF!</f>
        <v>#REF!</v>
      </c>
      <c r="E139" s="71" t="e">
        <f>#REF!</f>
        <v>#REF!</v>
      </c>
      <c r="F139" s="71" t="e">
        <f>#REF!</f>
        <v>#REF!</v>
      </c>
      <c r="G139" s="220" t="e">
        <f>#REF!</f>
        <v>#REF!</v>
      </c>
      <c r="H139" s="86" t="e">
        <f>#REF!</f>
        <v>#REF!</v>
      </c>
      <c r="I139" s="228" t="str">
        <f>IFERROR(N139*MIN(Table_Measure_Caps[[#Totals],[Estimated Raw Incentive Total]], Table_Measure_Caps[[#Totals],[Gross Measure Cost Total]], Value_Project_CAP)/Table_Measure_Caps[[#Totals],[Estimated Raw Incentive Total]], "")</f>
        <v/>
      </c>
      <c r="J139" s="228" t="e">
        <f>#REF!</f>
        <v>#REF!</v>
      </c>
      <c r="K139" s="228" t="e">
        <f>#REF!</f>
        <v>#REF!</v>
      </c>
      <c r="L139" s="72" t="str">
        <f t="shared" si="5"/>
        <v>Version 5.2</v>
      </c>
      <c r="M139" s="73" t="e">
        <f>#REF!</f>
        <v>#REF!</v>
      </c>
      <c r="N139" s="236" t="e">
        <f>#REF!</f>
        <v>#REF!</v>
      </c>
    </row>
    <row r="140" spans="1:14" hidden="1" x14ac:dyDescent="0.2">
      <c r="A140" s="70" t="s">
        <v>261</v>
      </c>
      <c r="B140" s="74">
        <f t="shared" si="6"/>
        <v>0</v>
      </c>
      <c r="C140" s="74">
        <v>8</v>
      </c>
      <c r="D140" s="71" t="e">
        <f>#REF!</f>
        <v>#REF!</v>
      </c>
      <c r="E140" s="71" t="e">
        <f>#REF!</f>
        <v>#REF!</v>
      </c>
      <c r="F140" s="71" t="e">
        <f>#REF!</f>
        <v>#REF!</v>
      </c>
      <c r="G140" s="220" t="e">
        <f>#REF!</f>
        <v>#REF!</v>
      </c>
      <c r="H140" s="86" t="e">
        <f>#REF!</f>
        <v>#REF!</v>
      </c>
      <c r="I140" s="228" t="str">
        <f>IFERROR(N140*MIN(Table_Measure_Caps[[#Totals],[Estimated Raw Incentive Total]], Table_Measure_Caps[[#Totals],[Gross Measure Cost Total]], Value_Project_CAP)/Table_Measure_Caps[[#Totals],[Estimated Raw Incentive Total]], "")</f>
        <v/>
      </c>
      <c r="J140" s="228" t="e">
        <f>#REF!</f>
        <v>#REF!</v>
      </c>
      <c r="K140" s="228" t="e">
        <f>#REF!</f>
        <v>#REF!</v>
      </c>
      <c r="L140" s="72" t="str">
        <f t="shared" si="5"/>
        <v>Version 5.2</v>
      </c>
      <c r="M140" s="73" t="e">
        <f>#REF!</f>
        <v>#REF!</v>
      </c>
      <c r="N140" s="236" t="e">
        <f>#REF!</f>
        <v>#REF!</v>
      </c>
    </row>
    <row r="141" spans="1:14" hidden="1" x14ac:dyDescent="0.2">
      <c r="A141" s="70" t="s">
        <v>261</v>
      </c>
      <c r="B141" s="71">
        <f t="shared" si="6"/>
        <v>0</v>
      </c>
      <c r="C141" s="71">
        <v>9</v>
      </c>
      <c r="D141" s="71" t="e">
        <f>#REF!</f>
        <v>#REF!</v>
      </c>
      <c r="E141" s="71" t="e">
        <f>#REF!</f>
        <v>#REF!</v>
      </c>
      <c r="F141" s="71" t="e">
        <f>#REF!</f>
        <v>#REF!</v>
      </c>
      <c r="G141" s="220" t="e">
        <f>#REF!</f>
        <v>#REF!</v>
      </c>
      <c r="H141" s="86" t="e">
        <f>#REF!</f>
        <v>#REF!</v>
      </c>
      <c r="I141" s="228" t="str">
        <f>IFERROR(N141*MIN(Table_Measure_Caps[[#Totals],[Estimated Raw Incentive Total]], Table_Measure_Caps[[#Totals],[Gross Measure Cost Total]], Value_Project_CAP)/Table_Measure_Caps[[#Totals],[Estimated Raw Incentive Total]], "")</f>
        <v/>
      </c>
      <c r="J141" s="228" t="e">
        <f>#REF!</f>
        <v>#REF!</v>
      </c>
      <c r="K141" s="228" t="e">
        <f>#REF!</f>
        <v>#REF!</v>
      </c>
      <c r="L141" s="72" t="str">
        <f t="shared" si="5"/>
        <v>Version 5.2</v>
      </c>
      <c r="M141" s="73" t="e">
        <f>#REF!</f>
        <v>#REF!</v>
      </c>
      <c r="N141" s="236" t="e">
        <f>#REF!</f>
        <v>#REF!</v>
      </c>
    </row>
    <row r="142" spans="1:14" hidden="1" x14ac:dyDescent="0.2">
      <c r="A142" s="70" t="s">
        <v>261</v>
      </c>
      <c r="B142" s="74">
        <f t="shared" si="6"/>
        <v>0</v>
      </c>
      <c r="C142" s="74">
        <v>10</v>
      </c>
      <c r="D142" s="71" t="e">
        <f>#REF!</f>
        <v>#REF!</v>
      </c>
      <c r="E142" s="71" t="e">
        <f>#REF!</f>
        <v>#REF!</v>
      </c>
      <c r="F142" s="71" t="e">
        <f>#REF!</f>
        <v>#REF!</v>
      </c>
      <c r="G142" s="220" t="e">
        <f>#REF!</f>
        <v>#REF!</v>
      </c>
      <c r="H142" s="86" t="e">
        <f>#REF!</f>
        <v>#REF!</v>
      </c>
      <c r="I142" s="228" t="str">
        <f>IFERROR(N142*MIN(Table_Measure_Caps[[#Totals],[Estimated Raw Incentive Total]], Table_Measure_Caps[[#Totals],[Gross Measure Cost Total]], Value_Project_CAP)/Table_Measure_Caps[[#Totals],[Estimated Raw Incentive Total]], "")</f>
        <v/>
      </c>
      <c r="J142" s="228" t="e">
        <f>#REF!</f>
        <v>#REF!</v>
      </c>
      <c r="K142" s="228" t="e">
        <f>#REF!</f>
        <v>#REF!</v>
      </c>
      <c r="L142" s="72" t="str">
        <f t="shared" si="5"/>
        <v>Version 5.2</v>
      </c>
      <c r="M142" s="73" t="e">
        <f>#REF!</f>
        <v>#REF!</v>
      </c>
      <c r="N142" s="236" t="e">
        <f>#REF!</f>
        <v>#REF!</v>
      </c>
    </row>
    <row r="143" spans="1:14" hidden="1" x14ac:dyDescent="0.2">
      <c r="A143" s="70" t="s">
        <v>261</v>
      </c>
      <c r="B143" s="71">
        <f t="shared" si="6"/>
        <v>0</v>
      </c>
      <c r="C143" s="71">
        <v>11</v>
      </c>
      <c r="D143" s="71" t="e">
        <f>#REF!</f>
        <v>#REF!</v>
      </c>
      <c r="E143" s="71" t="e">
        <f>#REF!</f>
        <v>#REF!</v>
      </c>
      <c r="F143" s="71" t="e">
        <f>#REF!</f>
        <v>#REF!</v>
      </c>
      <c r="G143" s="220" t="e">
        <f>#REF!</f>
        <v>#REF!</v>
      </c>
      <c r="H143" s="86" t="e">
        <f>#REF!</f>
        <v>#REF!</v>
      </c>
      <c r="I143" s="228" t="str">
        <f>IFERROR(N143*MIN(Table_Measure_Caps[[#Totals],[Estimated Raw Incentive Total]], Table_Measure_Caps[[#Totals],[Gross Measure Cost Total]], Value_Project_CAP)/Table_Measure_Caps[[#Totals],[Estimated Raw Incentive Total]], "")</f>
        <v/>
      </c>
      <c r="J143" s="228" t="e">
        <f>#REF!</f>
        <v>#REF!</v>
      </c>
      <c r="K143" s="228" t="e">
        <f>#REF!</f>
        <v>#REF!</v>
      </c>
      <c r="L143" s="72" t="str">
        <f t="shared" si="5"/>
        <v>Version 5.2</v>
      </c>
      <c r="M143" s="73" t="e">
        <f>#REF!</f>
        <v>#REF!</v>
      </c>
      <c r="N143" s="236" t="e">
        <f>#REF!</f>
        <v>#REF!</v>
      </c>
    </row>
    <row r="144" spans="1:14" hidden="1" x14ac:dyDescent="0.2">
      <c r="A144" s="70" t="s">
        <v>261</v>
      </c>
      <c r="B144" s="74">
        <f t="shared" si="6"/>
        <v>0</v>
      </c>
      <c r="C144" s="74">
        <v>12</v>
      </c>
      <c r="D144" s="71" t="e">
        <f>#REF!</f>
        <v>#REF!</v>
      </c>
      <c r="E144" s="71" t="e">
        <f>#REF!</f>
        <v>#REF!</v>
      </c>
      <c r="F144" s="71" t="e">
        <f>#REF!</f>
        <v>#REF!</v>
      </c>
      <c r="G144" s="220" t="e">
        <f>#REF!</f>
        <v>#REF!</v>
      </c>
      <c r="H144" s="86" t="e">
        <f>#REF!</f>
        <v>#REF!</v>
      </c>
      <c r="I144" s="228" t="str">
        <f>IFERROR(N144*MIN(Table_Measure_Caps[[#Totals],[Estimated Raw Incentive Total]], Table_Measure_Caps[[#Totals],[Gross Measure Cost Total]], Value_Project_CAP)/Table_Measure_Caps[[#Totals],[Estimated Raw Incentive Total]], "")</f>
        <v/>
      </c>
      <c r="J144" s="228" t="e">
        <f>#REF!</f>
        <v>#REF!</v>
      </c>
      <c r="K144" s="228" t="e">
        <f>#REF!</f>
        <v>#REF!</v>
      </c>
      <c r="L144" s="72" t="str">
        <f t="shared" si="5"/>
        <v>Version 5.2</v>
      </c>
      <c r="M144" s="73" t="e">
        <f>#REF!</f>
        <v>#REF!</v>
      </c>
      <c r="N144" s="236" t="e">
        <f>#REF!</f>
        <v>#REF!</v>
      </c>
    </row>
    <row r="145" spans="1:14" hidden="1" x14ac:dyDescent="0.2">
      <c r="A145" s="70" t="s">
        <v>261</v>
      </c>
      <c r="B145" s="71">
        <f t="shared" si="6"/>
        <v>0</v>
      </c>
      <c r="C145" s="71">
        <v>13</v>
      </c>
      <c r="D145" s="71" t="e">
        <f>#REF!</f>
        <v>#REF!</v>
      </c>
      <c r="E145" s="71" t="e">
        <f>#REF!</f>
        <v>#REF!</v>
      </c>
      <c r="F145" s="71" t="e">
        <f>#REF!</f>
        <v>#REF!</v>
      </c>
      <c r="G145" s="220" t="e">
        <f>#REF!</f>
        <v>#REF!</v>
      </c>
      <c r="H145" s="86" t="e">
        <f>#REF!</f>
        <v>#REF!</v>
      </c>
      <c r="I145" s="228" t="str">
        <f>IFERROR(N145*MIN(Table_Measure_Caps[[#Totals],[Estimated Raw Incentive Total]], Table_Measure_Caps[[#Totals],[Gross Measure Cost Total]], Value_Project_CAP)/Table_Measure_Caps[[#Totals],[Estimated Raw Incentive Total]], "")</f>
        <v/>
      </c>
      <c r="J145" s="228" t="e">
        <f>#REF!</f>
        <v>#REF!</v>
      </c>
      <c r="K145" s="228" t="e">
        <f>#REF!</f>
        <v>#REF!</v>
      </c>
      <c r="L145" s="72" t="str">
        <f t="shared" si="5"/>
        <v>Version 5.2</v>
      </c>
      <c r="M145" s="73" t="e">
        <f>#REF!</f>
        <v>#REF!</v>
      </c>
      <c r="N145" s="236" t="e">
        <f>#REF!</f>
        <v>#REF!</v>
      </c>
    </row>
    <row r="146" spans="1:14" hidden="1" x14ac:dyDescent="0.2">
      <c r="A146" s="70" t="s">
        <v>261</v>
      </c>
      <c r="B146" s="74">
        <f t="shared" si="6"/>
        <v>0</v>
      </c>
      <c r="C146" s="74">
        <v>14</v>
      </c>
      <c r="D146" s="71" t="e">
        <f>#REF!</f>
        <v>#REF!</v>
      </c>
      <c r="E146" s="71" t="e">
        <f>#REF!</f>
        <v>#REF!</v>
      </c>
      <c r="F146" s="71" t="e">
        <f>#REF!</f>
        <v>#REF!</v>
      </c>
      <c r="G146" s="220" t="e">
        <f>#REF!</f>
        <v>#REF!</v>
      </c>
      <c r="H146" s="86" t="e">
        <f>#REF!</f>
        <v>#REF!</v>
      </c>
      <c r="I146" s="228" t="str">
        <f>IFERROR(N146*MIN(Table_Measure_Caps[[#Totals],[Estimated Raw Incentive Total]], Table_Measure_Caps[[#Totals],[Gross Measure Cost Total]], Value_Project_CAP)/Table_Measure_Caps[[#Totals],[Estimated Raw Incentive Total]], "")</f>
        <v/>
      </c>
      <c r="J146" s="228" t="e">
        <f>#REF!</f>
        <v>#REF!</v>
      </c>
      <c r="K146" s="228" t="e">
        <f>#REF!</f>
        <v>#REF!</v>
      </c>
      <c r="L146" s="72" t="str">
        <f t="shared" si="5"/>
        <v>Version 5.2</v>
      </c>
      <c r="M146" s="73" t="e">
        <f>#REF!</f>
        <v>#REF!</v>
      </c>
      <c r="N146" s="236" t="e">
        <f>#REF!</f>
        <v>#REF!</v>
      </c>
    </row>
    <row r="147" spans="1:14" hidden="1" x14ac:dyDescent="0.2">
      <c r="A147" s="70" t="s">
        <v>261</v>
      </c>
      <c r="B147" s="71">
        <f t="shared" si="6"/>
        <v>0</v>
      </c>
      <c r="C147" s="71">
        <v>15</v>
      </c>
      <c r="D147" s="71" t="e">
        <f>#REF!</f>
        <v>#REF!</v>
      </c>
      <c r="E147" s="71" t="e">
        <f>#REF!</f>
        <v>#REF!</v>
      </c>
      <c r="F147" s="71" t="e">
        <f>#REF!</f>
        <v>#REF!</v>
      </c>
      <c r="G147" s="220" t="e">
        <f>#REF!</f>
        <v>#REF!</v>
      </c>
      <c r="H147" s="86" t="e">
        <f>#REF!</f>
        <v>#REF!</v>
      </c>
      <c r="I147" s="228" t="str">
        <f>IFERROR(N147*MIN(Table_Measure_Caps[[#Totals],[Estimated Raw Incentive Total]], Table_Measure_Caps[[#Totals],[Gross Measure Cost Total]], Value_Project_CAP)/Table_Measure_Caps[[#Totals],[Estimated Raw Incentive Total]], "")</f>
        <v/>
      </c>
      <c r="J147" s="228" t="e">
        <f>#REF!</f>
        <v>#REF!</v>
      </c>
      <c r="K147" s="228" t="e">
        <f>#REF!</f>
        <v>#REF!</v>
      </c>
      <c r="L147" s="72" t="str">
        <f t="shared" si="5"/>
        <v>Version 5.2</v>
      </c>
      <c r="M147" s="73" t="e">
        <f>#REF!</f>
        <v>#REF!</v>
      </c>
      <c r="N147" s="236" t="e">
        <f>#REF!</f>
        <v>#REF!</v>
      </c>
    </row>
    <row r="148" spans="1:14" hidden="1" x14ac:dyDescent="0.2">
      <c r="A148" s="70" t="s">
        <v>261</v>
      </c>
      <c r="B148" s="74">
        <f t="shared" si="6"/>
        <v>0</v>
      </c>
      <c r="C148" s="74">
        <v>16</v>
      </c>
      <c r="D148" s="71" t="e">
        <f>#REF!</f>
        <v>#REF!</v>
      </c>
      <c r="E148" s="71" t="e">
        <f>#REF!</f>
        <v>#REF!</v>
      </c>
      <c r="F148" s="71" t="e">
        <f>#REF!</f>
        <v>#REF!</v>
      </c>
      <c r="G148" s="220" t="e">
        <f>#REF!</f>
        <v>#REF!</v>
      </c>
      <c r="H148" s="86" t="e">
        <f>#REF!</f>
        <v>#REF!</v>
      </c>
      <c r="I148" s="228" t="str">
        <f>IFERROR(N148*MIN(Table_Measure_Caps[[#Totals],[Estimated Raw Incentive Total]], Table_Measure_Caps[[#Totals],[Gross Measure Cost Total]], Value_Project_CAP)/Table_Measure_Caps[[#Totals],[Estimated Raw Incentive Total]], "")</f>
        <v/>
      </c>
      <c r="J148" s="228" t="e">
        <f>#REF!</f>
        <v>#REF!</v>
      </c>
      <c r="K148" s="228" t="e">
        <f>#REF!</f>
        <v>#REF!</v>
      </c>
      <c r="L148" s="72" t="str">
        <f t="shared" si="5"/>
        <v>Version 5.2</v>
      </c>
      <c r="M148" s="73" t="e">
        <f>#REF!</f>
        <v>#REF!</v>
      </c>
      <c r="N148" s="236" t="e">
        <f>#REF!</f>
        <v>#REF!</v>
      </c>
    </row>
    <row r="149" spans="1:14" hidden="1" x14ac:dyDescent="0.2">
      <c r="A149" s="70" t="s">
        <v>261</v>
      </c>
      <c r="B149" s="71">
        <f t="shared" si="6"/>
        <v>0</v>
      </c>
      <c r="C149" s="71">
        <v>17</v>
      </c>
      <c r="D149" s="71" t="e">
        <f>#REF!</f>
        <v>#REF!</v>
      </c>
      <c r="E149" s="71" t="e">
        <f>#REF!</f>
        <v>#REF!</v>
      </c>
      <c r="F149" s="71" t="e">
        <f>#REF!</f>
        <v>#REF!</v>
      </c>
      <c r="G149" s="220" t="e">
        <f>#REF!</f>
        <v>#REF!</v>
      </c>
      <c r="H149" s="86" t="e">
        <f>#REF!</f>
        <v>#REF!</v>
      </c>
      <c r="I149" s="228" t="str">
        <f>IFERROR(N149*MIN(Table_Measure_Caps[[#Totals],[Estimated Raw Incentive Total]], Table_Measure_Caps[[#Totals],[Gross Measure Cost Total]], Value_Project_CAP)/Table_Measure_Caps[[#Totals],[Estimated Raw Incentive Total]], "")</f>
        <v/>
      </c>
      <c r="J149" s="228" t="e">
        <f>#REF!</f>
        <v>#REF!</v>
      </c>
      <c r="K149" s="228" t="e">
        <f>#REF!</f>
        <v>#REF!</v>
      </c>
      <c r="L149" s="72" t="str">
        <f t="shared" si="5"/>
        <v>Version 5.2</v>
      </c>
      <c r="M149" s="73" t="e">
        <f>#REF!</f>
        <v>#REF!</v>
      </c>
      <c r="N149" s="236" t="e">
        <f>#REF!</f>
        <v>#REF!</v>
      </c>
    </row>
    <row r="150" spans="1:14" hidden="1" x14ac:dyDescent="0.2">
      <c r="A150" s="70" t="s">
        <v>261</v>
      </c>
      <c r="B150" s="74">
        <f t="shared" si="6"/>
        <v>0</v>
      </c>
      <c r="C150" s="74">
        <v>18</v>
      </c>
      <c r="D150" s="71" t="e">
        <f>#REF!</f>
        <v>#REF!</v>
      </c>
      <c r="E150" s="71" t="e">
        <f>#REF!</f>
        <v>#REF!</v>
      </c>
      <c r="F150" s="71" t="e">
        <f>#REF!</f>
        <v>#REF!</v>
      </c>
      <c r="G150" s="220" t="e">
        <f>#REF!</f>
        <v>#REF!</v>
      </c>
      <c r="H150" s="86" t="e">
        <f>#REF!</f>
        <v>#REF!</v>
      </c>
      <c r="I150" s="228" t="str">
        <f>IFERROR(N150*MIN(Table_Measure_Caps[[#Totals],[Estimated Raw Incentive Total]], Table_Measure_Caps[[#Totals],[Gross Measure Cost Total]], Value_Project_CAP)/Table_Measure_Caps[[#Totals],[Estimated Raw Incentive Total]], "")</f>
        <v/>
      </c>
      <c r="J150" s="228" t="e">
        <f>#REF!</f>
        <v>#REF!</v>
      </c>
      <c r="K150" s="228" t="e">
        <f>#REF!</f>
        <v>#REF!</v>
      </c>
      <c r="L150" s="72" t="str">
        <f t="shared" si="5"/>
        <v>Version 5.2</v>
      </c>
      <c r="M150" s="73" t="e">
        <f>#REF!</f>
        <v>#REF!</v>
      </c>
      <c r="N150" s="236" t="e">
        <f>#REF!</f>
        <v>#REF!</v>
      </c>
    </row>
    <row r="151" spans="1:14" hidden="1" x14ac:dyDescent="0.2">
      <c r="A151" s="70" t="s">
        <v>261</v>
      </c>
      <c r="B151" s="71">
        <f t="shared" si="6"/>
        <v>0</v>
      </c>
      <c r="C151" s="71">
        <v>19</v>
      </c>
      <c r="D151" s="71" t="e">
        <f>#REF!</f>
        <v>#REF!</v>
      </c>
      <c r="E151" s="71" t="e">
        <f>#REF!</f>
        <v>#REF!</v>
      </c>
      <c r="F151" s="71" t="e">
        <f>#REF!</f>
        <v>#REF!</v>
      </c>
      <c r="G151" s="220" t="e">
        <f>#REF!</f>
        <v>#REF!</v>
      </c>
      <c r="H151" s="86" t="e">
        <f>#REF!</f>
        <v>#REF!</v>
      </c>
      <c r="I151" s="228" t="str">
        <f>IFERROR(N151*MIN(Table_Measure_Caps[[#Totals],[Estimated Raw Incentive Total]], Table_Measure_Caps[[#Totals],[Gross Measure Cost Total]], Value_Project_CAP)/Table_Measure_Caps[[#Totals],[Estimated Raw Incentive Total]], "")</f>
        <v/>
      </c>
      <c r="J151" s="228" t="e">
        <f>#REF!</f>
        <v>#REF!</v>
      </c>
      <c r="K151" s="228" t="e">
        <f>#REF!</f>
        <v>#REF!</v>
      </c>
      <c r="L151" s="72" t="str">
        <f t="shared" si="5"/>
        <v>Version 5.2</v>
      </c>
      <c r="M151" s="73" t="e">
        <f>#REF!</f>
        <v>#REF!</v>
      </c>
      <c r="N151" s="236" t="e">
        <f>#REF!</f>
        <v>#REF!</v>
      </c>
    </row>
    <row r="152" spans="1:14" hidden="1" x14ac:dyDescent="0.2">
      <c r="A152" s="70" t="s">
        <v>261</v>
      </c>
      <c r="B152" s="74">
        <f t="shared" si="6"/>
        <v>0</v>
      </c>
      <c r="C152" s="74">
        <v>20</v>
      </c>
      <c r="D152" s="71" t="e">
        <f>#REF!</f>
        <v>#REF!</v>
      </c>
      <c r="E152" s="71" t="e">
        <f>#REF!</f>
        <v>#REF!</v>
      </c>
      <c r="F152" s="71" t="e">
        <f>#REF!</f>
        <v>#REF!</v>
      </c>
      <c r="G152" s="220" t="e">
        <f>#REF!</f>
        <v>#REF!</v>
      </c>
      <c r="H152" s="86" t="e">
        <f>#REF!</f>
        <v>#REF!</v>
      </c>
      <c r="I152" s="228" t="str">
        <f>IFERROR(N152*MIN(Table_Measure_Caps[[#Totals],[Estimated Raw Incentive Total]], Table_Measure_Caps[[#Totals],[Gross Measure Cost Total]], Value_Project_CAP)/Table_Measure_Caps[[#Totals],[Estimated Raw Incentive Total]], "")</f>
        <v/>
      </c>
      <c r="J152" s="228" t="e">
        <f>#REF!</f>
        <v>#REF!</v>
      </c>
      <c r="K152" s="228" t="e">
        <f>#REF!</f>
        <v>#REF!</v>
      </c>
      <c r="L152" s="72" t="str">
        <f t="shared" si="5"/>
        <v>Version 5.2</v>
      </c>
      <c r="M152" s="73" t="e">
        <f>#REF!</f>
        <v>#REF!</v>
      </c>
      <c r="N152" s="236" t="e">
        <f>#REF!</f>
        <v>#REF!</v>
      </c>
    </row>
    <row r="153" spans="1:14" hidden="1" x14ac:dyDescent="0.2">
      <c r="A153" s="70" t="s">
        <v>261</v>
      </c>
      <c r="B153" s="71">
        <f t="shared" si="6"/>
        <v>0</v>
      </c>
      <c r="C153" s="71">
        <v>21</v>
      </c>
      <c r="D153" s="71" t="e">
        <f>#REF!</f>
        <v>#REF!</v>
      </c>
      <c r="E153" s="71" t="e">
        <f>#REF!</f>
        <v>#REF!</v>
      </c>
      <c r="F153" s="71" t="e">
        <f>#REF!</f>
        <v>#REF!</v>
      </c>
      <c r="G153" s="220" t="e">
        <f>#REF!</f>
        <v>#REF!</v>
      </c>
      <c r="H153" s="86" t="e">
        <f>#REF!</f>
        <v>#REF!</v>
      </c>
      <c r="I153" s="228" t="str">
        <f>IFERROR(N153*MIN(Table_Measure_Caps[[#Totals],[Estimated Raw Incentive Total]], Table_Measure_Caps[[#Totals],[Gross Measure Cost Total]], Value_Project_CAP)/Table_Measure_Caps[[#Totals],[Estimated Raw Incentive Total]], "")</f>
        <v/>
      </c>
      <c r="J153" s="228" t="e">
        <f>#REF!</f>
        <v>#REF!</v>
      </c>
      <c r="K153" s="228" t="e">
        <f>#REF!</f>
        <v>#REF!</v>
      </c>
      <c r="L153" s="72" t="str">
        <f t="shared" si="5"/>
        <v>Version 5.2</v>
      </c>
      <c r="M153" s="73" t="e">
        <f>#REF!</f>
        <v>#REF!</v>
      </c>
      <c r="N153" s="236" t="e">
        <f>#REF!</f>
        <v>#REF!</v>
      </c>
    </row>
    <row r="154" spans="1:14" hidden="1" x14ac:dyDescent="0.2">
      <c r="A154" s="70" t="s">
        <v>261</v>
      </c>
      <c r="B154" s="74">
        <f t="shared" si="6"/>
        <v>0</v>
      </c>
      <c r="C154" s="74">
        <v>22</v>
      </c>
      <c r="D154" s="71" t="e">
        <f>#REF!</f>
        <v>#REF!</v>
      </c>
      <c r="E154" s="71" t="e">
        <f>#REF!</f>
        <v>#REF!</v>
      </c>
      <c r="F154" s="71" t="e">
        <f>#REF!</f>
        <v>#REF!</v>
      </c>
      <c r="G154" s="220" t="e">
        <f>#REF!</f>
        <v>#REF!</v>
      </c>
      <c r="H154" s="86" t="e">
        <f>#REF!</f>
        <v>#REF!</v>
      </c>
      <c r="I154" s="228" t="str">
        <f>IFERROR(N154*MIN(Table_Measure_Caps[[#Totals],[Estimated Raw Incentive Total]], Table_Measure_Caps[[#Totals],[Gross Measure Cost Total]], Value_Project_CAP)/Table_Measure_Caps[[#Totals],[Estimated Raw Incentive Total]], "")</f>
        <v/>
      </c>
      <c r="J154" s="228" t="e">
        <f>#REF!</f>
        <v>#REF!</v>
      </c>
      <c r="K154" s="228" t="e">
        <f>#REF!</f>
        <v>#REF!</v>
      </c>
      <c r="L154" s="72" t="str">
        <f t="shared" si="5"/>
        <v>Version 5.2</v>
      </c>
      <c r="M154" s="73" t="e">
        <f>#REF!</f>
        <v>#REF!</v>
      </c>
      <c r="N154" s="236" t="e">
        <f>#REF!</f>
        <v>#REF!</v>
      </c>
    </row>
    <row r="155" spans="1:14" hidden="1" x14ac:dyDescent="0.2">
      <c r="A155" s="70" t="s">
        <v>261</v>
      </c>
      <c r="B155" s="71">
        <f t="shared" si="6"/>
        <v>0</v>
      </c>
      <c r="C155" s="71">
        <v>23</v>
      </c>
      <c r="D155" s="71" t="e">
        <f>#REF!</f>
        <v>#REF!</v>
      </c>
      <c r="E155" s="71" t="e">
        <f>#REF!</f>
        <v>#REF!</v>
      </c>
      <c r="F155" s="71" t="e">
        <f>#REF!</f>
        <v>#REF!</v>
      </c>
      <c r="G155" s="220" t="e">
        <f>#REF!</f>
        <v>#REF!</v>
      </c>
      <c r="H155" s="86" t="e">
        <f>#REF!</f>
        <v>#REF!</v>
      </c>
      <c r="I155" s="228" t="str">
        <f>IFERROR(N155*MIN(Table_Measure_Caps[[#Totals],[Estimated Raw Incentive Total]], Table_Measure_Caps[[#Totals],[Gross Measure Cost Total]], Value_Project_CAP)/Table_Measure_Caps[[#Totals],[Estimated Raw Incentive Total]], "")</f>
        <v/>
      </c>
      <c r="J155" s="228" t="e">
        <f>#REF!</f>
        <v>#REF!</v>
      </c>
      <c r="K155" s="228" t="e">
        <f>#REF!</f>
        <v>#REF!</v>
      </c>
      <c r="L155" s="72" t="str">
        <f t="shared" si="5"/>
        <v>Version 5.2</v>
      </c>
      <c r="M155" s="73" t="e">
        <f>#REF!</f>
        <v>#REF!</v>
      </c>
      <c r="N155" s="236" t="e">
        <f>#REF!</f>
        <v>#REF!</v>
      </c>
    </row>
    <row r="156" spans="1:14" hidden="1" x14ac:dyDescent="0.2">
      <c r="A156" s="70" t="s">
        <v>261</v>
      </c>
      <c r="B156" s="74">
        <f t="shared" si="6"/>
        <v>0</v>
      </c>
      <c r="C156" s="74">
        <v>24</v>
      </c>
      <c r="D156" s="71" t="e">
        <f>#REF!</f>
        <v>#REF!</v>
      </c>
      <c r="E156" s="71" t="e">
        <f>#REF!</f>
        <v>#REF!</v>
      </c>
      <c r="F156" s="71" t="e">
        <f>#REF!</f>
        <v>#REF!</v>
      </c>
      <c r="G156" s="220" t="e">
        <f>#REF!</f>
        <v>#REF!</v>
      </c>
      <c r="H156" s="86" t="e">
        <f>#REF!</f>
        <v>#REF!</v>
      </c>
      <c r="I156" s="228" t="str">
        <f>IFERROR(N156*MIN(Table_Measure_Caps[[#Totals],[Estimated Raw Incentive Total]], Table_Measure_Caps[[#Totals],[Gross Measure Cost Total]], Value_Project_CAP)/Table_Measure_Caps[[#Totals],[Estimated Raw Incentive Total]], "")</f>
        <v/>
      </c>
      <c r="J156" s="228" t="e">
        <f>#REF!</f>
        <v>#REF!</v>
      </c>
      <c r="K156" s="228" t="e">
        <f>#REF!</f>
        <v>#REF!</v>
      </c>
      <c r="L156" s="72" t="str">
        <f t="shared" si="5"/>
        <v>Version 5.2</v>
      </c>
      <c r="M156" s="73" t="e">
        <f>#REF!</f>
        <v>#REF!</v>
      </c>
      <c r="N156" s="236" t="e">
        <f>#REF!</f>
        <v>#REF!</v>
      </c>
    </row>
    <row r="157" spans="1:14" hidden="1" x14ac:dyDescent="0.2">
      <c r="A157" s="70" t="s">
        <v>261</v>
      </c>
      <c r="B157" s="71">
        <f t="shared" si="6"/>
        <v>0</v>
      </c>
      <c r="C157" s="71">
        <v>25</v>
      </c>
      <c r="D157" s="71" t="e">
        <f>#REF!</f>
        <v>#REF!</v>
      </c>
      <c r="E157" s="71" t="e">
        <f>#REF!</f>
        <v>#REF!</v>
      </c>
      <c r="F157" s="71" t="e">
        <f>#REF!</f>
        <v>#REF!</v>
      </c>
      <c r="G157" s="220" t="e">
        <f>#REF!</f>
        <v>#REF!</v>
      </c>
      <c r="H157" s="86" t="e">
        <f>#REF!</f>
        <v>#REF!</v>
      </c>
      <c r="I157" s="228" t="str">
        <f>IFERROR(N157*MIN(Table_Measure_Caps[[#Totals],[Estimated Raw Incentive Total]], Table_Measure_Caps[[#Totals],[Gross Measure Cost Total]], Value_Project_CAP)/Table_Measure_Caps[[#Totals],[Estimated Raw Incentive Total]], "")</f>
        <v/>
      </c>
      <c r="J157" s="228" t="e">
        <f>#REF!</f>
        <v>#REF!</v>
      </c>
      <c r="K157" s="228" t="e">
        <f>#REF!</f>
        <v>#REF!</v>
      </c>
      <c r="L157" s="72" t="str">
        <f t="shared" si="5"/>
        <v>Version 5.2</v>
      </c>
      <c r="M157" s="73" t="e">
        <f>#REF!</f>
        <v>#REF!</v>
      </c>
      <c r="N157" s="236" t="e">
        <f>#REF!</f>
        <v>#REF!</v>
      </c>
    </row>
    <row r="158" spans="1:14" hidden="1" x14ac:dyDescent="0.2">
      <c r="A158" s="70" t="s">
        <v>261</v>
      </c>
      <c r="B158" s="74">
        <f t="shared" si="6"/>
        <v>0</v>
      </c>
      <c r="C158" s="74">
        <v>26</v>
      </c>
      <c r="D158" s="71" t="e">
        <f>#REF!</f>
        <v>#REF!</v>
      </c>
      <c r="E158" s="71" t="e">
        <f>#REF!</f>
        <v>#REF!</v>
      </c>
      <c r="F158" s="71" t="e">
        <f>#REF!</f>
        <v>#REF!</v>
      </c>
      <c r="G158" s="220" t="e">
        <f>#REF!</f>
        <v>#REF!</v>
      </c>
      <c r="H158" s="86" t="e">
        <f>#REF!</f>
        <v>#REF!</v>
      </c>
      <c r="I158" s="228" t="str">
        <f>IFERROR(N158*MIN(Table_Measure_Caps[[#Totals],[Estimated Raw Incentive Total]], Table_Measure_Caps[[#Totals],[Gross Measure Cost Total]], Value_Project_CAP)/Table_Measure_Caps[[#Totals],[Estimated Raw Incentive Total]], "")</f>
        <v/>
      </c>
      <c r="J158" s="228" t="e">
        <f>#REF!</f>
        <v>#REF!</v>
      </c>
      <c r="K158" s="228" t="e">
        <f>#REF!</f>
        <v>#REF!</v>
      </c>
      <c r="L158" s="72" t="str">
        <f t="shared" si="5"/>
        <v>Version 5.2</v>
      </c>
      <c r="M158" s="73" t="e">
        <f>#REF!</f>
        <v>#REF!</v>
      </c>
      <c r="N158" s="236" t="e">
        <f>#REF!</f>
        <v>#REF!</v>
      </c>
    </row>
    <row r="159" spans="1:14" hidden="1" x14ac:dyDescent="0.2">
      <c r="A159" s="70" t="s">
        <v>261</v>
      </c>
      <c r="B159" s="71">
        <f t="shared" si="6"/>
        <v>0</v>
      </c>
      <c r="C159" s="71">
        <v>27</v>
      </c>
      <c r="D159" s="71" t="e">
        <f>#REF!</f>
        <v>#REF!</v>
      </c>
      <c r="E159" s="71" t="e">
        <f>#REF!</f>
        <v>#REF!</v>
      </c>
      <c r="F159" s="71" t="e">
        <f>#REF!</f>
        <v>#REF!</v>
      </c>
      <c r="G159" s="220" t="e">
        <f>#REF!</f>
        <v>#REF!</v>
      </c>
      <c r="H159" s="86" t="e">
        <f>#REF!</f>
        <v>#REF!</v>
      </c>
      <c r="I159" s="228" t="str">
        <f>IFERROR(N159*MIN(Table_Measure_Caps[[#Totals],[Estimated Raw Incentive Total]], Table_Measure_Caps[[#Totals],[Gross Measure Cost Total]], Value_Project_CAP)/Table_Measure_Caps[[#Totals],[Estimated Raw Incentive Total]], "")</f>
        <v/>
      </c>
      <c r="J159" s="228" t="e">
        <f>#REF!</f>
        <v>#REF!</v>
      </c>
      <c r="K159" s="228" t="e">
        <f>#REF!</f>
        <v>#REF!</v>
      </c>
      <c r="L159" s="72" t="str">
        <f t="shared" si="5"/>
        <v>Version 5.2</v>
      </c>
      <c r="M159" s="73" t="e">
        <f>#REF!</f>
        <v>#REF!</v>
      </c>
      <c r="N159" s="236" t="e">
        <f>#REF!</f>
        <v>#REF!</v>
      </c>
    </row>
    <row r="160" spans="1:14" hidden="1" x14ac:dyDescent="0.2">
      <c r="A160" s="70" t="s">
        <v>261</v>
      </c>
      <c r="B160" s="74">
        <f t="shared" si="6"/>
        <v>0</v>
      </c>
      <c r="C160" s="74">
        <v>28</v>
      </c>
      <c r="D160" s="71" t="e">
        <f>#REF!</f>
        <v>#REF!</v>
      </c>
      <c r="E160" s="71" t="e">
        <f>#REF!</f>
        <v>#REF!</v>
      </c>
      <c r="F160" s="71" t="e">
        <f>#REF!</f>
        <v>#REF!</v>
      </c>
      <c r="G160" s="220" t="e">
        <f>#REF!</f>
        <v>#REF!</v>
      </c>
      <c r="H160" s="86" t="e">
        <f>#REF!</f>
        <v>#REF!</v>
      </c>
      <c r="I160" s="228" t="str">
        <f>IFERROR(N160*MIN(Table_Measure_Caps[[#Totals],[Estimated Raw Incentive Total]], Table_Measure_Caps[[#Totals],[Gross Measure Cost Total]], Value_Project_CAP)/Table_Measure_Caps[[#Totals],[Estimated Raw Incentive Total]], "")</f>
        <v/>
      </c>
      <c r="J160" s="228" t="e">
        <f>#REF!</f>
        <v>#REF!</v>
      </c>
      <c r="K160" s="228" t="e">
        <f>#REF!</f>
        <v>#REF!</v>
      </c>
      <c r="L160" s="72" t="str">
        <f t="shared" si="5"/>
        <v>Version 5.2</v>
      </c>
      <c r="M160" s="73" t="e">
        <f>#REF!</f>
        <v>#REF!</v>
      </c>
      <c r="N160" s="236" t="e">
        <f>#REF!</f>
        <v>#REF!</v>
      </c>
    </row>
    <row r="161" spans="1:14" hidden="1" x14ac:dyDescent="0.2">
      <c r="A161" s="70" t="s">
        <v>261</v>
      </c>
      <c r="B161" s="71">
        <f t="shared" si="6"/>
        <v>0</v>
      </c>
      <c r="C161" s="71">
        <v>29</v>
      </c>
      <c r="D161" s="71" t="e">
        <f>#REF!</f>
        <v>#REF!</v>
      </c>
      <c r="E161" s="71" t="e">
        <f>#REF!</f>
        <v>#REF!</v>
      </c>
      <c r="F161" s="71" t="e">
        <f>#REF!</f>
        <v>#REF!</v>
      </c>
      <c r="G161" s="220" t="e">
        <f>#REF!</f>
        <v>#REF!</v>
      </c>
      <c r="H161" s="86" t="e">
        <f>#REF!</f>
        <v>#REF!</v>
      </c>
      <c r="I161" s="228" t="str">
        <f>IFERROR(N161*MIN(Table_Measure_Caps[[#Totals],[Estimated Raw Incentive Total]], Table_Measure_Caps[[#Totals],[Gross Measure Cost Total]], Value_Project_CAP)/Table_Measure_Caps[[#Totals],[Estimated Raw Incentive Total]], "")</f>
        <v/>
      </c>
      <c r="J161" s="228" t="e">
        <f>#REF!</f>
        <v>#REF!</v>
      </c>
      <c r="K161" s="228" t="e">
        <f>#REF!</f>
        <v>#REF!</v>
      </c>
      <c r="L161" s="72" t="str">
        <f t="shared" si="5"/>
        <v>Version 5.2</v>
      </c>
      <c r="M161" s="73" t="e">
        <f>#REF!</f>
        <v>#REF!</v>
      </c>
      <c r="N161" s="236" t="e">
        <f>#REF!</f>
        <v>#REF!</v>
      </c>
    </row>
    <row r="162" spans="1:14" hidden="1" x14ac:dyDescent="0.2">
      <c r="A162" s="70" t="s">
        <v>261</v>
      </c>
      <c r="B162" s="74">
        <f t="shared" si="6"/>
        <v>0</v>
      </c>
      <c r="C162" s="74">
        <v>30</v>
      </c>
      <c r="D162" s="71" t="e">
        <f>#REF!</f>
        <v>#REF!</v>
      </c>
      <c r="E162" s="71" t="e">
        <f>#REF!</f>
        <v>#REF!</v>
      </c>
      <c r="F162" s="71" t="e">
        <f>#REF!</f>
        <v>#REF!</v>
      </c>
      <c r="G162" s="220" t="e">
        <f>#REF!</f>
        <v>#REF!</v>
      </c>
      <c r="H162" s="86" t="e">
        <f>#REF!</f>
        <v>#REF!</v>
      </c>
      <c r="I162" s="228" t="str">
        <f>IFERROR(N162*MIN(Table_Measure_Caps[[#Totals],[Estimated Raw Incentive Total]], Table_Measure_Caps[[#Totals],[Gross Measure Cost Total]], Value_Project_CAP)/Table_Measure_Caps[[#Totals],[Estimated Raw Incentive Total]], "")</f>
        <v/>
      </c>
      <c r="J162" s="228" t="e">
        <f>#REF!</f>
        <v>#REF!</v>
      </c>
      <c r="K162" s="228" t="e">
        <f>#REF!</f>
        <v>#REF!</v>
      </c>
      <c r="L162" s="72" t="str">
        <f t="shared" si="5"/>
        <v>Version 5.2</v>
      </c>
      <c r="M162" s="73" t="e">
        <f>#REF!</f>
        <v>#REF!</v>
      </c>
      <c r="N162" s="236" t="e">
        <f>#REF!</f>
        <v>#REF!</v>
      </c>
    </row>
    <row r="163" spans="1:14" x14ac:dyDescent="0.2">
      <c r="A163" s="75" t="s">
        <v>620</v>
      </c>
      <c r="B163" s="76">
        <f t="shared" si="6"/>
        <v>0</v>
      </c>
      <c r="C163" s="76">
        <v>1</v>
      </c>
      <c r="D163" s="76" t="str">
        <f>'Input Low-Flow Water Measures'!C6</f>
        <v/>
      </c>
      <c r="E163" s="76" t="str">
        <f>'Input Low-Flow Water Measures'!F6</f>
        <v/>
      </c>
      <c r="F163" s="76">
        <f>'Input Low-Flow Water Measures'!G6</f>
        <v>0</v>
      </c>
      <c r="G163" s="221" t="str">
        <f>'Input Low-Flow Water Measures'!L6</f>
        <v/>
      </c>
      <c r="H163" s="87" t="str">
        <f>'Input Low-Flow Water Measures'!M6</f>
        <v/>
      </c>
      <c r="I163" s="229" t="str">
        <f>IFERROR(N163*MIN(Table_Measure_Caps[[#Totals],[Estimated Raw Incentive Total]], Table_Measure_Caps[[#Totals],[Gross Measure Cost Total]], Value_Project_CAP)/Table_Measure_Caps[[#Totals],[Estimated Raw Incentive Total]], "")</f>
        <v/>
      </c>
      <c r="J163" s="229">
        <f>'Input Low-Flow Water Measures'!H6</f>
        <v>0</v>
      </c>
      <c r="K163" s="229">
        <f>'Input Low-Flow Water Measures'!I6</f>
        <v>0</v>
      </c>
      <c r="L163" s="77" t="str">
        <f t="shared" si="5"/>
        <v>Version 5.2</v>
      </c>
      <c r="M163" s="78">
        <f>'Input Low-Flow Water Measures'!E6</f>
        <v>0</v>
      </c>
      <c r="N163" s="237" t="str">
        <f>'Input Low-Flow Water Measures'!K6</f>
        <v/>
      </c>
    </row>
    <row r="164" spans="1:14" x14ac:dyDescent="0.2">
      <c r="A164" s="75" t="s">
        <v>620</v>
      </c>
      <c r="B164" s="76">
        <f t="shared" si="6"/>
        <v>0</v>
      </c>
      <c r="C164" s="76">
        <v>2</v>
      </c>
      <c r="D164" s="76" t="str">
        <f>'Input Low-Flow Water Measures'!C7</f>
        <v/>
      </c>
      <c r="E164" s="76" t="str">
        <f>'Input Low-Flow Water Measures'!F7</f>
        <v/>
      </c>
      <c r="F164" s="76">
        <f>'Input Low-Flow Water Measures'!G7</f>
        <v>0</v>
      </c>
      <c r="G164" s="221" t="str">
        <f>'Input Low-Flow Water Measures'!L7</f>
        <v/>
      </c>
      <c r="H164" s="87" t="str">
        <f>'Input Low-Flow Water Measures'!M7</f>
        <v/>
      </c>
      <c r="I164" s="229" t="str">
        <f>IFERROR(N164*MIN(Table_Measure_Caps[[#Totals],[Estimated Raw Incentive Total]], Table_Measure_Caps[[#Totals],[Gross Measure Cost Total]], Value_Project_CAP)/Table_Measure_Caps[[#Totals],[Estimated Raw Incentive Total]], "")</f>
        <v/>
      </c>
      <c r="J164" s="229">
        <f>'Input Low-Flow Water Measures'!H7</f>
        <v>0</v>
      </c>
      <c r="K164" s="229">
        <f>'Input Low-Flow Water Measures'!I7</f>
        <v>0</v>
      </c>
      <c r="L164" s="77" t="str">
        <f t="shared" si="5"/>
        <v>Version 5.2</v>
      </c>
      <c r="M164" s="78">
        <f>'Input Low-Flow Water Measures'!E7</f>
        <v>0</v>
      </c>
      <c r="N164" s="237" t="str">
        <f>'Input Low-Flow Water Measures'!K7</f>
        <v/>
      </c>
    </row>
    <row r="165" spans="1:14" x14ac:dyDescent="0.2">
      <c r="A165" s="75" t="s">
        <v>620</v>
      </c>
      <c r="B165" s="76">
        <f t="shared" ref="B165:B196" si="7">Input_ProjectNumber</f>
        <v>0</v>
      </c>
      <c r="C165" s="76">
        <v>3</v>
      </c>
      <c r="D165" s="76" t="str">
        <f>'Input Low-Flow Water Measures'!C8</f>
        <v/>
      </c>
      <c r="E165" s="76" t="str">
        <f>'Input Low-Flow Water Measures'!F8</f>
        <v/>
      </c>
      <c r="F165" s="76">
        <f>'Input Low-Flow Water Measures'!G8</f>
        <v>0</v>
      </c>
      <c r="G165" s="221" t="str">
        <f>'Input Low-Flow Water Measures'!L8</f>
        <v/>
      </c>
      <c r="H165" s="87" t="str">
        <f>'Input Low-Flow Water Measures'!M8</f>
        <v/>
      </c>
      <c r="I165" s="229" t="str">
        <f>IFERROR(N165*MIN(Table_Measure_Caps[[#Totals],[Estimated Raw Incentive Total]], Table_Measure_Caps[[#Totals],[Gross Measure Cost Total]], Value_Project_CAP)/Table_Measure_Caps[[#Totals],[Estimated Raw Incentive Total]], "")</f>
        <v/>
      </c>
      <c r="J165" s="229">
        <f>'Input Low-Flow Water Measures'!H8</f>
        <v>0</v>
      </c>
      <c r="K165" s="229">
        <f>'Input Low-Flow Water Measures'!I8</f>
        <v>0</v>
      </c>
      <c r="L165" s="77" t="str">
        <f t="shared" si="5"/>
        <v>Version 5.2</v>
      </c>
      <c r="M165" s="78">
        <f>'Input Low-Flow Water Measures'!E8</f>
        <v>0</v>
      </c>
      <c r="N165" s="237" t="str">
        <f>'Input Low-Flow Water Measures'!K8</f>
        <v/>
      </c>
    </row>
    <row r="166" spans="1:14" x14ac:dyDescent="0.2">
      <c r="A166" s="75" t="s">
        <v>620</v>
      </c>
      <c r="B166" s="76">
        <f t="shared" si="7"/>
        <v>0</v>
      </c>
      <c r="C166" s="76">
        <v>4</v>
      </c>
      <c r="D166" s="76" t="str">
        <f>'Input Low-Flow Water Measures'!C9</f>
        <v/>
      </c>
      <c r="E166" s="76" t="str">
        <f>'Input Low-Flow Water Measures'!F9</f>
        <v/>
      </c>
      <c r="F166" s="76">
        <f>'Input Low-Flow Water Measures'!G9</f>
        <v>0</v>
      </c>
      <c r="G166" s="221" t="str">
        <f>'Input Low-Flow Water Measures'!L9</f>
        <v/>
      </c>
      <c r="H166" s="87" t="str">
        <f>'Input Low-Flow Water Measures'!M9</f>
        <v/>
      </c>
      <c r="I166" s="229" t="str">
        <f>IFERROR(N166*MIN(Table_Measure_Caps[[#Totals],[Estimated Raw Incentive Total]], Table_Measure_Caps[[#Totals],[Gross Measure Cost Total]], Value_Project_CAP)/Table_Measure_Caps[[#Totals],[Estimated Raw Incentive Total]], "")</f>
        <v/>
      </c>
      <c r="J166" s="229">
        <f>'Input Low-Flow Water Measures'!H9</f>
        <v>0</v>
      </c>
      <c r="K166" s="229">
        <f>'Input Low-Flow Water Measures'!I9</f>
        <v>0</v>
      </c>
      <c r="L166" s="77" t="str">
        <f t="shared" si="5"/>
        <v>Version 5.2</v>
      </c>
      <c r="M166" s="78">
        <f>'Input Low-Flow Water Measures'!E9</f>
        <v>0</v>
      </c>
      <c r="N166" s="237" t="str">
        <f>'Input Low-Flow Water Measures'!K9</f>
        <v/>
      </c>
    </row>
    <row r="167" spans="1:14" x14ac:dyDescent="0.2">
      <c r="A167" s="75" t="s">
        <v>620</v>
      </c>
      <c r="B167" s="76">
        <f t="shared" si="7"/>
        <v>0</v>
      </c>
      <c r="C167" s="76">
        <v>5</v>
      </c>
      <c r="D167" s="76" t="str">
        <f>'Input Low-Flow Water Measures'!C10</f>
        <v/>
      </c>
      <c r="E167" s="76" t="str">
        <f>'Input Low-Flow Water Measures'!F10</f>
        <v/>
      </c>
      <c r="F167" s="76">
        <f>'Input Low-Flow Water Measures'!G10</f>
        <v>0</v>
      </c>
      <c r="G167" s="221" t="str">
        <f>'Input Low-Flow Water Measures'!L10</f>
        <v/>
      </c>
      <c r="H167" s="87" t="str">
        <f>'Input Low-Flow Water Measures'!M10</f>
        <v/>
      </c>
      <c r="I167" s="229" t="str">
        <f>IFERROR(N167*MIN(Table_Measure_Caps[[#Totals],[Estimated Raw Incentive Total]], Table_Measure_Caps[[#Totals],[Gross Measure Cost Total]], Value_Project_CAP)/Table_Measure_Caps[[#Totals],[Estimated Raw Incentive Total]], "")</f>
        <v/>
      </c>
      <c r="J167" s="229">
        <f>'Input Low-Flow Water Measures'!H10</f>
        <v>0</v>
      </c>
      <c r="K167" s="229">
        <f>'Input Low-Flow Water Measures'!I10</f>
        <v>0</v>
      </c>
      <c r="L167" s="77" t="str">
        <f t="shared" si="5"/>
        <v>Version 5.2</v>
      </c>
      <c r="M167" s="78">
        <f>'Input Low-Flow Water Measures'!E10</f>
        <v>0</v>
      </c>
      <c r="N167" s="237" t="str">
        <f>'Input Low-Flow Water Measures'!K10</f>
        <v/>
      </c>
    </row>
    <row r="168" spans="1:14" x14ac:dyDescent="0.2">
      <c r="A168" s="75" t="s">
        <v>620</v>
      </c>
      <c r="B168" s="76">
        <f t="shared" si="7"/>
        <v>0</v>
      </c>
      <c r="C168" s="76">
        <v>6</v>
      </c>
      <c r="D168" s="76" t="str">
        <f>'Input Low-Flow Water Measures'!C11</f>
        <v/>
      </c>
      <c r="E168" s="76" t="str">
        <f>'Input Low-Flow Water Measures'!F11</f>
        <v/>
      </c>
      <c r="F168" s="76">
        <f>'Input Low-Flow Water Measures'!G11</f>
        <v>0</v>
      </c>
      <c r="G168" s="221" t="str">
        <f>'Input Low-Flow Water Measures'!L11</f>
        <v/>
      </c>
      <c r="H168" s="87" t="str">
        <f>'Input Low-Flow Water Measures'!M11</f>
        <v/>
      </c>
      <c r="I168" s="229" t="str">
        <f>IFERROR(N168*MIN(Table_Measure_Caps[[#Totals],[Estimated Raw Incentive Total]], Table_Measure_Caps[[#Totals],[Gross Measure Cost Total]], Value_Project_CAP)/Table_Measure_Caps[[#Totals],[Estimated Raw Incentive Total]], "")</f>
        <v/>
      </c>
      <c r="J168" s="229">
        <f>'Input Low-Flow Water Measures'!H11</f>
        <v>0</v>
      </c>
      <c r="K168" s="229">
        <f>'Input Low-Flow Water Measures'!I11</f>
        <v>0</v>
      </c>
      <c r="L168" s="77" t="str">
        <f t="shared" si="5"/>
        <v>Version 5.2</v>
      </c>
      <c r="M168" s="78">
        <f>'Input Low-Flow Water Measures'!E11</f>
        <v>0</v>
      </c>
      <c r="N168" s="237" t="str">
        <f>'Input Low-Flow Water Measures'!K11</f>
        <v/>
      </c>
    </row>
    <row r="169" spans="1:14" x14ac:dyDescent="0.2">
      <c r="A169" s="75" t="s">
        <v>620</v>
      </c>
      <c r="B169" s="76">
        <f t="shared" si="7"/>
        <v>0</v>
      </c>
      <c r="C169" s="76">
        <v>7</v>
      </c>
      <c r="D169" s="76" t="str">
        <f>'Input Low-Flow Water Measures'!C12</f>
        <v/>
      </c>
      <c r="E169" s="76" t="str">
        <f>'Input Low-Flow Water Measures'!F12</f>
        <v/>
      </c>
      <c r="F169" s="76">
        <f>'Input Low-Flow Water Measures'!G12</f>
        <v>0</v>
      </c>
      <c r="G169" s="221" t="str">
        <f>'Input Low-Flow Water Measures'!L12</f>
        <v/>
      </c>
      <c r="H169" s="87" t="str">
        <f>'Input Low-Flow Water Measures'!M12</f>
        <v/>
      </c>
      <c r="I169" s="229" t="str">
        <f>IFERROR(N169*MIN(Table_Measure_Caps[[#Totals],[Estimated Raw Incentive Total]], Table_Measure_Caps[[#Totals],[Gross Measure Cost Total]], Value_Project_CAP)/Table_Measure_Caps[[#Totals],[Estimated Raw Incentive Total]], "")</f>
        <v/>
      </c>
      <c r="J169" s="229">
        <f>'Input Low-Flow Water Measures'!H12</f>
        <v>0</v>
      </c>
      <c r="K169" s="229">
        <f>'Input Low-Flow Water Measures'!I12</f>
        <v>0</v>
      </c>
      <c r="L169" s="77" t="str">
        <f t="shared" si="5"/>
        <v>Version 5.2</v>
      </c>
      <c r="M169" s="78">
        <f>'Input Low-Flow Water Measures'!E12</f>
        <v>0</v>
      </c>
      <c r="N169" s="237" t="str">
        <f>'Input Low-Flow Water Measures'!K12</f>
        <v/>
      </c>
    </row>
    <row r="170" spans="1:14" x14ac:dyDescent="0.2">
      <c r="A170" s="75" t="s">
        <v>620</v>
      </c>
      <c r="B170" s="76">
        <f t="shared" si="7"/>
        <v>0</v>
      </c>
      <c r="C170" s="76">
        <v>8</v>
      </c>
      <c r="D170" s="76" t="str">
        <f>'Input Low-Flow Water Measures'!C13</f>
        <v/>
      </c>
      <c r="E170" s="76" t="str">
        <f>'Input Low-Flow Water Measures'!F13</f>
        <v/>
      </c>
      <c r="F170" s="76">
        <f>'Input Low-Flow Water Measures'!G13</f>
        <v>0</v>
      </c>
      <c r="G170" s="221" t="str">
        <f>'Input Low-Flow Water Measures'!L13</f>
        <v/>
      </c>
      <c r="H170" s="87" t="str">
        <f>'Input Low-Flow Water Measures'!M13</f>
        <v/>
      </c>
      <c r="I170" s="229" t="str">
        <f>IFERROR(N170*MIN(Table_Measure_Caps[[#Totals],[Estimated Raw Incentive Total]], Table_Measure_Caps[[#Totals],[Gross Measure Cost Total]], Value_Project_CAP)/Table_Measure_Caps[[#Totals],[Estimated Raw Incentive Total]], "")</f>
        <v/>
      </c>
      <c r="J170" s="229">
        <f>'Input Low-Flow Water Measures'!H13</f>
        <v>0</v>
      </c>
      <c r="K170" s="229">
        <f>'Input Low-Flow Water Measures'!I13</f>
        <v>0</v>
      </c>
      <c r="L170" s="77" t="str">
        <f t="shared" si="5"/>
        <v>Version 5.2</v>
      </c>
      <c r="M170" s="78">
        <f>'Input Low-Flow Water Measures'!E13</f>
        <v>0</v>
      </c>
      <c r="N170" s="237" t="str">
        <f>'Input Low-Flow Water Measures'!K13</f>
        <v/>
      </c>
    </row>
    <row r="171" spans="1:14" x14ac:dyDescent="0.2">
      <c r="A171" s="75" t="s">
        <v>620</v>
      </c>
      <c r="B171" s="76">
        <f t="shared" si="7"/>
        <v>0</v>
      </c>
      <c r="C171" s="76">
        <v>9</v>
      </c>
      <c r="D171" s="76" t="str">
        <f>'Input Low-Flow Water Measures'!C14</f>
        <v/>
      </c>
      <c r="E171" s="76" t="str">
        <f>'Input Low-Flow Water Measures'!F14</f>
        <v/>
      </c>
      <c r="F171" s="76">
        <f>'Input Low-Flow Water Measures'!G14</f>
        <v>0</v>
      </c>
      <c r="G171" s="221" t="str">
        <f>'Input Low-Flow Water Measures'!L14</f>
        <v/>
      </c>
      <c r="H171" s="87" t="str">
        <f>'Input Low-Flow Water Measures'!M14</f>
        <v/>
      </c>
      <c r="I171" s="229" t="str">
        <f>IFERROR(N171*MIN(Table_Measure_Caps[[#Totals],[Estimated Raw Incentive Total]], Table_Measure_Caps[[#Totals],[Gross Measure Cost Total]], Value_Project_CAP)/Table_Measure_Caps[[#Totals],[Estimated Raw Incentive Total]], "")</f>
        <v/>
      </c>
      <c r="J171" s="229">
        <f>'Input Low-Flow Water Measures'!H14</f>
        <v>0</v>
      </c>
      <c r="K171" s="229">
        <f>'Input Low-Flow Water Measures'!I14</f>
        <v>0</v>
      </c>
      <c r="L171" s="77" t="str">
        <f t="shared" si="5"/>
        <v>Version 5.2</v>
      </c>
      <c r="M171" s="78">
        <f>'Input Low-Flow Water Measures'!E14</f>
        <v>0</v>
      </c>
      <c r="N171" s="237" t="str">
        <f>'Input Low-Flow Water Measures'!K14</f>
        <v/>
      </c>
    </row>
    <row r="172" spans="1:14" x14ac:dyDescent="0.2">
      <c r="A172" s="75" t="s">
        <v>620</v>
      </c>
      <c r="B172" s="76">
        <f t="shared" si="7"/>
        <v>0</v>
      </c>
      <c r="C172" s="76">
        <v>10</v>
      </c>
      <c r="D172" s="76" t="str">
        <f>'Input Low-Flow Water Measures'!C15</f>
        <v/>
      </c>
      <c r="E172" s="76" t="str">
        <f>'Input Low-Flow Water Measures'!F15</f>
        <v/>
      </c>
      <c r="F172" s="76">
        <f>'Input Low-Flow Water Measures'!G15</f>
        <v>0</v>
      </c>
      <c r="G172" s="221" t="str">
        <f>'Input Low-Flow Water Measures'!L15</f>
        <v/>
      </c>
      <c r="H172" s="87" t="str">
        <f>'Input Low-Flow Water Measures'!M15</f>
        <v/>
      </c>
      <c r="I172" s="229" t="str">
        <f>IFERROR(N172*MIN(Table_Measure_Caps[[#Totals],[Estimated Raw Incentive Total]], Table_Measure_Caps[[#Totals],[Gross Measure Cost Total]], Value_Project_CAP)/Table_Measure_Caps[[#Totals],[Estimated Raw Incentive Total]], "")</f>
        <v/>
      </c>
      <c r="J172" s="229">
        <f>'Input Low-Flow Water Measures'!H15</f>
        <v>0</v>
      </c>
      <c r="K172" s="229">
        <f>'Input Low-Flow Water Measures'!I15</f>
        <v>0</v>
      </c>
      <c r="L172" s="77" t="str">
        <f t="shared" si="5"/>
        <v>Version 5.2</v>
      </c>
      <c r="M172" s="78">
        <f>'Input Low-Flow Water Measures'!E15</f>
        <v>0</v>
      </c>
      <c r="N172" s="237" t="str">
        <f>'Input Low-Flow Water Measures'!K15</f>
        <v/>
      </c>
    </row>
    <row r="173" spans="1:14" x14ac:dyDescent="0.2">
      <c r="A173" s="75" t="s">
        <v>620</v>
      </c>
      <c r="B173" s="76">
        <f t="shared" si="7"/>
        <v>0</v>
      </c>
      <c r="C173" s="76">
        <v>11</v>
      </c>
      <c r="D173" s="76" t="str">
        <f>'Input Low-Flow Water Measures'!C16</f>
        <v/>
      </c>
      <c r="E173" s="76" t="str">
        <f>'Input Low-Flow Water Measures'!F16</f>
        <v/>
      </c>
      <c r="F173" s="76">
        <f>'Input Low-Flow Water Measures'!G16</f>
        <v>0</v>
      </c>
      <c r="G173" s="221" t="str">
        <f>'Input Low-Flow Water Measures'!L16</f>
        <v/>
      </c>
      <c r="H173" s="87" t="str">
        <f>'Input Low-Flow Water Measures'!M16</f>
        <v/>
      </c>
      <c r="I173" s="229" t="str">
        <f>IFERROR(N173*MIN(Table_Measure_Caps[[#Totals],[Estimated Raw Incentive Total]], Table_Measure_Caps[[#Totals],[Gross Measure Cost Total]], Value_Project_CAP)/Table_Measure_Caps[[#Totals],[Estimated Raw Incentive Total]], "")</f>
        <v/>
      </c>
      <c r="J173" s="229">
        <f>'Input Low-Flow Water Measures'!H16</f>
        <v>0</v>
      </c>
      <c r="K173" s="229">
        <f>'Input Low-Flow Water Measures'!I16</f>
        <v>0</v>
      </c>
      <c r="L173" s="77" t="str">
        <f t="shared" si="5"/>
        <v>Version 5.2</v>
      </c>
      <c r="M173" s="78">
        <f>'Input Low-Flow Water Measures'!E16</f>
        <v>0</v>
      </c>
      <c r="N173" s="237" t="str">
        <f>'Input Low-Flow Water Measures'!K16</f>
        <v/>
      </c>
    </row>
    <row r="174" spans="1:14" x14ac:dyDescent="0.2">
      <c r="A174" s="75" t="s">
        <v>620</v>
      </c>
      <c r="B174" s="76">
        <f t="shared" si="7"/>
        <v>0</v>
      </c>
      <c r="C174" s="76">
        <v>12</v>
      </c>
      <c r="D174" s="76" t="str">
        <f>'Input Low-Flow Water Measures'!C17</f>
        <v/>
      </c>
      <c r="E174" s="76" t="str">
        <f>'Input Low-Flow Water Measures'!F17</f>
        <v/>
      </c>
      <c r="F174" s="76">
        <f>'Input Low-Flow Water Measures'!G17</f>
        <v>0</v>
      </c>
      <c r="G174" s="221" t="str">
        <f>'Input Low-Flow Water Measures'!L17</f>
        <v/>
      </c>
      <c r="H174" s="87" t="str">
        <f>'Input Low-Flow Water Measures'!M17</f>
        <v/>
      </c>
      <c r="I174" s="229" t="str">
        <f>IFERROR(N174*MIN(Table_Measure_Caps[[#Totals],[Estimated Raw Incentive Total]], Table_Measure_Caps[[#Totals],[Gross Measure Cost Total]], Value_Project_CAP)/Table_Measure_Caps[[#Totals],[Estimated Raw Incentive Total]], "")</f>
        <v/>
      </c>
      <c r="J174" s="229">
        <f>'Input Low-Flow Water Measures'!H17</f>
        <v>0</v>
      </c>
      <c r="K174" s="229">
        <f>'Input Low-Flow Water Measures'!I17</f>
        <v>0</v>
      </c>
      <c r="L174" s="77" t="str">
        <f t="shared" si="5"/>
        <v>Version 5.2</v>
      </c>
      <c r="M174" s="78">
        <f>'Input Low-Flow Water Measures'!E17</f>
        <v>0</v>
      </c>
      <c r="N174" s="237" t="str">
        <f>'Input Low-Flow Water Measures'!K17</f>
        <v/>
      </c>
    </row>
    <row r="175" spans="1:14" x14ac:dyDescent="0.2">
      <c r="A175" s="75" t="s">
        <v>620</v>
      </c>
      <c r="B175" s="76">
        <f t="shared" si="7"/>
        <v>0</v>
      </c>
      <c r="C175" s="76">
        <v>13</v>
      </c>
      <c r="D175" s="76" t="str">
        <f>'Input Low-Flow Water Measures'!C18</f>
        <v/>
      </c>
      <c r="E175" s="76" t="str">
        <f>'Input Low-Flow Water Measures'!F18</f>
        <v/>
      </c>
      <c r="F175" s="76">
        <f>'Input Low-Flow Water Measures'!G18</f>
        <v>0</v>
      </c>
      <c r="G175" s="221" t="str">
        <f>'Input Low-Flow Water Measures'!L18</f>
        <v/>
      </c>
      <c r="H175" s="87" t="str">
        <f>'Input Low-Flow Water Measures'!M18</f>
        <v/>
      </c>
      <c r="I175" s="229" t="str">
        <f>IFERROR(N175*MIN(Table_Measure_Caps[[#Totals],[Estimated Raw Incentive Total]], Table_Measure_Caps[[#Totals],[Gross Measure Cost Total]], Value_Project_CAP)/Table_Measure_Caps[[#Totals],[Estimated Raw Incentive Total]], "")</f>
        <v/>
      </c>
      <c r="J175" s="229">
        <f>'Input Low-Flow Water Measures'!H18</f>
        <v>0</v>
      </c>
      <c r="K175" s="229">
        <f>'Input Low-Flow Water Measures'!I18</f>
        <v>0</v>
      </c>
      <c r="L175" s="77" t="str">
        <f t="shared" si="5"/>
        <v>Version 5.2</v>
      </c>
      <c r="M175" s="78">
        <f>'Input Low-Flow Water Measures'!E18</f>
        <v>0</v>
      </c>
      <c r="N175" s="237" t="str">
        <f>'Input Low-Flow Water Measures'!K18</f>
        <v/>
      </c>
    </row>
    <row r="176" spans="1:14" x14ac:dyDescent="0.2">
      <c r="A176" s="75" t="s">
        <v>620</v>
      </c>
      <c r="B176" s="76">
        <f t="shared" si="7"/>
        <v>0</v>
      </c>
      <c r="C176" s="76">
        <v>14</v>
      </c>
      <c r="D176" s="76" t="str">
        <f>'Input Low-Flow Water Measures'!C19</f>
        <v/>
      </c>
      <c r="E176" s="76" t="str">
        <f>'Input Low-Flow Water Measures'!F19</f>
        <v/>
      </c>
      <c r="F176" s="76">
        <f>'Input Low-Flow Water Measures'!G19</f>
        <v>0</v>
      </c>
      <c r="G176" s="221" t="str">
        <f>'Input Low-Flow Water Measures'!L19</f>
        <v/>
      </c>
      <c r="H176" s="87" t="str">
        <f>'Input Low-Flow Water Measures'!M19</f>
        <v/>
      </c>
      <c r="I176" s="229" t="str">
        <f>IFERROR(N176*MIN(Table_Measure_Caps[[#Totals],[Estimated Raw Incentive Total]], Table_Measure_Caps[[#Totals],[Gross Measure Cost Total]], Value_Project_CAP)/Table_Measure_Caps[[#Totals],[Estimated Raw Incentive Total]], "")</f>
        <v/>
      </c>
      <c r="J176" s="229">
        <f>'Input Low-Flow Water Measures'!H19</f>
        <v>0</v>
      </c>
      <c r="K176" s="229">
        <f>'Input Low-Flow Water Measures'!I19</f>
        <v>0</v>
      </c>
      <c r="L176" s="77" t="str">
        <f t="shared" si="5"/>
        <v>Version 5.2</v>
      </c>
      <c r="M176" s="78">
        <f>'Input Low-Flow Water Measures'!E19</f>
        <v>0</v>
      </c>
      <c r="N176" s="237" t="str">
        <f>'Input Low-Flow Water Measures'!K19</f>
        <v/>
      </c>
    </row>
    <row r="177" spans="1:14" x14ac:dyDescent="0.2">
      <c r="A177" s="75" t="s">
        <v>620</v>
      </c>
      <c r="B177" s="76">
        <f t="shared" si="7"/>
        <v>0</v>
      </c>
      <c r="C177" s="76">
        <v>15</v>
      </c>
      <c r="D177" s="76" t="str">
        <f>'Input Low-Flow Water Measures'!C20</f>
        <v/>
      </c>
      <c r="E177" s="76" t="str">
        <f>'Input Low-Flow Water Measures'!F20</f>
        <v/>
      </c>
      <c r="F177" s="76">
        <f>'Input Low-Flow Water Measures'!G20</f>
        <v>0</v>
      </c>
      <c r="G177" s="221" t="str">
        <f>'Input Low-Flow Water Measures'!L20</f>
        <v/>
      </c>
      <c r="H177" s="87" t="str">
        <f>'Input Low-Flow Water Measures'!M20</f>
        <v/>
      </c>
      <c r="I177" s="229" t="str">
        <f>IFERROR(N177*MIN(Table_Measure_Caps[[#Totals],[Estimated Raw Incentive Total]], Table_Measure_Caps[[#Totals],[Gross Measure Cost Total]], Value_Project_CAP)/Table_Measure_Caps[[#Totals],[Estimated Raw Incentive Total]], "")</f>
        <v/>
      </c>
      <c r="J177" s="229">
        <f>'Input Low-Flow Water Measures'!H20</f>
        <v>0</v>
      </c>
      <c r="K177" s="229">
        <f>'Input Low-Flow Water Measures'!I20</f>
        <v>0</v>
      </c>
      <c r="L177" s="77" t="str">
        <f t="shared" si="5"/>
        <v>Version 5.2</v>
      </c>
      <c r="M177" s="78">
        <f>'Input Low-Flow Water Measures'!E20</f>
        <v>0</v>
      </c>
      <c r="N177" s="237" t="str">
        <f>'Input Low-Flow Water Measures'!K20</f>
        <v/>
      </c>
    </row>
    <row r="178" spans="1:14" x14ac:dyDescent="0.2">
      <c r="A178" s="75" t="s">
        <v>620</v>
      </c>
      <c r="B178" s="76">
        <f t="shared" si="7"/>
        <v>0</v>
      </c>
      <c r="C178" s="76">
        <v>16</v>
      </c>
      <c r="D178" s="76" t="str">
        <f>'Input Low-Flow Water Measures'!C21</f>
        <v/>
      </c>
      <c r="E178" s="76" t="str">
        <f>'Input Low-Flow Water Measures'!F21</f>
        <v/>
      </c>
      <c r="F178" s="76">
        <f>'Input Low-Flow Water Measures'!G21</f>
        <v>0</v>
      </c>
      <c r="G178" s="221" t="str">
        <f>'Input Low-Flow Water Measures'!L21</f>
        <v/>
      </c>
      <c r="H178" s="87" t="str">
        <f>'Input Low-Flow Water Measures'!M21</f>
        <v/>
      </c>
      <c r="I178" s="229" t="str">
        <f>IFERROR(N178*MIN(Table_Measure_Caps[[#Totals],[Estimated Raw Incentive Total]], Table_Measure_Caps[[#Totals],[Gross Measure Cost Total]], Value_Project_CAP)/Table_Measure_Caps[[#Totals],[Estimated Raw Incentive Total]], "")</f>
        <v/>
      </c>
      <c r="J178" s="229">
        <f>'Input Low-Flow Water Measures'!H21</f>
        <v>0</v>
      </c>
      <c r="K178" s="229">
        <f>'Input Low-Flow Water Measures'!I21</f>
        <v>0</v>
      </c>
      <c r="L178" s="77" t="str">
        <f t="shared" si="5"/>
        <v>Version 5.2</v>
      </c>
      <c r="M178" s="78">
        <f>'Input Low-Flow Water Measures'!E21</f>
        <v>0</v>
      </c>
      <c r="N178" s="237" t="str">
        <f>'Input Low-Flow Water Measures'!K21</f>
        <v/>
      </c>
    </row>
    <row r="179" spans="1:14" x14ac:dyDescent="0.2">
      <c r="A179" s="75" t="s">
        <v>620</v>
      </c>
      <c r="B179" s="76">
        <f t="shared" si="7"/>
        <v>0</v>
      </c>
      <c r="C179" s="76">
        <v>17</v>
      </c>
      <c r="D179" s="76" t="str">
        <f>'Input Low-Flow Water Measures'!C22</f>
        <v/>
      </c>
      <c r="E179" s="76" t="str">
        <f>'Input Low-Flow Water Measures'!F22</f>
        <v/>
      </c>
      <c r="F179" s="76">
        <f>'Input Low-Flow Water Measures'!G22</f>
        <v>0</v>
      </c>
      <c r="G179" s="221" t="str">
        <f>'Input Low-Flow Water Measures'!L22</f>
        <v/>
      </c>
      <c r="H179" s="87" t="str">
        <f>'Input Low-Flow Water Measures'!M22</f>
        <v/>
      </c>
      <c r="I179" s="229" t="str">
        <f>IFERROR(N179*MIN(Table_Measure_Caps[[#Totals],[Estimated Raw Incentive Total]], Table_Measure_Caps[[#Totals],[Gross Measure Cost Total]], Value_Project_CAP)/Table_Measure_Caps[[#Totals],[Estimated Raw Incentive Total]], "")</f>
        <v/>
      </c>
      <c r="J179" s="229">
        <f>'Input Low-Flow Water Measures'!H22</f>
        <v>0</v>
      </c>
      <c r="K179" s="229">
        <f>'Input Low-Flow Water Measures'!I22</f>
        <v>0</v>
      </c>
      <c r="L179" s="77" t="str">
        <f t="shared" si="5"/>
        <v>Version 5.2</v>
      </c>
      <c r="M179" s="78">
        <f>'Input Low-Flow Water Measures'!E22</f>
        <v>0</v>
      </c>
      <c r="N179" s="237" t="str">
        <f>'Input Low-Flow Water Measures'!K22</f>
        <v/>
      </c>
    </row>
    <row r="180" spans="1:14" x14ac:dyDescent="0.2">
      <c r="A180" s="75" t="s">
        <v>620</v>
      </c>
      <c r="B180" s="76">
        <f t="shared" si="7"/>
        <v>0</v>
      </c>
      <c r="C180" s="76">
        <v>18</v>
      </c>
      <c r="D180" s="76" t="str">
        <f>'Input Low-Flow Water Measures'!C23</f>
        <v/>
      </c>
      <c r="E180" s="76" t="str">
        <f>'Input Low-Flow Water Measures'!F23</f>
        <v/>
      </c>
      <c r="F180" s="76">
        <f>'Input Low-Flow Water Measures'!G23</f>
        <v>0</v>
      </c>
      <c r="G180" s="221" t="str">
        <f>'Input Low-Flow Water Measures'!L23</f>
        <v/>
      </c>
      <c r="H180" s="87" t="str">
        <f>'Input Low-Flow Water Measures'!M23</f>
        <v/>
      </c>
      <c r="I180" s="229" t="str">
        <f>IFERROR(N180*MIN(Table_Measure_Caps[[#Totals],[Estimated Raw Incentive Total]], Table_Measure_Caps[[#Totals],[Gross Measure Cost Total]], Value_Project_CAP)/Table_Measure_Caps[[#Totals],[Estimated Raw Incentive Total]], "")</f>
        <v/>
      </c>
      <c r="J180" s="229">
        <f>'Input Low-Flow Water Measures'!H23</f>
        <v>0</v>
      </c>
      <c r="K180" s="229">
        <f>'Input Low-Flow Water Measures'!I23</f>
        <v>0</v>
      </c>
      <c r="L180" s="77" t="str">
        <f t="shared" si="5"/>
        <v>Version 5.2</v>
      </c>
      <c r="M180" s="78">
        <f>'Input Low-Flow Water Measures'!E23</f>
        <v>0</v>
      </c>
      <c r="N180" s="237" t="str">
        <f>'Input Low-Flow Water Measures'!K23</f>
        <v/>
      </c>
    </row>
    <row r="181" spans="1:14" x14ac:dyDescent="0.2">
      <c r="A181" s="75" t="s">
        <v>620</v>
      </c>
      <c r="B181" s="76">
        <f t="shared" si="7"/>
        <v>0</v>
      </c>
      <c r="C181" s="76">
        <v>19</v>
      </c>
      <c r="D181" s="76" t="str">
        <f>'Input Low-Flow Water Measures'!C24</f>
        <v/>
      </c>
      <c r="E181" s="76" t="str">
        <f>'Input Low-Flow Water Measures'!F24</f>
        <v/>
      </c>
      <c r="F181" s="76">
        <f>'Input Low-Flow Water Measures'!G24</f>
        <v>0</v>
      </c>
      <c r="G181" s="221" t="str">
        <f>'Input Low-Flow Water Measures'!L24</f>
        <v/>
      </c>
      <c r="H181" s="87" t="str">
        <f>'Input Low-Flow Water Measures'!M24</f>
        <v/>
      </c>
      <c r="I181" s="229" t="str">
        <f>IFERROR(N181*MIN(Table_Measure_Caps[[#Totals],[Estimated Raw Incentive Total]], Table_Measure_Caps[[#Totals],[Gross Measure Cost Total]], Value_Project_CAP)/Table_Measure_Caps[[#Totals],[Estimated Raw Incentive Total]], "")</f>
        <v/>
      </c>
      <c r="J181" s="229">
        <f>'Input Low-Flow Water Measures'!H24</f>
        <v>0</v>
      </c>
      <c r="K181" s="229">
        <f>'Input Low-Flow Water Measures'!I24</f>
        <v>0</v>
      </c>
      <c r="L181" s="77" t="str">
        <f t="shared" si="5"/>
        <v>Version 5.2</v>
      </c>
      <c r="M181" s="78">
        <f>'Input Low-Flow Water Measures'!E24</f>
        <v>0</v>
      </c>
      <c r="N181" s="237" t="str">
        <f>'Input Low-Flow Water Measures'!K24</f>
        <v/>
      </c>
    </row>
    <row r="182" spans="1:14" x14ac:dyDescent="0.2">
      <c r="A182" s="75" t="s">
        <v>620</v>
      </c>
      <c r="B182" s="76">
        <f t="shared" si="7"/>
        <v>0</v>
      </c>
      <c r="C182" s="76">
        <v>20</v>
      </c>
      <c r="D182" s="76" t="str">
        <f>'Input Low-Flow Water Measures'!C25</f>
        <v/>
      </c>
      <c r="E182" s="76" t="str">
        <f>'Input Low-Flow Water Measures'!F25</f>
        <v/>
      </c>
      <c r="F182" s="76">
        <f>'Input Low-Flow Water Measures'!G25</f>
        <v>0</v>
      </c>
      <c r="G182" s="221" t="str">
        <f>'Input Low-Flow Water Measures'!L25</f>
        <v/>
      </c>
      <c r="H182" s="87" t="str">
        <f>'Input Low-Flow Water Measures'!M25</f>
        <v/>
      </c>
      <c r="I182" s="229" t="str">
        <f>IFERROR(N182*MIN(Table_Measure_Caps[[#Totals],[Estimated Raw Incentive Total]], Table_Measure_Caps[[#Totals],[Gross Measure Cost Total]], Value_Project_CAP)/Table_Measure_Caps[[#Totals],[Estimated Raw Incentive Total]], "")</f>
        <v/>
      </c>
      <c r="J182" s="229">
        <f>'Input Low-Flow Water Measures'!H25</f>
        <v>0</v>
      </c>
      <c r="K182" s="229">
        <f>'Input Low-Flow Water Measures'!I25</f>
        <v>0</v>
      </c>
      <c r="L182" s="77" t="str">
        <f t="shared" si="5"/>
        <v>Version 5.2</v>
      </c>
      <c r="M182" s="78">
        <f>'Input Low-Flow Water Measures'!E25</f>
        <v>0</v>
      </c>
      <c r="N182" s="237" t="str">
        <f>'Input Low-Flow Water Measures'!K25</f>
        <v/>
      </c>
    </row>
    <row r="183" spans="1:14" x14ac:dyDescent="0.2">
      <c r="A183" s="75" t="s">
        <v>620</v>
      </c>
      <c r="B183" s="76">
        <f t="shared" si="7"/>
        <v>0</v>
      </c>
      <c r="C183" s="76">
        <v>21</v>
      </c>
      <c r="D183" s="76" t="str">
        <f>'Input Low-Flow Water Measures'!C26</f>
        <v/>
      </c>
      <c r="E183" s="76" t="str">
        <f>'Input Low-Flow Water Measures'!F26</f>
        <v/>
      </c>
      <c r="F183" s="76">
        <f>'Input Low-Flow Water Measures'!G26</f>
        <v>0</v>
      </c>
      <c r="G183" s="221" t="str">
        <f>'Input Low-Flow Water Measures'!L26</f>
        <v/>
      </c>
      <c r="H183" s="87" t="str">
        <f>'Input Low-Flow Water Measures'!M26</f>
        <v/>
      </c>
      <c r="I183" s="229" t="str">
        <f>IFERROR(N183*MIN(Table_Measure_Caps[[#Totals],[Estimated Raw Incentive Total]], Table_Measure_Caps[[#Totals],[Gross Measure Cost Total]], Value_Project_CAP)/Table_Measure_Caps[[#Totals],[Estimated Raw Incentive Total]], "")</f>
        <v/>
      </c>
      <c r="J183" s="229">
        <f>'Input Low-Flow Water Measures'!H26</f>
        <v>0</v>
      </c>
      <c r="K183" s="229">
        <f>'Input Low-Flow Water Measures'!I26</f>
        <v>0</v>
      </c>
      <c r="L183" s="77" t="str">
        <f t="shared" si="5"/>
        <v>Version 5.2</v>
      </c>
      <c r="M183" s="78">
        <f>'Input Low-Flow Water Measures'!E26</f>
        <v>0</v>
      </c>
      <c r="N183" s="237" t="str">
        <f>'Input Low-Flow Water Measures'!K26</f>
        <v/>
      </c>
    </row>
    <row r="184" spans="1:14" x14ac:dyDescent="0.2">
      <c r="A184" s="75" t="s">
        <v>620</v>
      </c>
      <c r="B184" s="76">
        <f t="shared" si="7"/>
        <v>0</v>
      </c>
      <c r="C184" s="76">
        <v>22</v>
      </c>
      <c r="D184" s="76" t="str">
        <f>'Input Low-Flow Water Measures'!C27</f>
        <v/>
      </c>
      <c r="E184" s="76" t="str">
        <f>'Input Low-Flow Water Measures'!F27</f>
        <v/>
      </c>
      <c r="F184" s="76">
        <f>'Input Low-Flow Water Measures'!G27</f>
        <v>0</v>
      </c>
      <c r="G184" s="221" t="str">
        <f>'Input Low-Flow Water Measures'!L27</f>
        <v/>
      </c>
      <c r="H184" s="87" t="str">
        <f>'Input Low-Flow Water Measures'!M27</f>
        <v/>
      </c>
      <c r="I184" s="229" t="str">
        <f>IFERROR(N184*MIN(Table_Measure_Caps[[#Totals],[Estimated Raw Incentive Total]], Table_Measure_Caps[[#Totals],[Gross Measure Cost Total]], Value_Project_CAP)/Table_Measure_Caps[[#Totals],[Estimated Raw Incentive Total]], "")</f>
        <v/>
      </c>
      <c r="J184" s="229">
        <f>'Input Low-Flow Water Measures'!H27</f>
        <v>0</v>
      </c>
      <c r="K184" s="229">
        <f>'Input Low-Flow Water Measures'!I27</f>
        <v>0</v>
      </c>
      <c r="L184" s="77" t="str">
        <f t="shared" si="5"/>
        <v>Version 5.2</v>
      </c>
      <c r="M184" s="78">
        <f>'Input Low-Flow Water Measures'!E27</f>
        <v>0</v>
      </c>
      <c r="N184" s="237" t="str">
        <f>'Input Low-Flow Water Measures'!K27</f>
        <v/>
      </c>
    </row>
    <row r="185" spans="1:14" x14ac:dyDescent="0.2">
      <c r="A185" s="75" t="s">
        <v>620</v>
      </c>
      <c r="B185" s="76">
        <f t="shared" si="7"/>
        <v>0</v>
      </c>
      <c r="C185" s="76">
        <v>23</v>
      </c>
      <c r="D185" s="76" t="str">
        <f>'Input Low-Flow Water Measures'!C28</f>
        <v/>
      </c>
      <c r="E185" s="76" t="str">
        <f>'Input Low-Flow Water Measures'!F28</f>
        <v/>
      </c>
      <c r="F185" s="76">
        <f>'Input Low-Flow Water Measures'!G28</f>
        <v>0</v>
      </c>
      <c r="G185" s="221" t="str">
        <f>'Input Low-Flow Water Measures'!L28</f>
        <v/>
      </c>
      <c r="H185" s="87" t="str">
        <f>'Input Low-Flow Water Measures'!M28</f>
        <v/>
      </c>
      <c r="I185" s="229" t="str">
        <f>IFERROR(N185*MIN(Table_Measure_Caps[[#Totals],[Estimated Raw Incentive Total]], Table_Measure_Caps[[#Totals],[Gross Measure Cost Total]], Value_Project_CAP)/Table_Measure_Caps[[#Totals],[Estimated Raw Incentive Total]], "")</f>
        <v/>
      </c>
      <c r="J185" s="229">
        <f>'Input Low-Flow Water Measures'!H28</f>
        <v>0</v>
      </c>
      <c r="K185" s="229">
        <f>'Input Low-Flow Water Measures'!I28</f>
        <v>0</v>
      </c>
      <c r="L185" s="77" t="str">
        <f t="shared" si="5"/>
        <v>Version 5.2</v>
      </c>
      <c r="M185" s="78">
        <f>'Input Low-Flow Water Measures'!E28</f>
        <v>0</v>
      </c>
      <c r="N185" s="237" t="str">
        <f>'Input Low-Flow Water Measures'!K28</f>
        <v/>
      </c>
    </row>
    <row r="186" spans="1:14" x14ac:dyDescent="0.2">
      <c r="A186" s="75" t="s">
        <v>620</v>
      </c>
      <c r="B186" s="76">
        <f t="shared" si="7"/>
        <v>0</v>
      </c>
      <c r="C186" s="76">
        <v>24</v>
      </c>
      <c r="D186" s="76" t="str">
        <f>'Input Low-Flow Water Measures'!C29</f>
        <v/>
      </c>
      <c r="E186" s="76" t="str">
        <f>'Input Low-Flow Water Measures'!F29</f>
        <v/>
      </c>
      <c r="F186" s="76">
        <f>'Input Low-Flow Water Measures'!G29</f>
        <v>0</v>
      </c>
      <c r="G186" s="221" t="str">
        <f>'Input Low-Flow Water Measures'!L29</f>
        <v/>
      </c>
      <c r="H186" s="87" t="str">
        <f>'Input Low-Flow Water Measures'!M29</f>
        <v/>
      </c>
      <c r="I186" s="229" t="str">
        <f>IFERROR(N186*MIN(Table_Measure_Caps[[#Totals],[Estimated Raw Incentive Total]], Table_Measure_Caps[[#Totals],[Gross Measure Cost Total]], Value_Project_CAP)/Table_Measure_Caps[[#Totals],[Estimated Raw Incentive Total]], "")</f>
        <v/>
      </c>
      <c r="J186" s="229">
        <f>'Input Low-Flow Water Measures'!H29</f>
        <v>0</v>
      </c>
      <c r="K186" s="229">
        <f>'Input Low-Flow Water Measures'!I29</f>
        <v>0</v>
      </c>
      <c r="L186" s="77" t="str">
        <f t="shared" si="5"/>
        <v>Version 5.2</v>
      </c>
      <c r="M186" s="78">
        <f>'Input Low-Flow Water Measures'!E29</f>
        <v>0</v>
      </c>
      <c r="N186" s="237" t="str">
        <f>'Input Low-Flow Water Measures'!K29</f>
        <v/>
      </c>
    </row>
    <row r="187" spans="1:14" x14ac:dyDescent="0.2">
      <c r="A187" s="75" t="s">
        <v>620</v>
      </c>
      <c r="B187" s="76">
        <f t="shared" si="7"/>
        <v>0</v>
      </c>
      <c r="C187" s="76">
        <v>25</v>
      </c>
      <c r="D187" s="76" t="str">
        <f>'Input Low-Flow Water Measures'!C30</f>
        <v/>
      </c>
      <c r="E187" s="76" t="str">
        <f>'Input Low-Flow Water Measures'!F30</f>
        <v/>
      </c>
      <c r="F187" s="76">
        <f>'Input Low-Flow Water Measures'!G30</f>
        <v>0</v>
      </c>
      <c r="G187" s="221" t="str">
        <f>'Input Low-Flow Water Measures'!L30</f>
        <v/>
      </c>
      <c r="H187" s="87" t="str">
        <f>'Input Low-Flow Water Measures'!M30</f>
        <v/>
      </c>
      <c r="I187" s="229" t="str">
        <f>IFERROR(N187*MIN(Table_Measure_Caps[[#Totals],[Estimated Raw Incentive Total]], Table_Measure_Caps[[#Totals],[Gross Measure Cost Total]], Value_Project_CAP)/Table_Measure_Caps[[#Totals],[Estimated Raw Incentive Total]], "")</f>
        <v/>
      </c>
      <c r="J187" s="229">
        <f>'Input Low-Flow Water Measures'!H30</f>
        <v>0</v>
      </c>
      <c r="K187" s="229">
        <f>'Input Low-Flow Water Measures'!I30</f>
        <v>0</v>
      </c>
      <c r="L187" s="77" t="str">
        <f t="shared" si="5"/>
        <v>Version 5.2</v>
      </c>
      <c r="M187" s="78">
        <f>'Input Low-Flow Water Measures'!E30</f>
        <v>0</v>
      </c>
      <c r="N187" s="237" t="str">
        <f>'Input Low-Flow Water Measures'!K30</f>
        <v/>
      </c>
    </row>
    <row r="188" spans="1:14" x14ac:dyDescent="0.2">
      <c r="A188" s="75" t="s">
        <v>620</v>
      </c>
      <c r="B188" s="76">
        <f t="shared" si="7"/>
        <v>0</v>
      </c>
      <c r="C188" s="76">
        <v>26</v>
      </c>
      <c r="D188" s="76" t="str">
        <f>'Input Low-Flow Water Measures'!C31</f>
        <v/>
      </c>
      <c r="E188" s="76" t="str">
        <f>'Input Low-Flow Water Measures'!F31</f>
        <v/>
      </c>
      <c r="F188" s="76">
        <f>'Input Low-Flow Water Measures'!G31</f>
        <v>0</v>
      </c>
      <c r="G188" s="221" t="str">
        <f>'Input Low-Flow Water Measures'!L31</f>
        <v/>
      </c>
      <c r="H188" s="87" t="str">
        <f>'Input Low-Flow Water Measures'!M31</f>
        <v/>
      </c>
      <c r="I188" s="229" t="str">
        <f>IFERROR(N188*MIN(Table_Measure_Caps[[#Totals],[Estimated Raw Incentive Total]], Table_Measure_Caps[[#Totals],[Gross Measure Cost Total]], Value_Project_CAP)/Table_Measure_Caps[[#Totals],[Estimated Raw Incentive Total]], "")</f>
        <v/>
      </c>
      <c r="J188" s="229">
        <f>'Input Low-Flow Water Measures'!H31</f>
        <v>0</v>
      </c>
      <c r="K188" s="229">
        <f>'Input Low-Flow Water Measures'!I31</f>
        <v>0</v>
      </c>
      <c r="L188" s="77" t="str">
        <f t="shared" si="5"/>
        <v>Version 5.2</v>
      </c>
      <c r="M188" s="78">
        <f>'Input Low-Flow Water Measures'!E31</f>
        <v>0</v>
      </c>
      <c r="N188" s="237" t="str">
        <f>'Input Low-Flow Water Measures'!K31</f>
        <v/>
      </c>
    </row>
    <row r="189" spans="1:14" x14ac:dyDescent="0.2">
      <c r="A189" s="75" t="s">
        <v>620</v>
      </c>
      <c r="B189" s="76">
        <f t="shared" si="7"/>
        <v>0</v>
      </c>
      <c r="C189" s="76">
        <v>27</v>
      </c>
      <c r="D189" s="76" t="str">
        <f>'Input Low-Flow Water Measures'!C32</f>
        <v/>
      </c>
      <c r="E189" s="76" t="str">
        <f>'Input Low-Flow Water Measures'!F32</f>
        <v/>
      </c>
      <c r="F189" s="76">
        <f>'Input Low-Flow Water Measures'!G32</f>
        <v>0</v>
      </c>
      <c r="G189" s="221" t="str">
        <f>'Input Low-Flow Water Measures'!L32</f>
        <v/>
      </c>
      <c r="H189" s="87" t="str">
        <f>'Input Low-Flow Water Measures'!M32</f>
        <v/>
      </c>
      <c r="I189" s="229" t="str">
        <f>IFERROR(N189*MIN(Table_Measure_Caps[[#Totals],[Estimated Raw Incentive Total]], Table_Measure_Caps[[#Totals],[Gross Measure Cost Total]], Value_Project_CAP)/Table_Measure_Caps[[#Totals],[Estimated Raw Incentive Total]], "")</f>
        <v/>
      </c>
      <c r="J189" s="229">
        <f>'Input Low-Flow Water Measures'!H32</f>
        <v>0</v>
      </c>
      <c r="K189" s="229">
        <f>'Input Low-Flow Water Measures'!I32</f>
        <v>0</v>
      </c>
      <c r="L189" s="77" t="str">
        <f t="shared" si="5"/>
        <v>Version 5.2</v>
      </c>
      <c r="M189" s="78">
        <f>'Input Low-Flow Water Measures'!E32</f>
        <v>0</v>
      </c>
      <c r="N189" s="237" t="str">
        <f>'Input Low-Flow Water Measures'!K32</f>
        <v/>
      </c>
    </row>
    <row r="190" spans="1:14" x14ac:dyDescent="0.2">
      <c r="A190" s="75" t="s">
        <v>620</v>
      </c>
      <c r="B190" s="76">
        <f t="shared" si="7"/>
        <v>0</v>
      </c>
      <c r="C190" s="76">
        <v>28</v>
      </c>
      <c r="D190" s="76" t="str">
        <f>'Input Low-Flow Water Measures'!C33</f>
        <v/>
      </c>
      <c r="E190" s="76" t="str">
        <f>'Input Low-Flow Water Measures'!F33</f>
        <v/>
      </c>
      <c r="F190" s="76">
        <f>'Input Low-Flow Water Measures'!G33</f>
        <v>0</v>
      </c>
      <c r="G190" s="221" t="str">
        <f>'Input Low-Flow Water Measures'!L33</f>
        <v/>
      </c>
      <c r="H190" s="87" t="str">
        <f>'Input Low-Flow Water Measures'!M33</f>
        <v/>
      </c>
      <c r="I190" s="229" t="str">
        <f>IFERROR(N190*MIN(Table_Measure_Caps[[#Totals],[Estimated Raw Incentive Total]], Table_Measure_Caps[[#Totals],[Gross Measure Cost Total]], Value_Project_CAP)/Table_Measure_Caps[[#Totals],[Estimated Raw Incentive Total]], "")</f>
        <v/>
      </c>
      <c r="J190" s="229">
        <f>'Input Low-Flow Water Measures'!H33</f>
        <v>0</v>
      </c>
      <c r="K190" s="229">
        <f>'Input Low-Flow Water Measures'!I33</f>
        <v>0</v>
      </c>
      <c r="L190" s="77" t="str">
        <f t="shared" si="5"/>
        <v>Version 5.2</v>
      </c>
      <c r="M190" s="78">
        <f>'Input Low-Flow Water Measures'!E33</f>
        <v>0</v>
      </c>
      <c r="N190" s="237" t="str">
        <f>'Input Low-Flow Water Measures'!K33</f>
        <v/>
      </c>
    </row>
    <row r="191" spans="1:14" x14ac:dyDescent="0.2">
      <c r="A191" s="75" t="s">
        <v>620</v>
      </c>
      <c r="B191" s="76">
        <f t="shared" si="7"/>
        <v>0</v>
      </c>
      <c r="C191" s="76">
        <v>29</v>
      </c>
      <c r="D191" s="76" t="str">
        <f>'Input Low-Flow Water Measures'!C34</f>
        <v/>
      </c>
      <c r="E191" s="76" t="str">
        <f>'Input Low-Flow Water Measures'!F34</f>
        <v/>
      </c>
      <c r="F191" s="76">
        <f>'Input Low-Flow Water Measures'!G34</f>
        <v>0</v>
      </c>
      <c r="G191" s="221" t="str">
        <f>'Input Low-Flow Water Measures'!L34</f>
        <v/>
      </c>
      <c r="H191" s="87" t="str">
        <f>'Input Low-Flow Water Measures'!M34</f>
        <v/>
      </c>
      <c r="I191" s="229" t="str">
        <f>IFERROR(N191*MIN(Table_Measure_Caps[[#Totals],[Estimated Raw Incentive Total]], Table_Measure_Caps[[#Totals],[Gross Measure Cost Total]], Value_Project_CAP)/Table_Measure_Caps[[#Totals],[Estimated Raw Incentive Total]], "")</f>
        <v/>
      </c>
      <c r="J191" s="229">
        <f>'Input Low-Flow Water Measures'!H34</f>
        <v>0</v>
      </c>
      <c r="K191" s="229">
        <f>'Input Low-Flow Water Measures'!I34</f>
        <v>0</v>
      </c>
      <c r="L191" s="77" t="str">
        <f t="shared" si="5"/>
        <v>Version 5.2</v>
      </c>
      <c r="M191" s="78">
        <f>'Input Low-Flow Water Measures'!E34</f>
        <v>0</v>
      </c>
      <c r="N191" s="237" t="str">
        <f>'Input Low-Flow Water Measures'!K34</f>
        <v/>
      </c>
    </row>
    <row r="192" spans="1:14" x14ac:dyDescent="0.2">
      <c r="A192" s="75" t="s">
        <v>620</v>
      </c>
      <c r="B192" s="76">
        <f t="shared" si="7"/>
        <v>0</v>
      </c>
      <c r="C192" s="76">
        <v>30</v>
      </c>
      <c r="D192" s="76" t="str">
        <f>'Input Low-Flow Water Measures'!C35</f>
        <v/>
      </c>
      <c r="E192" s="76" t="str">
        <f>'Input Low-Flow Water Measures'!F35</f>
        <v/>
      </c>
      <c r="F192" s="76">
        <f>'Input Low-Flow Water Measures'!G35</f>
        <v>0</v>
      </c>
      <c r="G192" s="221" t="str">
        <f>'Input Low-Flow Water Measures'!L35</f>
        <v/>
      </c>
      <c r="H192" s="87" t="str">
        <f>'Input Low-Flow Water Measures'!M35</f>
        <v/>
      </c>
      <c r="I192" s="229" t="str">
        <f>IFERROR(N192*MIN(Table_Measure_Caps[[#Totals],[Estimated Raw Incentive Total]], Table_Measure_Caps[[#Totals],[Gross Measure Cost Total]], Value_Project_CAP)/Table_Measure_Caps[[#Totals],[Estimated Raw Incentive Total]], "")</f>
        <v/>
      </c>
      <c r="J192" s="229">
        <f>'Input Low-Flow Water Measures'!H35</f>
        <v>0</v>
      </c>
      <c r="K192" s="229">
        <f>'Input Low-Flow Water Measures'!I35</f>
        <v>0</v>
      </c>
      <c r="L192" s="77" t="str">
        <f t="shared" si="5"/>
        <v>Version 5.2</v>
      </c>
      <c r="M192" s="78">
        <f>'Input Low-Flow Water Measures'!E35</f>
        <v>0</v>
      </c>
      <c r="N192" s="237" t="str">
        <f>'Input Low-Flow Water Measures'!K35</f>
        <v/>
      </c>
    </row>
    <row r="193" spans="1:14" x14ac:dyDescent="0.2">
      <c r="A193" s="79" t="s">
        <v>265</v>
      </c>
      <c r="B193" s="80">
        <f t="shared" si="7"/>
        <v>0</v>
      </c>
      <c r="C193" s="80">
        <v>1</v>
      </c>
      <c r="D193" s="80" t="str">
        <f>'Input Custom Measures'!C5</f>
        <v/>
      </c>
      <c r="E193" s="80"/>
      <c r="F193" s="80" t="str">
        <f>IF(Table18[[#This Row],[kWh Savings]]&lt;&gt;"",1,"")</f>
        <v/>
      </c>
      <c r="G193" s="222" t="str">
        <f>'Input Custom Measures'!R5</f>
        <v/>
      </c>
      <c r="H193" s="88" t="str">
        <f>'Input Custom Measures'!S5</f>
        <v/>
      </c>
      <c r="I193" s="230" t="str">
        <f>IFERROR(N193*MIN(Table_Measure_Caps[[#Totals],[Estimated Raw Incentive Total]], Table_Measure_Caps[[#Totals],[Gross Measure Cost Total]], Value_Project_CAP)/Table_Measure_Caps[[#Totals],[Estimated Raw Incentive Total]], "")</f>
        <v/>
      </c>
      <c r="J193" s="230">
        <f>'Input Custom Measures'!O5</f>
        <v>0</v>
      </c>
      <c r="K193" s="230">
        <f>'Input Custom Measures'!P5</f>
        <v>0</v>
      </c>
      <c r="L193" s="81" t="str">
        <f t="shared" si="5"/>
        <v>Version 5.2</v>
      </c>
      <c r="M193" s="82">
        <f>'Input Custom Measures'!F5</f>
        <v>0</v>
      </c>
      <c r="N193" s="238" t="str">
        <f>'Input Custom Measures'!Q5</f>
        <v/>
      </c>
    </row>
    <row r="194" spans="1:14" x14ac:dyDescent="0.2">
      <c r="A194" s="79" t="s">
        <v>265</v>
      </c>
      <c r="B194" s="80">
        <f t="shared" si="7"/>
        <v>0</v>
      </c>
      <c r="C194" s="80">
        <v>2</v>
      </c>
      <c r="D194" s="80" t="str">
        <f>'Input Custom Measures'!C6</f>
        <v/>
      </c>
      <c r="E194" s="80"/>
      <c r="F194" s="80" t="str">
        <f>IF(Table18[[#This Row],[kWh Savings]]&lt;&gt;"",1,"")</f>
        <v/>
      </c>
      <c r="G194" s="222" t="str">
        <f>'Input Custom Measures'!R6</f>
        <v/>
      </c>
      <c r="H194" s="88" t="str">
        <f>'Input Custom Measures'!S6</f>
        <v/>
      </c>
      <c r="I194" s="230" t="str">
        <f>IFERROR(N194*MIN(Table_Measure_Caps[[#Totals],[Estimated Raw Incentive Total]], Table_Measure_Caps[[#Totals],[Gross Measure Cost Total]], Value_Project_CAP)/Table_Measure_Caps[[#Totals],[Estimated Raw Incentive Total]], "")</f>
        <v/>
      </c>
      <c r="J194" s="230">
        <f>'Input Custom Measures'!O6</f>
        <v>0</v>
      </c>
      <c r="K194" s="230">
        <f>'Input Custom Measures'!P6</f>
        <v>0</v>
      </c>
      <c r="L194" s="81" t="str">
        <f t="shared" ref="L194:L212" si="8">Value_Application_Version</f>
        <v>Version 5.2</v>
      </c>
      <c r="M194" s="82">
        <f>'Input Custom Measures'!F6</f>
        <v>0</v>
      </c>
      <c r="N194" s="238" t="str">
        <f>'Input Custom Measures'!Q6</f>
        <v/>
      </c>
    </row>
    <row r="195" spans="1:14" x14ac:dyDescent="0.2">
      <c r="A195" s="79" t="s">
        <v>265</v>
      </c>
      <c r="B195" s="80">
        <f t="shared" si="7"/>
        <v>0</v>
      </c>
      <c r="C195" s="80">
        <v>3</v>
      </c>
      <c r="D195" s="80" t="str">
        <f>'Input Custom Measures'!C7</f>
        <v/>
      </c>
      <c r="E195" s="80"/>
      <c r="F195" s="80" t="str">
        <f>IF(Table18[[#This Row],[kWh Savings]]&lt;&gt;"",1,"")</f>
        <v/>
      </c>
      <c r="G195" s="222" t="str">
        <f>'Input Custom Measures'!R7</f>
        <v/>
      </c>
      <c r="H195" s="88" t="str">
        <f>'Input Custom Measures'!S7</f>
        <v/>
      </c>
      <c r="I195" s="230" t="str">
        <f>IFERROR(N195*MIN(Table_Measure_Caps[[#Totals],[Estimated Raw Incentive Total]], Table_Measure_Caps[[#Totals],[Gross Measure Cost Total]], Value_Project_CAP)/Table_Measure_Caps[[#Totals],[Estimated Raw Incentive Total]], "")</f>
        <v/>
      </c>
      <c r="J195" s="230">
        <f>'Input Custom Measures'!O7</f>
        <v>0</v>
      </c>
      <c r="K195" s="230">
        <f>'Input Custom Measures'!P7</f>
        <v>0</v>
      </c>
      <c r="L195" s="81" t="str">
        <f t="shared" si="8"/>
        <v>Version 5.2</v>
      </c>
      <c r="M195" s="82">
        <f>'Input Custom Measures'!F7</f>
        <v>0</v>
      </c>
      <c r="N195" s="238" t="str">
        <f>'Input Custom Measures'!Q7</f>
        <v/>
      </c>
    </row>
    <row r="196" spans="1:14" x14ac:dyDescent="0.2">
      <c r="A196" s="79" t="s">
        <v>265</v>
      </c>
      <c r="B196" s="80">
        <f t="shared" si="7"/>
        <v>0</v>
      </c>
      <c r="C196" s="80">
        <v>4</v>
      </c>
      <c r="D196" s="80" t="str">
        <f>'Input Custom Measures'!C8</f>
        <v/>
      </c>
      <c r="E196" s="80"/>
      <c r="F196" s="80" t="str">
        <f>IF(Table18[[#This Row],[kWh Savings]]&lt;&gt;"",1,"")</f>
        <v/>
      </c>
      <c r="G196" s="222" t="str">
        <f>'Input Custom Measures'!R8</f>
        <v/>
      </c>
      <c r="H196" s="88" t="str">
        <f>'Input Custom Measures'!S8</f>
        <v/>
      </c>
      <c r="I196" s="230" t="str">
        <f>IFERROR(N196*MIN(Table_Measure_Caps[[#Totals],[Estimated Raw Incentive Total]], Table_Measure_Caps[[#Totals],[Gross Measure Cost Total]], Value_Project_CAP)/Table_Measure_Caps[[#Totals],[Estimated Raw Incentive Total]], "")</f>
        <v/>
      </c>
      <c r="J196" s="230">
        <f>'Input Custom Measures'!O8</f>
        <v>0</v>
      </c>
      <c r="K196" s="230">
        <f>'Input Custom Measures'!P8</f>
        <v>0</v>
      </c>
      <c r="L196" s="81" t="str">
        <f t="shared" si="8"/>
        <v>Version 5.2</v>
      </c>
      <c r="M196" s="82">
        <f>'Input Custom Measures'!F8</f>
        <v>0</v>
      </c>
      <c r="N196" s="238" t="str">
        <f>'Input Custom Measures'!Q8</f>
        <v/>
      </c>
    </row>
    <row r="197" spans="1:14" x14ac:dyDescent="0.2">
      <c r="A197" s="79" t="s">
        <v>265</v>
      </c>
      <c r="B197" s="80">
        <f t="shared" ref="B197:B212" si="9">Input_ProjectNumber</f>
        <v>0</v>
      </c>
      <c r="C197" s="80">
        <v>5</v>
      </c>
      <c r="D197" s="80" t="str">
        <f>'Input Custom Measures'!C9</f>
        <v/>
      </c>
      <c r="E197" s="80"/>
      <c r="F197" s="80" t="str">
        <f>IF(Table18[[#This Row],[kWh Savings]]&lt;&gt;"",1,"")</f>
        <v/>
      </c>
      <c r="G197" s="222" t="str">
        <f>'Input Custom Measures'!R9</f>
        <v/>
      </c>
      <c r="H197" s="88" t="str">
        <f>'Input Custom Measures'!S9</f>
        <v/>
      </c>
      <c r="I197" s="230" t="str">
        <f>IFERROR(N197*MIN(Table_Measure_Caps[[#Totals],[Estimated Raw Incentive Total]], Table_Measure_Caps[[#Totals],[Gross Measure Cost Total]], Value_Project_CAP)/Table_Measure_Caps[[#Totals],[Estimated Raw Incentive Total]], "")</f>
        <v/>
      </c>
      <c r="J197" s="230">
        <f>'Input Custom Measures'!O9</f>
        <v>0</v>
      </c>
      <c r="K197" s="230">
        <f>'Input Custom Measures'!P9</f>
        <v>0</v>
      </c>
      <c r="L197" s="81" t="str">
        <f t="shared" si="8"/>
        <v>Version 5.2</v>
      </c>
      <c r="M197" s="82">
        <f>'Input Custom Measures'!F9</f>
        <v>0</v>
      </c>
      <c r="N197" s="238" t="str">
        <f>'Input Custom Measures'!Q9</f>
        <v/>
      </c>
    </row>
    <row r="198" spans="1:14" x14ac:dyDescent="0.2">
      <c r="A198" s="79" t="s">
        <v>265</v>
      </c>
      <c r="B198" s="80">
        <f t="shared" si="9"/>
        <v>0</v>
      </c>
      <c r="C198" s="80">
        <v>6</v>
      </c>
      <c r="D198" s="80" t="str">
        <f>'Input Custom Measures'!C10</f>
        <v/>
      </c>
      <c r="E198" s="80"/>
      <c r="F198" s="80" t="str">
        <f>IF(Table18[[#This Row],[kWh Savings]]&lt;&gt;"",1,"")</f>
        <v/>
      </c>
      <c r="G198" s="222" t="str">
        <f>'Input Custom Measures'!R10</f>
        <v/>
      </c>
      <c r="H198" s="88" t="str">
        <f>'Input Custom Measures'!S10</f>
        <v/>
      </c>
      <c r="I198" s="230" t="str">
        <f>IFERROR(N198*MIN(Table_Measure_Caps[[#Totals],[Estimated Raw Incentive Total]], Table_Measure_Caps[[#Totals],[Gross Measure Cost Total]], Value_Project_CAP)/Table_Measure_Caps[[#Totals],[Estimated Raw Incentive Total]], "")</f>
        <v/>
      </c>
      <c r="J198" s="230">
        <f>'Input Custom Measures'!O10</f>
        <v>0</v>
      </c>
      <c r="K198" s="230">
        <f>'Input Custom Measures'!P10</f>
        <v>0</v>
      </c>
      <c r="L198" s="81" t="str">
        <f t="shared" si="8"/>
        <v>Version 5.2</v>
      </c>
      <c r="M198" s="82">
        <f>'Input Custom Measures'!F10</f>
        <v>0</v>
      </c>
      <c r="N198" s="238" t="str">
        <f>'Input Custom Measures'!Q10</f>
        <v/>
      </c>
    </row>
    <row r="199" spans="1:14" x14ac:dyDescent="0.2">
      <c r="A199" s="79" t="s">
        <v>265</v>
      </c>
      <c r="B199" s="80">
        <f t="shared" si="9"/>
        <v>0</v>
      </c>
      <c r="C199" s="80">
        <v>7</v>
      </c>
      <c r="D199" s="80" t="str">
        <f>'Input Custom Measures'!C11</f>
        <v/>
      </c>
      <c r="E199" s="80"/>
      <c r="F199" s="80" t="str">
        <f>IF(Table18[[#This Row],[kWh Savings]]&lt;&gt;"",1,"")</f>
        <v/>
      </c>
      <c r="G199" s="222" t="str">
        <f>'Input Custom Measures'!R11</f>
        <v/>
      </c>
      <c r="H199" s="88" t="str">
        <f>'Input Custom Measures'!S11</f>
        <v/>
      </c>
      <c r="I199" s="230" t="str">
        <f>IFERROR(N199*MIN(Table_Measure_Caps[[#Totals],[Estimated Raw Incentive Total]], Table_Measure_Caps[[#Totals],[Gross Measure Cost Total]], Value_Project_CAP)/Table_Measure_Caps[[#Totals],[Estimated Raw Incentive Total]], "")</f>
        <v/>
      </c>
      <c r="J199" s="230">
        <f>'Input Custom Measures'!O11</f>
        <v>0</v>
      </c>
      <c r="K199" s="230">
        <f>'Input Custom Measures'!P11</f>
        <v>0</v>
      </c>
      <c r="L199" s="81" t="str">
        <f t="shared" si="8"/>
        <v>Version 5.2</v>
      </c>
      <c r="M199" s="82">
        <f>'Input Custom Measures'!F11</f>
        <v>0</v>
      </c>
      <c r="N199" s="238" t="str">
        <f>'Input Custom Measures'!Q11</f>
        <v/>
      </c>
    </row>
    <row r="200" spans="1:14" x14ac:dyDescent="0.2">
      <c r="A200" s="79" t="s">
        <v>265</v>
      </c>
      <c r="B200" s="80">
        <f t="shared" si="9"/>
        <v>0</v>
      </c>
      <c r="C200" s="80">
        <v>8</v>
      </c>
      <c r="D200" s="80" t="str">
        <f>'Input Custom Measures'!C12</f>
        <v/>
      </c>
      <c r="E200" s="80"/>
      <c r="F200" s="80" t="str">
        <f>IF(Table18[[#This Row],[kWh Savings]]&lt;&gt;"",1,"")</f>
        <v/>
      </c>
      <c r="G200" s="222" t="str">
        <f>'Input Custom Measures'!R12</f>
        <v/>
      </c>
      <c r="H200" s="88" t="str">
        <f>'Input Custom Measures'!S12</f>
        <v/>
      </c>
      <c r="I200" s="230" t="str">
        <f>IFERROR(N200*MIN(Table_Measure_Caps[[#Totals],[Estimated Raw Incentive Total]], Table_Measure_Caps[[#Totals],[Gross Measure Cost Total]], Value_Project_CAP)/Table_Measure_Caps[[#Totals],[Estimated Raw Incentive Total]], "")</f>
        <v/>
      </c>
      <c r="J200" s="230">
        <f>'Input Custom Measures'!O12</f>
        <v>0</v>
      </c>
      <c r="K200" s="230">
        <f>'Input Custom Measures'!P12</f>
        <v>0</v>
      </c>
      <c r="L200" s="81" t="str">
        <f t="shared" si="8"/>
        <v>Version 5.2</v>
      </c>
      <c r="M200" s="82">
        <f>'Input Custom Measures'!F12</f>
        <v>0</v>
      </c>
      <c r="N200" s="238" t="str">
        <f>'Input Custom Measures'!Q12</f>
        <v/>
      </c>
    </row>
    <row r="201" spans="1:14" x14ac:dyDescent="0.2">
      <c r="A201" s="79" t="s">
        <v>265</v>
      </c>
      <c r="B201" s="80">
        <f t="shared" si="9"/>
        <v>0</v>
      </c>
      <c r="C201" s="80">
        <v>9</v>
      </c>
      <c r="D201" s="80" t="str">
        <f>'Input Custom Measures'!C13</f>
        <v/>
      </c>
      <c r="E201" s="80"/>
      <c r="F201" s="80" t="str">
        <f>IF(Table18[[#This Row],[kWh Savings]]&lt;&gt;"",1,"")</f>
        <v/>
      </c>
      <c r="G201" s="222" t="str">
        <f>'Input Custom Measures'!R13</f>
        <v/>
      </c>
      <c r="H201" s="88" t="str">
        <f>'Input Custom Measures'!S13</f>
        <v/>
      </c>
      <c r="I201" s="230" t="str">
        <f>IFERROR(N201*MIN(Table_Measure_Caps[[#Totals],[Estimated Raw Incentive Total]], Table_Measure_Caps[[#Totals],[Gross Measure Cost Total]], Value_Project_CAP)/Table_Measure_Caps[[#Totals],[Estimated Raw Incentive Total]], "")</f>
        <v/>
      </c>
      <c r="J201" s="230">
        <f>'Input Custom Measures'!O13</f>
        <v>0</v>
      </c>
      <c r="K201" s="230">
        <f>'Input Custom Measures'!P13</f>
        <v>0</v>
      </c>
      <c r="L201" s="81" t="str">
        <f t="shared" si="8"/>
        <v>Version 5.2</v>
      </c>
      <c r="M201" s="82">
        <f>'Input Custom Measures'!F13</f>
        <v>0</v>
      </c>
      <c r="N201" s="238" t="str">
        <f>'Input Custom Measures'!Q13</f>
        <v/>
      </c>
    </row>
    <row r="202" spans="1:14" x14ac:dyDescent="0.2">
      <c r="A202" s="79" t="s">
        <v>265</v>
      </c>
      <c r="B202" s="80">
        <f t="shared" si="9"/>
        <v>0</v>
      </c>
      <c r="C202" s="80">
        <v>10</v>
      </c>
      <c r="D202" s="80" t="str">
        <f>'Input Custom Measures'!C14</f>
        <v/>
      </c>
      <c r="E202" s="80"/>
      <c r="F202" s="80" t="str">
        <f>IF(Table18[[#This Row],[kWh Savings]]&lt;&gt;"",1,"")</f>
        <v/>
      </c>
      <c r="G202" s="222" t="str">
        <f>'Input Custom Measures'!R14</f>
        <v/>
      </c>
      <c r="H202" s="88" t="str">
        <f>'Input Custom Measures'!S14</f>
        <v/>
      </c>
      <c r="I202" s="230" t="str">
        <f>IFERROR(N202*MIN(Table_Measure_Caps[[#Totals],[Estimated Raw Incentive Total]], Table_Measure_Caps[[#Totals],[Gross Measure Cost Total]], Value_Project_CAP)/Table_Measure_Caps[[#Totals],[Estimated Raw Incentive Total]], "")</f>
        <v/>
      </c>
      <c r="J202" s="230">
        <f>'Input Custom Measures'!O14</f>
        <v>0</v>
      </c>
      <c r="K202" s="230">
        <f>'Input Custom Measures'!P14</f>
        <v>0</v>
      </c>
      <c r="L202" s="81" t="str">
        <f t="shared" si="8"/>
        <v>Version 5.2</v>
      </c>
      <c r="M202" s="82">
        <f>'Input Custom Measures'!F14</f>
        <v>0</v>
      </c>
      <c r="N202" s="238" t="str">
        <f>'Input Custom Measures'!Q14</f>
        <v/>
      </c>
    </row>
    <row r="203" spans="1:14" x14ac:dyDescent="0.2">
      <c r="A203" s="79" t="s">
        <v>265</v>
      </c>
      <c r="B203" s="80">
        <f t="shared" si="9"/>
        <v>0</v>
      </c>
      <c r="C203" s="80">
        <v>11</v>
      </c>
      <c r="D203" s="80" t="str">
        <f>'Input Custom Measures'!C15</f>
        <v/>
      </c>
      <c r="E203" s="80"/>
      <c r="F203" s="80" t="str">
        <f>IF(Table18[[#This Row],[kWh Savings]]&lt;&gt;"",1,"")</f>
        <v/>
      </c>
      <c r="G203" s="222" t="str">
        <f>'Input Custom Measures'!R15</f>
        <v/>
      </c>
      <c r="H203" s="88" t="str">
        <f>'Input Custom Measures'!S15</f>
        <v/>
      </c>
      <c r="I203" s="230" t="str">
        <f>IFERROR(N203*MIN(Table_Measure_Caps[[#Totals],[Estimated Raw Incentive Total]], Table_Measure_Caps[[#Totals],[Gross Measure Cost Total]], Value_Project_CAP)/Table_Measure_Caps[[#Totals],[Estimated Raw Incentive Total]], "")</f>
        <v/>
      </c>
      <c r="J203" s="230">
        <f>'Input Custom Measures'!O15</f>
        <v>0</v>
      </c>
      <c r="K203" s="230">
        <f>'Input Custom Measures'!P15</f>
        <v>0</v>
      </c>
      <c r="L203" s="81" t="str">
        <f t="shared" si="8"/>
        <v>Version 5.2</v>
      </c>
      <c r="M203" s="82">
        <f>'Input Custom Measures'!F15</f>
        <v>0</v>
      </c>
      <c r="N203" s="238" t="str">
        <f>'Input Custom Measures'!Q15</f>
        <v/>
      </c>
    </row>
    <row r="204" spans="1:14" x14ac:dyDescent="0.2">
      <c r="A204" s="79" t="s">
        <v>265</v>
      </c>
      <c r="B204" s="80">
        <f t="shared" si="9"/>
        <v>0</v>
      </c>
      <c r="C204" s="80">
        <v>12</v>
      </c>
      <c r="D204" s="80" t="str">
        <f>'Input Custom Measures'!C16</f>
        <v/>
      </c>
      <c r="E204" s="80"/>
      <c r="F204" s="80" t="str">
        <f>IF(Table18[[#This Row],[kWh Savings]]&lt;&gt;"",1,"")</f>
        <v/>
      </c>
      <c r="G204" s="222" t="str">
        <f>'Input Custom Measures'!R16</f>
        <v/>
      </c>
      <c r="H204" s="88" t="str">
        <f>'Input Custom Measures'!S16</f>
        <v/>
      </c>
      <c r="I204" s="230" t="str">
        <f>IFERROR(N204*MIN(Table_Measure_Caps[[#Totals],[Estimated Raw Incentive Total]], Table_Measure_Caps[[#Totals],[Gross Measure Cost Total]], Value_Project_CAP)/Table_Measure_Caps[[#Totals],[Estimated Raw Incentive Total]], "")</f>
        <v/>
      </c>
      <c r="J204" s="230">
        <f>'Input Custom Measures'!O16</f>
        <v>0</v>
      </c>
      <c r="K204" s="230">
        <f>'Input Custom Measures'!P16</f>
        <v>0</v>
      </c>
      <c r="L204" s="81" t="str">
        <f t="shared" si="8"/>
        <v>Version 5.2</v>
      </c>
      <c r="M204" s="82">
        <f>'Input Custom Measures'!F16</f>
        <v>0</v>
      </c>
      <c r="N204" s="238" t="str">
        <f>'Input Custom Measures'!Q16</f>
        <v/>
      </c>
    </row>
    <row r="205" spans="1:14" x14ac:dyDescent="0.2">
      <c r="A205" s="79" t="s">
        <v>265</v>
      </c>
      <c r="B205" s="80">
        <f t="shared" si="9"/>
        <v>0</v>
      </c>
      <c r="C205" s="80">
        <v>13</v>
      </c>
      <c r="D205" s="80" t="str">
        <f>'Input Custom Measures'!C17</f>
        <v/>
      </c>
      <c r="E205" s="80"/>
      <c r="F205" s="80" t="str">
        <f>IF(Table18[[#This Row],[kWh Savings]]&lt;&gt;"",1,"")</f>
        <v/>
      </c>
      <c r="G205" s="222" t="str">
        <f>'Input Custom Measures'!R17</f>
        <v/>
      </c>
      <c r="H205" s="88" t="str">
        <f>'Input Custom Measures'!S17</f>
        <v/>
      </c>
      <c r="I205" s="230" t="str">
        <f>IFERROR(N205*MIN(Table_Measure_Caps[[#Totals],[Estimated Raw Incentive Total]], Table_Measure_Caps[[#Totals],[Gross Measure Cost Total]], Value_Project_CAP)/Table_Measure_Caps[[#Totals],[Estimated Raw Incentive Total]], "")</f>
        <v/>
      </c>
      <c r="J205" s="230">
        <f>'Input Custom Measures'!O17</f>
        <v>0</v>
      </c>
      <c r="K205" s="230">
        <f>'Input Custom Measures'!P17</f>
        <v>0</v>
      </c>
      <c r="L205" s="81" t="str">
        <f t="shared" si="8"/>
        <v>Version 5.2</v>
      </c>
      <c r="M205" s="82">
        <f>'Input Custom Measures'!F17</f>
        <v>0</v>
      </c>
      <c r="N205" s="238" t="str">
        <f>'Input Custom Measures'!Q17</f>
        <v/>
      </c>
    </row>
    <row r="206" spans="1:14" x14ac:dyDescent="0.2">
      <c r="A206" s="79" t="s">
        <v>265</v>
      </c>
      <c r="B206" s="80">
        <f t="shared" si="9"/>
        <v>0</v>
      </c>
      <c r="C206" s="80">
        <v>14</v>
      </c>
      <c r="D206" s="80" t="str">
        <f>'Input Custom Measures'!C18</f>
        <v/>
      </c>
      <c r="E206" s="80"/>
      <c r="F206" s="80" t="str">
        <f>IF(Table18[[#This Row],[kWh Savings]]&lt;&gt;"",1,"")</f>
        <v/>
      </c>
      <c r="G206" s="222" t="str">
        <f>'Input Custom Measures'!R18</f>
        <v/>
      </c>
      <c r="H206" s="88" t="str">
        <f>'Input Custom Measures'!S18</f>
        <v/>
      </c>
      <c r="I206" s="230" t="str">
        <f>IFERROR(N206*MIN(Table_Measure_Caps[[#Totals],[Estimated Raw Incentive Total]], Table_Measure_Caps[[#Totals],[Gross Measure Cost Total]], Value_Project_CAP)/Table_Measure_Caps[[#Totals],[Estimated Raw Incentive Total]], "")</f>
        <v/>
      </c>
      <c r="J206" s="230">
        <f>'Input Custom Measures'!O18</f>
        <v>0</v>
      </c>
      <c r="K206" s="230">
        <f>'Input Custom Measures'!P18</f>
        <v>0</v>
      </c>
      <c r="L206" s="81" t="str">
        <f t="shared" si="8"/>
        <v>Version 5.2</v>
      </c>
      <c r="M206" s="82">
        <f>'Input Custom Measures'!F18</f>
        <v>0</v>
      </c>
      <c r="N206" s="238" t="str">
        <f>'Input Custom Measures'!Q18</f>
        <v/>
      </c>
    </row>
    <row r="207" spans="1:14" x14ac:dyDescent="0.2">
      <c r="A207" s="79" t="s">
        <v>265</v>
      </c>
      <c r="B207" s="80">
        <f t="shared" si="9"/>
        <v>0</v>
      </c>
      <c r="C207" s="80">
        <v>15</v>
      </c>
      <c r="D207" s="80" t="str">
        <f>'Input Custom Measures'!C19</f>
        <v/>
      </c>
      <c r="E207" s="80"/>
      <c r="F207" s="80" t="str">
        <f>IF(Table18[[#This Row],[kWh Savings]]&lt;&gt;"",1,"")</f>
        <v/>
      </c>
      <c r="G207" s="222" t="str">
        <f>'Input Custom Measures'!R19</f>
        <v/>
      </c>
      <c r="H207" s="88" t="str">
        <f>'Input Custom Measures'!S19</f>
        <v/>
      </c>
      <c r="I207" s="230" t="str">
        <f>IFERROR(N207*MIN(Table_Measure_Caps[[#Totals],[Estimated Raw Incentive Total]], Table_Measure_Caps[[#Totals],[Gross Measure Cost Total]], Value_Project_CAP)/Table_Measure_Caps[[#Totals],[Estimated Raw Incentive Total]], "")</f>
        <v/>
      </c>
      <c r="J207" s="230">
        <f>'Input Custom Measures'!O19</f>
        <v>0</v>
      </c>
      <c r="K207" s="230">
        <f>'Input Custom Measures'!P19</f>
        <v>0</v>
      </c>
      <c r="L207" s="81" t="str">
        <f t="shared" si="8"/>
        <v>Version 5.2</v>
      </c>
      <c r="M207" s="82">
        <f>'Input Custom Measures'!F19</f>
        <v>0</v>
      </c>
      <c r="N207" s="238" t="str">
        <f>'Input Custom Measures'!Q19</f>
        <v/>
      </c>
    </row>
    <row r="208" spans="1:14" x14ac:dyDescent="0.2">
      <c r="A208" s="79" t="s">
        <v>265</v>
      </c>
      <c r="B208" s="80">
        <f t="shared" si="9"/>
        <v>0</v>
      </c>
      <c r="C208" s="80">
        <v>16</v>
      </c>
      <c r="D208" s="80" t="str">
        <f>'Input Custom Measures'!C20</f>
        <v/>
      </c>
      <c r="E208" s="80"/>
      <c r="F208" s="80" t="str">
        <f>IF(Table18[[#This Row],[kWh Savings]]&lt;&gt;"",1,"")</f>
        <v/>
      </c>
      <c r="G208" s="222" t="str">
        <f>'Input Custom Measures'!R20</f>
        <v/>
      </c>
      <c r="H208" s="88" t="str">
        <f>'Input Custom Measures'!S20</f>
        <v/>
      </c>
      <c r="I208" s="230" t="str">
        <f>IFERROR(N208*MIN(Table_Measure_Caps[[#Totals],[Estimated Raw Incentive Total]], Table_Measure_Caps[[#Totals],[Gross Measure Cost Total]], Value_Project_CAP)/Table_Measure_Caps[[#Totals],[Estimated Raw Incentive Total]], "")</f>
        <v/>
      </c>
      <c r="J208" s="230">
        <f>'Input Custom Measures'!O20</f>
        <v>0</v>
      </c>
      <c r="K208" s="230">
        <f>'Input Custom Measures'!P20</f>
        <v>0</v>
      </c>
      <c r="L208" s="81" t="str">
        <f t="shared" si="8"/>
        <v>Version 5.2</v>
      </c>
      <c r="M208" s="82">
        <f>'Input Custom Measures'!F20</f>
        <v>0</v>
      </c>
      <c r="N208" s="238" t="str">
        <f>'Input Custom Measures'!Q20</f>
        <v/>
      </c>
    </row>
    <row r="209" spans="1:14" x14ac:dyDescent="0.2">
      <c r="A209" s="79" t="s">
        <v>265</v>
      </c>
      <c r="B209" s="80">
        <f t="shared" si="9"/>
        <v>0</v>
      </c>
      <c r="C209" s="80">
        <v>17</v>
      </c>
      <c r="D209" s="80" t="str">
        <f>'Input Custom Measures'!C21</f>
        <v/>
      </c>
      <c r="E209" s="80"/>
      <c r="F209" s="80" t="str">
        <f>IF(Table18[[#This Row],[kWh Savings]]&lt;&gt;"",1,"")</f>
        <v/>
      </c>
      <c r="G209" s="222" t="str">
        <f>'Input Custom Measures'!R21</f>
        <v/>
      </c>
      <c r="H209" s="88" t="str">
        <f>'Input Custom Measures'!S21</f>
        <v/>
      </c>
      <c r="I209" s="230" t="str">
        <f>IFERROR(N209*MIN(Table_Measure_Caps[[#Totals],[Estimated Raw Incentive Total]], Table_Measure_Caps[[#Totals],[Gross Measure Cost Total]], Value_Project_CAP)/Table_Measure_Caps[[#Totals],[Estimated Raw Incentive Total]], "")</f>
        <v/>
      </c>
      <c r="J209" s="230">
        <f>'Input Custom Measures'!O21</f>
        <v>0</v>
      </c>
      <c r="K209" s="230">
        <f>'Input Custom Measures'!P21</f>
        <v>0</v>
      </c>
      <c r="L209" s="81" t="str">
        <f t="shared" si="8"/>
        <v>Version 5.2</v>
      </c>
      <c r="M209" s="82">
        <f>'Input Custom Measures'!F21</f>
        <v>0</v>
      </c>
      <c r="N209" s="238" t="str">
        <f>'Input Custom Measures'!Q21</f>
        <v/>
      </c>
    </row>
    <row r="210" spans="1:14" x14ac:dyDescent="0.2">
      <c r="A210" s="79" t="s">
        <v>265</v>
      </c>
      <c r="B210" s="80">
        <f t="shared" si="9"/>
        <v>0</v>
      </c>
      <c r="C210" s="80">
        <v>18</v>
      </c>
      <c r="D210" s="80" t="str">
        <f>'Input Custom Measures'!C22</f>
        <v/>
      </c>
      <c r="E210" s="80"/>
      <c r="F210" s="80" t="str">
        <f>IF(Table18[[#This Row],[kWh Savings]]&lt;&gt;"",1,"")</f>
        <v/>
      </c>
      <c r="G210" s="222" t="str">
        <f>'Input Custom Measures'!R22</f>
        <v/>
      </c>
      <c r="H210" s="88" t="str">
        <f>'Input Custom Measures'!S22</f>
        <v/>
      </c>
      <c r="I210" s="230" t="str">
        <f>IFERROR(N210*MIN(Table_Measure_Caps[[#Totals],[Estimated Raw Incentive Total]], Table_Measure_Caps[[#Totals],[Gross Measure Cost Total]], Value_Project_CAP)/Table_Measure_Caps[[#Totals],[Estimated Raw Incentive Total]], "")</f>
        <v/>
      </c>
      <c r="J210" s="230">
        <f>'Input Custom Measures'!O22</f>
        <v>0</v>
      </c>
      <c r="K210" s="230">
        <f>'Input Custom Measures'!P22</f>
        <v>0</v>
      </c>
      <c r="L210" s="81" t="str">
        <f t="shared" si="8"/>
        <v>Version 5.2</v>
      </c>
      <c r="M210" s="82">
        <f>'Input Custom Measures'!F22</f>
        <v>0</v>
      </c>
      <c r="N210" s="238" t="str">
        <f>'Input Custom Measures'!Q22</f>
        <v/>
      </c>
    </row>
    <row r="211" spans="1:14" x14ac:dyDescent="0.2">
      <c r="A211" s="79" t="s">
        <v>265</v>
      </c>
      <c r="B211" s="80">
        <f t="shared" si="9"/>
        <v>0</v>
      </c>
      <c r="C211" s="80">
        <v>19</v>
      </c>
      <c r="D211" s="80" t="str">
        <f>'Input Custom Measures'!C23</f>
        <v/>
      </c>
      <c r="E211" s="80"/>
      <c r="F211" s="80" t="str">
        <f>IF(Table18[[#This Row],[kWh Savings]]&lt;&gt;"",1,"")</f>
        <v/>
      </c>
      <c r="G211" s="222" t="str">
        <f>'Input Custom Measures'!R23</f>
        <v/>
      </c>
      <c r="H211" s="88" t="str">
        <f>'Input Custom Measures'!S23</f>
        <v/>
      </c>
      <c r="I211" s="230" t="str">
        <f>IFERROR(N211*MIN(Table_Measure_Caps[[#Totals],[Estimated Raw Incentive Total]], Table_Measure_Caps[[#Totals],[Gross Measure Cost Total]], Value_Project_CAP)/Table_Measure_Caps[[#Totals],[Estimated Raw Incentive Total]], "")</f>
        <v/>
      </c>
      <c r="J211" s="230">
        <f>'Input Custom Measures'!O23</f>
        <v>0</v>
      </c>
      <c r="K211" s="230">
        <f>'Input Custom Measures'!P23</f>
        <v>0</v>
      </c>
      <c r="L211" s="81" t="str">
        <f t="shared" si="8"/>
        <v>Version 5.2</v>
      </c>
      <c r="M211" s="82">
        <f>'Input Custom Measures'!F23</f>
        <v>0</v>
      </c>
      <c r="N211" s="238" t="str">
        <f>'Input Custom Measures'!Q23</f>
        <v/>
      </c>
    </row>
    <row r="212" spans="1:14" x14ac:dyDescent="0.2">
      <c r="A212" s="79" t="s">
        <v>265</v>
      </c>
      <c r="B212" s="80">
        <f t="shared" si="9"/>
        <v>0</v>
      </c>
      <c r="C212" s="80">
        <v>20</v>
      </c>
      <c r="D212" s="80" t="str">
        <f>'Input Custom Measures'!C24</f>
        <v/>
      </c>
      <c r="E212" s="80"/>
      <c r="F212" s="80" t="str">
        <f>IF(Table18[[#This Row],[kWh Savings]]&lt;&gt;"",1,"")</f>
        <v/>
      </c>
      <c r="G212" s="222" t="str">
        <f>'Input Custom Measures'!R24</f>
        <v/>
      </c>
      <c r="H212" s="88" t="str">
        <f>'Input Custom Measures'!S24</f>
        <v/>
      </c>
      <c r="I212" s="230" t="str">
        <f>IFERROR(N212*MIN(Table_Measure_Caps[[#Totals],[Estimated Raw Incentive Total]], Table_Measure_Caps[[#Totals],[Gross Measure Cost Total]], Value_Project_CAP)/Table_Measure_Caps[[#Totals],[Estimated Raw Incentive Total]], "")</f>
        <v/>
      </c>
      <c r="J212" s="230">
        <f>'Input Custom Measures'!O24</f>
        <v>0</v>
      </c>
      <c r="K212" s="230">
        <f>'Input Custom Measures'!P24</f>
        <v>0</v>
      </c>
      <c r="L212" s="81" t="str">
        <f t="shared" si="8"/>
        <v>Version 5.2</v>
      </c>
      <c r="M212" s="82">
        <f>'Input Custom Measures'!F24</f>
        <v>0</v>
      </c>
      <c r="N212" s="238" t="str">
        <f>'Input Custom Measures'!Q24</f>
        <v/>
      </c>
    </row>
    <row r="213" spans="1:14" x14ac:dyDescent="0.2">
      <c r="A213" s="13" t="s">
        <v>623</v>
      </c>
      <c r="B213" s="12">
        <f t="shared" ref="B213:B244" si="10">Input_ProjectNumber</f>
        <v>0</v>
      </c>
      <c r="C213" s="12">
        <v>1</v>
      </c>
      <c r="D213" s="12" t="str">
        <f>'Input Interior Light Measures'!C5</f>
        <v/>
      </c>
      <c r="E213" s="12" t="s">
        <v>643</v>
      </c>
      <c r="F213" s="12" t="str">
        <f>IFERROR(('Input Interior Light Measures'!J5*'Input Interior Light Measures'!I5)-'Input Interior Light Measures'!L5,"")</f>
        <v/>
      </c>
      <c r="G213" s="218" t="str">
        <f>'Input Interior Light Measures'!R5</f>
        <v/>
      </c>
      <c r="H213" s="84" t="str">
        <f>'Input Interior Light Measures'!S5</f>
        <v/>
      </c>
      <c r="I213" s="226" t="str">
        <f>IFERROR(N213*MIN(Table_Measure_Caps[[#Totals],[Estimated Raw Incentive Total]], Table_Measure_Caps[[#Totals],[Gross Measure Cost Total]], Value_Project_CAP)/Table_Measure_Caps[[#Totals],[Estimated Raw Incentive Total]], "")</f>
        <v/>
      </c>
      <c r="J213" s="226">
        <f>'Input Interior Light Measures'!N5</f>
        <v>0</v>
      </c>
      <c r="K213" s="226">
        <f>'Input Interior Light Measures'!O5</f>
        <v>0</v>
      </c>
      <c r="L213" s="29" t="str">
        <f t="shared" ref="L213:L244" si="11">Value_Application_Version</f>
        <v>Version 5.2</v>
      </c>
      <c r="M213" s="58">
        <f>'Input Interior Light Measures'!F5</f>
        <v>0</v>
      </c>
      <c r="N213" s="239" t="str">
        <f>'Input Interior Light Measures'!Q5</f>
        <v/>
      </c>
    </row>
    <row r="214" spans="1:14" x14ac:dyDescent="0.2">
      <c r="A214" s="13" t="s">
        <v>623</v>
      </c>
      <c r="B214" s="12">
        <f t="shared" si="10"/>
        <v>0</v>
      </c>
      <c r="C214" s="12">
        <v>2</v>
      </c>
      <c r="D214" s="12" t="str">
        <f>'Input Interior Light Measures'!C6</f>
        <v/>
      </c>
      <c r="E214" s="12" t="s">
        <v>643</v>
      </c>
      <c r="F214" s="12" t="str">
        <f>IFERROR(('Input Interior Light Measures'!J6*'Input Interior Light Measures'!I6)-'Input Interior Light Measures'!L6,"")</f>
        <v/>
      </c>
      <c r="G214" s="218" t="str">
        <f>'Input Interior Light Measures'!R6</f>
        <v/>
      </c>
      <c r="H214" s="84" t="str">
        <f>'Input Interior Light Measures'!S6</f>
        <v/>
      </c>
      <c r="I214" s="226" t="str">
        <f>IFERROR(N214*MIN(Table_Measure_Caps[[#Totals],[Estimated Raw Incentive Total]], Table_Measure_Caps[[#Totals],[Gross Measure Cost Total]], Value_Project_CAP)/Table_Measure_Caps[[#Totals],[Estimated Raw Incentive Total]], "")</f>
        <v/>
      </c>
      <c r="J214" s="226">
        <f>'Input Interior Light Measures'!N6</f>
        <v>0</v>
      </c>
      <c r="K214" s="226">
        <f>'Input Interior Light Measures'!O6</f>
        <v>0</v>
      </c>
      <c r="L214" s="29" t="str">
        <f t="shared" si="11"/>
        <v>Version 5.2</v>
      </c>
      <c r="M214" s="58">
        <f>'Input Interior Light Measures'!F6</f>
        <v>0</v>
      </c>
      <c r="N214" s="239" t="str">
        <f>'Input Interior Light Measures'!Q6</f>
        <v/>
      </c>
    </row>
    <row r="215" spans="1:14" x14ac:dyDescent="0.2">
      <c r="A215" s="13" t="s">
        <v>623</v>
      </c>
      <c r="B215" s="12">
        <f t="shared" si="10"/>
        <v>0</v>
      </c>
      <c r="C215" s="12">
        <v>3</v>
      </c>
      <c r="D215" s="12" t="str">
        <f>'Input Interior Light Measures'!C7</f>
        <v/>
      </c>
      <c r="E215" s="12" t="s">
        <v>643</v>
      </c>
      <c r="F215" s="12" t="str">
        <f>IFERROR(('Input Interior Light Measures'!J7*'Input Interior Light Measures'!I7)-'Input Interior Light Measures'!L7,"")</f>
        <v/>
      </c>
      <c r="G215" s="218" t="str">
        <f>'Input Interior Light Measures'!R7</f>
        <v/>
      </c>
      <c r="H215" s="84" t="str">
        <f>'Input Interior Light Measures'!S7</f>
        <v/>
      </c>
      <c r="I215" s="226" t="str">
        <f>IFERROR(N215*MIN(Table_Measure_Caps[[#Totals],[Estimated Raw Incentive Total]], Table_Measure_Caps[[#Totals],[Gross Measure Cost Total]], Value_Project_CAP)/Table_Measure_Caps[[#Totals],[Estimated Raw Incentive Total]], "")</f>
        <v/>
      </c>
      <c r="J215" s="226">
        <f>'Input Interior Light Measures'!N7</f>
        <v>0</v>
      </c>
      <c r="K215" s="226">
        <f>'Input Interior Light Measures'!O7</f>
        <v>0</v>
      </c>
      <c r="L215" s="29" t="str">
        <f t="shared" si="11"/>
        <v>Version 5.2</v>
      </c>
      <c r="M215" s="58">
        <f>'Input Interior Light Measures'!F7</f>
        <v>0</v>
      </c>
      <c r="N215" s="239" t="str">
        <f>'Input Interior Light Measures'!Q7</f>
        <v/>
      </c>
    </row>
    <row r="216" spans="1:14" x14ac:dyDescent="0.2">
      <c r="A216" s="13" t="s">
        <v>623</v>
      </c>
      <c r="B216" s="12">
        <f t="shared" si="10"/>
        <v>0</v>
      </c>
      <c r="C216" s="12">
        <v>4</v>
      </c>
      <c r="D216" s="12" t="str">
        <f>'Input Interior Light Measures'!C8</f>
        <v/>
      </c>
      <c r="E216" s="12" t="s">
        <v>643</v>
      </c>
      <c r="F216" s="12" t="str">
        <f>IFERROR(('Input Interior Light Measures'!J8*'Input Interior Light Measures'!I8)-'Input Interior Light Measures'!L8,"")</f>
        <v/>
      </c>
      <c r="G216" s="218" t="str">
        <f>'Input Interior Light Measures'!R8</f>
        <v/>
      </c>
      <c r="H216" s="84" t="str">
        <f>'Input Interior Light Measures'!S8</f>
        <v/>
      </c>
      <c r="I216" s="226" t="str">
        <f>IFERROR(N216*MIN(Table_Measure_Caps[[#Totals],[Estimated Raw Incentive Total]], Table_Measure_Caps[[#Totals],[Gross Measure Cost Total]], Value_Project_CAP)/Table_Measure_Caps[[#Totals],[Estimated Raw Incentive Total]], "")</f>
        <v/>
      </c>
      <c r="J216" s="226">
        <f>'Input Interior Light Measures'!N8</f>
        <v>0</v>
      </c>
      <c r="K216" s="226">
        <f>'Input Interior Light Measures'!O8</f>
        <v>0</v>
      </c>
      <c r="L216" s="29" t="str">
        <f t="shared" si="11"/>
        <v>Version 5.2</v>
      </c>
      <c r="M216" s="58">
        <f>'Input Interior Light Measures'!F8</f>
        <v>0</v>
      </c>
      <c r="N216" s="239" t="str">
        <f>'Input Interior Light Measures'!Q8</f>
        <v/>
      </c>
    </row>
    <row r="217" spans="1:14" x14ac:dyDescent="0.2">
      <c r="A217" s="13" t="s">
        <v>623</v>
      </c>
      <c r="B217" s="12">
        <f t="shared" si="10"/>
        <v>0</v>
      </c>
      <c r="C217" s="12">
        <v>5</v>
      </c>
      <c r="D217" s="12" t="str">
        <f>'Input Interior Light Measures'!C9</f>
        <v/>
      </c>
      <c r="E217" s="12" t="s">
        <v>643</v>
      </c>
      <c r="F217" s="12" t="str">
        <f>IFERROR(('Input Interior Light Measures'!J9*'Input Interior Light Measures'!I9)-'Input Interior Light Measures'!L9,"")</f>
        <v/>
      </c>
      <c r="G217" s="218" t="str">
        <f>'Input Interior Light Measures'!R9</f>
        <v/>
      </c>
      <c r="H217" s="84" t="str">
        <f>'Input Interior Light Measures'!S9</f>
        <v/>
      </c>
      <c r="I217" s="226" t="str">
        <f>IFERROR(N217*MIN(Table_Measure_Caps[[#Totals],[Estimated Raw Incentive Total]], Table_Measure_Caps[[#Totals],[Gross Measure Cost Total]], Value_Project_CAP)/Table_Measure_Caps[[#Totals],[Estimated Raw Incentive Total]], "")</f>
        <v/>
      </c>
      <c r="J217" s="226">
        <f>'Input Interior Light Measures'!N9</f>
        <v>0</v>
      </c>
      <c r="K217" s="226">
        <f>'Input Interior Light Measures'!O9</f>
        <v>0</v>
      </c>
      <c r="L217" s="29" t="str">
        <f t="shared" si="11"/>
        <v>Version 5.2</v>
      </c>
      <c r="M217" s="58">
        <f>'Input Interior Light Measures'!F9</f>
        <v>0</v>
      </c>
      <c r="N217" s="239" t="str">
        <f>'Input Interior Light Measures'!Q9</f>
        <v/>
      </c>
    </row>
    <row r="218" spans="1:14" x14ac:dyDescent="0.2">
      <c r="A218" s="13" t="s">
        <v>623</v>
      </c>
      <c r="B218" s="12">
        <f t="shared" si="10"/>
        <v>0</v>
      </c>
      <c r="C218" s="12">
        <v>6</v>
      </c>
      <c r="D218" s="12" t="str">
        <f>'Input Interior Light Measures'!C10</f>
        <v/>
      </c>
      <c r="E218" s="12" t="s">
        <v>643</v>
      </c>
      <c r="F218" s="12" t="str">
        <f>IFERROR(('Input Interior Light Measures'!J10*'Input Interior Light Measures'!I10)-'Input Interior Light Measures'!L10,"")</f>
        <v/>
      </c>
      <c r="G218" s="218" t="str">
        <f>'Input Interior Light Measures'!R10</f>
        <v/>
      </c>
      <c r="H218" s="84" t="str">
        <f>'Input Interior Light Measures'!S10</f>
        <v/>
      </c>
      <c r="I218" s="226" t="str">
        <f>IFERROR(N218*MIN(Table_Measure_Caps[[#Totals],[Estimated Raw Incentive Total]], Table_Measure_Caps[[#Totals],[Gross Measure Cost Total]], Value_Project_CAP)/Table_Measure_Caps[[#Totals],[Estimated Raw Incentive Total]], "")</f>
        <v/>
      </c>
      <c r="J218" s="226">
        <f>'Input Interior Light Measures'!N10</f>
        <v>0</v>
      </c>
      <c r="K218" s="226">
        <f>'Input Interior Light Measures'!O10</f>
        <v>0</v>
      </c>
      <c r="L218" s="29" t="str">
        <f t="shared" si="11"/>
        <v>Version 5.2</v>
      </c>
      <c r="M218" s="58">
        <f>'Input Interior Light Measures'!F10</f>
        <v>0</v>
      </c>
      <c r="N218" s="239" t="str">
        <f>'Input Interior Light Measures'!Q10</f>
        <v/>
      </c>
    </row>
    <row r="219" spans="1:14" x14ac:dyDescent="0.2">
      <c r="A219" s="13" t="s">
        <v>623</v>
      </c>
      <c r="B219" s="12">
        <f t="shared" si="10"/>
        <v>0</v>
      </c>
      <c r="C219" s="12">
        <v>7</v>
      </c>
      <c r="D219" s="12" t="str">
        <f>'Input Interior Light Measures'!C11</f>
        <v/>
      </c>
      <c r="E219" s="12" t="s">
        <v>643</v>
      </c>
      <c r="F219" s="12" t="str">
        <f>IFERROR(('Input Interior Light Measures'!J11*'Input Interior Light Measures'!I11)-'Input Interior Light Measures'!L11,"")</f>
        <v/>
      </c>
      <c r="G219" s="218" t="str">
        <f>'Input Interior Light Measures'!R11</f>
        <v/>
      </c>
      <c r="H219" s="84" t="str">
        <f>'Input Interior Light Measures'!S11</f>
        <v/>
      </c>
      <c r="I219" s="226" t="str">
        <f>IFERROR(N219*MIN(Table_Measure_Caps[[#Totals],[Estimated Raw Incentive Total]], Table_Measure_Caps[[#Totals],[Gross Measure Cost Total]], Value_Project_CAP)/Table_Measure_Caps[[#Totals],[Estimated Raw Incentive Total]], "")</f>
        <v/>
      </c>
      <c r="J219" s="226">
        <f>'Input Interior Light Measures'!N11</f>
        <v>0</v>
      </c>
      <c r="K219" s="226">
        <f>'Input Interior Light Measures'!O11</f>
        <v>0</v>
      </c>
      <c r="L219" s="29" t="str">
        <f t="shared" si="11"/>
        <v>Version 5.2</v>
      </c>
      <c r="M219" s="58">
        <f>'Input Interior Light Measures'!F11</f>
        <v>0</v>
      </c>
      <c r="N219" s="239" t="str">
        <f>'Input Interior Light Measures'!Q11</f>
        <v/>
      </c>
    </row>
    <row r="220" spans="1:14" x14ac:dyDescent="0.2">
      <c r="A220" s="13" t="s">
        <v>623</v>
      </c>
      <c r="B220" s="12">
        <f t="shared" si="10"/>
        <v>0</v>
      </c>
      <c r="C220" s="12">
        <v>8</v>
      </c>
      <c r="D220" s="12" t="str">
        <f>'Input Interior Light Measures'!C12</f>
        <v/>
      </c>
      <c r="E220" s="12" t="s">
        <v>643</v>
      </c>
      <c r="F220" s="12" t="str">
        <f>IFERROR(('Input Interior Light Measures'!J12*'Input Interior Light Measures'!I12)-'Input Interior Light Measures'!L12,"")</f>
        <v/>
      </c>
      <c r="G220" s="218" t="str">
        <f>'Input Interior Light Measures'!R12</f>
        <v/>
      </c>
      <c r="H220" s="84" t="str">
        <f>'Input Interior Light Measures'!S12</f>
        <v/>
      </c>
      <c r="I220" s="226" t="str">
        <f>IFERROR(N220*MIN(Table_Measure_Caps[[#Totals],[Estimated Raw Incentive Total]], Table_Measure_Caps[[#Totals],[Gross Measure Cost Total]], Value_Project_CAP)/Table_Measure_Caps[[#Totals],[Estimated Raw Incentive Total]], "")</f>
        <v/>
      </c>
      <c r="J220" s="226">
        <f>'Input Interior Light Measures'!N12</f>
        <v>0</v>
      </c>
      <c r="K220" s="226">
        <f>'Input Interior Light Measures'!O12</f>
        <v>0</v>
      </c>
      <c r="L220" s="29" t="str">
        <f t="shared" si="11"/>
        <v>Version 5.2</v>
      </c>
      <c r="M220" s="58">
        <f>'Input Interior Light Measures'!F12</f>
        <v>0</v>
      </c>
      <c r="N220" s="239" t="str">
        <f>'Input Interior Light Measures'!Q12</f>
        <v/>
      </c>
    </row>
    <row r="221" spans="1:14" x14ac:dyDescent="0.2">
      <c r="A221" s="13" t="s">
        <v>623</v>
      </c>
      <c r="B221" s="12">
        <f t="shared" si="10"/>
        <v>0</v>
      </c>
      <c r="C221" s="12">
        <v>9</v>
      </c>
      <c r="D221" s="12" t="str">
        <f>'Input Interior Light Measures'!C13</f>
        <v/>
      </c>
      <c r="E221" s="12" t="s">
        <v>643</v>
      </c>
      <c r="F221" s="12" t="str">
        <f>IFERROR(('Input Interior Light Measures'!J13*'Input Interior Light Measures'!I13)-'Input Interior Light Measures'!L13,"")</f>
        <v/>
      </c>
      <c r="G221" s="218" t="str">
        <f>'Input Interior Light Measures'!R13</f>
        <v/>
      </c>
      <c r="H221" s="84" t="str">
        <f>'Input Interior Light Measures'!S13</f>
        <v/>
      </c>
      <c r="I221" s="226" t="str">
        <f>IFERROR(N221*MIN(Table_Measure_Caps[[#Totals],[Estimated Raw Incentive Total]], Table_Measure_Caps[[#Totals],[Gross Measure Cost Total]], Value_Project_CAP)/Table_Measure_Caps[[#Totals],[Estimated Raw Incentive Total]], "")</f>
        <v/>
      </c>
      <c r="J221" s="226">
        <f>'Input Interior Light Measures'!N13</f>
        <v>0</v>
      </c>
      <c r="K221" s="226">
        <f>'Input Interior Light Measures'!O13</f>
        <v>0</v>
      </c>
      <c r="L221" s="29" t="str">
        <f t="shared" si="11"/>
        <v>Version 5.2</v>
      </c>
      <c r="M221" s="58">
        <f>'Input Interior Light Measures'!F13</f>
        <v>0</v>
      </c>
      <c r="N221" s="239" t="str">
        <f>'Input Interior Light Measures'!Q13</f>
        <v/>
      </c>
    </row>
    <row r="222" spans="1:14" x14ac:dyDescent="0.2">
      <c r="A222" s="13" t="s">
        <v>623</v>
      </c>
      <c r="B222" s="12">
        <f t="shared" si="10"/>
        <v>0</v>
      </c>
      <c r="C222" s="12">
        <v>10</v>
      </c>
      <c r="D222" s="12" t="str">
        <f>'Input Interior Light Measures'!C14</f>
        <v/>
      </c>
      <c r="E222" s="12" t="s">
        <v>643</v>
      </c>
      <c r="F222" s="12" t="str">
        <f>IFERROR(('Input Interior Light Measures'!J14*'Input Interior Light Measures'!I14)-'Input Interior Light Measures'!L14,"")</f>
        <v/>
      </c>
      <c r="G222" s="218" t="str">
        <f>'Input Interior Light Measures'!R14</f>
        <v/>
      </c>
      <c r="H222" s="84" t="str">
        <f>'Input Interior Light Measures'!S14</f>
        <v/>
      </c>
      <c r="I222" s="226" t="str">
        <f>IFERROR(N222*MIN(Table_Measure_Caps[[#Totals],[Estimated Raw Incentive Total]], Table_Measure_Caps[[#Totals],[Gross Measure Cost Total]], Value_Project_CAP)/Table_Measure_Caps[[#Totals],[Estimated Raw Incentive Total]], "")</f>
        <v/>
      </c>
      <c r="J222" s="226">
        <f>'Input Interior Light Measures'!N14</f>
        <v>0</v>
      </c>
      <c r="K222" s="226">
        <f>'Input Interior Light Measures'!O14</f>
        <v>0</v>
      </c>
      <c r="L222" s="29" t="str">
        <f t="shared" si="11"/>
        <v>Version 5.2</v>
      </c>
      <c r="M222" s="58">
        <f>'Input Interior Light Measures'!F14</f>
        <v>0</v>
      </c>
      <c r="N222" s="239" t="str">
        <f>'Input Interior Light Measures'!Q14</f>
        <v/>
      </c>
    </row>
    <row r="223" spans="1:14" x14ac:dyDescent="0.2">
      <c r="A223" s="13" t="s">
        <v>623</v>
      </c>
      <c r="B223" s="12">
        <f t="shared" si="10"/>
        <v>0</v>
      </c>
      <c r="C223" s="12">
        <v>11</v>
      </c>
      <c r="D223" s="12" t="str">
        <f>'Input Interior Light Measures'!C15</f>
        <v/>
      </c>
      <c r="E223" s="12" t="s">
        <v>643</v>
      </c>
      <c r="F223" s="12" t="str">
        <f>IFERROR(('Input Interior Light Measures'!J15*'Input Interior Light Measures'!I15)-'Input Interior Light Measures'!L15,"")</f>
        <v/>
      </c>
      <c r="G223" s="218" t="str">
        <f>'Input Interior Light Measures'!R15</f>
        <v/>
      </c>
      <c r="H223" s="84" t="str">
        <f>'Input Interior Light Measures'!S15</f>
        <v/>
      </c>
      <c r="I223" s="226" t="str">
        <f>IFERROR(N223*MIN(Table_Measure_Caps[[#Totals],[Estimated Raw Incentive Total]], Table_Measure_Caps[[#Totals],[Gross Measure Cost Total]], Value_Project_CAP)/Table_Measure_Caps[[#Totals],[Estimated Raw Incentive Total]], "")</f>
        <v/>
      </c>
      <c r="J223" s="226">
        <f>'Input Interior Light Measures'!N15</f>
        <v>0</v>
      </c>
      <c r="K223" s="226">
        <f>'Input Interior Light Measures'!O15</f>
        <v>0</v>
      </c>
      <c r="L223" s="29" t="str">
        <f t="shared" si="11"/>
        <v>Version 5.2</v>
      </c>
      <c r="M223" s="58">
        <f>'Input Interior Light Measures'!F15</f>
        <v>0</v>
      </c>
      <c r="N223" s="239" t="str">
        <f>'Input Interior Light Measures'!Q15</f>
        <v/>
      </c>
    </row>
    <row r="224" spans="1:14" x14ac:dyDescent="0.2">
      <c r="A224" s="13" t="s">
        <v>623</v>
      </c>
      <c r="B224" s="12">
        <f t="shared" si="10"/>
        <v>0</v>
      </c>
      <c r="C224" s="12">
        <v>12</v>
      </c>
      <c r="D224" s="12" t="str">
        <f>'Input Interior Light Measures'!C16</f>
        <v/>
      </c>
      <c r="E224" s="12" t="s">
        <v>643</v>
      </c>
      <c r="F224" s="12" t="str">
        <f>IFERROR(('Input Interior Light Measures'!J16*'Input Interior Light Measures'!I16)-'Input Interior Light Measures'!L16,"")</f>
        <v/>
      </c>
      <c r="G224" s="218" t="str">
        <f>'Input Interior Light Measures'!R16</f>
        <v/>
      </c>
      <c r="H224" s="84" t="str">
        <f>'Input Interior Light Measures'!S16</f>
        <v/>
      </c>
      <c r="I224" s="226" t="str">
        <f>IFERROR(N224*MIN(Table_Measure_Caps[[#Totals],[Estimated Raw Incentive Total]], Table_Measure_Caps[[#Totals],[Gross Measure Cost Total]], Value_Project_CAP)/Table_Measure_Caps[[#Totals],[Estimated Raw Incentive Total]], "")</f>
        <v/>
      </c>
      <c r="J224" s="226">
        <f>'Input Interior Light Measures'!N16</f>
        <v>0</v>
      </c>
      <c r="K224" s="226">
        <f>'Input Interior Light Measures'!O16</f>
        <v>0</v>
      </c>
      <c r="L224" s="29" t="str">
        <f t="shared" si="11"/>
        <v>Version 5.2</v>
      </c>
      <c r="M224" s="58">
        <f>'Input Interior Light Measures'!F16</f>
        <v>0</v>
      </c>
      <c r="N224" s="239" t="str">
        <f>'Input Interior Light Measures'!Q16</f>
        <v/>
      </c>
    </row>
    <row r="225" spans="1:14" x14ac:dyDescent="0.2">
      <c r="A225" s="13" t="s">
        <v>623</v>
      </c>
      <c r="B225" s="12">
        <f t="shared" si="10"/>
        <v>0</v>
      </c>
      <c r="C225" s="12">
        <v>13</v>
      </c>
      <c r="D225" s="12" t="str">
        <f>'Input Interior Light Measures'!C17</f>
        <v/>
      </c>
      <c r="E225" s="12" t="s">
        <v>643</v>
      </c>
      <c r="F225" s="12" t="str">
        <f>IFERROR(('Input Interior Light Measures'!J17*'Input Interior Light Measures'!I17)-'Input Interior Light Measures'!L17,"")</f>
        <v/>
      </c>
      <c r="G225" s="218" t="str">
        <f>'Input Interior Light Measures'!R17</f>
        <v/>
      </c>
      <c r="H225" s="84" t="str">
        <f>'Input Interior Light Measures'!S17</f>
        <v/>
      </c>
      <c r="I225" s="226" t="str">
        <f>IFERROR(N225*MIN(Table_Measure_Caps[[#Totals],[Estimated Raw Incentive Total]], Table_Measure_Caps[[#Totals],[Gross Measure Cost Total]], Value_Project_CAP)/Table_Measure_Caps[[#Totals],[Estimated Raw Incentive Total]], "")</f>
        <v/>
      </c>
      <c r="J225" s="226">
        <f>'Input Interior Light Measures'!N17</f>
        <v>0</v>
      </c>
      <c r="K225" s="226">
        <f>'Input Interior Light Measures'!O17</f>
        <v>0</v>
      </c>
      <c r="L225" s="29" t="str">
        <f t="shared" si="11"/>
        <v>Version 5.2</v>
      </c>
      <c r="M225" s="58">
        <f>'Input Interior Light Measures'!F17</f>
        <v>0</v>
      </c>
      <c r="N225" s="239" t="str">
        <f>'Input Interior Light Measures'!Q17</f>
        <v/>
      </c>
    </row>
    <row r="226" spans="1:14" x14ac:dyDescent="0.2">
      <c r="A226" s="13" t="s">
        <v>623</v>
      </c>
      <c r="B226" s="12">
        <f t="shared" si="10"/>
        <v>0</v>
      </c>
      <c r="C226" s="12">
        <v>14</v>
      </c>
      <c r="D226" s="12" t="str">
        <f>'Input Interior Light Measures'!C18</f>
        <v/>
      </c>
      <c r="E226" s="12" t="s">
        <v>643</v>
      </c>
      <c r="F226" s="12" t="str">
        <f>IFERROR(('Input Interior Light Measures'!J18*'Input Interior Light Measures'!I18)-'Input Interior Light Measures'!L18,"")</f>
        <v/>
      </c>
      <c r="G226" s="218" t="str">
        <f>'Input Interior Light Measures'!R18</f>
        <v/>
      </c>
      <c r="H226" s="84" t="str">
        <f>'Input Interior Light Measures'!S18</f>
        <v/>
      </c>
      <c r="I226" s="226" t="str">
        <f>IFERROR(N226*MIN(Table_Measure_Caps[[#Totals],[Estimated Raw Incentive Total]], Table_Measure_Caps[[#Totals],[Gross Measure Cost Total]], Value_Project_CAP)/Table_Measure_Caps[[#Totals],[Estimated Raw Incentive Total]], "")</f>
        <v/>
      </c>
      <c r="J226" s="226">
        <f>'Input Interior Light Measures'!N18</f>
        <v>0</v>
      </c>
      <c r="K226" s="226">
        <f>'Input Interior Light Measures'!O18</f>
        <v>0</v>
      </c>
      <c r="L226" s="29" t="str">
        <f t="shared" si="11"/>
        <v>Version 5.2</v>
      </c>
      <c r="M226" s="58">
        <f>'Input Interior Light Measures'!F18</f>
        <v>0</v>
      </c>
      <c r="N226" s="239" t="str">
        <f>'Input Interior Light Measures'!Q18</f>
        <v/>
      </c>
    </row>
    <row r="227" spans="1:14" x14ac:dyDescent="0.2">
      <c r="A227" s="13" t="s">
        <v>623</v>
      </c>
      <c r="B227" s="12">
        <f t="shared" si="10"/>
        <v>0</v>
      </c>
      <c r="C227" s="12">
        <v>15</v>
      </c>
      <c r="D227" s="12" t="str">
        <f>'Input Interior Light Measures'!C19</f>
        <v/>
      </c>
      <c r="E227" s="12" t="s">
        <v>643</v>
      </c>
      <c r="F227" s="12" t="str">
        <f>IFERROR(('Input Interior Light Measures'!J19*'Input Interior Light Measures'!I19)-'Input Interior Light Measures'!L19,"")</f>
        <v/>
      </c>
      <c r="G227" s="218" t="str">
        <f>'Input Interior Light Measures'!R19</f>
        <v/>
      </c>
      <c r="H227" s="84" t="str">
        <f>'Input Interior Light Measures'!S19</f>
        <v/>
      </c>
      <c r="I227" s="226" t="str">
        <f>IFERROR(N227*MIN(Table_Measure_Caps[[#Totals],[Estimated Raw Incentive Total]], Table_Measure_Caps[[#Totals],[Gross Measure Cost Total]], Value_Project_CAP)/Table_Measure_Caps[[#Totals],[Estimated Raw Incentive Total]], "")</f>
        <v/>
      </c>
      <c r="J227" s="226">
        <f>'Input Interior Light Measures'!N19</f>
        <v>0</v>
      </c>
      <c r="K227" s="226">
        <f>'Input Interior Light Measures'!O19</f>
        <v>0</v>
      </c>
      <c r="L227" s="29" t="str">
        <f t="shared" si="11"/>
        <v>Version 5.2</v>
      </c>
      <c r="M227" s="58">
        <f>'Input Interior Light Measures'!F19</f>
        <v>0</v>
      </c>
      <c r="N227" s="239" t="str">
        <f>'Input Interior Light Measures'!Q19</f>
        <v/>
      </c>
    </row>
    <row r="228" spans="1:14" x14ac:dyDescent="0.2">
      <c r="A228" s="13" t="s">
        <v>623</v>
      </c>
      <c r="B228" s="12">
        <f t="shared" si="10"/>
        <v>0</v>
      </c>
      <c r="C228" s="12">
        <v>16</v>
      </c>
      <c r="D228" s="12" t="str">
        <f>'Input Interior Light Measures'!C20</f>
        <v/>
      </c>
      <c r="E228" s="12" t="s">
        <v>643</v>
      </c>
      <c r="F228" s="12" t="str">
        <f>IFERROR(('Input Interior Light Measures'!J20*'Input Interior Light Measures'!I20)-'Input Interior Light Measures'!L20,"")</f>
        <v/>
      </c>
      <c r="G228" s="218" t="str">
        <f>'Input Interior Light Measures'!R20</f>
        <v/>
      </c>
      <c r="H228" s="84" t="str">
        <f>'Input Interior Light Measures'!S20</f>
        <v/>
      </c>
      <c r="I228" s="226" t="str">
        <f>IFERROR(N228*MIN(Table_Measure_Caps[[#Totals],[Estimated Raw Incentive Total]], Table_Measure_Caps[[#Totals],[Gross Measure Cost Total]], Value_Project_CAP)/Table_Measure_Caps[[#Totals],[Estimated Raw Incentive Total]], "")</f>
        <v/>
      </c>
      <c r="J228" s="226">
        <f>'Input Interior Light Measures'!N20</f>
        <v>0</v>
      </c>
      <c r="K228" s="226">
        <f>'Input Interior Light Measures'!O20</f>
        <v>0</v>
      </c>
      <c r="L228" s="29" t="str">
        <f t="shared" si="11"/>
        <v>Version 5.2</v>
      </c>
      <c r="M228" s="58">
        <f>'Input Interior Light Measures'!F20</f>
        <v>0</v>
      </c>
      <c r="N228" s="239" t="str">
        <f>'Input Interior Light Measures'!Q20</f>
        <v/>
      </c>
    </row>
    <row r="229" spans="1:14" x14ac:dyDescent="0.2">
      <c r="A229" s="13" t="s">
        <v>623</v>
      </c>
      <c r="B229" s="12">
        <f t="shared" si="10"/>
        <v>0</v>
      </c>
      <c r="C229" s="12">
        <v>17</v>
      </c>
      <c r="D229" s="12" t="str">
        <f>'Input Interior Light Measures'!C21</f>
        <v/>
      </c>
      <c r="E229" s="12" t="s">
        <v>643</v>
      </c>
      <c r="F229" s="12" t="str">
        <f>IFERROR(('Input Interior Light Measures'!J21*'Input Interior Light Measures'!I21)-'Input Interior Light Measures'!L21,"")</f>
        <v/>
      </c>
      <c r="G229" s="218" t="str">
        <f>'Input Interior Light Measures'!R21</f>
        <v/>
      </c>
      <c r="H229" s="84" t="str">
        <f>'Input Interior Light Measures'!S21</f>
        <v/>
      </c>
      <c r="I229" s="226" t="str">
        <f>IFERROR(N229*MIN(Table_Measure_Caps[[#Totals],[Estimated Raw Incentive Total]], Table_Measure_Caps[[#Totals],[Gross Measure Cost Total]], Value_Project_CAP)/Table_Measure_Caps[[#Totals],[Estimated Raw Incentive Total]], "")</f>
        <v/>
      </c>
      <c r="J229" s="226">
        <f>'Input Interior Light Measures'!N21</f>
        <v>0</v>
      </c>
      <c r="K229" s="226">
        <f>'Input Interior Light Measures'!O21</f>
        <v>0</v>
      </c>
      <c r="L229" s="29" t="str">
        <f t="shared" si="11"/>
        <v>Version 5.2</v>
      </c>
      <c r="M229" s="58">
        <f>'Input Interior Light Measures'!F21</f>
        <v>0</v>
      </c>
      <c r="N229" s="239" t="str">
        <f>'Input Interior Light Measures'!Q21</f>
        <v/>
      </c>
    </row>
    <row r="230" spans="1:14" x14ac:dyDescent="0.2">
      <c r="A230" s="13" t="s">
        <v>623</v>
      </c>
      <c r="B230" s="12">
        <f t="shared" si="10"/>
        <v>0</v>
      </c>
      <c r="C230" s="12">
        <v>18</v>
      </c>
      <c r="D230" s="12" t="str">
        <f>'Input Interior Light Measures'!C22</f>
        <v/>
      </c>
      <c r="E230" s="12" t="s">
        <v>643</v>
      </c>
      <c r="F230" s="12" t="str">
        <f>IFERROR(('Input Interior Light Measures'!J22*'Input Interior Light Measures'!I22)-'Input Interior Light Measures'!L22,"")</f>
        <v/>
      </c>
      <c r="G230" s="218" t="str">
        <f>'Input Interior Light Measures'!R22</f>
        <v/>
      </c>
      <c r="H230" s="84" t="str">
        <f>'Input Interior Light Measures'!S22</f>
        <v/>
      </c>
      <c r="I230" s="226" t="str">
        <f>IFERROR(N230*MIN(Table_Measure_Caps[[#Totals],[Estimated Raw Incentive Total]], Table_Measure_Caps[[#Totals],[Gross Measure Cost Total]], Value_Project_CAP)/Table_Measure_Caps[[#Totals],[Estimated Raw Incentive Total]], "")</f>
        <v/>
      </c>
      <c r="J230" s="226">
        <f>'Input Interior Light Measures'!N22</f>
        <v>0</v>
      </c>
      <c r="K230" s="226">
        <f>'Input Interior Light Measures'!O22</f>
        <v>0</v>
      </c>
      <c r="L230" s="29" t="str">
        <f t="shared" si="11"/>
        <v>Version 5.2</v>
      </c>
      <c r="M230" s="58">
        <f>'Input Interior Light Measures'!F22</f>
        <v>0</v>
      </c>
      <c r="N230" s="239" t="str">
        <f>'Input Interior Light Measures'!Q22</f>
        <v/>
      </c>
    </row>
    <row r="231" spans="1:14" x14ac:dyDescent="0.2">
      <c r="A231" s="13" t="s">
        <v>623</v>
      </c>
      <c r="B231" s="12">
        <f t="shared" si="10"/>
        <v>0</v>
      </c>
      <c r="C231" s="12">
        <v>19</v>
      </c>
      <c r="D231" s="12" t="str">
        <f>'Input Interior Light Measures'!C23</f>
        <v/>
      </c>
      <c r="E231" s="12" t="s">
        <v>643</v>
      </c>
      <c r="F231" s="12" t="str">
        <f>IFERROR(('Input Interior Light Measures'!J23*'Input Interior Light Measures'!I23)-'Input Interior Light Measures'!L23,"")</f>
        <v/>
      </c>
      <c r="G231" s="218" t="str">
        <f>'Input Interior Light Measures'!R23</f>
        <v/>
      </c>
      <c r="H231" s="84" t="str">
        <f>'Input Interior Light Measures'!S23</f>
        <v/>
      </c>
      <c r="I231" s="226" t="str">
        <f>IFERROR(N231*MIN(Table_Measure_Caps[[#Totals],[Estimated Raw Incentive Total]], Table_Measure_Caps[[#Totals],[Gross Measure Cost Total]], Value_Project_CAP)/Table_Measure_Caps[[#Totals],[Estimated Raw Incentive Total]], "")</f>
        <v/>
      </c>
      <c r="J231" s="226">
        <f>'Input Interior Light Measures'!N23</f>
        <v>0</v>
      </c>
      <c r="K231" s="226">
        <f>'Input Interior Light Measures'!O23</f>
        <v>0</v>
      </c>
      <c r="L231" s="29" t="str">
        <f t="shared" si="11"/>
        <v>Version 5.2</v>
      </c>
      <c r="M231" s="58">
        <f>'Input Interior Light Measures'!F23</f>
        <v>0</v>
      </c>
      <c r="N231" s="239" t="str">
        <f>'Input Interior Light Measures'!Q23</f>
        <v/>
      </c>
    </row>
    <row r="232" spans="1:14" x14ac:dyDescent="0.2">
      <c r="A232" s="13" t="s">
        <v>623</v>
      </c>
      <c r="B232" s="12">
        <f t="shared" si="10"/>
        <v>0</v>
      </c>
      <c r="C232" s="12">
        <v>20</v>
      </c>
      <c r="D232" s="12" t="str">
        <f>'Input Interior Light Measures'!C24</f>
        <v/>
      </c>
      <c r="E232" s="12" t="s">
        <v>643</v>
      </c>
      <c r="F232" s="12" t="str">
        <f>IFERROR(('Input Interior Light Measures'!J24*'Input Interior Light Measures'!I24)-'Input Interior Light Measures'!L24,"")</f>
        <v/>
      </c>
      <c r="G232" s="218" t="str">
        <f>'Input Interior Light Measures'!R24</f>
        <v/>
      </c>
      <c r="H232" s="84" t="str">
        <f>'Input Interior Light Measures'!S24</f>
        <v/>
      </c>
      <c r="I232" s="226" t="str">
        <f>IFERROR(N232*MIN(Table_Measure_Caps[[#Totals],[Estimated Raw Incentive Total]], Table_Measure_Caps[[#Totals],[Gross Measure Cost Total]], Value_Project_CAP)/Table_Measure_Caps[[#Totals],[Estimated Raw Incentive Total]], "")</f>
        <v/>
      </c>
      <c r="J232" s="226">
        <f>'Input Interior Light Measures'!N24</f>
        <v>0</v>
      </c>
      <c r="K232" s="226">
        <f>'Input Interior Light Measures'!O24</f>
        <v>0</v>
      </c>
      <c r="L232" s="29" t="str">
        <f t="shared" si="11"/>
        <v>Version 5.2</v>
      </c>
      <c r="M232" s="58">
        <f>'Input Interior Light Measures'!F24</f>
        <v>0</v>
      </c>
      <c r="N232" s="239" t="str">
        <f>'Input Interior Light Measures'!Q24</f>
        <v/>
      </c>
    </row>
    <row r="233" spans="1:14" x14ac:dyDescent="0.2">
      <c r="A233" s="13" t="s">
        <v>623</v>
      </c>
      <c r="B233" s="12">
        <f t="shared" si="10"/>
        <v>0</v>
      </c>
      <c r="C233" s="12">
        <v>21</v>
      </c>
      <c r="D233" s="12" t="str">
        <f>'Input Interior Light Measures'!C25</f>
        <v/>
      </c>
      <c r="E233" s="12" t="s">
        <v>643</v>
      </c>
      <c r="F233" s="12" t="str">
        <f>IFERROR(('Input Interior Light Measures'!J25*'Input Interior Light Measures'!I25)-'Input Interior Light Measures'!L25,"")</f>
        <v/>
      </c>
      <c r="G233" s="218" t="str">
        <f>'Input Interior Light Measures'!R25</f>
        <v/>
      </c>
      <c r="H233" s="84" t="str">
        <f>'Input Interior Light Measures'!S25</f>
        <v/>
      </c>
      <c r="I233" s="226" t="str">
        <f>IFERROR(N233*MIN(Table_Measure_Caps[[#Totals],[Estimated Raw Incentive Total]], Table_Measure_Caps[[#Totals],[Gross Measure Cost Total]], Value_Project_CAP)/Table_Measure_Caps[[#Totals],[Estimated Raw Incentive Total]], "")</f>
        <v/>
      </c>
      <c r="J233" s="226">
        <f>'Input Interior Light Measures'!N25</f>
        <v>0</v>
      </c>
      <c r="K233" s="226">
        <f>'Input Interior Light Measures'!O25</f>
        <v>0</v>
      </c>
      <c r="L233" s="29" t="str">
        <f t="shared" si="11"/>
        <v>Version 5.2</v>
      </c>
      <c r="M233" s="58">
        <f>'Input Interior Light Measures'!F25</f>
        <v>0</v>
      </c>
      <c r="N233" s="239" t="str">
        <f>'Input Interior Light Measures'!Q25</f>
        <v/>
      </c>
    </row>
    <row r="234" spans="1:14" x14ac:dyDescent="0.2">
      <c r="A234" s="13" t="s">
        <v>623</v>
      </c>
      <c r="B234" s="12">
        <f t="shared" si="10"/>
        <v>0</v>
      </c>
      <c r="C234" s="12">
        <v>22</v>
      </c>
      <c r="D234" s="12" t="str">
        <f>'Input Interior Light Measures'!C26</f>
        <v/>
      </c>
      <c r="E234" s="12" t="s">
        <v>643</v>
      </c>
      <c r="F234" s="12" t="str">
        <f>IFERROR(('Input Interior Light Measures'!J26*'Input Interior Light Measures'!I26)-'Input Interior Light Measures'!L26,"")</f>
        <v/>
      </c>
      <c r="G234" s="218" t="str">
        <f>'Input Interior Light Measures'!R26</f>
        <v/>
      </c>
      <c r="H234" s="84" t="str">
        <f>'Input Interior Light Measures'!S26</f>
        <v/>
      </c>
      <c r="I234" s="226" t="str">
        <f>IFERROR(N234*MIN(Table_Measure_Caps[[#Totals],[Estimated Raw Incentive Total]], Table_Measure_Caps[[#Totals],[Gross Measure Cost Total]], Value_Project_CAP)/Table_Measure_Caps[[#Totals],[Estimated Raw Incentive Total]], "")</f>
        <v/>
      </c>
      <c r="J234" s="226">
        <f>'Input Interior Light Measures'!N26</f>
        <v>0</v>
      </c>
      <c r="K234" s="226">
        <f>'Input Interior Light Measures'!O26</f>
        <v>0</v>
      </c>
      <c r="L234" s="29" t="str">
        <f t="shared" si="11"/>
        <v>Version 5.2</v>
      </c>
      <c r="M234" s="58">
        <f>'Input Interior Light Measures'!F26</f>
        <v>0</v>
      </c>
      <c r="N234" s="239" t="str">
        <f>'Input Interior Light Measures'!Q26</f>
        <v/>
      </c>
    </row>
    <row r="235" spans="1:14" x14ac:dyDescent="0.2">
      <c r="A235" s="13" t="s">
        <v>623</v>
      </c>
      <c r="B235" s="12">
        <f t="shared" si="10"/>
        <v>0</v>
      </c>
      <c r="C235" s="12">
        <v>23</v>
      </c>
      <c r="D235" s="12" t="str">
        <f>'Input Interior Light Measures'!C27</f>
        <v/>
      </c>
      <c r="E235" s="12" t="s">
        <v>643</v>
      </c>
      <c r="F235" s="12" t="str">
        <f>IFERROR(('Input Interior Light Measures'!J27*'Input Interior Light Measures'!I27)-'Input Interior Light Measures'!L27,"")</f>
        <v/>
      </c>
      <c r="G235" s="218" t="str">
        <f>'Input Interior Light Measures'!R27</f>
        <v/>
      </c>
      <c r="H235" s="84" t="str">
        <f>'Input Interior Light Measures'!S27</f>
        <v/>
      </c>
      <c r="I235" s="226" t="str">
        <f>IFERROR(N235*MIN(Table_Measure_Caps[[#Totals],[Estimated Raw Incentive Total]], Table_Measure_Caps[[#Totals],[Gross Measure Cost Total]], Value_Project_CAP)/Table_Measure_Caps[[#Totals],[Estimated Raw Incentive Total]], "")</f>
        <v/>
      </c>
      <c r="J235" s="226">
        <f>'Input Interior Light Measures'!N27</f>
        <v>0</v>
      </c>
      <c r="K235" s="226">
        <f>'Input Interior Light Measures'!O27</f>
        <v>0</v>
      </c>
      <c r="L235" s="29" t="str">
        <f t="shared" si="11"/>
        <v>Version 5.2</v>
      </c>
      <c r="M235" s="58">
        <f>'Input Interior Light Measures'!F27</f>
        <v>0</v>
      </c>
      <c r="N235" s="239" t="str">
        <f>'Input Interior Light Measures'!Q27</f>
        <v/>
      </c>
    </row>
    <row r="236" spans="1:14" x14ac:dyDescent="0.2">
      <c r="A236" s="13" t="s">
        <v>623</v>
      </c>
      <c r="B236" s="12">
        <f t="shared" si="10"/>
        <v>0</v>
      </c>
      <c r="C236" s="12">
        <v>24</v>
      </c>
      <c r="D236" s="12" t="str">
        <f>'Input Interior Light Measures'!C28</f>
        <v/>
      </c>
      <c r="E236" s="12" t="s">
        <v>643</v>
      </c>
      <c r="F236" s="12" t="str">
        <f>IFERROR(('Input Interior Light Measures'!J28*'Input Interior Light Measures'!I28)-'Input Interior Light Measures'!L28,"")</f>
        <v/>
      </c>
      <c r="G236" s="218" t="str">
        <f>'Input Interior Light Measures'!R28</f>
        <v/>
      </c>
      <c r="H236" s="84" t="str">
        <f>'Input Interior Light Measures'!S28</f>
        <v/>
      </c>
      <c r="I236" s="226" t="str">
        <f>IFERROR(N236*MIN(Table_Measure_Caps[[#Totals],[Estimated Raw Incentive Total]], Table_Measure_Caps[[#Totals],[Gross Measure Cost Total]], Value_Project_CAP)/Table_Measure_Caps[[#Totals],[Estimated Raw Incentive Total]], "")</f>
        <v/>
      </c>
      <c r="J236" s="226">
        <f>'Input Interior Light Measures'!N28</f>
        <v>0</v>
      </c>
      <c r="K236" s="226">
        <f>'Input Interior Light Measures'!O28</f>
        <v>0</v>
      </c>
      <c r="L236" s="29" t="str">
        <f t="shared" si="11"/>
        <v>Version 5.2</v>
      </c>
      <c r="M236" s="58">
        <f>'Input Interior Light Measures'!F28</f>
        <v>0</v>
      </c>
      <c r="N236" s="239" t="str">
        <f>'Input Interior Light Measures'!Q28</f>
        <v/>
      </c>
    </row>
    <row r="237" spans="1:14" x14ac:dyDescent="0.2">
      <c r="A237" s="13" t="s">
        <v>623</v>
      </c>
      <c r="B237" s="12">
        <f t="shared" si="10"/>
        <v>0</v>
      </c>
      <c r="C237" s="12">
        <v>25</v>
      </c>
      <c r="D237" s="12" t="str">
        <f>'Input Interior Light Measures'!C29</f>
        <v/>
      </c>
      <c r="E237" s="12" t="s">
        <v>643</v>
      </c>
      <c r="F237" s="12" t="str">
        <f>IFERROR(('Input Interior Light Measures'!J29*'Input Interior Light Measures'!I29)-'Input Interior Light Measures'!L29,"")</f>
        <v/>
      </c>
      <c r="G237" s="218" t="str">
        <f>'Input Interior Light Measures'!R29</f>
        <v/>
      </c>
      <c r="H237" s="84" t="str">
        <f>'Input Interior Light Measures'!S29</f>
        <v/>
      </c>
      <c r="I237" s="226" t="str">
        <f>IFERROR(N237*MIN(Table_Measure_Caps[[#Totals],[Estimated Raw Incentive Total]], Table_Measure_Caps[[#Totals],[Gross Measure Cost Total]], Value_Project_CAP)/Table_Measure_Caps[[#Totals],[Estimated Raw Incentive Total]], "")</f>
        <v/>
      </c>
      <c r="J237" s="226">
        <f>'Input Interior Light Measures'!N29</f>
        <v>0</v>
      </c>
      <c r="K237" s="226">
        <f>'Input Interior Light Measures'!O29</f>
        <v>0</v>
      </c>
      <c r="L237" s="29" t="str">
        <f t="shared" si="11"/>
        <v>Version 5.2</v>
      </c>
      <c r="M237" s="58">
        <f>'Input Interior Light Measures'!F29</f>
        <v>0</v>
      </c>
      <c r="N237" s="239" t="str">
        <f>'Input Interior Light Measures'!Q29</f>
        <v/>
      </c>
    </row>
    <row r="238" spans="1:14" x14ac:dyDescent="0.2">
      <c r="A238" s="13" t="s">
        <v>623</v>
      </c>
      <c r="B238" s="12">
        <f t="shared" si="10"/>
        <v>0</v>
      </c>
      <c r="C238" s="12">
        <v>26</v>
      </c>
      <c r="D238" s="12" t="str">
        <f>'Input Interior Light Measures'!C30</f>
        <v/>
      </c>
      <c r="E238" s="12" t="s">
        <v>643</v>
      </c>
      <c r="F238" s="12" t="str">
        <f>IFERROR(('Input Interior Light Measures'!J30*'Input Interior Light Measures'!I30)-'Input Interior Light Measures'!L30,"")</f>
        <v/>
      </c>
      <c r="G238" s="218" t="str">
        <f>'Input Interior Light Measures'!R30</f>
        <v/>
      </c>
      <c r="H238" s="84" t="str">
        <f>'Input Interior Light Measures'!S30</f>
        <v/>
      </c>
      <c r="I238" s="226" t="str">
        <f>IFERROR(N238*MIN(Table_Measure_Caps[[#Totals],[Estimated Raw Incentive Total]], Table_Measure_Caps[[#Totals],[Gross Measure Cost Total]], Value_Project_CAP)/Table_Measure_Caps[[#Totals],[Estimated Raw Incentive Total]], "")</f>
        <v/>
      </c>
      <c r="J238" s="226">
        <f>'Input Interior Light Measures'!N30</f>
        <v>0</v>
      </c>
      <c r="K238" s="226">
        <f>'Input Interior Light Measures'!O30</f>
        <v>0</v>
      </c>
      <c r="L238" s="29" t="str">
        <f t="shared" si="11"/>
        <v>Version 5.2</v>
      </c>
      <c r="M238" s="58">
        <f>'Input Interior Light Measures'!F30</f>
        <v>0</v>
      </c>
      <c r="N238" s="239" t="str">
        <f>'Input Interior Light Measures'!Q30</f>
        <v/>
      </c>
    </row>
    <row r="239" spans="1:14" x14ac:dyDescent="0.2">
      <c r="A239" s="13" t="s">
        <v>623</v>
      </c>
      <c r="B239" s="12">
        <f t="shared" si="10"/>
        <v>0</v>
      </c>
      <c r="C239" s="12">
        <v>27</v>
      </c>
      <c r="D239" s="12" t="str">
        <f>'Input Interior Light Measures'!C31</f>
        <v/>
      </c>
      <c r="E239" s="12" t="s">
        <v>643</v>
      </c>
      <c r="F239" s="12" t="str">
        <f>IFERROR(('Input Interior Light Measures'!J31*'Input Interior Light Measures'!I31)-'Input Interior Light Measures'!L31,"")</f>
        <v/>
      </c>
      <c r="G239" s="218" t="str">
        <f>'Input Interior Light Measures'!R31</f>
        <v/>
      </c>
      <c r="H239" s="84" t="str">
        <f>'Input Interior Light Measures'!S31</f>
        <v/>
      </c>
      <c r="I239" s="226" t="str">
        <f>IFERROR(N239*MIN(Table_Measure_Caps[[#Totals],[Estimated Raw Incentive Total]], Table_Measure_Caps[[#Totals],[Gross Measure Cost Total]], Value_Project_CAP)/Table_Measure_Caps[[#Totals],[Estimated Raw Incentive Total]], "")</f>
        <v/>
      </c>
      <c r="J239" s="226">
        <f>'Input Interior Light Measures'!N31</f>
        <v>0</v>
      </c>
      <c r="K239" s="226">
        <f>'Input Interior Light Measures'!O31</f>
        <v>0</v>
      </c>
      <c r="L239" s="29" t="str">
        <f t="shared" si="11"/>
        <v>Version 5.2</v>
      </c>
      <c r="M239" s="58">
        <f>'Input Interior Light Measures'!F31</f>
        <v>0</v>
      </c>
      <c r="N239" s="239" t="str">
        <f>'Input Interior Light Measures'!Q31</f>
        <v/>
      </c>
    </row>
    <row r="240" spans="1:14" x14ac:dyDescent="0.2">
      <c r="A240" s="13" t="s">
        <v>623</v>
      </c>
      <c r="B240" s="12">
        <f t="shared" si="10"/>
        <v>0</v>
      </c>
      <c r="C240" s="12">
        <v>28</v>
      </c>
      <c r="D240" s="12" t="str">
        <f>'Input Interior Light Measures'!C32</f>
        <v/>
      </c>
      <c r="E240" s="12" t="s">
        <v>643</v>
      </c>
      <c r="F240" s="12" t="str">
        <f>IFERROR(('Input Interior Light Measures'!J32*'Input Interior Light Measures'!I32)-'Input Interior Light Measures'!L32,"")</f>
        <v/>
      </c>
      <c r="G240" s="218" t="str">
        <f>'Input Interior Light Measures'!R32</f>
        <v/>
      </c>
      <c r="H240" s="84" t="str">
        <f>'Input Interior Light Measures'!S32</f>
        <v/>
      </c>
      <c r="I240" s="226" t="str">
        <f>IFERROR(N240*MIN(Table_Measure_Caps[[#Totals],[Estimated Raw Incentive Total]], Table_Measure_Caps[[#Totals],[Gross Measure Cost Total]], Value_Project_CAP)/Table_Measure_Caps[[#Totals],[Estimated Raw Incentive Total]], "")</f>
        <v/>
      </c>
      <c r="J240" s="226">
        <f>'Input Interior Light Measures'!N32</f>
        <v>0</v>
      </c>
      <c r="K240" s="226">
        <f>'Input Interior Light Measures'!O32</f>
        <v>0</v>
      </c>
      <c r="L240" s="29" t="str">
        <f t="shared" si="11"/>
        <v>Version 5.2</v>
      </c>
      <c r="M240" s="58">
        <f>'Input Interior Light Measures'!F32</f>
        <v>0</v>
      </c>
      <c r="N240" s="239" t="str">
        <f>'Input Interior Light Measures'!Q32</f>
        <v/>
      </c>
    </row>
    <row r="241" spans="1:14" x14ac:dyDescent="0.2">
      <c r="A241" s="13" t="s">
        <v>623</v>
      </c>
      <c r="B241" s="12">
        <f t="shared" si="10"/>
        <v>0</v>
      </c>
      <c r="C241" s="12">
        <v>29</v>
      </c>
      <c r="D241" s="12" t="str">
        <f>'Input Interior Light Measures'!C33</f>
        <v/>
      </c>
      <c r="E241" s="12" t="s">
        <v>643</v>
      </c>
      <c r="F241" s="12" t="str">
        <f>IFERROR(('Input Interior Light Measures'!J33*'Input Interior Light Measures'!I33)-'Input Interior Light Measures'!L33,"")</f>
        <v/>
      </c>
      <c r="G241" s="218" t="str">
        <f>'Input Interior Light Measures'!R33</f>
        <v/>
      </c>
      <c r="H241" s="84" t="str">
        <f>'Input Interior Light Measures'!S33</f>
        <v/>
      </c>
      <c r="I241" s="226" t="str">
        <f>IFERROR(N241*MIN(Table_Measure_Caps[[#Totals],[Estimated Raw Incentive Total]], Table_Measure_Caps[[#Totals],[Gross Measure Cost Total]], Value_Project_CAP)/Table_Measure_Caps[[#Totals],[Estimated Raw Incentive Total]], "")</f>
        <v/>
      </c>
      <c r="J241" s="226">
        <f>'Input Interior Light Measures'!N33</f>
        <v>0</v>
      </c>
      <c r="K241" s="226">
        <f>'Input Interior Light Measures'!O33</f>
        <v>0</v>
      </c>
      <c r="L241" s="29" t="str">
        <f t="shared" si="11"/>
        <v>Version 5.2</v>
      </c>
      <c r="M241" s="58">
        <f>'Input Interior Light Measures'!F33</f>
        <v>0</v>
      </c>
      <c r="N241" s="239" t="str">
        <f>'Input Interior Light Measures'!Q33</f>
        <v/>
      </c>
    </row>
    <row r="242" spans="1:14" x14ac:dyDescent="0.2">
      <c r="A242" s="13" t="s">
        <v>623</v>
      </c>
      <c r="B242" s="12">
        <f t="shared" si="10"/>
        <v>0</v>
      </c>
      <c r="C242" s="12">
        <v>30</v>
      </c>
      <c r="D242" s="12" t="str">
        <f>'Input Interior Light Measures'!C34</f>
        <v/>
      </c>
      <c r="E242" s="12" t="s">
        <v>643</v>
      </c>
      <c r="F242" s="12" t="str">
        <f>IFERROR(('Input Interior Light Measures'!J34*'Input Interior Light Measures'!I34)-'Input Interior Light Measures'!L34,"")</f>
        <v/>
      </c>
      <c r="G242" s="218" t="str">
        <f>'Input Interior Light Measures'!R34</f>
        <v/>
      </c>
      <c r="H242" s="84" t="str">
        <f>'Input Interior Light Measures'!S34</f>
        <v/>
      </c>
      <c r="I242" s="226" t="str">
        <f>IFERROR(N242*MIN(Table_Measure_Caps[[#Totals],[Estimated Raw Incentive Total]], Table_Measure_Caps[[#Totals],[Gross Measure Cost Total]], Value_Project_CAP)/Table_Measure_Caps[[#Totals],[Estimated Raw Incentive Total]], "")</f>
        <v/>
      </c>
      <c r="J242" s="226">
        <f>'Input Interior Light Measures'!N34</f>
        <v>0</v>
      </c>
      <c r="K242" s="226">
        <f>'Input Interior Light Measures'!O34</f>
        <v>0</v>
      </c>
      <c r="L242" s="29" t="str">
        <f t="shared" si="11"/>
        <v>Version 5.2</v>
      </c>
      <c r="M242" s="58">
        <f>'Input Interior Light Measures'!F34</f>
        <v>0</v>
      </c>
      <c r="N242" s="239" t="str">
        <f>'Input Interior Light Measures'!Q34</f>
        <v/>
      </c>
    </row>
    <row r="243" spans="1:14" x14ac:dyDescent="0.2">
      <c r="A243" s="13" t="s">
        <v>623</v>
      </c>
      <c r="B243" s="12">
        <f t="shared" si="10"/>
        <v>0</v>
      </c>
      <c r="C243" s="12">
        <v>31</v>
      </c>
      <c r="D243" s="12" t="str">
        <f>'Input Interior Light Measures'!C35</f>
        <v/>
      </c>
      <c r="E243" s="12" t="s">
        <v>643</v>
      </c>
      <c r="F243" s="12" t="str">
        <f>IFERROR(('Input Interior Light Measures'!J35*'Input Interior Light Measures'!I35)-'Input Interior Light Measures'!L35,"")</f>
        <v/>
      </c>
      <c r="G243" s="218" t="str">
        <f>'Input Interior Light Measures'!R35</f>
        <v/>
      </c>
      <c r="H243" s="84" t="str">
        <f>'Input Interior Light Measures'!S35</f>
        <v/>
      </c>
      <c r="I243" s="226" t="str">
        <f>IFERROR(N243*MIN(Table_Measure_Caps[[#Totals],[Estimated Raw Incentive Total]], Table_Measure_Caps[[#Totals],[Gross Measure Cost Total]], Value_Project_CAP)/Table_Measure_Caps[[#Totals],[Estimated Raw Incentive Total]], "")</f>
        <v/>
      </c>
      <c r="J243" s="226">
        <f>'Input Interior Light Measures'!N35</f>
        <v>0</v>
      </c>
      <c r="K243" s="226">
        <f>'Input Interior Light Measures'!O35</f>
        <v>0</v>
      </c>
      <c r="L243" s="29" t="str">
        <f t="shared" si="11"/>
        <v>Version 5.2</v>
      </c>
      <c r="M243" s="58">
        <f>'Input Interior Light Measures'!F35</f>
        <v>0</v>
      </c>
      <c r="N243" s="239" t="str">
        <f>'Input Interior Light Measures'!Q35</f>
        <v/>
      </c>
    </row>
    <row r="244" spans="1:14" x14ac:dyDescent="0.2">
      <c r="A244" s="13" t="s">
        <v>623</v>
      </c>
      <c r="B244" s="12">
        <f t="shared" si="10"/>
        <v>0</v>
      </c>
      <c r="C244" s="12">
        <v>32</v>
      </c>
      <c r="D244" s="12" t="str">
        <f>'Input Interior Light Measures'!C36</f>
        <v/>
      </c>
      <c r="E244" s="12" t="s">
        <v>643</v>
      </c>
      <c r="F244" s="12" t="str">
        <f>IFERROR(('Input Interior Light Measures'!J36*'Input Interior Light Measures'!I36)-'Input Interior Light Measures'!L36,"")</f>
        <v/>
      </c>
      <c r="G244" s="218" t="str">
        <f>'Input Interior Light Measures'!R36</f>
        <v/>
      </c>
      <c r="H244" s="84" t="str">
        <f>'Input Interior Light Measures'!S36</f>
        <v/>
      </c>
      <c r="I244" s="226" t="str">
        <f>IFERROR(N244*MIN(Table_Measure_Caps[[#Totals],[Estimated Raw Incentive Total]], Table_Measure_Caps[[#Totals],[Gross Measure Cost Total]], Value_Project_CAP)/Table_Measure_Caps[[#Totals],[Estimated Raw Incentive Total]], "")</f>
        <v/>
      </c>
      <c r="J244" s="226">
        <f>'Input Interior Light Measures'!N36</f>
        <v>0</v>
      </c>
      <c r="K244" s="226">
        <f>'Input Interior Light Measures'!O36</f>
        <v>0</v>
      </c>
      <c r="L244" s="29" t="str">
        <f t="shared" si="11"/>
        <v>Version 5.2</v>
      </c>
      <c r="M244" s="58">
        <f>'Input Interior Light Measures'!F36</f>
        <v>0</v>
      </c>
      <c r="N244" s="239" t="str">
        <f>'Input Interior Light Measures'!Q36</f>
        <v/>
      </c>
    </row>
    <row r="245" spans="1:14" x14ac:dyDescent="0.2">
      <c r="A245" s="13" t="s">
        <v>623</v>
      </c>
      <c r="B245" s="12">
        <f t="shared" ref="B245:B276" si="12">Input_ProjectNumber</f>
        <v>0</v>
      </c>
      <c r="C245" s="12">
        <v>33</v>
      </c>
      <c r="D245" s="12" t="str">
        <f>'Input Interior Light Measures'!C37</f>
        <v/>
      </c>
      <c r="E245" s="12" t="s">
        <v>643</v>
      </c>
      <c r="F245" s="12" t="str">
        <f>IFERROR(('Input Interior Light Measures'!J37*'Input Interior Light Measures'!I37)-'Input Interior Light Measures'!L37,"")</f>
        <v/>
      </c>
      <c r="G245" s="218" t="str">
        <f>'Input Interior Light Measures'!R37</f>
        <v/>
      </c>
      <c r="H245" s="84" t="str">
        <f>'Input Interior Light Measures'!S37</f>
        <v/>
      </c>
      <c r="I245" s="226" t="str">
        <f>IFERROR(N245*MIN(Table_Measure_Caps[[#Totals],[Estimated Raw Incentive Total]], Table_Measure_Caps[[#Totals],[Gross Measure Cost Total]], Value_Project_CAP)/Table_Measure_Caps[[#Totals],[Estimated Raw Incentive Total]], "")</f>
        <v/>
      </c>
      <c r="J245" s="226">
        <f>'Input Interior Light Measures'!N37</f>
        <v>0</v>
      </c>
      <c r="K245" s="226">
        <f>'Input Interior Light Measures'!O37</f>
        <v>0</v>
      </c>
      <c r="L245" s="29" t="str">
        <f t="shared" ref="L245:L276" si="13">Value_Application_Version</f>
        <v>Version 5.2</v>
      </c>
      <c r="M245" s="58">
        <f>'Input Interior Light Measures'!F37</f>
        <v>0</v>
      </c>
      <c r="N245" s="239" t="str">
        <f>'Input Interior Light Measures'!Q37</f>
        <v/>
      </c>
    </row>
    <row r="246" spans="1:14" x14ac:dyDescent="0.2">
      <c r="A246" s="13" t="s">
        <v>623</v>
      </c>
      <c r="B246" s="12">
        <f t="shared" si="12"/>
        <v>0</v>
      </c>
      <c r="C246" s="12">
        <v>34</v>
      </c>
      <c r="D246" s="12" t="str">
        <f>'Input Interior Light Measures'!C38</f>
        <v/>
      </c>
      <c r="E246" s="12" t="s">
        <v>643</v>
      </c>
      <c r="F246" s="12" t="str">
        <f>IFERROR(('Input Interior Light Measures'!J38*'Input Interior Light Measures'!I38)-'Input Interior Light Measures'!L38,"")</f>
        <v/>
      </c>
      <c r="G246" s="218" t="str">
        <f>'Input Interior Light Measures'!R38</f>
        <v/>
      </c>
      <c r="H246" s="84" t="str">
        <f>'Input Interior Light Measures'!S38</f>
        <v/>
      </c>
      <c r="I246" s="226" t="str">
        <f>IFERROR(N246*MIN(Table_Measure_Caps[[#Totals],[Estimated Raw Incentive Total]], Table_Measure_Caps[[#Totals],[Gross Measure Cost Total]], Value_Project_CAP)/Table_Measure_Caps[[#Totals],[Estimated Raw Incentive Total]], "")</f>
        <v/>
      </c>
      <c r="J246" s="226">
        <f>'Input Interior Light Measures'!N38</f>
        <v>0</v>
      </c>
      <c r="K246" s="226">
        <f>'Input Interior Light Measures'!O38</f>
        <v>0</v>
      </c>
      <c r="L246" s="29" t="str">
        <f t="shared" si="13"/>
        <v>Version 5.2</v>
      </c>
      <c r="M246" s="58">
        <f>'Input Interior Light Measures'!F38</f>
        <v>0</v>
      </c>
      <c r="N246" s="239" t="str">
        <f>'Input Interior Light Measures'!Q38</f>
        <v/>
      </c>
    </row>
    <row r="247" spans="1:14" x14ac:dyDescent="0.2">
      <c r="A247" s="13" t="s">
        <v>623</v>
      </c>
      <c r="B247" s="12">
        <f t="shared" si="12"/>
        <v>0</v>
      </c>
      <c r="C247" s="12">
        <v>35</v>
      </c>
      <c r="D247" s="12" t="str">
        <f>'Input Interior Light Measures'!C39</f>
        <v/>
      </c>
      <c r="E247" s="12" t="s">
        <v>643</v>
      </c>
      <c r="F247" s="12" t="str">
        <f>IFERROR(('Input Interior Light Measures'!J39*'Input Interior Light Measures'!I39)-'Input Interior Light Measures'!L39,"")</f>
        <v/>
      </c>
      <c r="G247" s="218" t="str">
        <f>'Input Interior Light Measures'!R39</f>
        <v/>
      </c>
      <c r="H247" s="84" t="str">
        <f>'Input Interior Light Measures'!S39</f>
        <v/>
      </c>
      <c r="I247" s="226" t="str">
        <f>IFERROR(N247*MIN(Table_Measure_Caps[[#Totals],[Estimated Raw Incentive Total]], Table_Measure_Caps[[#Totals],[Gross Measure Cost Total]], Value_Project_CAP)/Table_Measure_Caps[[#Totals],[Estimated Raw Incentive Total]], "")</f>
        <v/>
      </c>
      <c r="J247" s="226">
        <f>'Input Interior Light Measures'!N39</f>
        <v>0</v>
      </c>
      <c r="K247" s="226">
        <f>'Input Interior Light Measures'!O39</f>
        <v>0</v>
      </c>
      <c r="L247" s="29" t="str">
        <f t="shared" si="13"/>
        <v>Version 5.2</v>
      </c>
      <c r="M247" s="58">
        <f>'Input Interior Light Measures'!F39</f>
        <v>0</v>
      </c>
      <c r="N247" s="239" t="str">
        <f>'Input Interior Light Measures'!Q39</f>
        <v/>
      </c>
    </row>
    <row r="248" spans="1:14" x14ac:dyDescent="0.2">
      <c r="A248" s="13" t="s">
        <v>623</v>
      </c>
      <c r="B248" s="12">
        <f t="shared" si="12"/>
        <v>0</v>
      </c>
      <c r="C248" s="12">
        <v>36</v>
      </c>
      <c r="D248" s="12" t="str">
        <f>'Input Interior Light Measures'!C40</f>
        <v/>
      </c>
      <c r="E248" s="12" t="s">
        <v>643</v>
      </c>
      <c r="F248" s="12" t="str">
        <f>IFERROR(('Input Interior Light Measures'!J40*'Input Interior Light Measures'!I40)-'Input Interior Light Measures'!L40,"")</f>
        <v/>
      </c>
      <c r="G248" s="218" t="str">
        <f>'Input Interior Light Measures'!R40</f>
        <v/>
      </c>
      <c r="H248" s="84" t="str">
        <f>'Input Interior Light Measures'!S40</f>
        <v/>
      </c>
      <c r="I248" s="226" t="str">
        <f>IFERROR(N248*MIN(Table_Measure_Caps[[#Totals],[Estimated Raw Incentive Total]], Table_Measure_Caps[[#Totals],[Gross Measure Cost Total]], Value_Project_CAP)/Table_Measure_Caps[[#Totals],[Estimated Raw Incentive Total]], "")</f>
        <v/>
      </c>
      <c r="J248" s="226">
        <f>'Input Interior Light Measures'!N40</f>
        <v>0</v>
      </c>
      <c r="K248" s="226">
        <f>'Input Interior Light Measures'!O40</f>
        <v>0</v>
      </c>
      <c r="L248" s="29" t="str">
        <f t="shared" si="13"/>
        <v>Version 5.2</v>
      </c>
      <c r="M248" s="58">
        <f>'Input Interior Light Measures'!F40</f>
        <v>0</v>
      </c>
      <c r="N248" s="239" t="str">
        <f>'Input Interior Light Measures'!Q40</f>
        <v/>
      </c>
    </row>
    <row r="249" spans="1:14" x14ac:dyDescent="0.2">
      <c r="A249" s="13" t="s">
        <v>623</v>
      </c>
      <c r="B249" s="12">
        <f t="shared" si="12"/>
        <v>0</v>
      </c>
      <c r="C249" s="12">
        <v>37</v>
      </c>
      <c r="D249" s="12" t="str">
        <f>'Input Interior Light Measures'!C41</f>
        <v/>
      </c>
      <c r="E249" s="12" t="s">
        <v>643</v>
      </c>
      <c r="F249" s="12" t="str">
        <f>IFERROR(('Input Interior Light Measures'!J41*'Input Interior Light Measures'!I41)-'Input Interior Light Measures'!L41,"")</f>
        <v/>
      </c>
      <c r="G249" s="218" t="str">
        <f>'Input Interior Light Measures'!R41</f>
        <v/>
      </c>
      <c r="H249" s="84" t="str">
        <f>'Input Interior Light Measures'!S41</f>
        <v/>
      </c>
      <c r="I249" s="226" t="str">
        <f>IFERROR(N249*MIN(Table_Measure_Caps[[#Totals],[Estimated Raw Incentive Total]], Table_Measure_Caps[[#Totals],[Gross Measure Cost Total]], Value_Project_CAP)/Table_Measure_Caps[[#Totals],[Estimated Raw Incentive Total]], "")</f>
        <v/>
      </c>
      <c r="J249" s="226">
        <f>'Input Interior Light Measures'!N41</f>
        <v>0</v>
      </c>
      <c r="K249" s="226">
        <f>'Input Interior Light Measures'!O41</f>
        <v>0</v>
      </c>
      <c r="L249" s="29" t="str">
        <f t="shared" si="13"/>
        <v>Version 5.2</v>
      </c>
      <c r="M249" s="58">
        <f>'Input Interior Light Measures'!F41</f>
        <v>0</v>
      </c>
      <c r="N249" s="239" t="str">
        <f>'Input Interior Light Measures'!Q41</f>
        <v/>
      </c>
    </row>
    <row r="250" spans="1:14" x14ac:dyDescent="0.2">
      <c r="A250" s="13" t="s">
        <v>623</v>
      </c>
      <c r="B250" s="12">
        <f t="shared" si="12"/>
        <v>0</v>
      </c>
      <c r="C250" s="12">
        <v>38</v>
      </c>
      <c r="D250" s="12" t="str">
        <f>'Input Interior Light Measures'!C42</f>
        <v/>
      </c>
      <c r="E250" s="12" t="s">
        <v>643</v>
      </c>
      <c r="F250" s="12" t="str">
        <f>IFERROR(('Input Interior Light Measures'!J42*'Input Interior Light Measures'!I42)-'Input Interior Light Measures'!L42,"")</f>
        <v/>
      </c>
      <c r="G250" s="218" t="str">
        <f>'Input Interior Light Measures'!R42</f>
        <v/>
      </c>
      <c r="H250" s="84" t="str">
        <f>'Input Interior Light Measures'!S42</f>
        <v/>
      </c>
      <c r="I250" s="226" t="str">
        <f>IFERROR(N250*MIN(Table_Measure_Caps[[#Totals],[Estimated Raw Incentive Total]], Table_Measure_Caps[[#Totals],[Gross Measure Cost Total]], Value_Project_CAP)/Table_Measure_Caps[[#Totals],[Estimated Raw Incentive Total]], "")</f>
        <v/>
      </c>
      <c r="J250" s="226">
        <f>'Input Interior Light Measures'!N42</f>
        <v>0</v>
      </c>
      <c r="K250" s="226">
        <f>'Input Interior Light Measures'!O42</f>
        <v>0</v>
      </c>
      <c r="L250" s="29" t="str">
        <f t="shared" si="13"/>
        <v>Version 5.2</v>
      </c>
      <c r="M250" s="58">
        <f>'Input Interior Light Measures'!F42</f>
        <v>0</v>
      </c>
      <c r="N250" s="239" t="str">
        <f>'Input Interior Light Measures'!Q42</f>
        <v/>
      </c>
    </row>
    <row r="251" spans="1:14" x14ac:dyDescent="0.2">
      <c r="A251" s="13" t="s">
        <v>623</v>
      </c>
      <c r="B251" s="12">
        <f t="shared" si="12"/>
        <v>0</v>
      </c>
      <c r="C251" s="12">
        <v>39</v>
      </c>
      <c r="D251" s="12" t="str">
        <f>'Input Interior Light Measures'!C43</f>
        <v/>
      </c>
      <c r="E251" s="12" t="s">
        <v>643</v>
      </c>
      <c r="F251" s="12" t="str">
        <f>IFERROR(('Input Interior Light Measures'!J43*'Input Interior Light Measures'!I43)-'Input Interior Light Measures'!L43,"")</f>
        <v/>
      </c>
      <c r="G251" s="218" t="str">
        <f>'Input Interior Light Measures'!R43</f>
        <v/>
      </c>
      <c r="H251" s="84" t="str">
        <f>'Input Interior Light Measures'!S43</f>
        <v/>
      </c>
      <c r="I251" s="226" t="str">
        <f>IFERROR(N251*MIN(Table_Measure_Caps[[#Totals],[Estimated Raw Incentive Total]], Table_Measure_Caps[[#Totals],[Gross Measure Cost Total]], Value_Project_CAP)/Table_Measure_Caps[[#Totals],[Estimated Raw Incentive Total]], "")</f>
        <v/>
      </c>
      <c r="J251" s="226">
        <f>'Input Interior Light Measures'!N43</f>
        <v>0</v>
      </c>
      <c r="K251" s="226">
        <f>'Input Interior Light Measures'!O43</f>
        <v>0</v>
      </c>
      <c r="L251" s="29" t="str">
        <f t="shared" si="13"/>
        <v>Version 5.2</v>
      </c>
      <c r="M251" s="58">
        <f>'Input Interior Light Measures'!F43</f>
        <v>0</v>
      </c>
      <c r="N251" s="239" t="str">
        <f>'Input Interior Light Measures'!Q43</f>
        <v/>
      </c>
    </row>
    <row r="252" spans="1:14" x14ac:dyDescent="0.2">
      <c r="A252" s="13" t="s">
        <v>623</v>
      </c>
      <c r="B252" s="12">
        <f t="shared" si="12"/>
        <v>0</v>
      </c>
      <c r="C252" s="12">
        <v>40</v>
      </c>
      <c r="D252" s="12" t="str">
        <f>'Input Interior Light Measures'!C44</f>
        <v/>
      </c>
      <c r="E252" s="12" t="s">
        <v>643</v>
      </c>
      <c r="F252" s="12" t="str">
        <f>IFERROR(('Input Interior Light Measures'!J44*'Input Interior Light Measures'!I44)-'Input Interior Light Measures'!L44,"")</f>
        <v/>
      </c>
      <c r="G252" s="218" t="str">
        <f>'Input Interior Light Measures'!R44</f>
        <v/>
      </c>
      <c r="H252" s="84" t="str">
        <f>'Input Interior Light Measures'!S44</f>
        <v/>
      </c>
      <c r="I252" s="226" t="str">
        <f>IFERROR(N252*MIN(Table_Measure_Caps[[#Totals],[Estimated Raw Incentive Total]], Table_Measure_Caps[[#Totals],[Gross Measure Cost Total]], Value_Project_CAP)/Table_Measure_Caps[[#Totals],[Estimated Raw Incentive Total]], "")</f>
        <v/>
      </c>
      <c r="J252" s="226">
        <f>'Input Interior Light Measures'!N44</f>
        <v>0</v>
      </c>
      <c r="K252" s="226">
        <f>'Input Interior Light Measures'!O44</f>
        <v>0</v>
      </c>
      <c r="L252" s="29" t="str">
        <f t="shared" si="13"/>
        <v>Version 5.2</v>
      </c>
      <c r="M252" s="58">
        <f>'Input Interior Light Measures'!F44</f>
        <v>0</v>
      </c>
      <c r="N252" s="239" t="str">
        <f>'Input Interior Light Measures'!Q44</f>
        <v/>
      </c>
    </row>
    <row r="253" spans="1:14" x14ac:dyDescent="0.2">
      <c r="A253" s="13" t="s">
        <v>623</v>
      </c>
      <c r="B253" s="12">
        <f t="shared" si="12"/>
        <v>0</v>
      </c>
      <c r="C253" s="12">
        <v>41</v>
      </c>
      <c r="D253" s="12" t="str">
        <f>'Input Interior Light Measures'!C45</f>
        <v/>
      </c>
      <c r="E253" s="12" t="s">
        <v>643</v>
      </c>
      <c r="F253" s="12" t="str">
        <f>IFERROR(('Input Interior Light Measures'!J45*'Input Interior Light Measures'!I45)-'Input Interior Light Measures'!L45,"")</f>
        <v/>
      </c>
      <c r="G253" s="218" t="str">
        <f>'Input Interior Light Measures'!R45</f>
        <v/>
      </c>
      <c r="H253" s="84" t="str">
        <f>'Input Interior Light Measures'!S45</f>
        <v/>
      </c>
      <c r="I253" s="226" t="str">
        <f>IFERROR(N253*MIN(Table_Measure_Caps[[#Totals],[Estimated Raw Incentive Total]], Table_Measure_Caps[[#Totals],[Gross Measure Cost Total]], Value_Project_CAP)/Table_Measure_Caps[[#Totals],[Estimated Raw Incentive Total]], "")</f>
        <v/>
      </c>
      <c r="J253" s="226">
        <f>'Input Interior Light Measures'!N45</f>
        <v>0</v>
      </c>
      <c r="K253" s="226">
        <f>'Input Interior Light Measures'!O45</f>
        <v>0</v>
      </c>
      <c r="L253" s="29" t="str">
        <f t="shared" si="13"/>
        <v>Version 5.2</v>
      </c>
      <c r="M253" s="58">
        <f>'Input Interior Light Measures'!F45</f>
        <v>0</v>
      </c>
      <c r="N253" s="239" t="str">
        <f>'Input Interior Light Measures'!Q45</f>
        <v/>
      </c>
    </row>
    <row r="254" spans="1:14" x14ac:dyDescent="0.2">
      <c r="A254" s="13" t="s">
        <v>623</v>
      </c>
      <c r="B254" s="12">
        <f t="shared" si="12"/>
        <v>0</v>
      </c>
      <c r="C254" s="12">
        <v>42</v>
      </c>
      <c r="D254" s="12" t="str">
        <f>'Input Interior Light Measures'!C46</f>
        <v/>
      </c>
      <c r="E254" s="12" t="s">
        <v>643</v>
      </c>
      <c r="F254" s="12" t="str">
        <f>IFERROR(('Input Interior Light Measures'!J46*'Input Interior Light Measures'!I46)-'Input Interior Light Measures'!L46,"")</f>
        <v/>
      </c>
      <c r="G254" s="218" t="str">
        <f>'Input Interior Light Measures'!R46</f>
        <v/>
      </c>
      <c r="H254" s="84" t="str">
        <f>'Input Interior Light Measures'!S46</f>
        <v/>
      </c>
      <c r="I254" s="226" t="str">
        <f>IFERROR(N254*MIN(Table_Measure_Caps[[#Totals],[Estimated Raw Incentive Total]], Table_Measure_Caps[[#Totals],[Gross Measure Cost Total]], Value_Project_CAP)/Table_Measure_Caps[[#Totals],[Estimated Raw Incentive Total]], "")</f>
        <v/>
      </c>
      <c r="J254" s="226">
        <f>'Input Interior Light Measures'!N46</f>
        <v>0</v>
      </c>
      <c r="K254" s="226">
        <f>'Input Interior Light Measures'!O46</f>
        <v>0</v>
      </c>
      <c r="L254" s="29" t="str">
        <f t="shared" si="13"/>
        <v>Version 5.2</v>
      </c>
      <c r="M254" s="58">
        <f>'Input Interior Light Measures'!F46</f>
        <v>0</v>
      </c>
      <c r="N254" s="239" t="str">
        <f>'Input Interior Light Measures'!Q46</f>
        <v/>
      </c>
    </row>
    <row r="255" spans="1:14" x14ac:dyDescent="0.2">
      <c r="A255" s="13" t="s">
        <v>623</v>
      </c>
      <c r="B255" s="12">
        <f t="shared" si="12"/>
        <v>0</v>
      </c>
      <c r="C255" s="12">
        <v>43</v>
      </c>
      <c r="D255" s="12" t="str">
        <f>'Input Interior Light Measures'!C47</f>
        <v/>
      </c>
      <c r="E255" s="12" t="s">
        <v>643</v>
      </c>
      <c r="F255" s="12" t="str">
        <f>IFERROR(('Input Interior Light Measures'!J47*'Input Interior Light Measures'!I47)-'Input Interior Light Measures'!L47,"")</f>
        <v/>
      </c>
      <c r="G255" s="218" t="str">
        <f>'Input Interior Light Measures'!R47</f>
        <v/>
      </c>
      <c r="H255" s="84" t="str">
        <f>'Input Interior Light Measures'!S47</f>
        <v/>
      </c>
      <c r="I255" s="226" t="str">
        <f>IFERROR(N255*MIN(Table_Measure_Caps[[#Totals],[Estimated Raw Incentive Total]], Table_Measure_Caps[[#Totals],[Gross Measure Cost Total]], Value_Project_CAP)/Table_Measure_Caps[[#Totals],[Estimated Raw Incentive Total]], "")</f>
        <v/>
      </c>
      <c r="J255" s="226">
        <f>'Input Interior Light Measures'!N47</f>
        <v>0</v>
      </c>
      <c r="K255" s="226">
        <f>'Input Interior Light Measures'!O47</f>
        <v>0</v>
      </c>
      <c r="L255" s="29" t="str">
        <f t="shared" si="13"/>
        <v>Version 5.2</v>
      </c>
      <c r="M255" s="58">
        <f>'Input Interior Light Measures'!F47</f>
        <v>0</v>
      </c>
      <c r="N255" s="239" t="str">
        <f>'Input Interior Light Measures'!Q47</f>
        <v/>
      </c>
    </row>
    <row r="256" spans="1:14" x14ac:dyDescent="0.2">
      <c r="A256" s="13" t="s">
        <v>623</v>
      </c>
      <c r="B256" s="12">
        <f t="shared" si="12"/>
        <v>0</v>
      </c>
      <c r="C256" s="12">
        <v>44</v>
      </c>
      <c r="D256" s="12" t="str">
        <f>'Input Interior Light Measures'!C48</f>
        <v/>
      </c>
      <c r="E256" s="12" t="s">
        <v>643</v>
      </c>
      <c r="F256" s="12" t="str">
        <f>IFERROR(('Input Interior Light Measures'!J48*'Input Interior Light Measures'!I48)-'Input Interior Light Measures'!L48,"")</f>
        <v/>
      </c>
      <c r="G256" s="218" t="str">
        <f>'Input Interior Light Measures'!R48</f>
        <v/>
      </c>
      <c r="H256" s="84" t="str">
        <f>'Input Interior Light Measures'!S48</f>
        <v/>
      </c>
      <c r="I256" s="226" t="str">
        <f>IFERROR(N256*MIN(Table_Measure_Caps[[#Totals],[Estimated Raw Incentive Total]], Table_Measure_Caps[[#Totals],[Gross Measure Cost Total]], Value_Project_CAP)/Table_Measure_Caps[[#Totals],[Estimated Raw Incentive Total]], "")</f>
        <v/>
      </c>
      <c r="J256" s="226">
        <f>'Input Interior Light Measures'!N48</f>
        <v>0</v>
      </c>
      <c r="K256" s="226">
        <f>'Input Interior Light Measures'!O48</f>
        <v>0</v>
      </c>
      <c r="L256" s="29" t="str">
        <f t="shared" si="13"/>
        <v>Version 5.2</v>
      </c>
      <c r="M256" s="58">
        <f>'Input Interior Light Measures'!F48</f>
        <v>0</v>
      </c>
      <c r="N256" s="239" t="str">
        <f>'Input Interior Light Measures'!Q48</f>
        <v/>
      </c>
    </row>
    <row r="257" spans="1:14" x14ac:dyDescent="0.2">
      <c r="A257" s="13" t="s">
        <v>623</v>
      </c>
      <c r="B257" s="12">
        <f t="shared" si="12"/>
        <v>0</v>
      </c>
      <c r="C257" s="12">
        <v>45</v>
      </c>
      <c r="D257" s="12" t="str">
        <f>'Input Interior Light Measures'!C49</f>
        <v/>
      </c>
      <c r="E257" s="12" t="s">
        <v>643</v>
      </c>
      <c r="F257" s="12" t="str">
        <f>IFERROR(('Input Interior Light Measures'!J49*'Input Interior Light Measures'!I49)-'Input Interior Light Measures'!L49,"")</f>
        <v/>
      </c>
      <c r="G257" s="218" t="str">
        <f>'Input Interior Light Measures'!R49</f>
        <v/>
      </c>
      <c r="H257" s="84" t="str">
        <f>'Input Interior Light Measures'!S49</f>
        <v/>
      </c>
      <c r="I257" s="226" t="str">
        <f>IFERROR(N257*MIN(Table_Measure_Caps[[#Totals],[Estimated Raw Incentive Total]], Table_Measure_Caps[[#Totals],[Gross Measure Cost Total]], Value_Project_CAP)/Table_Measure_Caps[[#Totals],[Estimated Raw Incentive Total]], "")</f>
        <v/>
      </c>
      <c r="J257" s="226">
        <f>'Input Interior Light Measures'!N49</f>
        <v>0</v>
      </c>
      <c r="K257" s="226">
        <f>'Input Interior Light Measures'!O49</f>
        <v>0</v>
      </c>
      <c r="L257" s="29" t="str">
        <f t="shared" si="13"/>
        <v>Version 5.2</v>
      </c>
      <c r="M257" s="58">
        <f>'Input Interior Light Measures'!F49</f>
        <v>0</v>
      </c>
      <c r="N257" s="239" t="str">
        <f>'Input Interior Light Measures'!Q49</f>
        <v/>
      </c>
    </row>
    <row r="258" spans="1:14" x14ac:dyDescent="0.2">
      <c r="A258" s="13" t="s">
        <v>623</v>
      </c>
      <c r="B258" s="12">
        <f t="shared" si="12"/>
        <v>0</v>
      </c>
      <c r="C258" s="12">
        <v>46</v>
      </c>
      <c r="D258" s="12" t="str">
        <f>'Input Interior Light Measures'!C50</f>
        <v/>
      </c>
      <c r="E258" s="12" t="s">
        <v>643</v>
      </c>
      <c r="F258" s="12" t="str">
        <f>IFERROR(('Input Interior Light Measures'!J50*'Input Interior Light Measures'!I50)-'Input Interior Light Measures'!L50,"")</f>
        <v/>
      </c>
      <c r="G258" s="218" t="str">
        <f>'Input Interior Light Measures'!R50</f>
        <v/>
      </c>
      <c r="H258" s="84" t="str">
        <f>'Input Interior Light Measures'!S50</f>
        <v/>
      </c>
      <c r="I258" s="226" t="str">
        <f>IFERROR(N258*MIN(Table_Measure_Caps[[#Totals],[Estimated Raw Incentive Total]], Table_Measure_Caps[[#Totals],[Gross Measure Cost Total]], Value_Project_CAP)/Table_Measure_Caps[[#Totals],[Estimated Raw Incentive Total]], "")</f>
        <v/>
      </c>
      <c r="J258" s="226">
        <f>'Input Interior Light Measures'!N50</f>
        <v>0</v>
      </c>
      <c r="K258" s="226">
        <f>'Input Interior Light Measures'!O50</f>
        <v>0</v>
      </c>
      <c r="L258" s="29" t="str">
        <f t="shared" si="13"/>
        <v>Version 5.2</v>
      </c>
      <c r="M258" s="58">
        <f>'Input Interior Light Measures'!F50</f>
        <v>0</v>
      </c>
      <c r="N258" s="239" t="str">
        <f>'Input Interior Light Measures'!Q50</f>
        <v/>
      </c>
    </row>
    <row r="259" spans="1:14" x14ac:dyDescent="0.2">
      <c r="A259" s="13" t="s">
        <v>623</v>
      </c>
      <c r="B259" s="12">
        <f t="shared" si="12"/>
        <v>0</v>
      </c>
      <c r="C259" s="12">
        <v>47</v>
      </c>
      <c r="D259" s="12" t="str">
        <f>'Input Interior Light Measures'!C51</f>
        <v/>
      </c>
      <c r="E259" s="12" t="s">
        <v>643</v>
      </c>
      <c r="F259" s="12" t="str">
        <f>IFERROR(('Input Interior Light Measures'!J51*'Input Interior Light Measures'!I51)-'Input Interior Light Measures'!L51,"")</f>
        <v/>
      </c>
      <c r="G259" s="218" t="str">
        <f>'Input Interior Light Measures'!R51</f>
        <v/>
      </c>
      <c r="H259" s="84" t="str">
        <f>'Input Interior Light Measures'!S51</f>
        <v/>
      </c>
      <c r="I259" s="226" t="str">
        <f>IFERROR(N259*MIN(Table_Measure_Caps[[#Totals],[Estimated Raw Incentive Total]], Table_Measure_Caps[[#Totals],[Gross Measure Cost Total]], Value_Project_CAP)/Table_Measure_Caps[[#Totals],[Estimated Raw Incentive Total]], "")</f>
        <v/>
      </c>
      <c r="J259" s="226">
        <f>'Input Interior Light Measures'!N51</f>
        <v>0</v>
      </c>
      <c r="K259" s="226">
        <f>'Input Interior Light Measures'!O51</f>
        <v>0</v>
      </c>
      <c r="L259" s="29" t="str">
        <f t="shared" si="13"/>
        <v>Version 5.2</v>
      </c>
      <c r="M259" s="58">
        <f>'Input Interior Light Measures'!F51</f>
        <v>0</v>
      </c>
      <c r="N259" s="239" t="str">
        <f>'Input Interior Light Measures'!Q51</f>
        <v/>
      </c>
    </row>
    <row r="260" spans="1:14" x14ac:dyDescent="0.2">
      <c r="A260" s="13" t="s">
        <v>623</v>
      </c>
      <c r="B260" s="12">
        <f t="shared" si="12"/>
        <v>0</v>
      </c>
      <c r="C260" s="12">
        <v>48</v>
      </c>
      <c r="D260" s="12" t="str">
        <f>'Input Interior Light Measures'!C52</f>
        <v/>
      </c>
      <c r="E260" s="12" t="s">
        <v>643</v>
      </c>
      <c r="F260" s="12" t="str">
        <f>IFERROR(('Input Interior Light Measures'!J52*'Input Interior Light Measures'!I52)-'Input Interior Light Measures'!L52,"")</f>
        <v/>
      </c>
      <c r="G260" s="218" t="str">
        <f>'Input Interior Light Measures'!R52</f>
        <v/>
      </c>
      <c r="H260" s="84" t="str">
        <f>'Input Interior Light Measures'!S52</f>
        <v/>
      </c>
      <c r="I260" s="226" t="str">
        <f>IFERROR(N260*MIN(Table_Measure_Caps[[#Totals],[Estimated Raw Incentive Total]], Table_Measure_Caps[[#Totals],[Gross Measure Cost Total]], Value_Project_CAP)/Table_Measure_Caps[[#Totals],[Estimated Raw Incentive Total]], "")</f>
        <v/>
      </c>
      <c r="J260" s="226">
        <f>'Input Interior Light Measures'!N52</f>
        <v>0</v>
      </c>
      <c r="K260" s="226">
        <f>'Input Interior Light Measures'!O52</f>
        <v>0</v>
      </c>
      <c r="L260" s="29" t="str">
        <f t="shared" si="13"/>
        <v>Version 5.2</v>
      </c>
      <c r="M260" s="58">
        <f>'Input Interior Light Measures'!F52</f>
        <v>0</v>
      </c>
      <c r="N260" s="239" t="str">
        <f>'Input Interior Light Measures'!Q52</f>
        <v/>
      </c>
    </row>
    <row r="261" spans="1:14" x14ac:dyDescent="0.2">
      <c r="A261" s="13" t="s">
        <v>623</v>
      </c>
      <c r="B261" s="12">
        <f t="shared" si="12"/>
        <v>0</v>
      </c>
      <c r="C261" s="12">
        <v>49</v>
      </c>
      <c r="D261" s="12" t="str">
        <f>'Input Interior Light Measures'!C53</f>
        <v/>
      </c>
      <c r="E261" s="12" t="s">
        <v>643</v>
      </c>
      <c r="F261" s="12" t="str">
        <f>IFERROR(('Input Interior Light Measures'!J53*'Input Interior Light Measures'!I53)-'Input Interior Light Measures'!L53,"")</f>
        <v/>
      </c>
      <c r="G261" s="218" t="str">
        <f>'Input Interior Light Measures'!R53</f>
        <v/>
      </c>
      <c r="H261" s="84" t="str">
        <f>'Input Interior Light Measures'!S53</f>
        <v/>
      </c>
      <c r="I261" s="226" t="str">
        <f>IFERROR(N261*MIN(Table_Measure_Caps[[#Totals],[Estimated Raw Incentive Total]], Table_Measure_Caps[[#Totals],[Gross Measure Cost Total]], Value_Project_CAP)/Table_Measure_Caps[[#Totals],[Estimated Raw Incentive Total]], "")</f>
        <v/>
      </c>
      <c r="J261" s="226">
        <f>'Input Interior Light Measures'!N53</f>
        <v>0</v>
      </c>
      <c r="K261" s="226">
        <f>'Input Interior Light Measures'!O53</f>
        <v>0</v>
      </c>
      <c r="L261" s="29" t="str">
        <f t="shared" si="13"/>
        <v>Version 5.2</v>
      </c>
      <c r="M261" s="58">
        <f>'Input Interior Light Measures'!F53</f>
        <v>0</v>
      </c>
      <c r="N261" s="239" t="str">
        <f>'Input Interior Light Measures'!Q53</f>
        <v/>
      </c>
    </row>
    <row r="262" spans="1:14" x14ac:dyDescent="0.2">
      <c r="A262" s="13" t="s">
        <v>623</v>
      </c>
      <c r="B262" s="12">
        <f t="shared" si="12"/>
        <v>0</v>
      </c>
      <c r="C262" s="12">
        <v>50</v>
      </c>
      <c r="D262" s="12" t="str">
        <f>'Input Interior Light Measures'!C54</f>
        <v/>
      </c>
      <c r="E262" s="12" t="s">
        <v>643</v>
      </c>
      <c r="F262" s="12" t="str">
        <f>IFERROR(('Input Interior Light Measures'!J54*'Input Interior Light Measures'!I54)-'Input Interior Light Measures'!L54,"")</f>
        <v/>
      </c>
      <c r="G262" s="218" t="str">
        <f>'Input Interior Light Measures'!R54</f>
        <v/>
      </c>
      <c r="H262" s="84" t="str">
        <f>'Input Interior Light Measures'!S54</f>
        <v/>
      </c>
      <c r="I262" s="226" t="str">
        <f>IFERROR(N262*MIN(Table_Measure_Caps[[#Totals],[Estimated Raw Incentive Total]], Table_Measure_Caps[[#Totals],[Gross Measure Cost Total]], Value_Project_CAP)/Table_Measure_Caps[[#Totals],[Estimated Raw Incentive Total]], "")</f>
        <v/>
      </c>
      <c r="J262" s="226">
        <f>'Input Interior Light Measures'!N54</f>
        <v>0</v>
      </c>
      <c r="K262" s="226">
        <f>'Input Interior Light Measures'!O54</f>
        <v>0</v>
      </c>
      <c r="L262" s="29" t="str">
        <f t="shared" si="13"/>
        <v>Version 5.2</v>
      </c>
      <c r="M262" s="58">
        <f>'Input Interior Light Measures'!F54</f>
        <v>0</v>
      </c>
      <c r="N262" s="239" t="str">
        <f>'Input Interior Light Measures'!Q54</f>
        <v/>
      </c>
    </row>
    <row r="263" spans="1:14" x14ac:dyDescent="0.2">
      <c r="A263" s="210" t="s">
        <v>624</v>
      </c>
      <c r="B263" s="211">
        <f t="shared" si="12"/>
        <v>0</v>
      </c>
      <c r="C263" s="211">
        <v>1</v>
      </c>
      <c r="D263" s="211" t="str">
        <f>'Input Exterior Light Measures'!C5</f>
        <v/>
      </c>
      <c r="E263" s="211" t="s">
        <v>643</v>
      </c>
      <c r="F263" s="216" t="str">
        <f>IFERROR('Input Exterior Light Measures'!K5-'Input Exterior Light Measures'!L5,"")</f>
        <v/>
      </c>
      <c r="G263" s="223" t="str">
        <f>'Input Exterior Light Measures'!R5</f>
        <v/>
      </c>
      <c r="H263" s="212" t="str">
        <f>'Input Exterior Light Measures'!S5</f>
        <v/>
      </c>
      <c r="I263" s="231" t="str">
        <f>IFERROR(N263*MIN(Table_Measure_Caps[[#Totals],[Estimated Raw Incentive Total]], Table_Measure_Caps[[#Totals],[Gross Measure Cost Total]], Value_Project_CAP)/Table_Measure_Caps[[#Totals],[Estimated Raw Incentive Total]], "")</f>
        <v/>
      </c>
      <c r="J263" s="232">
        <f>'Input Exterior Light Measures'!N5</f>
        <v>0</v>
      </c>
      <c r="K263" s="232">
        <f>'Input Exterior Light Measures'!O5</f>
        <v>0</v>
      </c>
      <c r="L263" s="213" t="str">
        <f t="shared" si="13"/>
        <v>Version 5.2</v>
      </c>
      <c r="M263" s="214">
        <f>'Input Exterior Light Measures'!E5</f>
        <v>0</v>
      </c>
      <c r="N263" s="240" t="str">
        <f>'Input Exterior Light Measures'!Q5</f>
        <v/>
      </c>
    </row>
    <row r="264" spans="1:14" x14ac:dyDescent="0.2">
      <c r="A264" s="210" t="s">
        <v>624</v>
      </c>
      <c r="B264" s="211">
        <f t="shared" si="12"/>
        <v>0</v>
      </c>
      <c r="C264" s="211">
        <v>2</v>
      </c>
      <c r="D264" s="211" t="str">
        <f>'Input Exterior Light Measures'!C6</f>
        <v/>
      </c>
      <c r="E264" s="211" t="s">
        <v>643</v>
      </c>
      <c r="F264" s="216" t="str">
        <f>IFERROR('Input Exterior Light Measures'!K6-'Input Exterior Light Measures'!L6,"")</f>
        <v/>
      </c>
      <c r="G264" s="223" t="str">
        <f>'Input Exterior Light Measures'!R6</f>
        <v/>
      </c>
      <c r="H264" s="212" t="str">
        <f>'Input Exterior Light Measures'!S6</f>
        <v/>
      </c>
      <c r="I264" s="231" t="str">
        <f>IFERROR(N264*MIN(Table_Measure_Caps[[#Totals],[Estimated Raw Incentive Total]], Table_Measure_Caps[[#Totals],[Gross Measure Cost Total]], Value_Project_CAP)/Table_Measure_Caps[[#Totals],[Estimated Raw Incentive Total]], "")</f>
        <v/>
      </c>
      <c r="J264" s="232">
        <f>'Input Exterior Light Measures'!N6</f>
        <v>0</v>
      </c>
      <c r="K264" s="232">
        <f>'Input Exterior Light Measures'!O6</f>
        <v>0</v>
      </c>
      <c r="L264" s="213" t="str">
        <f t="shared" si="13"/>
        <v>Version 5.2</v>
      </c>
      <c r="M264" s="214">
        <f>'Input Exterior Light Measures'!E6</f>
        <v>0</v>
      </c>
      <c r="N264" s="240" t="str">
        <f>'Input Exterior Light Measures'!Q6</f>
        <v/>
      </c>
    </row>
    <row r="265" spans="1:14" x14ac:dyDescent="0.2">
      <c r="A265" s="210" t="s">
        <v>624</v>
      </c>
      <c r="B265" s="211">
        <f t="shared" si="12"/>
        <v>0</v>
      </c>
      <c r="C265" s="211">
        <v>3</v>
      </c>
      <c r="D265" s="211" t="str">
        <f>'Input Exterior Light Measures'!C7</f>
        <v/>
      </c>
      <c r="E265" s="211" t="s">
        <v>643</v>
      </c>
      <c r="F265" s="216" t="str">
        <f>IFERROR('Input Exterior Light Measures'!K7-'Input Exterior Light Measures'!L7,"")</f>
        <v/>
      </c>
      <c r="G265" s="223" t="str">
        <f>'Input Exterior Light Measures'!R7</f>
        <v/>
      </c>
      <c r="H265" s="212" t="str">
        <f>'Input Exterior Light Measures'!S7</f>
        <v/>
      </c>
      <c r="I265" s="231" t="str">
        <f>IFERROR(N265*MIN(Table_Measure_Caps[[#Totals],[Estimated Raw Incentive Total]], Table_Measure_Caps[[#Totals],[Gross Measure Cost Total]], Value_Project_CAP)/Table_Measure_Caps[[#Totals],[Estimated Raw Incentive Total]], "")</f>
        <v/>
      </c>
      <c r="J265" s="232">
        <f>'Input Exterior Light Measures'!N7</f>
        <v>0</v>
      </c>
      <c r="K265" s="232">
        <f>'Input Exterior Light Measures'!O7</f>
        <v>0</v>
      </c>
      <c r="L265" s="213" t="str">
        <f t="shared" si="13"/>
        <v>Version 5.2</v>
      </c>
      <c r="M265" s="214">
        <f>'Input Exterior Light Measures'!E7</f>
        <v>0</v>
      </c>
      <c r="N265" s="240" t="str">
        <f>'Input Exterior Light Measures'!Q7</f>
        <v/>
      </c>
    </row>
    <row r="266" spans="1:14" x14ac:dyDescent="0.2">
      <c r="A266" s="210" t="s">
        <v>624</v>
      </c>
      <c r="B266" s="211">
        <f t="shared" si="12"/>
        <v>0</v>
      </c>
      <c r="C266" s="211">
        <v>4</v>
      </c>
      <c r="D266" s="211" t="str">
        <f>'Input Exterior Light Measures'!C8</f>
        <v/>
      </c>
      <c r="E266" s="211" t="s">
        <v>643</v>
      </c>
      <c r="F266" s="216" t="str">
        <f>IFERROR('Input Exterior Light Measures'!K8-'Input Exterior Light Measures'!L8,"")</f>
        <v/>
      </c>
      <c r="G266" s="223" t="str">
        <f>'Input Exterior Light Measures'!R8</f>
        <v/>
      </c>
      <c r="H266" s="212" t="str">
        <f>'Input Exterior Light Measures'!S8</f>
        <v/>
      </c>
      <c r="I266" s="231" t="str">
        <f>IFERROR(N266*MIN(Table_Measure_Caps[[#Totals],[Estimated Raw Incentive Total]], Table_Measure_Caps[[#Totals],[Gross Measure Cost Total]], Value_Project_CAP)/Table_Measure_Caps[[#Totals],[Estimated Raw Incentive Total]], "")</f>
        <v/>
      </c>
      <c r="J266" s="232">
        <f>'Input Exterior Light Measures'!N8</f>
        <v>0</v>
      </c>
      <c r="K266" s="232">
        <f>'Input Exterior Light Measures'!O8</f>
        <v>0</v>
      </c>
      <c r="L266" s="213" t="str">
        <f t="shared" si="13"/>
        <v>Version 5.2</v>
      </c>
      <c r="M266" s="214">
        <f>'Input Exterior Light Measures'!E8</f>
        <v>0</v>
      </c>
      <c r="N266" s="240" t="str">
        <f>'Input Exterior Light Measures'!Q8</f>
        <v/>
      </c>
    </row>
    <row r="267" spans="1:14" x14ac:dyDescent="0.2">
      <c r="A267" s="210" t="s">
        <v>624</v>
      </c>
      <c r="B267" s="211">
        <f t="shared" si="12"/>
        <v>0</v>
      </c>
      <c r="C267" s="211">
        <v>5</v>
      </c>
      <c r="D267" s="211" t="str">
        <f>'Input Exterior Light Measures'!C9</f>
        <v/>
      </c>
      <c r="E267" s="211" t="s">
        <v>643</v>
      </c>
      <c r="F267" s="216" t="str">
        <f>IFERROR('Input Exterior Light Measures'!K9-'Input Exterior Light Measures'!L9,"")</f>
        <v/>
      </c>
      <c r="G267" s="223" t="str">
        <f>'Input Exterior Light Measures'!R9</f>
        <v/>
      </c>
      <c r="H267" s="212" t="str">
        <f>'Input Exterior Light Measures'!S9</f>
        <v/>
      </c>
      <c r="I267" s="231" t="str">
        <f>IFERROR(N267*MIN(Table_Measure_Caps[[#Totals],[Estimated Raw Incentive Total]], Table_Measure_Caps[[#Totals],[Gross Measure Cost Total]], Value_Project_CAP)/Table_Measure_Caps[[#Totals],[Estimated Raw Incentive Total]], "")</f>
        <v/>
      </c>
      <c r="J267" s="232">
        <f>'Input Exterior Light Measures'!N9</f>
        <v>0</v>
      </c>
      <c r="K267" s="232">
        <f>'Input Exterior Light Measures'!O9</f>
        <v>0</v>
      </c>
      <c r="L267" s="213" t="str">
        <f t="shared" si="13"/>
        <v>Version 5.2</v>
      </c>
      <c r="M267" s="214">
        <f>'Input Exterior Light Measures'!E9</f>
        <v>0</v>
      </c>
      <c r="N267" s="240" t="str">
        <f>'Input Exterior Light Measures'!Q9</f>
        <v/>
      </c>
    </row>
    <row r="268" spans="1:14" x14ac:dyDescent="0.2">
      <c r="A268" s="210" t="s">
        <v>624</v>
      </c>
      <c r="B268" s="211">
        <f t="shared" si="12"/>
        <v>0</v>
      </c>
      <c r="C268" s="211">
        <v>6</v>
      </c>
      <c r="D268" s="211" t="str">
        <f>'Input Exterior Light Measures'!C10</f>
        <v/>
      </c>
      <c r="E268" s="211" t="s">
        <v>643</v>
      </c>
      <c r="F268" s="216" t="str">
        <f>IFERROR('Input Exterior Light Measures'!K10-'Input Exterior Light Measures'!L10,"")</f>
        <v/>
      </c>
      <c r="G268" s="223" t="str">
        <f>'Input Exterior Light Measures'!R10</f>
        <v/>
      </c>
      <c r="H268" s="212" t="str">
        <f>'Input Exterior Light Measures'!S10</f>
        <v/>
      </c>
      <c r="I268" s="231" t="str">
        <f>IFERROR(N268*MIN(Table_Measure_Caps[[#Totals],[Estimated Raw Incentive Total]], Table_Measure_Caps[[#Totals],[Gross Measure Cost Total]], Value_Project_CAP)/Table_Measure_Caps[[#Totals],[Estimated Raw Incentive Total]], "")</f>
        <v/>
      </c>
      <c r="J268" s="232">
        <f>'Input Exterior Light Measures'!N10</f>
        <v>0</v>
      </c>
      <c r="K268" s="232">
        <f>'Input Exterior Light Measures'!O10</f>
        <v>0</v>
      </c>
      <c r="L268" s="213" t="str">
        <f t="shared" si="13"/>
        <v>Version 5.2</v>
      </c>
      <c r="M268" s="214">
        <f>'Input Exterior Light Measures'!E10</f>
        <v>0</v>
      </c>
      <c r="N268" s="240" t="str">
        <f>'Input Exterior Light Measures'!Q10</f>
        <v/>
      </c>
    </row>
    <row r="269" spans="1:14" x14ac:dyDescent="0.2">
      <c r="A269" s="210" t="s">
        <v>624</v>
      </c>
      <c r="B269" s="211">
        <f t="shared" si="12"/>
        <v>0</v>
      </c>
      <c r="C269" s="211">
        <v>7</v>
      </c>
      <c r="D269" s="211" t="str">
        <f>'Input Exterior Light Measures'!C11</f>
        <v/>
      </c>
      <c r="E269" s="211" t="s">
        <v>643</v>
      </c>
      <c r="F269" s="216" t="str">
        <f>IFERROR('Input Exterior Light Measures'!K11-'Input Exterior Light Measures'!L11,"")</f>
        <v/>
      </c>
      <c r="G269" s="223" t="str">
        <f>'Input Exterior Light Measures'!R11</f>
        <v/>
      </c>
      <c r="H269" s="212" t="str">
        <f>'Input Exterior Light Measures'!S11</f>
        <v/>
      </c>
      <c r="I269" s="231" t="str">
        <f>IFERROR(N269*MIN(Table_Measure_Caps[[#Totals],[Estimated Raw Incentive Total]], Table_Measure_Caps[[#Totals],[Gross Measure Cost Total]], Value_Project_CAP)/Table_Measure_Caps[[#Totals],[Estimated Raw Incentive Total]], "")</f>
        <v/>
      </c>
      <c r="J269" s="232">
        <f>'Input Exterior Light Measures'!N11</f>
        <v>0</v>
      </c>
      <c r="K269" s="232">
        <f>'Input Exterior Light Measures'!O11</f>
        <v>0</v>
      </c>
      <c r="L269" s="213" t="str">
        <f t="shared" si="13"/>
        <v>Version 5.2</v>
      </c>
      <c r="M269" s="214">
        <f>'Input Exterior Light Measures'!E11</f>
        <v>0</v>
      </c>
      <c r="N269" s="240" t="str">
        <f>'Input Exterior Light Measures'!Q11</f>
        <v/>
      </c>
    </row>
    <row r="270" spans="1:14" x14ac:dyDescent="0.2">
      <c r="A270" s="210" t="s">
        <v>624</v>
      </c>
      <c r="B270" s="211">
        <f t="shared" si="12"/>
        <v>0</v>
      </c>
      <c r="C270" s="211">
        <v>8</v>
      </c>
      <c r="D270" s="211" t="str">
        <f>'Input Exterior Light Measures'!C12</f>
        <v/>
      </c>
      <c r="E270" s="211" t="s">
        <v>643</v>
      </c>
      <c r="F270" s="216" t="str">
        <f>IFERROR('Input Exterior Light Measures'!K12-'Input Exterior Light Measures'!L12,"")</f>
        <v/>
      </c>
      <c r="G270" s="223" t="str">
        <f>'Input Exterior Light Measures'!R12</f>
        <v/>
      </c>
      <c r="H270" s="212" t="str">
        <f>'Input Exterior Light Measures'!S12</f>
        <v/>
      </c>
      <c r="I270" s="231" t="str">
        <f>IFERROR(N270*MIN(Table_Measure_Caps[[#Totals],[Estimated Raw Incentive Total]], Table_Measure_Caps[[#Totals],[Gross Measure Cost Total]], Value_Project_CAP)/Table_Measure_Caps[[#Totals],[Estimated Raw Incentive Total]], "")</f>
        <v/>
      </c>
      <c r="J270" s="232">
        <f>'Input Exterior Light Measures'!N12</f>
        <v>0</v>
      </c>
      <c r="K270" s="232">
        <f>'Input Exterior Light Measures'!O12</f>
        <v>0</v>
      </c>
      <c r="L270" s="213" t="str">
        <f t="shared" si="13"/>
        <v>Version 5.2</v>
      </c>
      <c r="M270" s="214">
        <f>'Input Exterior Light Measures'!E12</f>
        <v>0</v>
      </c>
      <c r="N270" s="240" t="str">
        <f>'Input Exterior Light Measures'!Q12</f>
        <v/>
      </c>
    </row>
    <row r="271" spans="1:14" x14ac:dyDescent="0.2">
      <c r="A271" s="210" t="s">
        <v>624</v>
      </c>
      <c r="B271" s="211">
        <f t="shared" si="12"/>
        <v>0</v>
      </c>
      <c r="C271" s="211">
        <v>9</v>
      </c>
      <c r="D271" s="211" t="str">
        <f>'Input Exterior Light Measures'!C13</f>
        <v/>
      </c>
      <c r="E271" s="211" t="s">
        <v>643</v>
      </c>
      <c r="F271" s="216" t="str">
        <f>IFERROR('Input Exterior Light Measures'!K13-'Input Exterior Light Measures'!L13,"")</f>
        <v/>
      </c>
      <c r="G271" s="223" t="str">
        <f>'Input Exterior Light Measures'!R13</f>
        <v/>
      </c>
      <c r="H271" s="212" t="str">
        <f>'Input Exterior Light Measures'!S13</f>
        <v/>
      </c>
      <c r="I271" s="231" t="str">
        <f>IFERROR(N271*MIN(Table_Measure_Caps[[#Totals],[Estimated Raw Incentive Total]], Table_Measure_Caps[[#Totals],[Gross Measure Cost Total]], Value_Project_CAP)/Table_Measure_Caps[[#Totals],[Estimated Raw Incentive Total]], "")</f>
        <v/>
      </c>
      <c r="J271" s="232">
        <f>'Input Exterior Light Measures'!N13</f>
        <v>0</v>
      </c>
      <c r="K271" s="232">
        <f>'Input Exterior Light Measures'!O13</f>
        <v>0</v>
      </c>
      <c r="L271" s="213" t="str">
        <f t="shared" si="13"/>
        <v>Version 5.2</v>
      </c>
      <c r="M271" s="214">
        <f>'Input Exterior Light Measures'!E13</f>
        <v>0</v>
      </c>
      <c r="N271" s="240" t="str">
        <f>'Input Exterior Light Measures'!Q13</f>
        <v/>
      </c>
    </row>
    <row r="272" spans="1:14" x14ac:dyDescent="0.2">
      <c r="A272" s="210" t="s">
        <v>624</v>
      </c>
      <c r="B272" s="211">
        <f t="shared" si="12"/>
        <v>0</v>
      </c>
      <c r="C272" s="211">
        <v>10</v>
      </c>
      <c r="D272" s="211" t="str">
        <f>'Input Exterior Light Measures'!C14</f>
        <v/>
      </c>
      <c r="E272" s="211" t="s">
        <v>643</v>
      </c>
      <c r="F272" s="216" t="str">
        <f>IFERROR('Input Exterior Light Measures'!K14-'Input Exterior Light Measures'!L14,"")</f>
        <v/>
      </c>
      <c r="G272" s="223" t="str">
        <f>'Input Exterior Light Measures'!R14</f>
        <v/>
      </c>
      <c r="H272" s="212" t="str">
        <f>'Input Exterior Light Measures'!S14</f>
        <v/>
      </c>
      <c r="I272" s="231" t="str">
        <f>IFERROR(N272*MIN(Table_Measure_Caps[[#Totals],[Estimated Raw Incentive Total]], Table_Measure_Caps[[#Totals],[Gross Measure Cost Total]], Value_Project_CAP)/Table_Measure_Caps[[#Totals],[Estimated Raw Incentive Total]], "")</f>
        <v/>
      </c>
      <c r="J272" s="232">
        <f>'Input Exterior Light Measures'!N14</f>
        <v>0</v>
      </c>
      <c r="K272" s="232">
        <f>'Input Exterior Light Measures'!O14</f>
        <v>0</v>
      </c>
      <c r="L272" s="213" t="str">
        <f t="shared" si="13"/>
        <v>Version 5.2</v>
      </c>
      <c r="M272" s="214">
        <f>'Input Exterior Light Measures'!E14</f>
        <v>0</v>
      </c>
      <c r="N272" s="240" t="str">
        <f>'Input Exterior Light Measures'!Q14</f>
        <v/>
      </c>
    </row>
    <row r="273" spans="1:14" x14ac:dyDescent="0.2">
      <c r="A273" s="210" t="s">
        <v>624</v>
      </c>
      <c r="B273" s="211">
        <f t="shared" si="12"/>
        <v>0</v>
      </c>
      <c r="C273" s="211">
        <v>11</v>
      </c>
      <c r="D273" s="211" t="str">
        <f>'Input Exterior Light Measures'!C15</f>
        <v/>
      </c>
      <c r="E273" s="211" t="s">
        <v>643</v>
      </c>
      <c r="F273" s="216" t="str">
        <f>IFERROR('Input Exterior Light Measures'!K15-'Input Exterior Light Measures'!L15,"")</f>
        <v/>
      </c>
      <c r="G273" s="223" t="str">
        <f>'Input Exterior Light Measures'!R15</f>
        <v/>
      </c>
      <c r="H273" s="212" t="str">
        <f>'Input Exterior Light Measures'!S15</f>
        <v/>
      </c>
      <c r="I273" s="231" t="str">
        <f>IFERROR(N273*MIN(Table_Measure_Caps[[#Totals],[Estimated Raw Incentive Total]], Table_Measure_Caps[[#Totals],[Gross Measure Cost Total]], Value_Project_CAP)/Table_Measure_Caps[[#Totals],[Estimated Raw Incentive Total]], "")</f>
        <v/>
      </c>
      <c r="J273" s="232">
        <f>'Input Exterior Light Measures'!N15</f>
        <v>0</v>
      </c>
      <c r="K273" s="232">
        <f>'Input Exterior Light Measures'!O15</f>
        <v>0</v>
      </c>
      <c r="L273" s="213" t="str">
        <f t="shared" si="13"/>
        <v>Version 5.2</v>
      </c>
      <c r="M273" s="214">
        <f>'Input Exterior Light Measures'!E15</f>
        <v>0</v>
      </c>
      <c r="N273" s="240" t="str">
        <f>'Input Exterior Light Measures'!Q15</f>
        <v/>
      </c>
    </row>
    <row r="274" spans="1:14" x14ac:dyDescent="0.2">
      <c r="A274" s="210" t="s">
        <v>624</v>
      </c>
      <c r="B274" s="211">
        <f t="shared" si="12"/>
        <v>0</v>
      </c>
      <c r="C274" s="211">
        <v>12</v>
      </c>
      <c r="D274" s="211" t="str">
        <f>'Input Exterior Light Measures'!C16</f>
        <v/>
      </c>
      <c r="E274" s="211" t="s">
        <v>643</v>
      </c>
      <c r="F274" s="216" t="str">
        <f>IFERROR('Input Exterior Light Measures'!K16-'Input Exterior Light Measures'!L16,"")</f>
        <v/>
      </c>
      <c r="G274" s="223" t="str">
        <f>'Input Exterior Light Measures'!R16</f>
        <v/>
      </c>
      <c r="H274" s="212" t="str">
        <f>'Input Exterior Light Measures'!S16</f>
        <v/>
      </c>
      <c r="I274" s="231" t="str">
        <f>IFERROR(N274*MIN(Table_Measure_Caps[[#Totals],[Estimated Raw Incentive Total]], Table_Measure_Caps[[#Totals],[Gross Measure Cost Total]], Value_Project_CAP)/Table_Measure_Caps[[#Totals],[Estimated Raw Incentive Total]], "")</f>
        <v/>
      </c>
      <c r="J274" s="232">
        <f>'Input Exterior Light Measures'!N16</f>
        <v>0</v>
      </c>
      <c r="K274" s="232">
        <f>'Input Exterior Light Measures'!O16</f>
        <v>0</v>
      </c>
      <c r="L274" s="213" t="str">
        <f t="shared" si="13"/>
        <v>Version 5.2</v>
      </c>
      <c r="M274" s="214">
        <f>'Input Exterior Light Measures'!E16</f>
        <v>0</v>
      </c>
      <c r="N274" s="240" t="str">
        <f>'Input Exterior Light Measures'!Q16</f>
        <v/>
      </c>
    </row>
    <row r="275" spans="1:14" x14ac:dyDescent="0.2">
      <c r="A275" s="210" t="s">
        <v>624</v>
      </c>
      <c r="B275" s="211">
        <f t="shared" si="12"/>
        <v>0</v>
      </c>
      <c r="C275" s="211">
        <v>13</v>
      </c>
      <c r="D275" s="211" t="str">
        <f>'Input Exterior Light Measures'!C17</f>
        <v/>
      </c>
      <c r="E275" s="211" t="s">
        <v>643</v>
      </c>
      <c r="F275" s="216" t="str">
        <f>IFERROR('Input Exterior Light Measures'!K17-'Input Exterior Light Measures'!L17,"")</f>
        <v/>
      </c>
      <c r="G275" s="223" t="str">
        <f>'Input Exterior Light Measures'!R17</f>
        <v/>
      </c>
      <c r="H275" s="212" t="str">
        <f>'Input Exterior Light Measures'!S17</f>
        <v/>
      </c>
      <c r="I275" s="231" t="str">
        <f>IFERROR(N275*MIN(Table_Measure_Caps[[#Totals],[Estimated Raw Incentive Total]], Table_Measure_Caps[[#Totals],[Gross Measure Cost Total]], Value_Project_CAP)/Table_Measure_Caps[[#Totals],[Estimated Raw Incentive Total]], "")</f>
        <v/>
      </c>
      <c r="J275" s="232">
        <f>'Input Exterior Light Measures'!N17</f>
        <v>0</v>
      </c>
      <c r="K275" s="232">
        <f>'Input Exterior Light Measures'!O17</f>
        <v>0</v>
      </c>
      <c r="L275" s="213" t="str">
        <f t="shared" si="13"/>
        <v>Version 5.2</v>
      </c>
      <c r="M275" s="214">
        <f>'Input Exterior Light Measures'!E17</f>
        <v>0</v>
      </c>
      <c r="N275" s="240" t="str">
        <f>'Input Exterior Light Measures'!Q17</f>
        <v/>
      </c>
    </row>
    <row r="276" spans="1:14" x14ac:dyDescent="0.2">
      <c r="A276" s="210" t="s">
        <v>624</v>
      </c>
      <c r="B276" s="211">
        <f t="shared" si="12"/>
        <v>0</v>
      </c>
      <c r="C276" s="211">
        <v>14</v>
      </c>
      <c r="D276" s="211" t="str">
        <f>'Input Exterior Light Measures'!C18</f>
        <v/>
      </c>
      <c r="E276" s="211" t="s">
        <v>643</v>
      </c>
      <c r="F276" s="216" t="str">
        <f>IFERROR('Input Exterior Light Measures'!K18-'Input Exterior Light Measures'!L18,"")</f>
        <v/>
      </c>
      <c r="G276" s="223" t="str">
        <f>'Input Exterior Light Measures'!R18</f>
        <v/>
      </c>
      <c r="H276" s="212" t="str">
        <f>'Input Exterior Light Measures'!S18</f>
        <v/>
      </c>
      <c r="I276" s="231" t="str">
        <f>IFERROR(N276*MIN(Table_Measure_Caps[[#Totals],[Estimated Raw Incentive Total]], Table_Measure_Caps[[#Totals],[Gross Measure Cost Total]], Value_Project_CAP)/Table_Measure_Caps[[#Totals],[Estimated Raw Incentive Total]], "")</f>
        <v/>
      </c>
      <c r="J276" s="232">
        <f>'Input Exterior Light Measures'!N18</f>
        <v>0</v>
      </c>
      <c r="K276" s="232">
        <f>'Input Exterior Light Measures'!O18</f>
        <v>0</v>
      </c>
      <c r="L276" s="213" t="str">
        <f t="shared" si="13"/>
        <v>Version 5.2</v>
      </c>
      <c r="M276" s="214">
        <f>'Input Exterior Light Measures'!E18</f>
        <v>0</v>
      </c>
      <c r="N276" s="240" t="str">
        <f>'Input Exterior Light Measures'!Q18</f>
        <v/>
      </c>
    </row>
    <row r="277" spans="1:14" x14ac:dyDescent="0.2">
      <c r="A277" s="210" t="s">
        <v>624</v>
      </c>
      <c r="B277" s="211">
        <f t="shared" ref="B277:B313" si="14">Input_ProjectNumber</f>
        <v>0</v>
      </c>
      <c r="C277" s="211">
        <v>15</v>
      </c>
      <c r="D277" s="211" t="str">
        <f>'Input Exterior Light Measures'!C19</f>
        <v/>
      </c>
      <c r="E277" s="211" t="s">
        <v>643</v>
      </c>
      <c r="F277" s="216" t="str">
        <f>IFERROR('Input Exterior Light Measures'!K19-'Input Exterior Light Measures'!L19,"")</f>
        <v/>
      </c>
      <c r="G277" s="223" t="str">
        <f>'Input Exterior Light Measures'!R19</f>
        <v/>
      </c>
      <c r="H277" s="212" t="str">
        <f>'Input Exterior Light Measures'!S19</f>
        <v/>
      </c>
      <c r="I277" s="231" t="str">
        <f>IFERROR(N277*MIN(Table_Measure_Caps[[#Totals],[Estimated Raw Incentive Total]], Table_Measure_Caps[[#Totals],[Gross Measure Cost Total]], Value_Project_CAP)/Table_Measure_Caps[[#Totals],[Estimated Raw Incentive Total]], "")</f>
        <v/>
      </c>
      <c r="J277" s="232">
        <f>'Input Exterior Light Measures'!N19</f>
        <v>0</v>
      </c>
      <c r="K277" s="232">
        <f>'Input Exterior Light Measures'!O19</f>
        <v>0</v>
      </c>
      <c r="L277" s="213" t="str">
        <f t="shared" ref="L277:L313" si="15">Value_Application_Version</f>
        <v>Version 5.2</v>
      </c>
      <c r="M277" s="214">
        <f>'Input Exterior Light Measures'!E19</f>
        <v>0</v>
      </c>
      <c r="N277" s="240" t="str">
        <f>'Input Exterior Light Measures'!Q19</f>
        <v/>
      </c>
    </row>
    <row r="278" spans="1:14" x14ac:dyDescent="0.2">
      <c r="A278" s="210" t="s">
        <v>624</v>
      </c>
      <c r="B278" s="211">
        <f t="shared" si="14"/>
        <v>0</v>
      </c>
      <c r="C278" s="211">
        <v>16</v>
      </c>
      <c r="D278" s="211" t="str">
        <f>'Input Exterior Light Measures'!C20</f>
        <v/>
      </c>
      <c r="E278" s="211" t="s">
        <v>643</v>
      </c>
      <c r="F278" s="216" t="str">
        <f>IFERROR('Input Exterior Light Measures'!K20-'Input Exterior Light Measures'!L20,"")</f>
        <v/>
      </c>
      <c r="G278" s="223" t="str">
        <f>'Input Exterior Light Measures'!R20</f>
        <v/>
      </c>
      <c r="H278" s="212" t="str">
        <f>'Input Exterior Light Measures'!S20</f>
        <v/>
      </c>
      <c r="I278" s="231" t="str">
        <f>IFERROR(N278*MIN(Table_Measure_Caps[[#Totals],[Estimated Raw Incentive Total]], Table_Measure_Caps[[#Totals],[Gross Measure Cost Total]], Value_Project_CAP)/Table_Measure_Caps[[#Totals],[Estimated Raw Incentive Total]], "")</f>
        <v/>
      </c>
      <c r="J278" s="232">
        <f>'Input Exterior Light Measures'!N20</f>
        <v>0</v>
      </c>
      <c r="K278" s="232">
        <f>'Input Exterior Light Measures'!O20</f>
        <v>0</v>
      </c>
      <c r="L278" s="213" t="str">
        <f t="shared" si="15"/>
        <v>Version 5.2</v>
      </c>
      <c r="M278" s="214">
        <f>'Input Exterior Light Measures'!E20</f>
        <v>0</v>
      </c>
      <c r="N278" s="240" t="str">
        <f>'Input Exterior Light Measures'!Q20</f>
        <v/>
      </c>
    </row>
    <row r="279" spans="1:14" x14ac:dyDescent="0.2">
      <c r="A279" s="210" t="s">
        <v>624</v>
      </c>
      <c r="B279" s="211">
        <f t="shared" si="14"/>
        <v>0</v>
      </c>
      <c r="C279" s="211">
        <v>17</v>
      </c>
      <c r="D279" s="211" t="str">
        <f>'Input Exterior Light Measures'!C21</f>
        <v/>
      </c>
      <c r="E279" s="211" t="s">
        <v>643</v>
      </c>
      <c r="F279" s="216" t="str">
        <f>IFERROR('Input Exterior Light Measures'!K21-'Input Exterior Light Measures'!L21,"")</f>
        <v/>
      </c>
      <c r="G279" s="223" t="str">
        <f>'Input Exterior Light Measures'!R21</f>
        <v/>
      </c>
      <c r="H279" s="212" t="str">
        <f>'Input Exterior Light Measures'!S21</f>
        <v/>
      </c>
      <c r="I279" s="231" t="str">
        <f>IFERROR(N279*MIN(Table_Measure_Caps[[#Totals],[Estimated Raw Incentive Total]], Table_Measure_Caps[[#Totals],[Gross Measure Cost Total]], Value_Project_CAP)/Table_Measure_Caps[[#Totals],[Estimated Raw Incentive Total]], "")</f>
        <v/>
      </c>
      <c r="J279" s="232">
        <f>'Input Exterior Light Measures'!N21</f>
        <v>0</v>
      </c>
      <c r="K279" s="232">
        <f>'Input Exterior Light Measures'!O21</f>
        <v>0</v>
      </c>
      <c r="L279" s="213" t="str">
        <f t="shared" si="15"/>
        <v>Version 5.2</v>
      </c>
      <c r="M279" s="214">
        <f>'Input Exterior Light Measures'!E21</f>
        <v>0</v>
      </c>
      <c r="N279" s="240" t="str">
        <f>'Input Exterior Light Measures'!Q21</f>
        <v/>
      </c>
    </row>
    <row r="280" spans="1:14" x14ac:dyDescent="0.2">
      <c r="A280" s="210" t="s">
        <v>624</v>
      </c>
      <c r="B280" s="211">
        <f t="shared" si="14"/>
        <v>0</v>
      </c>
      <c r="C280" s="211">
        <v>18</v>
      </c>
      <c r="D280" s="211" t="str">
        <f>'Input Exterior Light Measures'!C22</f>
        <v/>
      </c>
      <c r="E280" s="211" t="s">
        <v>643</v>
      </c>
      <c r="F280" s="216" t="str">
        <f>IFERROR('Input Exterior Light Measures'!K22-'Input Exterior Light Measures'!L22,"")</f>
        <v/>
      </c>
      <c r="G280" s="223" t="str">
        <f>'Input Exterior Light Measures'!R22</f>
        <v/>
      </c>
      <c r="H280" s="212" t="str">
        <f>'Input Exterior Light Measures'!S22</f>
        <v/>
      </c>
      <c r="I280" s="231" t="str">
        <f>IFERROR(N280*MIN(Table_Measure_Caps[[#Totals],[Estimated Raw Incentive Total]], Table_Measure_Caps[[#Totals],[Gross Measure Cost Total]], Value_Project_CAP)/Table_Measure_Caps[[#Totals],[Estimated Raw Incentive Total]], "")</f>
        <v/>
      </c>
      <c r="J280" s="232">
        <f>'Input Exterior Light Measures'!N22</f>
        <v>0</v>
      </c>
      <c r="K280" s="232">
        <f>'Input Exterior Light Measures'!O22</f>
        <v>0</v>
      </c>
      <c r="L280" s="213" t="str">
        <f t="shared" si="15"/>
        <v>Version 5.2</v>
      </c>
      <c r="M280" s="214">
        <f>'Input Exterior Light Measures'!E22</f>
        <v>0</v>
      </c>
      <c r="N280" s="240" t="str">
        <f>'Input Exterior Light Measures'!Q22</f>
        <v/>
      </c>
    </row>
    <row r="281" spans="1:14" x14ac:dyDescent="0.2">
      <c r="A281" s="210" t="s">
        <v>624</v>
      </c>
      <c r="B281" s="211">
        <f t="shared" si="14"/>
        <v>0</v>
      </c>
      <c r="C281" s="211">
        <v>19</v>
      </c>
      <c r="D281" s="211" t="str">
        <f>'Input Exterior Light Measures'!C23</f>
        <v/>
      </c>
      <c r="E281" s="211" t="s">
        <v>643</v>
      </c>
      <c r="F281" s="216" t="str">
        <f>IFERROR('Input Exterior Light Measures'!K23-'Input Exterior Light Measures'!L23,"")</f>
        <v/>
      </c>
      <c r="G281" s="223" t="str">
        <f>'Input Exterior Light Measures'!R23</f>
        <v/>
      </c>
      <c r="H281" s="212" t="str">
        <f>'Input Exterior Light Measures'!S23</f>
        <v/>
      </c>
      <c r="I281" s="231" t="str">
        <f>IFERROR(N281*MIN(Table_Measure_Caps[[#Totals],[Estimated Raw Incentive Total]], Table_Measure_Caps[[#Totals],[Gross Measure Cost Total]], Value_Project_CAP)/Table_Measure_Caps[[#Totals],[Estimated Raw Incentive Total]], "")</f>
        <v/>
      </c>
      <c r="J281" s="232">
        <f>'Input Exterior Light Measures'!N23</f>
        <v>0</v>
      </c>
      <c r="K281" s="232">
        <f>'Input Exterior Light Measures'!O23</f>
        <v>0</v>
      </c>
      <c r="L281" s="213" t="str">
        <f t="shared" si="15"/>
        <v>Version 5.2</v>
      </c>
      <c r="M281" s="214">
        <f>'Input Exterior Light Measures'!E23</f>
        <v>0</v>
      </c>
      <c r="N281" s="240" t="str">
        <f>'Input Exterior Light Measures'!Q23</f>
        <v/>
      </c>
    </row>
    <row r="282" spans="1:14" x14ac:dyDescent="0.2">
      <c r="A282" s="210" t="s">
        <v>624</v>
      </c>
      <c r="B282" s="211">
        <f t="shared" si="14"/>
        <v>0</v>
      </c>
      <c r="C282" s="211">
        <v>20</v>
      </c>
      <c r="D282" s="211" t="str">
        <f>'Input Exterior Light Measures'!C24</f>
        <v/>
      </c>
      <c r="E282" s="211" t="s">
        <v>643</v>
      </c>
      <c r="F282" s="216" t="str">
        <f>IFERROR('Input Exterior Light Measures'!K24-'Input Exterior Light Measures'!L24,"")</f>
        <v/>
      </c>
      <c r="G282" s="223" t="str">
        <f>'Input Exterior Light Measures'!R24</f>
        <v/>
      </c>
      <c r="H282" s="212" t="str">
        <f>'Input Exterior Light Measures'!S24</f>
        <v/>
      </c>
      <c r="I282" s="231" t="str">
        <f>IFERROR(N282*MIN(Table_Measure_Caps[[#Totals],[Estimated Raw Incentive Total]], Table_Measure_Caps[[#Totals],[Gross Measure Cost Total]], Value_Project_CAP)/Table_Measure_Caps[[#Totals],[Estimated Raw Incentive Total]], "")</f>
        <v/>
      </c>
      <c r="J282" s="232">
        <f>'Input Exterior Light Measures'!N24</f>
        <v>0</v>
      </c>
      <c r="K282" s="232">
        <f>'Input Exterior Light Measures'!O24</f>
        <v>0</v>
      </c>
      <c r="L282" s="213" t="str">
        <f t="shared" si="15"/>
        <v>Version 5.2</v>
      </c>
      <c r="M282" s="214">
        <f>'Input Exterior Light Measures'!E24</f>
        <v>0</v>
      </c>
      <c r="N282" s="240" t="str">
        <f>'Input Exterior Light Measures'!Q24</f>
        <v/>
      </c>
    </row>
    <row r="283" spans="1:14" x14ac:dyDescent="0.2">
      <c r="A283" s="210" t="s">
        <v>624</v>
      </c>
      <c r="B283" s="211">
        <f t="shared" si="14"/>
        <v>0</v>
      </c>
      <c r="C283" s="211">
        <v>21</v>
      </c>
      <c r="D283" s="211" t="str">
        <f>'Input Exterior Light Measures'!C25</f>
        <v/>
      </c>
      <c r="E283" s="211" t="s">
        <v>643</v>
      </c>
      <c r="F283" s="216" t="str">
        <f>IFERROR('Input Exterior Light Measures'!K25-'Input Exterior Light Measures'!L25,"")</f>
        <v/>
      </c>
      <c r="G283" s="223" t="str">
        <f>'Input Exterior Light Measures'!R25</f>
        <v/>
      </c>
      <c r="H283" s="212" t="str">
        <f>'Input Exterior Light Measures'!S25</f>
        <v/>
      </c>
      <c r="I283" s="231" t="str">
        <f>IFERROR(N283*MIN(Table_Measure_Caps[[#Totals],[Estimated Raw Incentive Total]], Table_Measure_Caps[[#Totals],[Gross Measure Cost Total]], Value_Project_CAP)/Table_Measure_Caps[[#Totals],[Estimated Raw Incentive Total]], "")</f>
        <v/>
      </c>
      <c r="J283" s="232">
        <f>'Input Exterior Light Measures'!N25</f>
        <v>0</v>
      </c>
      <c r="K283" s="232">
        <f>'Input Exterior Light Measures'!O25</f>
        <v>0</v>
      </c>
      <c r="L283" s="213" t="str">
        <f t="shared" si="15"/>
        <v>Version 5.2</v>
      </c>
      <c r="M283" s="214">
        <f>'Input Exterior Light Measures'!E25</f>
        <v>0</v>
      </c>
      <c r="N283" s="240" t="str">
        <f>'Input Exterior Light Measures'!Q25</f>
        <v/>
      </c>
    </row>
    <row r="284" spans="1:14" x14ac:dyDescent="0.2">
      <c r="A284" s="210" t="s">
        <v>624</v>
      </c>
      <c r="B284" s="211">
        <f t="shared" si="14"/>
        <v>0</v>
      </c>
      <c r="C284" s="211">
        <v>22</v>
      </c>
      <c r="D284" s="211" t="str">
        <f>'Input Exterior Light Measures'!C26</f>
        <v/>
      </c>
      <c r="E284" s="211" t="s">
        <v>643</v>
      </c>
      <c r="F284" s="216" t="str">
        <f>IFERROR('Input Exterior Light Measures'!K26-'Input Exterior Light Measures'!L26,"")</f>
        <v/>
      </c>
      <c r="G284" s="223" t="str">
        <f>'Input Exterior Light Measures'!R26</f>
        <v/>
      </c>
      <c r="H284" s="212" t="str">
        <f>'Input Exterior Light Measures'!S26</f>
        <v/>
      </c>
      <c r="I284" s="231" t="str">
        <f>IFERROR(N284*MIN(Table_Measure_Caps[[#Totals],[Estimated Raw Incentive Total]], Table_Measure_Caps[[#Totals],[Gross Measure Cost Total]], Value_Project_CAP)/Table_Measure_Caps[[#Totals],[Estimated Raw Incentive Total]], "")</f>
        <v/>
      </c>
      <c r="J284" s="232">
        <f>'Input Exterior Light Measures'!N26</f>
        <v>0</v>
      </c>
      <c r="K284" s="232">
        <f>'Input Exterior Light Measures'!O26</f>
        <v>0</v>
      </c>
      <c r="L284" s="213" t="str">
        <f t="shared" si="15"/>
        <v>Version 5.2</v>
      </c>
      <c r="M284" s="214">
        <f>'Input Exterior Light Measures'!E26</f>
        <v>0</v>
      </c>
      <c r="N284" s="240" t="str">
        <f>'Input Exterior Light Measures'!Q26</f>
        <v/>
      </c>
    </row>
    <row r="285" spans="1:14" x14ac:dyDescent="0.2">
      <c r="A285" s="210" t="s">
        <v>624</v>
      </c>
      <c r="B285" s="211">
        <f t="shared" si="14"/>
        <v>0</v>
      </c>
      <c r="C285" s="211">
        <v>23</v>
      </c>
      <c r="D285" s="211" t="str">
        <f>'Input Exterior Light Measures'!C27</f>
        <v/>
      </c>
      <c r="E285" s="211" t="s">
        <v>643</v>
      </c>
      <c r="F285" s="216" t="str">
        <f>IFERROR('Input Exterior Light Measures'!K27-'Input Exterior Light Measures'!L27,"")</f>
        <v/>
      </c>
      <c r="G285" s="223" t="str">
        <f>'Input Exterior Light Measures'!R27</f>
        <v/>
      </c>
      <c r="H285" s="212" t="str">
        <f>'Input Exterior Light Measures'!S27</f>
        <v/>
      </c>
      <c r="I285" s="231" t="str">
        <f>IFERROR(N285*MIN(Table_Measure_Caps[[#Totals],[Estimated Raw Incentive Total]], Table_Measure_Caps[[#Totals],[Gross Measure Cost Total]], Value_Project_CAP)/Table_Measure_Caps[[#Totals],[Estimated Raw Incentive Total]], "")</f>
        <v/>
      </c>
      <c r="J285" s="232">
        <f>'Input Exterior Light Measures'!N27</f>
        <v>0</v>
      </c>
      <c r="K285" s="232">
        <f>'Input Exterior Light Measures'!O27</f>
        <v>0</v>
      </c>
      <c r="L285" s="213" t="str">
        <f t="shared" si="15"/>
        <v>Version 5.2</v>
      </c>
      <c r="M285" s="214">
        <f>'Input Exterior Light Measures'!E27</f>
        <v>0</v>
      </c>
      <c r="N285" s="240" t="str">
        <f>'Input Exterior Light Measures'!Q27</f>
        <v/>
      </c>
    </row>
    <row r="286" spans="1:14" x14ac:dyDescent="0.2">
      <c r="A286" s="210" t="s">
        <v>624</v>
      </c>
      <c r="B286" s="211">
        <f t="shared" si="14"/>
        <v>0</v>
      </c>
      <c r="C286" s="211">
        <v>24</v>
      </c>
      <c r="D286" s="211" t="str">
        <f>'Input Exterior Light Measures'!C28</f>
        <v/>
      </c>
      <c r="E286" s="211" t="s">
        <v>643</v>
      </c>
      <c r="F286" s="216" t="str">
        <f>IFERROR('Input Exterior Light Measures'!K28-'Input Exterior Light Measures'!L28,"")</f>
        <v/>
      </c>
      <c r="G286" s="223" t="str">
        <f>'Input Exterior Light Measures'!R28</f>
        <v/>
      </c>
      <c r="H286" s="212" t="str">
        <f>'Input Exterior Light Measures'!S28</f>
        <v/>
      </c>
      <c r="I286" s="231" t="str">
        <f>IFERROR(N286*MIN(Table_Measure_Caps[[#Totals],[Estimated Raw Incentive Total]], Table_Measure_Caps[[#Totals],[Gross Measure Cost Total]], Value_Project_CAP)/Table_Measure_Caps[[#Totals],[Estimated Raw Incentive Total]], "")</f>
        <v/>
      </c>
      <c r="J286" s="232">
        <f>'Input Exterior Light Measures'!N28</f>
        <v>0</v>
      </c>
      <c r="K286" s="232">
        <f>'Input Exterior Light Measures'!O28</f>
        <v>0</v>
      </c>
      <c r="L286" s="213" t="str">
        <f t="shared" si="15"/>
        <v>Version 5.2</v>
      </c>
      <c r="M286" s="214">
        <f>'Input Exterior Light Measures'!E28</f>
        <v>0</v>
      </c>
      <c r="N286" s="240" t="str">
        <f>'Input Exterior Light Measures'!Q28</f>
        <v/>
      </c>
    </row>
    <row r="287" spans="1:14" x14ac:dyDescent="0.2">
      <c r="A287" s="210" t="s">
        <v>624</v>
      </c>
      <c r="B287" s="211">
        <f t="shared" si="14"/>
        <v>0</v>
      </c>
      <c r="C287" s="211">
        <v>25</v>
      </c>
      <c r="D287" s="211" t="str">
        <f>'Input Exterior Light Measures'!C29</f>
        <v/>
      </c>
      <c r="E287" s="211" t="s">
        <v>643</v>
      </c>
      <c r="F287" s="216" t="str">
        <f>IFERROR('Input Exterior Light Measures'!K29-'Input Exterior Light Measures'!L29,"")</f>
        <v/>
      </c>
      <c r="G287" s="223" t="str">
        <f>'Input Exterior Light Measures'!R29</f>
        <v/>
      </c>
      <c r="H287" s="212" t="str">
        <f>'Input Exterior Light Measures'!S29</f>
        <v/>
      </c>
      <c r="I287" s="231" t="str">
        <f>IFERROR(N287*MIN(Table_Measure_Caps[[#Totals],[Estimated Raw Incentive Total]], Table_Measure_Caps[[#Totals],[Gross Measure Cost Total]], Value_Project_CAP)/Table_Measure_Caps[[#Totals],[Estimated Raw Incentive Total]], "")</f>
        <v/>
      </c>
      <c r="J287" s="232">
        <f>'Input Exterior Light Measures'!N29</f>
        <v>0</v>
      </c>
      <c r="K287" s="232">
        <f>'Input Exterior Light Measures'!O29</f>
        <v>0</v>
      </c>
      <c r="L287" s="213" t="str">
        <f t="shared" si="15"/>
        <v>Version 5.2</v>
      </c>
      <c r="M287" s="214">
        <f>'Input Exterior Light Measures'!E29</f>
        <v>0</v>
      </c>
      <c r="N287" s="240" t="str">
        <f>'Input Exterior Light Measures'!Q29</f>
        <v/>
      </c>
    </row>
    <row r="288" spans="1:14" x14ac:dyDescent="0.2">
      <c r="A288" s="210" t="s">
        <v>624</v>
      </c>
      <c r="B288" s="211">
        <f t="shared" si="14"/>
        <v>0</v>
      </c>
      <c r="C288" s="211">
        <v>26</v>
      </c>
      <c r="D288" s="211" t="str">
        <f>'Input Exterior Light Measures'!C30</f>
        <v/>
      </c>
      <c r="E288" s="211" t="s">
        <v>643</v>
      </c>
      <c r="F288" s="216" t="str">
        <f>IFERROR('Input Exterior Light Measures'!K30-'Input Exterior Light Measures'!L30,"")</f>
        <v/>
      </c>
      <c r="G288" s="223" t="str">
        <f>'Input Exterior Light Measures'!R30</f>
        <v/>
      </c>
      <c r="H288" s="212" t="str">
        <f>'Input Exterior Light Measures'!S30</f>
        <v/>
      </c>
      <c r="I288" s="231" t="str">
        <f>IFERROR(N288*MIN(Table_Measure_Caps[[#Totals],[Estimated Raw Incentive Total]], Table_Measure_Caps[[#Totals],[Gross Measure Cost Total]], Value_Project_CAP)/Table_Measure_Caps[[#Totals],[Estimated Raw Incentive Total]], "")</f>
        <v/>
      </c>
      <c r="J288" s="232">
        <f>'Input Exterior Light Measures'!N30</f>
        <v>0</v>
      </c>
      <c r="K288" s="232">
        <f>'Input Exterior Light Measures'!O30</f>
        <v>0</v>
      </c>
      <c r="L288" s="213" t="str">
        <f t="shared" si="15"/>
        <v>Version 5.2</v>
      </c>
      <c r="M288" s="214">
        <f>'Input Exterior Light Measures'!E30</f>
        <v>0</v>
      </c>
      <c r="N288" s="240" t="str">
        <f>'Input Exterior Light Measures'!Q30</f>
        <v/>
      </c>
    </row>
    <row r="289" spans="1:14" x14ac:dyDescent="0.2">
      <c r="A289" s="210" t="s">
        <v>624</v>
      </c>
      <c r="B289" s="211">
        <f t="shared" si="14"/>
        <v>0</v>
      </c>
      <c r="C289" s="211">
        <v>27</v>
      </c>
      <c r="D289" s="211" t="str">
        <f>'Input Exterior Light Measures'!C31</f>
        <v/>
      </c>
      <c r="E289" s="211" t="s">
        <v>643</v>
      </c>
      <c r="F289" s="216" t="str">
        <f>IFERROR('Input Exterior Light Measures'!K31-'Input Exterior Light Measures'!L31,"")</f>
        <v/>
      </c>
      <c r="G289" s="223" t="str">
        <f>'Input Exterior Light Measures'!R31</f>
        <v/>
      </c>
      <c r="H289" s="212" t="str">
        <f>'Input Exterior Light Measures'!S31</f>
        <v/>
      </c>
      <c r="I289" s="231" t="str">
        <f>IFERROR(N289*MIN(Table_Measure_Caps[[#Totals],[Estimated Raw Incentive Total]], Table_Measure_Caps[[#Totals],[Gross Measure Cost Total]], Value_Project_CAP)/Table_Measure_Caps[[#Totals],[Estimated Raw Incentive Total]], "")</f>
        <v/>
      </c>
      <c r="J289" s="232">
        <f>'Input Exterior Light Measures'!N31</f>
        <v>0</v>
      </c>
      <c r="K289" s="232">
        <f>'Input Exterior Light Measures'!O31</f>
        <v>0</v>
      </c>
      <c r="L289" s="213" t="str">
        <f t="shared" si="15"/>
        <v>Version 5.2</v>
      </c>
      <c r="M289" s="214">
        <f>'Input Exterior Light Measures'!E31</f>
        <v>0</v>
      </c>
      <c r="N289" s="240" t="str">
        <f>'Input Exterior Light Measures'!Q31</f>
        <v/>
      </c>
    </row>
    <row r="290" spans="1:14" x14ac:dyDescent="0.2">
      <c r="A290" s="210" t="s">
        <v>624</v>
      </c>
      <c r="B290" s="211">
        <f t="shared" si="14"/>
        <v>0</v>
      </c>
      <c r="C290" s="211">
        <v>28</v>
      </c>
      <c r="D290" s="211" t="str">
        <f>'Input Exterior Light Measures'!C32</f>
        <v/>
      </c>
      <c r="E290" s="211" t="s">
        <v>643</v>
      </c>
      <c r="F290" s="216" t="str">
        <f>IFERROR('Input Exterior Light Measures'!K32-'Input Exterior Light Measures'!L32,"")</f>
        <v/>
      </c>
      <c r="G290" s="223" t="str">
        <f>'Input Exterior Light Measures'!R32</f>
        <v/>
      </c>
      <c r="H290" s="212" t="str">
        <f>'Input Exterior Light Measures'!S32</f>
        <v/>
      </c>
      <c r="I290" s="231" t="str">
        <f>IFERROR(N290*MIN(Table_Measure_Caps[[#Totals],[Estimated Raw Incentive Total]], Table_Measure_Caps[[#Totals],[Gross Measure Cost Total]], Value_Project_CAP)/Table_Measure_Caps[[#Totals],[Estimated Raw Incentive Total]], "")</f>
        <v/>
      </c>
      <c r="J290" s="232">
        <f>'Input Exterior Light Measures'!N32</f>
        <v>0</v>
      </c>
      <c r="K290" s="232">
        <f>'Input Exterior Light Measures'!O32</f>
        <v>0</v>
      </c>
      <c r="L290" s="213" t="str">
        <f t="shared" si="15"/>
        <v>Version 5.2</v>
      </c>
      <c r="M290" s="214">
        <f>'Input Exterior Light Measures'!E32</f>
        <v>0</v>
      </c>
      <c r="N290" s="240" t="str">
        <f>'Input Exterior Light Measures'!Q32</f>
        <v/>
      </c>
    </row>
    <row r="291" spans="1:14" x14ac:dyDescent="0.2">
      <c r="A291" s="210" t="s">
        <v>624</v>
      </c>
      <c r="B291" s="211">
        <f t="shared" si="14"/>
        <v>0</v>
      </c>
      <c r="C291" s="211">
        <v>29</v>
      </c>
      <c r="D291" s="211" t="str">
        <f>'Input Exterior Light Measures'!C33</f>
        <v/>
      </c>
      <c r="E291" s="211" t="s">
        <v>643</v>
      </c>
      <c r="F291" s="216" t="str">
        <f>IFERROR('Input Exterior Light Measures'!K33-'Input Exterior Light Measures'!L33,"")</f>
        <v/>
      </c>
      <c r="G291" s="223" t="str">
        <f>'Input Exterior Light Measures'!R33</f>
        <v/>
      </c>
      <c r="H291" s="212" t="str">
        <f>'Input Exterior Light Measures'!S33</f>
        <v/>
      </c>
      <c r="I291" s="231" t="str">
        <f>IFERROR(N291*MIN(Table_Measure_Caps[[#Totals],[Estimated Raw Incentive Total]], Table_Measure_Caps[[#Totals],[Gross Measure Cost Total]], Value_Project_CAP)/Table_Measure_Caps[[#Totals],[Estimated Raw Incentive Total]], "")</f>
        <v/>
      </c>
      <c r="J291" s="232">
        <f>'Input Exterior Light Measures'!N33</f>
        <v>0</v>
      </c>
      <c r="K291" s="232">
        <f>'Input Exterior Light Measures'!O33</f>
        <v>0</v>
      </c>
      <c r="L291" s="213" t="str">
        <f t="shared" si="15"/>
        <v>Version 5.2</v>
      </c>
      <c r="M291" s="214">
        <f>'Input Exterior Light Measures'!E33</f>
        <v>0</v>
      </c>
      <c r="N291" s="240" t="str">
        <f>'Input Exterior Light Measures'!Q33</f>
        <v/>
      </c>
    </row>
    <row r="292" spans="1:14" x14ac:dyDescent="0.2">
      <c r="A292" s="210" t="s">
        <v>624</v>
      </c>
      <c r="B292" s="211">
        <f t="shared" si="14"/>
        <v>0</v>
      </c>
      <c r="C292" s="211">
        <v>30</v>
      </c>
      <c r="D292" s="211" t="str">
        <f>'Input Exterior Light Measures'!C34</f>
        <v/>
      </c>
      <c r="E292" s="211" t="s">
        <v>643</v>
      </c>
      <c r="F292" s="216" t="str">
        <f>IFERROR('Input Exterior Light Measures'!K34-'Input Exterior Light Measures'!L34,"")</f>
        <v/>
      </c>
      <c r="G292" s="223" t="str">
        <f>'Input Exterior Light Measures'!R34</f>
        <v/>
      </c>
      <c r="H292" s="212" t="str">
        <f>'Input Exterior Light Measures'!S34</f>
        <v/>
      </c>
      <c r="I292" s="231" t="str">
        <f>IFERROR(N292*MIN(Table_Measure_Caps[[#Totals],[Estimated Raw Incentive Total]], Table_Measure_Caps[[#Totals],[Gross Measure Cost Total]], Value_Project_CAP)/Table_Measure_Caps[[#Totals],[Estimated Raw Incentive Total]], "")</f>
        <v/>
      </c>
      <c r="J292" s="232">
        <f>'Input Exterior Light Measures'!N34</f>
        <v>0</v>
      </c>
      <c r="K292" s="232">
        <f>'Input Exterior Light Measures'!O34</f>
        <v>0</v>
      </c>
      <c r="L292" s="213" t="str">
        <f t="shared" si="15"/>
        <v>Version 5.2</v>
      </c>
      <c r="M292" s="214">
        <f>'Input Exterior Light Measures'!E34</f>
        <v>0</v>
      </c>
      <c r="N292" s="240" t="str">
        <f>'Input Exterior Light Measures'!Q34</f>
        <v/>
      </c>
    </row>
    <row r="293" spans="1:14" x14ac:dyDescent="0.2">
      <c r="A293" s="210" t="s">
        <v>624</v>
      </c>
      <c r="B293" s="211">
        <f t="shared" si="14"/>
        <v>0</v>
      </c>
      <c r="C293" s="211">
        <v>31</v>
      </c>
      <c r="D293" s="211" t="str">
        <f>'Input Exterior Light Measures'!C35</f>
        <v/>
      </c>
      <c r="E293" s="211" t="s">
        <v>643</v>
      </c>
      <c r="F293" s="216" t="str">
        <f>IFERROR('Input Exterior Light Measures'!K35-'Input Exterior Light Measures'!L35,"")</f>
        <v/>
      </c>
      <c r="G293" s="223" t="str">
        <f>'Input Exterior Light Measures'!R35</f>
        <v/>
      </c>
      <c r="H293" s="212" t="str">
        <f>'Input Exterior Light Measures'!S35</f>
        <v/>
      </c>
      <c r="I293" s="231" t="str">
        <f>IFERROR(N293*MIN(Table_Measure_Caps[[#Totals],[Estimated Raw Incentive Total]], Table_Measure_Caps[[#Totals],[Gross Measure Cost Total]], Value_Project_CAP)/Table_Measure_Caps[[#Totals],[Estimated Raw Incentive Total]], "")</f>
        <v/>
      </c>
      <c r="J293" s="232">
        <f>'Input Exterior Light Measures'!N35</f>
        <v>0</v>
      </c>
      <c r="K293" s="232">
        <f>'Input Exterior Light Measures'!O35</f>
        <v>0</v>
      </c>
      <c r="L293" s="213" t="str">
        <f t="shared" si="15"/>
        <v>Version 5.2</v>
      </c>
      <c r="M293" s="214">
        <f>'Input Exterior Light Measures'!E35</f>
        <v>0</v>
      </c>
      <c r="N293" s="240" t="str">
        <f>'Input Exterior Light Measures'!Q35</f>
        <v/>
      </c>
    </row>
    <row r="294" spans="1:14" x14ac:dyDescent="0.2">
      <c r="A294" s="210" t="s">
        <v>624</v>
      </c>
      <c r="B294" s="211">
        <f t="shared" si="14"/>
        <v>0</v>
      </c>
      <c r="C294" s="211">
        <v>32</v>
      </c>
      <c r="D294" s="211" t="str">
        <f>'Input Exterior Light Measures'!C36</f>
        <v/>
      </c>
      <c r="E294" s="211" t="s">
        <v>643</v>
      </c>
      <c r="F294" s="216" t="str">
        <f>IFERROR('Input Exterior Light Measures'!K36-'Input Exterior Light Measures'!L36,"")</f>
        <v/>
      </c>
      <c r="G294" s="223" t="str">
        <f>'Input Exterior Light Measures'!R36</f>
        <v/>
      </c>
      <c r="H294" s="212" t="str">
        <f>'Input Exterior Light Measures'!S36</f>
        <v/>
      </c>
      <c r="I294" s="231" t="str">
        <f>IFERROR(N294*MIN(Table_Measure_Caps[[#Totals],[Estimated Raw Incentive Total]], Table_Measure_Caps[[#Totals],[Gross Measure Cost Total]], Value_Project_CAP)/Table_Measure_Caps[[#Totals],[Estimated Raw Incentive Total]], "")</f>
        <v/>
      </c>
      <c r="J294" s="232">
        <f>'Input Exterior Light Measures'!N36</f>
        <v>0</v>
      </c>
      <c r="K294" s="232">
        <f>'Input Exterior Light Measures'!O36</f>
        <v>0</v>
      </c>
      <c r="L294" s="213" t="str">
        <f t="shared" si="15"/>
        <v>Version 5.2</v>
      </c>
      <c r="M294" s="214">
        <f>'Input Exterior Light Measures'!E36</f>
        <v>0</v>
      </c>
      <c r="N294" s="240" t="str">
        <f>'Input Exterior Light Measures'!Q36</f>
        <v/>
      </c>
    </row>
    <row r="295" spans="1:14" x14ac:dyDescent="0.2">
      <c r="A295" s="210" t="s">
        <v>624</v>
      </c>
      <c r="B295" s="211">
        <f t="shared" si="14"/>
        <v>0</v>
      </c>
      <c r="C295" s="211">
        <v>33</v>
      </c>
      <c r="D295" s="211" t="str">
        <f>'Input Exterior Light Measures'!C37</f>
        <v/>
      </c>
      <c r="E295" s="211" t="s">
        <v>643</v>
      </c>
      <c r="F295" s="216" t="str">
        <f>IFERROR('Input Exterior Light Measures'!K37-'Input Exterior Light Measures'!L37,"")</f>
        <v/>
      </c>
      <c r="G295" s="223" t="str">
        <f>'Input Exterior Light Measures'!R37</f>
        <v/>
      </c>
      <c r="H295" s="212" t="str">
        <f>'Input Exterior Light Measures'!S37</f>
        <v/>
      </c>
      <c r="I295" s="231" t="str">
        <f>IFERROR(N295*MIN(Table_Measure_Caps[[#Totals],[Estimated Raw Incentive Total]], Table_Measure_Caps[[#Totals],[Gross Measure Cost Total]], Value_Project_CAP)/Table_Measure_Caps[[#Totals],[Estimated Raw Incentive Total]], "")</f>
        <v/>
      </c>
      <c r="J295" s="232">
        <f>'Input Exterior Light Measures'!N37</f>
        <v>0</v>
      </c>
      <c r="K295" s="232">
        <f>'Input Exterior Light Measures'!O37</f>
        <v>0</v>
      </c>
      <c r="L295" s="213" t="str">
        <f t="shared" si="15"/>
        <v>Version 5.2</v>
      </c>
      <c r="M295" s="214">
        <f>'Input Exterior Light Measures'!E37</f>
        <v>0</v>
      </c>
      <c r="N295" s="240" t="str">
        <f>'Input Exterior Light Measures'!Q37</f>
        <v/>
      </c>
    </row>
    <row r="296" spans="1:14" x14ac:dyDescent="0.2">
      <c r="A296" s="210" t="s">
        <v>624</v>
      </c>
      <c r="B296" s="211">
        <f t="shared" si="14"/>
        <v>0</v>
      </c>
      <c r="C296" s="211">
        <v>34</v>
      </c>
      <c r="D296" s="211" t="str">
        <f>'Input Exterior Light Measures'!C38</f>
        <v/>
      </c>
      <c r="E296" s="211" t="s">
        <v>643</v>
      </c>
      <c r="F296" s="216" t="str">
        <f>IFERROR('Input Exterior Light Measures'!K38-'Input Exterior Light Measures'!L38,"")</f>
        <v/>
      </c>
      <c r="G296" s="223" t="str">
        <f>'Input Exterior Light Measures'!R38</f>
        <v/>
      </c>
      <c r="H296" s="212" t="str">
        <f>'Input Exterior Light Measures'!S38</f>
        <v/>
      </c>
      <c r="I296" s="231" t="str">
        <f>IFERROR(N296*MIN(Table_Measure_Caps[[#Totals],[Estimated Raw Incentive Total]], Table_Measure_Caps[[#Totals],[Gross Measure Cost Total]], Value_Project_CAP)/Table_Measure_Caps[[#Totals],[Estimated Raw Incentive Total]], "")</f>
        <v/>
      </c>
      <c r="J296" s="232">
        <f>'Input Exterior Light Measures'!N38</f>
        <v>0</v>
      </c>
      <c r="K296" s="232">
        <f>'Input Exterior Light Measures'!O38</f>
        <v>0</v>
      </c>
      <c r="L296" s="213" t="str">
        <f t="shared" si="15"/>
        <v>Version 5.2</v>
      </c>
      <c r="M296" s="214">
        <f>'Input Exterior Light Measures'!E38</f>
        <v>0</v>
      </c>
      <c r="N296" s="240" t="str">
        <f>'Input Exterior Light Measures'!Q38</f>
        <v/>
      </c>
    </row>
    <row r="297" spans="1:14" x14ac:dyDescent="0.2">
      <c r="A297" s="210" t="s">
        <v>624</v>
      </c>
      <c r="B297" s="211">
        <f t="shared" si="14"/>
        <v>0</v>
      </c>
      <c r="C297" s="211">
        <v>35</v>
      </c>
      <c r="D297" s="211" t="str">
        <f>'Input Exterior Light Measures'!C39</f>
        <v/>
      </c>
      <c r="E297" s="211" t="s">
        <v>643</v>
      </c>
      <c r="F297" s="216" t="str">
        <f>IFERROR('Input Exterior Light Measures'!K39-'Input Exterior Light Measures'!L39,"")</f>
        <v/>
      </c>
      <c r="G297" s="223" t="str">
        <f>'Input Exterior Light Measures'!R39</f>
        <v/>
      </c>
      <c r="H297" s="212" t="str">
        <f>'Input Exterior Light Measures'!S39</f>
        <v/>
      </c>
      <c r="I297" s="231" t="str">
        <f>IFERROR(N297*MIN(Table_Measure_Caps[[#Totals],[Estimated Raw Incentive Total]], Table_Measure_Caps[[#Totals],[Gross Measure Cost Total]], Value_Project_CAP)/Table_Measure_Caps[[#Totals],[Estimated Raw Incentive Total]], "")</f>
        <v/>
      </c>
      <c r="J297" s="232">
        <f>'Input Exterior Light Measures'!N39</f>
        <v>0</v>
      </c>
      <c r="K297" s="232">
        <f>'Input Exterior Light Measures'!O39</f>
        <v>0</v>
      </c>
      <c r="L297" s="213" t="str">
        <f t="shared" si="15"/>
        <v>Version 5.2</v>
      </c>
      <c r="M297" s="214">
        <f>'Input Exterior Light Measures'!E39</f>
        <v>0</v>
      </c>
      <c r="N297" s="240" t="str">
        <f>'Input Exterior Light Measures'!Q39</f>
        <v/>
      </c>
    </row>
    <row r="298" spans="1:14" x14ac:dyDescent="0.2">
      <c r="A298" s="210" t="s">
        <v>624</v>
      </c>
      <c r="B298" s="211">
        <f t="shared" si="14"/>
        <v>0</v>
      </c>
      <c r="C298" s="211">
        <v>36</v>
      </c>
      <c r="D298" s="211" t="str">
        <f>'Input Exterior Light Measures'!C40</f>
        <v/>
      </c>
      <c r="E298" s="211" t="s">
        <v>643</v>
      </c>
      <c r="F298" s="216" t="str">
        <f>IFERROR('Input Exterior Light Measures'!K40-'Input Exterior Light Measures'!L40,"")</f>
        <v/>
      </c>
      <c r="G298" s="223" t="str">
        <f>'Input Exterior Light Measures'!R40</f>
        <v/>
      </c>
      <c r="H298" s="212" t="str">
        <f>'Input Exterior Light Measures'!S40</f>
        <v/>
      </c>
      <c r="I298" s="231" t="str">
        <f>IFERROR(N298*MIN(Table_Measure_Caps[[#Totals],[Estimated Raw Incentive Total]], Table_Measure_Caps[[#Totals],[Gross Measure Cost Total]], Value_Project_CAP)/Table_Measure_Caps[[#Totals],[Estimated Raw Incentive Total]], "")</f>
        <v/>
      </c>
      <c r="J298" s="232">
        <f>'Input Exterior Light Measures'!N40</f>
        <v>0</v>
      </c>
      <c r="K298" s="232">
        <f>'Input Exterior Light Measures'!O40</f>
        <v>0</v>
      </c>
      <c r="L298" s="213" t="str">
        <f t="shared" si="15"/>
        <v>Version 5.2</v>
      </c>
      <c r="M298" s="214">
        <f>'Input Exterior Light Measures'!E40</f>
        <v>0</v>
      </c>
      <c r="N298" s="240" t="str">
        <f>'Input Exterior Light Measures'!Q40</f>
        <v/>
      </c>
    </row>
    <row r="299" spans="1:14" x14ac:dyDescent="0.2">
      <c r="A299" s="210" t="s">
        <v>624</v>
      </c>
      <c r="B299" s="211">
        <f t="shared" si="14"/>
        <v>0</v>
      </c>
      <c r="C299" s="211">
        <v>37</v>
      </c>
      <c r="D299" s="211" t="str">
        <f>'Input Exterior Light Measures'!C41</f>
        <v/>
      </c>
      <c r="E299" s="211" t="s">
        <v>643</v>
      </c>
      <c r="F299" s="216" t="str">
        <f>IFERROR('Input Exterior Light Measures'!K41-'Input Exterior Light Measures'!L41,"")</f>
        <v/>
      </c>
      <c r="G299" s="223" t="str">
        <f>'Input Exterior Light Measures'!R41</f>
        <v/>
      </c>
      <c r="H299" s="212" t="str">
        <f>'Input Exterior Light Measures'!S41</f>
        <v/>
      </c>
      <c r="I299" s="231" t="str">
        <f>IFERROR(N299*MIN(Table_Measure_Caps[[#Totals],[Estimated Raw Incentive Total]], Table_Measure_Caps[[#Totals],[Gross Measure Cost Total]], Value_Project_CAP)/Table_Measure_Caps[[#Totals],[Estimated Raw Incentive Total]], "")</f>
        <v/>
      </c>
      <c r="J299" s="232">
        <f>'Input Exterior Light Measures'!N41</f>
        <v>0</v>
      </c>
      <c r="K299" s="232">
        <f>'Input Exterior Light Measures'!O41</f>
        <v>0</v>
      </c>
      <c r="L299" s="213" t="str">
        <f t="shared" si="15"/>
        <v>Version 5.2</v>
      </c>
      <c r="M299" s="214">
        <f>'Input Exterior Light Measures'!E41</f>
        <v>0</v>
      </c>
      <c r="N299" s="240" t="str">
        <f>'Input Exterior Light Measures'!Q41</f>
        <v/>
      </c>
    </row>
    <row r="300" spans="1:14" x14ac:dyDescent="0.2">
      <c r="A300" s="210" t="s">
        <v>624</v>
      </c>
      <c r="B300" s="211">
        <f t="shared" si="14"/>
        <v>0</v>
      </c>
      <c r="C300" s="211">
        <v>38</v>
      </c>
      <c r="D300" s="211" t="str">
        <f>'Input Exterior Light Measures'!C42</f>
        <v/>
      </c>
      <c r="E300" s="211" t="s">
        <v>643</v>
      </c>
      <c r="F300" s="216" t="str">
        <f>IFERROR('Input Exterior Light Measures'!K42-'Input Exterior Light Measures'!L42,"")</f>
        <v/>
      </c>
      <c r="G300" s="223" t="str">
        <f>'Input Exterior Light Measures'!R42</f>
        <v/>
      </c>
      <c r="H300" s="212" t="str">
        <f>'Input Exterior Light Measures'!S42</f>
        <v/>
      </c>
      <c r="I300" s="231" t="str">
        <f>IFERROR(N300*MIN(Table_Measure_Caps[[#Totals],[Estimated Raw Incentive Total]], Table_Measure_Caps[[#Totals],[Gross Measure Cost Total]], Value_Project_CAP)/Table_Measure_Caps[[#Totals],[Estimated Raw Incentive Total]], "")</f>
        <v/>
      </c>
      <c r="J300" s="232">
        <f>'Input Exterior Light Measures'!N42</f>
        <v>0</v>
      </c>
      <c r="K300" s="232">
        <f>'Input Exterior Light Measures'!O42</f>
        <v>0</v>
      </c>
      <c r="L300" s="213" t="str">
        <f t="shared" si="15"/>
        <v>Version 5.2</v>
      </c>
      <c r="M300" s="214">
        <f>'Input Exterior Light Measures'!E42</f>
        <v>0</v>
      </c>
      <c r="N300" s="240" t="str">
        <f>'Input Exterior Light Measures'!Q42</f>
        <v/>
      </c>
    </row>
    <row r="301" spans="1:14" x14ac:dyDescent="0.2">
      <c r="A301" s="210" t="s">
        <v>624</v>
      </c>
      <c r="B301" s="211">
        <f t="shared" si="14"/>
        <v>0</v>
      </c>
      <c r="C301" s="211">
        <v>39</v>
      </c>
      <c r="D301" s="211" t="str">
        <f>'Input Exterior Light Measures'!C43</f>
        <v/>
      </c>
      <c r="E301" s="211" t="s">
        <v>643</v>
      </c>
      <c r="F301" s="216" t="str">
        <f>IFERROR('Input Exterior Light Measures'!K43-'Input Exterior Light Measures'!L43,"")</f>
        <v/>
      </c>
      <c r="G301" s="223" t="str">
        <f>'Input Exterior Light Measures'!R43</f>
        <v/>
      </c>
      <c r="H301" s="212" t="str">
        <f>'Input Exterior Light Measures'!S43</f>
        <v/>
      </c>
      <c r="I301" s="231" t="str">
        <f>IFERROR(N301*MIN(Table_Measure_Caps[[#Totals],[Estimated Raw Incentive Total]], Table_Measure_Caps[[#Totals],[Gross Measure Cost Total]], Value_Project_CAP)/Table_Measure_Caps[[#Totals],[Estimated Raw Incentive Total]], "")</f>
        <v/>
      </c>
      <c r="J301" s="232">
        <f>'Input Exterior Light Measures'!N43</f>
        <v>0</v>
      </c>
      <c r="K301" s="232">
        <f>'Input Exterior Light Measures'!O43</f>
        <v>0</v>
      </c>
      <c r="L301" s="213" t="str">
        <f t="shared" si="15"/>
        <v>Version 5.2</v>
      </c>
      <c r="M301" s="214">
        <f>'Input Exterior Light Measures'!E43</f>
        <v>0</v>
      </c>
      <c r="N301" s="240" t="str">
        <f>'Input Exterior Light Measures'!Q43</f>
        <v/>
      </c>
    </row>
    <row r="302" spans="1:14" x14ac:dyDescent="0.2">
      <c r="A302" s="210" t="s">
        <v>624</v>
      </c>
      <c r="B302" s="211">
        <f t="shared" si="14"/>
        <v>0</v>
      </c>
      <c r="C302" s="211">
        <v>40</v>
      </c>
      <c r="D302" s="211" t="str">
        <f>'Input Exterior Light Measures'!C44</f>
        <v/>
      </c>
      <c r="E302" s="211" t="s">
        <v>643</v>
      </c>
      <c r="F302" s="216" t="str">
        <f>IFERROR('Input Exterior Light Measures'!K44-'Input Exterior Light Measures'!L44,"")</f>
        <v/>
      </c>
      <c r="G302" s="223" t="str">
        <f>'Input Exterior Light Measures'!R44</f>
        <v/>
      </c>
      <c r="H302" s="212" t="str">
        <f>'Input Exterior Light Measures'!S44</f>
        <v/>
      </c>
      <c r="I302" s="231" t="str">
        <f>IFERROR(N302*MIN(Table_Measure_Caps[[#Totals],[Estimated Raw Incentive Total]], Table_Measure_Caps[[#Totals],[Gross Measure Cost Total]], Value_Project_CAP)/Table_Measure_Caps[[#Totals],[Estimated Raw Incentive Total]], "")</f>
        <v/>
      </c>
      <c r="J302" s="232">
        <f>'Input Exterior Light Measures'!N44</f>
        <v>0</v>
      </c>
      <c r="K302" s="232">
        <f>'Input Exterior Light Measures'!O44</f>
        <v>0</v>
      </c>
      <c r="L302" s="213" t="str">
        <f t="shared" si="15"/>
        <v>Version 5.2</v>
      </c>
      <c r="M302" s="214">
        <f>'Input Exterior Light Measures'!E44</f>
        <v>0</v>
      </c>
      <c r="N302" s="240" t="str">
        <f>'Input Exterior Light Measures'!Q44</f>
        <v/>
      </c>
    </row>
    <row r="303" spans="1:14" x14ac:dyDescent="0.2">
      <c r="A303" s="210" t="s">
        <v>624</v>
      </c>
      <c r="B303" s="211">
        <f t="shared" si="14"/>
        <v>0</v>
      </c>
      <c r="C303" s="211">
        <v>41</v>
      </c>
      <c r="D303" s="211" t="str">
        <f>'Input Exterior Light Measures'!C45</f>
        <v/>
      </c>
      <c r="E303" s="211" t="s">
        <v>643</v>
      </c>
      <c r="F303" s="216" t="str">
        <f>IFERROR('Input Exterior Light Measures'!K45-'Input Exterior Light Measures'!L45,"")</f>
        <v/>
      </c>
      <c r="G303" s="223" t="str">
        <f>'Input Exterior Light Measures'!R45</f>
        <v/>
      </c>
      <c r="H303" s="212" t="str">
        <f>'Input Exterior Light Measures'!S45</f>
        <v/>
      </c>
      <c r="I303" s="231" t="str">
        <f>IFERROR(N303*MIN(Table_Measure_Caps[[#Totals],[Estimated Raw Incentive Total]], Table_Measure_Caps[[#Totals],[Gross Measure Cost Total]], Value_Project_CAP)/Table_Measure_Caps[[#Totals],[Estimated Raw Incentive Total]], "")</f>
        <v/>
      </c>
      <c r="J303" s="232">
        <f>'Input Exterior Light Measures'!N45</f>
        <v>0</v>
      </c>
      <c r="K303" s="232">
        <f>'Input Exterior Light Measures'!O45</f>
        <v>0</v>
      </c>
      <c r="L303" s="213" t="str">
        <f t="shared" si="15"/>
        <v>Version 5.2</v>
      </c>
      <c r="M303" s="214">
        <f>'Input Exterior Light Measures'!E45</f>
        <v>0</v>
      </c>
      <c r="N303" s="240" t="str">
        <f>'Input Exterior Light Measures'!Q45</f>
        <v/>
      </c>
    </row>
    <row r="304" spans="1:14" x14ac:dyDescent="0.2">
      <c r="A304" s="210" t="s">
        <v>624</v>
      </c>
      <c r="B304" s="211">
        <f t="shared" si="14"/>
        <v>0</v>
      </c>
      <c r="C304" s="211">
        <v>42</v>
      </c>
      <c r="D304" s="211" t="str">
        <f>'Input Exterior Light Measures'!C46</f>
        <v/>
      </c>
      <c r="E304" s="211" t="s">
        <v>643</v>
      </c>
      <c r="F304" s="216" t="str">
        <f>IFERROR('Input Exterior Light Measures'!K46-'Input Exterior Light Measures'!L46,"")</f>
        <v/>
      </c>
      <c r="G304" s="223" t="str">
        <f>'Input Exterior Light Measures'!R46</f>
        <v/>
      </c>
      <c r="H304" s="212" t="str">
        <f>'Input Exterior Light Measures'!S46</f>
        <v/>
      </c>
      <c r="I304" s="231" t="str">
        <f>IFERROR(N304*MIN(Table_Measure_Caps[[#Totals],[Estimated Raw Incentive Total]], Table_Measure_Caps[[#Totals],[Gross Measure Cost Total]], Value_Project_CAP)/Table_Measure_Caps[[#Totals],[Estimated Raw Incentive Total]], "")</f>
        <v/>
      </c>
      <c r="J304" s="232">
        <f>'Input Exterior Light Measures'!N46</f>
        <v>0</v>
      </c>
      <c r="K304" s="232">
        <f>'Input Exterior Light Measures'!O46</f>
        <v>0</v>
      </c>
      <c r="L304" s="213" t="str">
        <f t="shared" si="15"/>
        <v>Version 5.2</v>
      </c>
      <c r="M304" s="214">
        <f>'Input Exterior Light Measures'!E46</f>
        <v>0</v>
      </c>
      <c r="N304" s="240" t="str">
        <f>'Input Exterior Light Measures'!Q46</f>
        <v/>
      </c>
    </row>
    <row r="305" spans="1:14" x14ac:dyDescent="0.2">
      <c r="A305" s="210" t="s">
        <v>624</v>
      </c>
      <c r="B305" s="211">
        <f t="shared" si="14"/>
        <v>0</v>
      </c>
      <c r="C305" s="211">
        <v>43</v>
      </c>
      <c r="D305" s="211" t="str">
        <f>'Input Exterior Light Measures'!C47</f>
        <v/>
      </c>
      <c r="E305" s="211" t="s">
        <v>643</v>
      </c>
      <c r="F305" s="216" t="str">
        <f>IFERROR('Input Exterior Light Measures'!K47-'Input Exterior Light Measures'!L47,"")</f>
        <v/>
      </c>
      <c r="G305" s="223" t="str">
        <f>'Input Exterior Light Measures'!R47</f>
        <v/>
      </c>
      <c r="H305" s="212" t="str">
        <f>'Input Exterior Light Measures'!S47</f>
        <v/>
      </c>
      <c r="I305" s="231" t="str">
        <f>IFERROR(N305*MIN(Table_Measure_Caps[[#Totals],[Estimated Raw Incentive Total]], Table_Measure_Caps[[#Totals],[Gross Measure Cost Total]], Value_Project_CAP)/Table_Measure_Caps[[#Totals],[Estimated Raw Incentive Total]], "")</f>
        <v/>
      </c>
      <c r="J305" s="232">
        <f>'Input Exterior Light Measures'!N47</f>
        <v>0</v>
      </c>
      <c r="K305" s="232">
        <f>'Input Exterior Light Measures'!O47</f>
        <v>0</v>
      </c>
      <c r="L305" s="213" t="str">
        <f t="shared" si="15"/>
        <v>Version 5.2</v>
      </c>
      <c r="M305" s="214">
        <f>'Input Exterior Light Measures'!E47</f>
        <v>0</v>
      </c>
      <c r="N305" s="240" t="str">
        <f>'Input Exterior Light Measures'!Q47</f>
        <v/>
      </c>
    </row>
    <row r="306" spans="1:14" x14ac:dyDescent="0.2">
      <c r="A306" s="210" t="s">
        <v>624</v>
      </c>
      <c r="B306" s="211">
        <f t="shared" si="14"/>
        <v>0</v>
      </c>
      <c r="C306" s="211">
        <v>44</v>
      </c>
      <c r="D306" s="211" t="str">
        <f>'Input Exterior Light Measures'!C48</f>
        <v/>
      </c>
      <c r="E306" s="211" t="s">
        <v>643</v>
      </c>
      <c r="F306" s="216" t="str">
        <f>IFERROR('Input Exterior Light Measures'!K48-'Input Exterior Light Measures'!L48,"")</f>
        <v/>
      </c>
      <c r="G306" s="223" t="str">
        <f>'Input Exterior Light Measures'!R48</f>
        <v/>
      </c>
      <c r="H306" s="212" t="str">
        <f>'Input Exterior Light Measures'!S48</f>
        <v/>
      </c>
      <c r="I306" s="231" t="str">
        <f>IFERROR(N306*MIN(Table_Measure_Caps[[#Totals],[Estimated Raw Incentive Total]], Table_Measure_Caps[[#Totals],[Gross Measure Cost Total]], Value_Project_CAP)/Table_Measure_Caps[[#Totals],[Estimated Raw Incentive Total]], "")</f>
        <v/>
      </c>
      <c r="J306" s="232">
        <f>'Input Exterior Light Measures'!N48</f>
        <v>0</v>
      </c>
      <c r="K306" s="232">
        <f>'Input Exterior Light Measures'!O48</f>
        <v>0</v>
      </c>
      <c r="L306" s="213" t="str">
        <f t="shared" si="15"/>
        <v>Version 5.2</v>
      </c>
      <c r="M306" s="214">
        <f>'Input Exterior Light Measures'!E48</f>
        <v>0</v>
      </c>
      <c r="N306" s="240" t="str">
        <f>'Input Exterior Light Measures'!Q48</f>
        <v/>
      </c>
    </row>
    <row r="307" spans="1:14" x14ac:dyDescent="0.2">
      <c r="A307" s="210" t="s">
        <v>624</v>
      </c>
      <c r="B307" s="211">
        <f t="shared" si="14"/>
        <v>0</v>
      </c>
      <c r="C307" s="211">
        <v>45</v>
      </c>
      <c r="D307" s="211" t="str">
        <f>'Input Exterior Light Measures'!C49</f>
        <v/>
      </c>
      <c r="E307" s="211" t="s">
        <v>643</v>
      </c>
      <c r="F307" s="216" t="str">
        <f>IFERROR('Input Exterior Light Measures'!K49-'Input Exterior Light Measures'!L49,"")</f>
        <v/>
      </c>
      <c r="G307" s="223" t="str">
        <f>'Input Exterior Light Measures'!R49</f>
        <v/>
      </c>
      <c r="H307" s="212" t="str">
        <f>'Input Exterior Light Measures'!S49</f>
        <v/>
      </c>
      <c r="I307" s="231" t="str">
        <f>IFERROR(N307*MIN(Table_Measure_Caps[[#Totals],[Estimated Raw Incentive Total]], Table_Measure_Caps[[#Totals],[Gross Measure Cost Total]], Value_Project_CAP)/Table_Measure_Caps[[#Totals],[Estimated Raw Incentive Total]], "")</f>
        <v/>
      </c>
      <c r="J307" s="232">
        <f>'Input Exterior Light Measures'!N49</f>
        <v>0</v>
      </c>
      <c r="K307" s="232">
        <f>'Input Exterior Light Measures'!O49</f>
        <v>0</v>
      </c>
      <c r="L307" s="213" t="str">
        <f t="shared" si="15"/>
        <v>Version 5.2</v>
      </c>
      <c r="M307" s="214">
        <f>'Input Exterior Light Measures'!E49</f>
        <v>0</v>
      </c>
      <c r="N307" s="240" t="str">
        <f>'Input Exterior Light Measures'!Q49</f>
        <v/>
      </c>
    </row>
    <row r="308" spans="1:14" x14ac:dyDescent="0.2">
      <c r="A308" s="210" t="s">
        <v>624</v>
      </c>
      <c r="B308" s="211">
        <f t="shared" si="14"/>
        <v>0</v>
      </c>
      <c r="C308" s="211">
        <v>46</v>
      </c>
      <c r="D308" s="211" t="str">
        <f>'Input Exterior Light Measures'!C50</f>
        <v/>
      </c>
      <c r="E308" s="211" t="s">
        <v>643</v>
      </c>
      <c r="F308" s="216" t="str">
        <f>IFERROR('Input Exterior Light Measures'!K50-'Input Exterior Light Measures'!L50,"")</f>
        <v/>
      </c>
      <c r="G308" s="223" t="str">
        <f>'Input Exterior Light Measures'!R50</f>
        <v/>
      </c>
      <c r="H308" s="212" t="str">
        <f>'Input Exterior Light Measures'!S50</f>
        <v/>
      </c>
      <c r="I308" s="231" t="str">
        <f>IFERROR(N308*MIN(Table_Measure_Caps[[#Totals],[Estimated Raw Incentive Total]], Table_Measure_Caps[[#Totals],[Gross Measure Cost Total]], Value_Project_CAP)/Table_Measure_Caps[[#Totals],[Estimated Raw Incentive Total]], "")</f>
        <v/>
      </c>
      <c r="J308" s="232">
        <f>'Input Exterior Light Measures'!N50</f>
        <v>0</v>
      </c>
      <c r="K308" s="232">
        <f>'Input Exterior Light Measures'!O50</f>
        <v>0</v>
      </c>
      <c r="L308" s="213" t="str">
        <f t="shared" si="15"/>
        <v>Version 5.2</v>
      </c>
      <c r="M308" s="214">
        <f>'Input Exterior Light Measures'!E50</f>
        <v>0</v>
      </c>
      <c r="N308" s="240" t="str">
        <f>'Input Exterior Light Measures'!Q50</f>
        <v/>
      </c>
    </row>
    <row r="309" spans="1:14" x14ac:dyDescent="0.2">
      <c r="A309" s="210" t="s">
        <v>624</v>
      </c>
      <c r="B309" s="211">
        <f t="shared" si="14"/>
        <v>0</v>
      </c>
      <c r="C309" s="211">
        <v>47</v>
      </c>
      <c r="D309" s="211" t="str">
        <f>'Input Exterior Light Measures'!C51</f>
        <v/>
      </c>
      <c r="E309" s="211" t="s">
        <v>643</v>
      </c>
      <c r="F309" s="216" t="str">
        <f>IFERROR('Input Exterior Light Measures'!K51-'Input Exterior Light Measures'!L51,"")</f>
        <v/>
      </c>
      <c r="G309" s="223" t="str">
        <f>'Input Exterior Light Measures'!R51</f>
        <v/>
      </c>
      <c r="H309" s="212" t="str">
        <f>'Input Exterior Light Measures'!S51</f>
        <v/>
      </c>
      <c r="I309" s="231" t="str">
        <f>IFERROR(N309*MIN(Table_Measure_Caps[[#Totals],[Estimated Raw Incentive Total]], Table_Measure_Caps[[#Totals],[Gross Measure Cost Total]], Value_Project_CAP)/Table_Measure_Caps[[#Totals],[Estimated Raw Incentive Total]], "")</f>
        <v/>
      </c>
      <c r="J309" s="232">
        <f>'Input Exterior Light Measures'!N51</f>
        <v>0</v>
      </c>
      <c r="K309" s="232">
        <f>'Input Exterior Light Measures'!O51</f>
        <v>0</v>
      </c>
      <c r="L309" s="213" t="str">
        <f t="shared" si="15"/>
        <v>Version 5.2</v>
      </c>
      <c r="M309" s="214">
        <f>'Input Exterior Light Measures'!E51</f>
        <v>0</v>
      </c>
      <c r="N309" s="240" t="str">
        <f>'Input Exterior Light Measures'!Q51</f>
        <v/>
      </c>
    </row>
    <row r="310" spans="1:14" x14ac:dyDescent="0.2">
      <c r="A310" s="210" t="s">
        <v>624</v>
      </c>
      <c r="B310" s="211">
        <f t="shared" si="14"/>
        <v>0</v>
      </c>
      <c r="C310" s="211">
        <v>48</v>
      </c>
      <c r="D310" s="211" t="str">
        <f>'Input Exterior Light Measures'!C52</f>
        <v/>
      </c>
      <c r="E310" s="211" t="s">
        <v>643</v>
      </c>
      <c r="F310" s="216" t="str">
        <f>IFERROR('Input Exterior Light Measures'!K52-'Input Exterior Light Measures'!L52,"")</f>
        <v/>
      </c>
      <c r="G310" s="223" t="str">
        <f>'Input Exterior Light Measures'!R52</f>
        <v/>
      </c>
      <c r="H310" s="212" t="str">
        <f>'Input Exterior Light Measures'!S52</f>
        <v/>
      </c>
      <c r="I310" s="231" t="str">
        <f>IFERROR(N310*MIN(Table_Measure_Caps[[#Totals],[Estimated Raw Incentive Total]], Table_Measure_Caps[[#Totals],[Gross Measure Cost Total]], Value_Project_CAP)/Table_Measure_Caps[[#Totals],[Estimated Raw Incentive Total]], "")</f>
        <v/>
      </c>
      <c r="J310" s="232">
        <f>'Input Exterior Light Measures'!N52</f>
        <v>0</v>
      </c>
      <c r="K310" s="232">
        <f>'Input Exterior Light Measures'!O52</f>
        <v>0</v>
      </c>
      <c r="L310" s="213" t="str">
        <f t="shared" si="15"/>
        <v>Version 5.2</v>
      </c>
      <c r="M310" s="214">
        <f>'Input Exterior Light Measures'!E52</f>
        <v>0</v>
      </c>
      <c r="N310" s="240" t="str">
        <f>'Input Exterior Light Measures'!Q52</f>
        <v/>
      </c>
    </row>
    <row r="311" spans="1:14" x14ac:dyDescent="0.2">
      <c r="A311" s="210" t="s">
        <v>624</v>
      </c>
      <c r="B311" s="211">
        <f t="shared" si="14"/>
        <v>0</v>
      </c>
      <c r="C311" s="211">
        <v>49</v>
      </c>
      <c r="D311" s="211" t="str">
        <f>'Input Exterior Light Measures'!C53</f>
        <v/>
      </c>
      <c r="E311" s="211" t="s">
        <v>643</v>
      </c>
      <c r="F311" s="216" t="str">
        <f>IFERROR('Input Exterior Light Measures'!K53-'Input Exterior Light Measures'!L53,"")</f>
        <v/>
      </c>
      <c r="G311" s="223" t="str">
        <f>'Input Exterior Light Measures'!R53</f>
        <v/>
      </c>
      <c r="H311" s="212" t="str">
        <f>'Input Exterior Light Measures'!S53</f>
        <v/>
      </c>
      <c r="I311" s="231" t="str">
        <f>IFERROR(N311*MIN(Table_Measure_Caps[[#Totals],[Estimated Raw Incentive Total]], Table_Measure_Caps[[#Totals],[Gross Measure Cost Total]], Value_Project_CAP)/Table_Measure_Caps[[#Totals],[Estimated Raw Incentive Total]], "")</f>
        <v/>
      </c>
      <c r="J311" s="232">
        <f>'Input Exterior Light Measures'!N53</f>
        <v>0</v>
      </c>
      <c r="K311" s="232">
        <f>'Input Exterior Light Measures'!O53</f>
        <v>0</v>
      </c>
      <c r="L311" s="213" t="str">
        <f t="shared" si="15"/>
        <v>Version 5.2</v>
      </c>
      <c r="M311" s="214">
        <f>'Input Exterior Light Measures'!E53</f>
        <v>0</v>
      </c>
      <c r="N311" s="240" t="str">
        <f>'Input Exterior Light Measures'!Q53</f>
        <v/>
      </c>
    </row>
    <row r="312" spans="1:14" x14ac:dyDescent="0.2">
      <c r="A312" s="210" t="s">
        <v>624</v>
      </c>
      <c r="B312" s="215">
        <f t="shared" si="14"/>
        <v>0</v>
      </c>
      <c r="C312" s="215">
        <v>50</v>
      </c>
      <c r="D312" s="211" t="str">
        <f>'Input Exterior Light Measures'!C54</f>
        <v/>
      </c>
      <c r="E312" s="211" t="s">
        <v>643</v>
      </c>
      <c r="F312" s="216" t="str">
        <f>IFERROR('Input Exterior Light Measures'!K54-'Input Exterior Light Measures'!L54,"")</f>
        <v/>
      </c>
      <c r="G312" s="223" t="str">
        <f>'Input Exterior Light Measures'!R54</f>
        <v/>
      </c>
      <c r="H312" s="212" t="str">
        <f>'Input Exterior Light Measures'!S54</f>
        <v/>
      </c>
      <c r="I312" s="231" t="str">
        <f>IFERROR(N312*MIN(Table_Measure_Caps[[#Totals],[Estimated Raw Incentive Total]], Table_Measure_Caps[[#Totals],[Gross Measure Cost Total]], Value_Project_CAP)/Table_Measure_Caps[[#Totals],[Estimated Raw Incentive Total]], "")</f>
        <v/>
      </c>
      <c r="J312" s="232">
        <f>'Input Exterior Light Measures'!N54</f>
        <v>0</v>
      </c>
      <c r="K312" s="232">
        <f>'Input Exterior Light Measures'!O54</f>
        <v>0</v>
      </c>
      <c r="L312" s="213" t="str">
        <f t="shared" si="15"/>
        <v>Version 5.2</v>
      </c>
      <c r="M312" s="214">
        <f>'Input Exterior Light Measures'!E54</f>
        <v>0</v>
      </c>
      <c r="N312" s="240" t="str">
        <f>'Input Exterior Light Measures'!Q54</f>
        <v/>
      </c>
    </row>
    <row r="313" spans="1:14" x14ac:dyDescent="0.2">
      <c r="A313" s="204" t="s">
        <v>637</v>
      </c>
      <c r="B313" s="205">
        <f t="shared" si="14"/>
        <v>0</v>
      </c>
      <c r="C313" s="205">
        <v>1</v>
      </c>
      <c r="D313" s="205" t="str" cm="1">
        <f t="array" ref="D313">Table_Controls_Input22252[Measure number]</f>
        <v/>
      </c>
      <c r="E313" s="205"/>
      <c r="F313" s="205" t="str">
        <f>IF(Table18[[#This Row],[Incentive]]&lt;&gt;"",1,"")</f>
        <v/>
      </c>
      <c r="G313" s="224"/>
      <c r="H313" s="206"/>
      <c r="I313" s="209" t="str" cm="1">
        <f t="array" ref="I313">Table_Controls_Input22252[Estimated bonus incentive]</f>
        <v/>
      </c>
      <c r="J313" s="209"/>
      <c r="K313" s="209" cm="1">
        <f t="array" ref="K313">Table_Controls_Input22252[Labor costs for developing the energy model ($)]</f>
        <v>0</v>
      </c>
      <c r="L313" s="207" t="str">
        <f t="shared" si="15"/>
        <v>Version 5.2</v>
      </c>
      <c r="M313" s="208" cm="1">
        <f t="array" ref="M313">Table_Controls_Input22252[Summary of proposed conditions/alternative scenario in the building energy model]</f>
        <v>0</v>
      </c>
    </row>
    <row r="314" spans="1:14" x14ac:dyDescent="0.2">
      <c r="G314" s="241"/>
      <c r="H314" s="241"/>
      <c r="I314" s="241"/>
      <c r="J314" s="241"/>
      <c r="K314" s="241"/>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B4A9-5E9A-452F-86B3-C3D4BCAB39EE}">
  <sheetPr>
    <tabColor rgb="FFED1653"/>
  </sheetPr>
  <dimension ref="A1:E26"/>
  <sheetViews>
    <sheetView showGridLines="0" workbookViewId="0">
      <selection activeCell="B5" sqref="B5:E5"/>
    </sheetView>
  </sheetViews>
  <sheetFormatPr defaultColWidth="9.140625" defaultRowHeight="15" x14ac:dyDescent="0.25"/>
  <cols>
    <col min="1" max="1" width="6" style="165" bestFit="1" customWidth="1"/>
    <col min="2" max="2" width="22.42578125" style="165" bestFit="1" customWidth="1"/>
    <col min="3" max="3" width="72.85546875" style="165" bestFit="1" customWidth="1"/>
    <col min="4" max="4" width="10.7109375" style="165" bestFit="1" customWidth="1"/>
    <col min="5" max="5" width="13.28515625" style="165" bestFit="1" customWidth="1"/>
    <col min="6" max="16384" width="9.140625" style="165"/>
  </cols>
  <sheetData>
    <row r="1" spans="1:5" x14ac:dyDescent="0.25">
      <c r="A1" s="164" t="s">
        <v>387</v>
      </c>
      <c r="B1" s="164" t="s">
        <v>388</v>
      </c>
      <c r="C1" s="164" t="s">
        <v>389</v>
      </c>
      <c r="D1" s="164" t="s">
        <v>72</v>
      </c>
      <c r="E1" s="164" t="s">
        <v>390</v>
      </c>
    </row>
    <row r="2" spans="1:5" ht="45" x14ac:dyDescent="0.25">
      <c r="A2" s="166">
        <v>1</v>
      </c>
      <c r="B2" s="167" t="s">
        <v>392</v>
      </c>
      <c r="C2" s="169" t="s">
        <v>393</v>
      </c>
      <c r="D2" s="168">
        <v>45300</v>
      </c>
      <c r="E2" s="166" t="s">
        <v>391</v>
      </c>
    </row>
    <row r="3" spans="1:5" x14ac:dyDescent="0.25">
      <c r="A3" s="166">
        <v>2</v>
      </c>
      <c r="B3" s="170" t="s">
        <v>394</v>
      </c>
      <c r="C3" s="171" t="s">
        <v>395</v>
      </c>
      <c r="D3" s="172">
        <v>45316</v>
      </c>
      <c r="E3" s="173" t="s">
        <v>391</v>
      </c>
    </row>
    <row r="4" spans="1:5" ht="30" x14ac:dyDescent="0.25">
      <c r="A4" s="166">
        <v>3</v>
      </c>
      <c r="B4" s="174" t="s">
        <v>396</v>
      </c>
      <c r="C4" s="203" t="s">
        <v>636</v>
      </c>
      <c r="D4" s="168">
        <v>45455</v>
      </c>
      <c r="E4" s="175" t="s">
        <v>391</v>
      </c>
    </row>
    <row r="5" spans="1:5" x14ac:dyDescent="0.25">
      <c r="A5" s="166">
        <v>4</v>
      </c>
      <c r="B5" s="242" t="s">
        <v>645</v>
      </c>
      <c r="C5" s="243" t="s">
        <v>646</v>
      </c>
      <c r="D5" s="168">
        <v>45510</v>
      </c>
      <c r="E5" s="244" t="s">
        <v>391</v>
      </c>
    </row>
    <row r="6" spans="1:5" x14ac:dyDescent="0.25">
      <c r="A6" s="166">
        <v>5</v>
      </c>
      <c r="B6" s="167"/>
      <c r="C6" s="169"/>
      <c r="D6" s="168"/>
      <c r="E6" s="166"/>
    </row>
    <row r="7" spans="1:5" x14ac:dyDescent="0.25">
      <c r="A7" s="166">
        <v>6</v>
      </c>
      <c r="B7" s="167"/>
      <c r="C7" s="169"/>
      <c r="D7" s="168"/>
      <c r="E7" s="166"/>
    </row>
    <row r="8" spans="1:5" x14ac:dyDescent="0.25">
      <c r="A8" s="166">
        <v>7</v>
      </c>
      <c r="B8" s="167"/>
      <c r="C8" s="169"/>
      <c r="D8" s="168"/>
      <c r="E8" s="166"/>
    </row>
    <row r="9" spans="1:5" x14ac:dyDescent="0.25">
      <c r="A9" s="166">
        <v>8</v>
      </c>
      <c r="B9" s="167"/>
      <c r="C9" s="169"/>
      <c r="D9" s="166"/>
      <c r="E9" s="166"/>
    </row>
    <row r="10" spans="1:5" x14ac:dyDescent="0.25">
      <c r="A10" s="166">
        <v>9</v>
      </c>
      <c r="B10" s="167"/>
      <c r="C10" s="169"/>
      <c r="D10" s="166"/>
      <c r="E10" s="166"/>
    </row>
    <row r="11" spans="1:5" x14ac:dyDescent="0.25">
      <c r="A11" s="166">
        <v>10</v>
      </c>
      <c r="B11" s="167"/>
      <c r="C11" s="169"/>
      <c r="D11" s="166"/>
      <c r="E11" s="166"/>
    </row>
    <row r="12" spans="1:5" x14ac:dyDescent="0.25">
      <c r="A12" s="166">
        <v>11</v>
      </c>
      <c r="B12" s="167"/>
      <c r="C12" s="169"/>
      <c r="D12" s="166"/>
      <c r="E12" s="166"/>
    </row>
    <row r="13" spans="1:5" x14ac:dyDescent="0.25">
      <c r="A13" s="166">
        <v>12</v>
      </c>
      <c r="B13" s="167"/>
      <c r="C13" s="169"/>
      <c r="D13" s="166"/>
      <c r="E13" s="166"/>
    </row>
    <row r="14" spans="1:5" x14ac:dyDescent="0.25">
      <c r="A14" s="166">
        <v>13</v>
      </c>
      <c r="B14" s="167"/>
      <c r="C14" s="169"/>
      <c r="D14" s="166"/>
      <c r="E14" s="166"/>
    </row>
    <row r="15" spans="1:5" x14ac:dyDescent="0.25">
      <c r="A15" s="166">
        <v>14</v>
      </c>
      <c r="B15" s="167"/>
      <c r="C15" s="169"/>
      <c r="D15" s="166"/>
      <c r="E15" s="166"/>
    </row>
    <row r="16" spans="1:5" x14ac:dyDescent="0.25">
      <c r="A16" s="166">
        <v>15</v>
      </c>
      <c r="B16" s="167"/>
      <c r="C16" s="169"/>
      <c r="D16" s="166"/>
      <c r="E16" s="166"/>
    </row>
    <row r="17" spans="1:5" x14ac:dyDescent="0.25">
      <c r="A17" s="166">
        <v>16</v>
      </c>
      <c r="B17" s="167"/>
      <c r="C17" s="169"/>
      <c r="D17" s="166"/>
      <c r="E17" s="166"/>
    </row>
    <row r="18" spans="1:5" x14ac:dyDescent="0.25">
      <c r="A18" s="166">
        <v>17</v>
      </c>
      <c r="B18" s="167"/>
      <c r="C18" s="169"/>
      <c r="D18" s="166"/>
      <c r="E18" s="166"/>
    </row>
    <row r="19" spans="1:5" x14ac:dyDescent="0.25">
      <c r="A19" s="166">
        <v>18</v>
      </c>
      <c r="B19" s="167"/>
      <c r="C19" s="169"/>
      <c r="D19" s="166"/>
      <c r="E19" s="166"/>
    </row>
    <row r="20" spans="1:5" x14ac:dyDescent="0.25">
      <c r="A20" s="166">
        <v>19</v>
      </c>
      <c r="B20" s="167"/>
      <c r="C20" s="169"/>
      <c r="D20" s="166"/>
      <c r="E20" s="166"/>
    </row>
    <row r="21" spans="1:5" x14ac:dyDescent="0.25">
      <c r="A21" s="166">
        <v>20</v>
      </c>
      <c r="B21" s="167"/>
      <c r="C21" s="169"/>
      <c r="D21" s="166"/>
      <c r="E21" s="166"/>
    </row>
    <row r="22" spans="1:5" x14ac:dyDescent="0.25">
      <c r="A22" s="166">
        <v>21</v>
      </c>
      <c r="B22" s="167"/>
      <c r="C22" s="169"/>
      <c r="D22" s="166"/>
      <c r="E22" s="166"/>
    </row>
    <row r="23" spans="1:5" x14ac:dyDescent="0.25">
      <c r="A23" s="166">
        <v>22</v>
      </c>
      <c r="B23" s="167"/>
      <c r="C23" s="169"/>
      <c r="D23" s="166"/>
      <c r="E23" s="166"/>
    </row>
    <row r="24" spans="1:5" x14ac:dyDescent="0.25">
      <c r="A24" s="166">
        <v>23</v>
      </c>
      <c r="B24" s="167"/>
      <c r="C24" s="169"/>
      <c r="D24" s="166"/>
      <c r="E24" s="166"/>
    </row>
    <row r="25" spans="1:5" x14ac:dyDescent="0.25">
      <c r="A25" s="166">
        <v>24</v>
      </c>
      <c r="B25" s="167"/>
      <c r="C25" s="169"/>
      <c r="D25" s="166"/>
      <c r="E25" s="166"/>
    </row>
    <row r="26" spans="1:5" x14ac:dyDescent="0.25">
      <c r="A26" s="166">
        <v>25</v>
      </c>
      <c r="B26" s="167"/>
      <c r="C26" s="169"/>
      <c r="D26" s="166"/>
      <c r="E26" s="1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af5a3b8-19fe-4aaf-8551-0b725c993cda" ContentTypeId="0x0101" PreviousValue="false"/>
</file>

<file path=customXml/itemProps1.xml><?xml version="1.0" encoding="utf-8"?>
<ds:datastoreItem xmlns:ds="http://schemas.openxmlformats.org/officeDocument/2006/customXml" ds:itemID="{447E67B6-D1D8-4C37-92D0-249E8654C34E}"/>
</file>

<file path=customXml/itemProps2.xml><?xml version="1.0" encoding="utf-8"?>
<ds:datastoreItem xmlns:ds="http://schemas.openxmlformats.org/officeDocument/2006/customXml" ds:itemID="{6CB6706F-DDF4-41B7-B137-65BA3C1C0B78}">
  <ds:schemaRefs>
    <ds:schemaRef ds:uri="http://schemas.microsoft.com/office/infopath/2007/PartnerControls"/>
    <ds:schemaRef ds:uri="http://purl.org/dc/dcmitype/"/>
    <ds:schemaRef ds:uri="31dec9db-5195-47be-9e82-d05353a30672"/>
    <ds:schemaRef ds:uri="http://purl.org/dc/elements/1.1/"/>
    <ds:schemaRef ds:uri="http://schemas.microsoft.com/office/2006/metadata/properties"/>
    <ds:schemaRef ds:uri="http://schemas.openxmlformats.org/package/2006/metadata/core-properties"/>
    <ds:schemaRef ds:uri="http://schemas.microsoft.com/sharepoint/v3"/>
    <ds:schemaRef ds:uri="6b2b484f-4c19-4c24-b89d-0399ef7e60bb"/>
    <ds:schemaRef ds:uri="http://schemas.microsoft.com/office/2006/documentManagement/types"/>
    <ds:schemaRef ds:uri="405923a6-f60e-469d-8560-ac7b1a3d2c54"/>
    <ds:schemaRef ds:uri="http://www.w3.org/XML/1998/namespace"/>
    <ds:schemaRef ds:uri="http://purl.org/dc/terms/"/>
  </ds:schemaRefs>
</ds:datastoreItem>
</file>

<file path=customXml/itemProps3.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4.xml><?xml version="1.0" encoding="utf-8"?>
<ds:datastoreItem xmlns:ds="http://schemas.openxmlformats.org/officeDocument/2006/customXml" ds:itemID="{32E50F1C-15DA-45E9-ACE8-A9BF452DD6F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101</vt:i4>
      </vt:variant>
    </vt:vector>
  </HeadingPairs>
  <TitlesOfParts>
    <vt:vector size="121" baseType="lpstr">
      <vt:lpstr>Review the Intro Tab</vt:lpstr>
      <vt:lpstr>Fill in the Application</vt:lpstr>
      <vt:lpstr>Place Your Signature</vt:lpstr>
      <vt:lpstr>Input Interior Light Measures</vt:lpstr>
      <vt:lpstr>Input Exterior Light Measures</vt:lpstr>
      <vt:lpstr>Input HVAC Measures</vt:lpstr>
      <vt:lpstr>Input Refrigeration Measures</vt:lpstr>
      <vt:lpstr>Input Com Kitchen Measures</vt:lpstr>
      <vt:lpstr>Input Low-Flow Water Measures</vt:lpstr>
      <vt:lpstr>Input Custom Measures</vt:lpstr>
      <vt:lpstr>Input Whole Bldg Perform. Info</vt:lpstr>
      <vt:lpstr>Review the Summary</vt:lpstr>
      <vt:lpstr>Completion</vt:lpstr>
      <vt:lpstr>References</vt:lpstr>
      <vt:lpstr>HVAC Calcs</vt:lpstr>
      <vt:lpstr>Caps</vt:lpstr>
      <vt:lpstr>QC</vt:lpstr>
      <vt:lpstr>Proj Data</vt:lpstr>
      <vt:lpstr>APTracks Export Data</vt:lpstr>
      <vt:lpstr>Change Log</vt:lpstr>
      <vt:lpstr>ActiveStorage</vt:lpstr>
      <vt:lpstr>Atrium</vt:lpstr>
      <vt:lpstr>AudiencesSeatingArea</vt:lpstr>
      <vt:lpstr>AutomatedTellerMachinesandNightDepositories</vt:lpstr>
      <vt:lpstr>Automotive</vt:lpstr>
      <vt:lpstr>BankOffice</vt:lpstr>
      <vt:lpstr>BuildingEntrancesandExits</vt:lpstr>
      <vt:lpstr>BuildingFacades</vt:lpstr>
      <vt:lpstr>BuildingGrounds</vt:lpstr>
      <vt:lpstr>CanopiesandOverhangs</vt:lpstr>
      <vt:lpstr>ClassroomLectureTraining</vt:lpstr>
      <vt:lpstr>ConventionCenter</vt:lpstr>
      <vt:lpstr>CorridorTransition</vt:lpstr>
      <vt:lpstr>CourthousePoliceStationPenitentiary</vt:lpstr>
      <vt:lpstr>DiningArea</vt:lpstr>
      <vt:lpstr>Dormitory</vt:lpstr>
      <vt:lpstr>DressingLockerFittingRoom</vt:lpstr>
      <vt:lpstr>DriveupWindowsatFastFoodRestaurants</vt:lpstr>
      <vt:lpstr>ElectricalMechanical</vt:lpstr>
      <vt:lpstr>EntrancesandGatehousInspectionStationsatGuardedFacilities</vt:lpstr>
      <vt:lpstr>FireStations</vt:lpstr>
      <vt:lpstr>FoodPreparation</vt:lpstr>
      <vt:lpstr>Gross_Proj_Cost</vt:lpstr>
      <vt:lpstr>GymnasiumExerciseCenter</vt:lpstr>
      <vt:lpstr>Hospital</vt:lpstr>
      <vt:lpstr>HotelMotel</vt:lpstr>
      <vt:lpstr>InactiveStorage</vt:lpstr>
      <vt:lpstr>Input_AvgkWhRate</vt:lpstr>
      <vt:lpstr>Input_BldgType</vt:lpstr>
      <vt:lpstr>Input_Bonus</vt:lpstr>
      <vt:lpstr>Input_BonusMeasureNumber</vt:lpstr>
      <vt:lpstr>Input_HVACType</vt:lpstr>
      <vt:lpstr>Input_ProgramType</vt:lpstr>
      <vt:lpstr>Input_ProjectNumber</vt:lpstr>
      <vt:lpstr>Input_Usage</vt:lpstr>
      <vt:lpstr>Laboratory</vt:lpstr>
      <vt:lpstr>Library</vt:lpstr>
      <vt:lpstr>List_Biz_Class</vt:lpstr>
      <vt:lpstr>List_Bldg_Types</vt:lpstr>
      <vt:lpstr>List_BuildingAreaMethod</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List_ExtLtgType</vt:lpstr>
      <vt:lpstr>List_HVAC</vt:lpstr>
      <vt:lpstr>List_HVAC_Measure</vt:lpstr>
      <vt:lpstr>List_Install_Type</vt:lpstr>
      <vt:lpstr>List_IntLPDMethods</vt:lpstr>
      <vt:lpstr>List_Misc_Measure</vt:lpstr>
      <vt:lpstr>List_Ownership</vt:lpstr>
      <vt:lpstr>'Input Exterior Light Measures'!List_Program_Names</vt:lpstr>
      <vt:lpstr>'Input Interior Light Measures'!List_Program_Names</vt:lpstr>
      <vt:lpstr>'Input Whole Bldg Perform. Info'!List_Program_Names</vt:lpstr>
      <vt:lpstr>List_Program_Names</vt:lpstr>
      <vt:lpstr>List_Project_Stage</vt:lpstr>
      <vt:lpstr>List_Refrig_Measure</vt:lpstr>
      <vt:lpstr>List_Source</vt:lpstr>
      <vt:lpstr>List_SpacebySpaceMethod</vt:lpstr>
      <vt:lpstr>List_Tax_Entity</vt:lpstr>
      <vt:lpstr>List_Water_Heating</vt:lpstr>
      <vt:lpstr>List_WinFilm_Direction</vt:lpstr>
      <vt:lpstr>List_WinFilm_Measure</vt:lpstr>
      <vt:lpstr>List_Y_N</vt:lpstr>
      <vt:lpstr>List_Y_N_U</vt:lpstr>
      <vt:lpstr>LoadingAreasforEmergencyServiceVehicles</vt:lpstr>
      <vt:lpstr>Lobby</vt:lpstr>
      <vt:lpstr>LoungeRecreation</vt:lpstr>
      <vt:lpstr>Manufacturing</vt:lpstr>
      <vt:lpstr>Museum</vt:lpstr>
      <vt:lpstr>Net_Project_Cost</vt:lpstr>
      <vt:lpstr>Office</vt:lpstr>
      <vt:lpstr>OutdoorSales</vt:lpstr>
      <vt:lpstr>ParkingGarage</vt:lpstr>
      <vt:lpstr>ParkingNear24hourRetailEntrances</vt:lpstr>
      <vt:lpstr>PostOffice</vt:lpstr>
      <vt:lpstr>Project_Energy_Savings</vt:lpstr>
      <vt:lpstr>ReligiousBuilding</vt:lpstr>
      <vt:lpstr>Restrooms</vt:lpstr>
      <vt:lpstr>Retail</vt:lpstr>
      <vt:lpstr>SalesAreaAccentLighting</vt:lpstr>
      <vt:lpstr>SportsArena</vt:lpstr>
      <vt:lpstr>Stairs</vt:lpstr>
      <vt:lpstr>Subtotal_CustomIncentive</vt:lpstr>
      <vt:lpstr>Total_Incentive</vt:lpstr>
      <vt:lpstr>Transportation</vt:lpstr>
      <vt:lpstr>UncoveredParkingAreas</vt:lpstr>
      <vt:lpstr>Value_Application_Version</vt:lpstr>
      <vt:lpstr>Value_Bonus_Rate</vt:lpstr>
      <vt:lpstr>Value_Cus_IncentRate</vt:lpstr>
      <vt:lpstr>Value_ExtLtgAOH</vt:lpstr>
      <vt:lpstr>Value_ExtLtgCF</vt:lpstr>
      <vt:lpstr>Value_FastTrack_Limit</vt:lpstr>
      <vt:lpstr>Value_Measure_CAP</vt:lpstr>
      <vt:lpstr>Value_Project_CAP</vt:lpstr>
      <vt:lpstr>Warehouse</vt:lpstr>
      <vt:lpstr>Workshop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2024-09-23T17:46:21Z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