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namedSheetViews/namedSheetView1.xml" ContentType="application/vnd.ms-excel.namedsheetviews+xml"/>
  <Override PartName="/xl/drawings/drawing5.xml" ContentType="application/vnd.openxmlformats-officedocument.drawing+xml"/>
  <Override PartName="/xl/tables/table2.xml" ContentType="application/vnd.openxmlformats-officedocument.spreadsheetml.table+xml"/>
  <Override PartName="/xl/comments3.xml" ContentType="application/vnd.openxmlformats-officedocument.spreadsheetml.comments+xml"/>
  <Override PartName="/xl/namedSheetViews/namedSheetView2.xml" ContentType="application/vnd.ms-excel.namedsheetviews+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omments5.xml" ContentType="application/vnd.openxmlformats-officedocument.spreadsheetml.comments+xml"/>
  <Override PartName="/xl/threadedComments/threadedComment1.xml" ContentType="application/vnd.ms-excel.threaded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aptimcorp-my.sharepoint.com/personal/spencer_kurtz_aptim_com/Documents/Desktop/ENO Program Files/Program Calculator Templates/2024/Re-Branded for 2024/"/>
    </mc:Choice>
  </mc:AlternateContent>
  <xr:revisionPtr revIDLastSave="19" documentId="8_{A8069A94-70FF-4705-963F-74F712E36A34}" xr6:coauthVersionLast="47" xr6:coauthVersionMax="47" xr10:uidLastSave="{2F680CCA-DBBF-478F-9D67-A070D9E3B149}"/>
  <workbookProtection workbookAlgorithmName="SHA-512" workbookHashValue="uYZwj0QmB2WBILYnu6lwK4e13LPgEQn85MN9eK81VphWatqB5RiTJCh5qA90r8Ektw0WEBOoUSfRnzJ7wS8mBg==" workbookSaltValue="00gvm7FZgiCQsoXq5upFCg==" workbookSpinCount="100000" lockStructure="1"/>
  <bookViews>
    <workbookView xWindow="28680" yWindow="-120" windowWidth="29040" windowHeight="15840" xr2:uid="{82F6A19B-5495-4F11-A89F-59BCA2D50EC3}"/>
  </bookViews>
  <sheets>
    <sheet name="Review the Intro Tab" sheetId="61" r:id="rId1"/>
    <sheet name="Fill in the Application" sheetId="37" r:id="rId2"/>
    <sheet name="Place Your Signature" sheetId="44" r:id="rId3"/>
    <sheet name="Input A-C &amp; Heat Pump Measures" sheetId="1" r:id="rId4"/>
    <sheet name="Input Chiller Measures" sheetId="60" r:id="rId5"/>
    <sheet name="Input Chiller Data Measurements" sheetId="62" r:id="rId6"/>
    <sheet name="Review the Summary" sheetId="26" r:id="rId7"/>
    <sheet name="Completion" sheetId="52" state="hidden" r:id="rId8"/>
    <sheet name="References" sheetId="22" state="hidden" r:id="rId9"/>
    <sheet name="HVAC Calcs - OLD" sheetId="58" state="hidden" r:id="rId10"/>
    <sheet name="Caps" sheetId="51" state="hidden" r:id="rId11"/>
    <sheet name="QC" sheetId="33" state="hidden" r:id="rId12"/>
    <sheet name="Proj Data" sheetId="53" state="hidden" r:id="rId13"/>
    <sheet name="APTracks Export Data" sheetId="28" state="hidden" r:id="rId14"/>
  </sheets>
  <externalReferences>
    <externalReference r:id="rId15"/>
    <externalReference r:id="rId16"/>
    <externalReference r:id="rId17"/>
  </externalReferences>
  <definedNames>
    <definedName name="_xlnm._FilterDatabase" localSheetId="13" hidden="1">'APTracks Export Data'!$A$1:$L$212</definedName>
    <definedName name="Gross_Proj_Cost" localSheetId="0">[1]Summary!$C$11</definedName>
    <definedName name="Gross_Proj_Cost">'Review the Summary'!$C$8</definedName>
    <definedName name="HighTemp">[2]Lookups!$V$3:$V$4</definedName>
    <definedName name="Input_AvgkWhRate" localSheetId="0">[1]Application!$F$27</definedName>
    <definedName name="Input_AvgkWhRate">'Fill in the Application'!$F$28</definedName>
    <definedName name="Input_BldgType">'Fill in the Application'!$F$29</definedName>
    <definedName name="Input_Bonus">QC!$F$18</definedName>
    <definedName name="Input_BonusMeasureNumber">QC!$G$18</definedName>
    <definedName name="Input_HVACType">'Fill in the Application'!$F$30</definedName>
    <definedName name="Input_ProgramType" localSheetId="0">[1]Application!$F$10</definedName>
    <definedName name="Input_ProgramType">'Fill in the Application'!$F$11</definedName>
    <definedName name="Input_ProjectNumber" localSheetId="0">[1]QC!$B$1</definedName>
    <definedName name="Input_ProjectNumber">QC!$B$1</definedName>
    <definedName name="Input_Usage" localSheetId="0">[1]QC!$B$2</definedName>
    <definedName name="Input_Usage">QC!$B$2</definedName>
    <definedName name="List_ACUnitMeasures">[2]Lookups!$J$48:$J$52</definedName>
    <definedName name="List_Biz_Class" localSheetId="0">[1]References!$Z$4:$Z$10</definedName>
    <definedName name="List_Biz_Class">References!$AA$4:$AA$10</definedName>
    <definedName name="List_Bldg_Types" localSheetId="0">[1]References!$AH$4:$AH$36</definedName>
    <definedName name="List_Bldg_Types">References!$AI$4:$AI$36</definedName>
    <definedName name="List_BldgTypes">[2]Lookups!$J$14:$J$25</definedName>
    <definedName name="List_ComKitch_Measure" localSheetId="0">[1]References!$AP$4:$AP$10</definedName>
    <definedName name="List_ComKitch_Measure">References!$AQ$4:$AQ$10</definedName>
    <definedName name="List_Contacts" localSheetId="0">[1]References!$AK$4:$AK$7</definedName>
    <definedName name="List_Contacts">References!$AL$4:$AL$7</definedName>
    <definedName name="List_ConvectionOven">[2]Lookups!$V$7:$V$8</definedName>
    <definedName name="List_CurtainType">[2]Lookups!$T$31:$T$37</definedName>
    <definedName name="List_Custom_Class" localSheetId="0">[1]References!$AW$4:$AW$41</definedName>
    <definedName name="List_Custom_Class">References!$AX$4:$AX$41</definedName>
    <definedName name="List_Custom_HVAC" localSheetId="0">[1]References!$AX$4:$AX$6</definedName>
    <definedName name="List_Custom_HVAC">References!$AY$4:$AY$6</definedName>
    <definedName name="List_Custom_Type" localSheetId="0">[1]References!$AV$4:$AV$6</definedName>
    <definedName name="List_Custom_Type">References!$AW$4:$AW$6</definedName>
    <definedName name="List_CustomClass">[2]Lookups!$AA$7:$AA$16</definedName>
    <definedName name="List_CustomTypes">[2]Lookups!$AA$3:$AA$4</definedName>
    <definedName name="List_DBE_Option" localSheetId="0">[1]References!$AD$4:$AD$14</definedName>
    <definedName name="List_DBE_Option">References!$AE$4:$AE$14</definedName>
    <definedName name="List_EffWindow_Direction" localSheetId="0">[1]References!$AU$4:$AU$7</definedName>
    <definedName name="List_EffWindow_Direction">References!$AV$4:$AV$7</definedName>
    <definedName name="List_EffWindow_Measure" localSheetId="0">[1]References!$AR$4:$AR$5</definedName>
    <definedName name="List_EffWindow_Measure">References!$AS$4:$AS$5</definedName>
    <definedName name="List_HPUnitMeasures">[2]Lookups!$J$55:$J$59</definedName>
    <definedName name="List_HVAC" localSheetId="0">[1]References!$AI$4:$AI$10</definedName>
    <definedName name="List_HVAC">References!$AJ$4:$AJ$10</definedName>
    <definedName name="List_HVAC_Measure" localSheetId="0">[1]References!$AN$4:$AN$13</definedName>
    <definedName name="List_HVAC_Measure">References!$AO$4:$AO$24</definedName>
    <definedName name="List_HVACTypes">[2]Lookups!$B$58:$B$64</definedName>
    <definedName name="List_Install_Type" localSheetId="0">[1]References!$AF$4:$AF$7</definedName>
    <definedName name="List_Install_Type">References!$AG$4:$AG$7</definedName>
    <definedName name="List_LowFlowBldgTypes">[2]Lookups!$Y$3:$Y$10</definedName>
    <definedName name="List_Misc_Measure" localSheetId="0">[1]References!$AS$4:$AS$7</definedName>
    <definedName name="List_Misc_Measure">References!$AT$4:$AT$7</definedName>
    <definedName name="List_Ownership">References!$AH$4:$AH$5</definedName>
    <definedName name="List_PC">'[2]Savings Lookups'!$AE$11:$AE$13</definedName>
    <definedName name="List_Program_Names" localSheetId="4">Table_Programs_Rates[List_Programs]</definedName>
    <definedName name="List_Program_Names" localSheetId="0">[1]!Table_Programs_Rates[List_Programs]</definedName>
    <definedName name="List_Program_Names">Table_Programs_Rates[List_Programs]</definedName>
    <definedName name="List_ProgramNames">[2]Lookups!$B$3:$B$4</definedName>
    <definedName name="List_Project_Stage" localSheetId="0">[1]References!$AE$4:$AE$5</definedName>
    <definedName name="List_Project_Stage">References!$AF$4:$AF$5</definedName>
    <definedName name="List_ProjectStage">[2]Lookups!$B$54:$B$55</definedName>
    <definedName name="List_PRSV">[2]Lookups!$Y$13:$Y$18</definedName>
    <definedName name="List_Refrig_Measure" localSheetId="0">[1]References!$AO$4:$AO$18</definedName>
    <definedName name="List_Refrig_Measure">References!$AP$4:$AP$18</definedName>
    <definedName name="List_Refrigeration">[2]Lookups!$T$3:$T$4</definedName>
    <definedName name="List_RefrSizes">[2]Lookups!$T$21:$T$24</definedName>
    <definedName name="List_Showerhead">[2]Lookups!$Y$21:$Y$26</definedName>
    <definedName name="List_Source" localSheetId="0">[1]References!$AL$4:$AL$13</definedName>
    <definedName name="List_Source">References!$AM$4:$AM$13</definedName>
    <definedName name="List_StripCurtainBaseline">[2]Lookups!$T$40:$T$42</definedName>
    <definedName name="List_Tax_Entity" localSheetId="0">[1]References!$AA$4:$AA$9</definedName>
    <definedName name="List_Tax_Entity">References!$AB$4:$AB$9</definedName>
    <definedName name="List_Water_Heating" localSheetId="0">[1]References!$AJ$4:$AJ$10</definedName>
    <definedName name="List_Water_Heating">References!$AK$4:$AK$10</definedName>
    <definedName name="List_WinFilm_Direction" localSheetId="0">[1]References!$AT$4:$AT$6</definedName>
    <definedName name="List_WinFilm_Direction">References!$AU$4:$AU$6</definedName>
    <definedName name="List_WinFilm_Measure" localSheetId="0">[1]References!$AQ$4:$AQ$6</definedName>
    <definedName name="List_WinFilm_Measure">References!$AR$4:$AR$6</definedName>
    <definedName name="List_Y_N">References!$AD$4:$AD$5</definedName>
    <definedName name="List_Y_N_U" localSheetId="0">[1]References!$AB$4:$AB$6</definedName>
    <definedName name="List_Y_N_U">References!$AC$4:$AC$6</definedName>
    <definedName name="Net_Project_Cost" localSheetId="0">[1]Summary!$E$11</definedName>
    <definedName name="Net_Project_Cost">'Review the Summary'!$E$8</definedName>
    <definedName name="ProgramNumber" localSheetId="0">[3]Library!$R$3</definedName>
    <definedName name="ProgramNumber">[3]Library!$R$3</definedName>
    <definedName name="Project_Energy_Savings" localSheetId="0">[1]Summary!$F$11</definedName>
    <definedName name="Project_Energy_Savings">'Review the Summary'!$F$8</definedName>
    <definedName name="Subtotal_Bonus">[2]Summary!#REF!</definedName>
    <definedName name="Subtotal_CustomIncentive">QC!$C$18</definedName>
    <definedName name="Subtotal_Incentive">[2]QC!$D$19</definedName>
    <definedName name="Subtotal_OtherCosts" localSheetId="0">SUM([1]Summary!#REF!)</definedName>
    <definedName name="Subtotal_OtherCosts">SUM('Review the Summary'!#REF!)</definedName>
    <definedName name="Subtotal_PrescriptiveIncentive">[2]QC!$B$19</definedName>
    <definedName name="Table_ACHPFactors">[2]Lookups!$J$3:$R$11</definedName>
    <definedName name="Table_ACTU">'[2]Savings Lookups'!$B$23:$F$25</definedName>
    <definedName name="Table_ACTUFactors">[2]Lookups!$J$27:$P$30</definedName>
    <definedName name="Table_Aerators">'[2]Savings Lookups'!$U$2:$W$10</definedName>
    <definedName name="Table_APS">'[2]Savings Lookups'!$AE$6:$AH$8</definedName>
    <definedName name="Table_ASHC">'[2]Savings Lookups'!$H$11:$J$14</definedName>
    <definedName name="Table_ChillerFactors">[2]Lookups!$J$33:$P$43</definedName>
    <definedName name="Table_Chillers">'[2]Savings Lookups'!$B$30:$D$39</definedName>
    <definedName name="Table_CombinationOven">'[2]Savings Lookups'!$N$33:$P$35</definedName>
    <definedName name="Table_ConvectionOven">'[2]Savings Lookups'!$N$28:$P$30</definedName>
    <definedName name="Table_CustomMeasureNames">[2]Lookups!$AC$2:$AD$111</definedName>
    <definedName name="Table_Dishwashers">'[2]Savings Lookups'!$N$2:$S$25</definedName>
    <definedName name="Table_DuctSealing">'[2]Savings Lookups'!$B$47:$D$48</definedName>
    <definedName name="Table_ECMHVACFan">'[2]Savings Lookups'!$B$42:$D$42</definedName>
    <definedName name="Table_ECMRefrFan">'[2]Savings Lookups'!$H$2:$J$4</definedName>
    <definedName name="Table_EFLH">[2]Lookups!$J$13:$M$25</definedName>
    <definedName name="Table_ESRefrigerators">'[2]Savings Lookups'!$H$27:$L$35</definedName>
    <definedName name="Table_EvapFanControls">'[2]Savings Lookups'!$H$6:$J$9</definedName>
    <definedName name="Table_GREM">'[2]Savings Lookups'!$B$44:$D$45</definedName>
    <definedName name="Table_IceMaker">'[2]Savings Lookups'!$N$44:$P$50</definedName>
    <definedName name="Table_Measures">[2]Lookups!$B$6:$G$51</definedName>
    <definedName name="Table_NightCovers">'[2]Savings Lookups'!$H$16:$J$25</definedName>
    <definedName name="Table_PCPowerMgmt">'[2]Savings Lookups'!$AE$10:$AG$13</definedName>
    <definedName name="Table_PRSV">'[2]Savings Lookups'!$U$43:$W$49</definedName>
    <definedName name="Table_RTUFactors">[2]Lookups!$J$3:$M$11</definedName>
    <definedName name="Table_Showerhead">'[2]Savings Lookups'!$U$78:$W$84</definedName>
    <definedName name="Table_SteamCooker">'[2]Savings Lookups'!$N$37:$P$41</definedName>
    <definedName name="Table_StripCurtains">'[2]Savings Lookups'!$H$37:$L$58</definedName>
    <definedName name="Total_Incentive" localSheetId="0">[1]Summary!$D$11</definedName>
    <definedName name="Total_Incentive">'Review the Summary'!$D$8</definedName>
    <definedName name="Total_ProjectCost">[2]Summary!$C$12</definedName>
    <definedName name="Value_Application_Version" localSheetId="0">[1]References!$B$8</definedName>
    <definedName name="Value_Application_Version">References!$B$8</definedName>
    <definedName name="Value_Bonus_Rate">References!$B$9</definedName>
    <definedName name="Value_CalcVersion">'[2]Fillable application &amp; instruct'!$J$17</definedName>
    <definedName name="Value_Cus_IncentRate" localSheetId="0">[1]References!$B$6</definedName>
    <definedName name="Value_Cus_IncentRate">References!$B$6</definedName>
    <definedName name="Value_ExitSign_BaselineW">25.1</definedName>
    <definedName name="Value_ExitSign_LEDW">3</definedName>
    <definedName name="Value_FastTrack_Limit">References!$B$5</definedName>
    <definedName name="Value_LtgControls_CF">0.26</definedName>
    <definedName name="Value_Max_Incentive">[2]QC!$G$21</definedName>
    <definedName name="Value_Measure_CAP">References!$B$4</definedName>
    <definedName name="Value_Project_CAP" localSheetId="0">[1]References!$B$3</definedName>
    <definedName name="Value_Project_CAP">References!$B$3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26" l="1"/>
  <c r="B17" i="26"/>
  <c r="J5" i="1" l="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Q58" i="22"/>
  <c r="Q57" i="22"/>
  <c r="Q56" i="22"/>
  <c r="Q55" i="22"/>
  <c r="T58" i="22"/>
  <c r="T57" i="22"/>
  <c r="T56" i="22"/>
  <c r="T55" i="22"/>
  <c r="R6" i="60"/>
  <c r="R7" i="60"/>
  <c r="R8" i="60"/>
  <c r="R9" i="60"/>
  <c r="R10" i="60"/>
  <c r="R11" i="60"/>
  <c r="R12" i="60"/>
  <c r="R13" i="60"/>
  <c r="R14" i="60"/>
  <c r="R15" i="60"/>
  <c r="R16" i="60"/>
  <c r="R17" i="60"/>
  <c r="R18" i="60"/>
  <c r="R19" i="60"/>
  <c r="R20" i="60"/>
  <c r="R21" i="60"/>
  <c r="R22" i="60"/>
  <c r="R23" i="60"/>
  <c r="R24" i="60"/>
  <c r="R25" i="60"/>
  <c r="R26" i="60"/>
  <c r="R27" i="60"/>
  <c r="R28" i="60"/>
  <c r="R29" i="60"/>
  <c r="R30" i="60"/>
  <c r="R31" i="60"/>
  <c r="R32" i="60"/>
  <c r="R33" i="60"/>
  <c r="R34" i="60"/>
  <c r="R35" i="60"/>
  <c r="R36" i="60"/>
  <c r="R37" i="60"/>
  <c r="R38" i="60"/>
  <c r="R39" i="60"/>
  <c r="R40" i="60"/>
  <c r="R41" i="60"/>
  <c r="R42" i="60"/>
  <c r="R43" i="60"/>
  <c r="R44" i="60"/>
  <c r="R45" i="60"/>
  <c r="R46" i="60"/>
  <c r="R47" i="60"/>
  <c r="R48" i="60"/>
  <c r="R49" i="60"/>
  <c r="R50" i="60"/>
  <c r="R51" i="60"/>
  <c r="R52" i="60"/>
  <c r="R53" i="60"/>
  <c r="R54" i="60"/>
  <c r="R55" i="60"/>
  <c r="J21" i="22"/>
  <c r="M21" i="22" s="1"/>
  <c r="J20" i="22"/>
  <c r="M20" i="22" s="1"/>
  <c r="J19" i="22"/>
  <c r="L19" i="22" s="1"/>
  <c r="J18" i="22"/>
  <c r="L18" i="22" s="1"/>
  <c r="J17" i="22"/>
  <c r="M17" i="22" s="1"/>
  <c r="J16" i="22"/>
  <c r="M16" i="22" s="1"/>
  <c r="J15" i="22"/>
  <c r="L15" i="22" s="1"/>
  <c r="J14" i="22"/>
  <c r="L14" i="22" s="1"/>
  <c r="J13" i="22"/>
  <c r="L13" i="22" s="1"/>
  <c r="J12" i="22"/>
  <c r="L12" i="22" s="1"/>
  <c r="J11" i="22"/>
  <c r="M11" i="22" s="1"/>
  <c r="J10" i="22"/>
  <c r="M10" i="22" s="1"/>
  <c r="J9" i="22"/>
  <c r="L9" i="22" s="1"/>
  <c r="J8" i="22"/>
  <c r="L8" i="22" s="1"/>
  <c r="J7" i="22"/>
  <c r="M7" i="22" s="1"/>
  <c r="J6" i="22"/>
  <c r="M6" i="22" s="1"/>
  <c r="J5" i="22"/>
  <c r="L5" i="22" s="1"/>
  <c r="J4" i="22"/>
  <c r="M4" i="22" s="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O6" i="60"/>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S93" i="22"/>
  <c r="S82" i="22"/>
  <c r="Q51" i="22"/>
  <c r="Q50" i="22"/>
  <c r="Q49" i="22"/>
  <c r="Q48" i="22"/>
  <c r="V57" i="22" l="1"/>
  <c r="U57" i="22"/>
  <c r="L11" i="22"/>
  <c r="L21" i="22"/>
  <c r="M19" i="22"/>
  <c r="U56" i="22"/>
  <c r="L10" i="22"/>
  <c r="L17" i="22"/>
  <c r="M18" i="22"/>
  <c r="L7" i="22"/>
  <c r="M9" i="22"/>
  <c r="M15" i="22"/>
  <c r="L6" i="22"/>
  <c r="M5" i="22"/>
  <c r="M14" i="22"/>
  <c r="V56" i="22"/>
  <c r="U58" i="22"/>
  <c r="L20" i="22"/>
  <c r="M12" i="22"/>
  <c r="M8" i="22"/>
  <c r="U55" i="22"/>
  <c r="L4" i="22"/>
  <c r="V55" i="22"/>
  <c r="L16" i="22"/>
  <c r="M13" i="22"/>
  <c r="U49" i="22"/>
  <c r="V58" i="22"/>
  <c r="T16" i="1"/>
  <c r="U48" i="22"/>
  <c r="U51" i="22"/>
  <c r="U50" i="22"/>
  <c r="K4" i="58"/>
  <c r="K5" i="58"/>
  <c r="K6" i="58"/>
  <c r="K7" i="58"/>
  <c r="K8" i="58"/>
  <c r="K9" i="58"/>
  <c r="K10" i="58"/>
  <c r="K11" i="58"/>
  <c r="K12" i="58"/>
  <c r="K13" i="58"/>
  <c r="K14" i="58"/>
  <c r="K15" i="58"/>
  <c r="K16" i="58"/>
  <c r="K17" i="58"/>
  <c r="K18" i="58"/>
  <c r="K19" i="58"/>
  <c r="K20" i="58"/>
  <c r="K21" i="58"/>
  <c r="K22" i="58"/>
  <c r="K23" i="58"/>
  <c r="K24" i="58"/>
  <c r="K25" i="58"/>
  <c r="K26" i="58"/>
  <c r="K27" i="58"/>
  <c r="K28" i="58"/>
  <c r="K29" i="58"/>
  <c r="K30" i="58"/>
  <c r="K31" i="58"/>
  <c r="K32" i="58"/>
  <c r="K33" i="58"/>
  <c r="K34" i="58"/>
  <c r="K35" i="58"/>
  <c r="K36" i="58"/>
  <c r="K37" i="58"/>
  <c r="K38" i="58"/>
  <c r="K39" i="58"/>
  <c r="K40" i="58"/>
  <c r="K41" i="58"/>
  <c r="K42" i="58"/>
  <c r="K43" i="58"/>
  <c r="K44" i="58"/>
  <c r="K45" i="58"/>
  <c r="K46" i="58"/>
  <c r="K47" i="58"/>
  <c r="K48" i="58"/>
  <c r="K49" i="58"/>
  <c r="K50" i="58"/>
  <c r="K51" i="58"/>
  <c r="K52" i="58"/>
  <c r="K3" i="58"/>
  <c r="I3" i="58"/>
  <c r="B4" i="58"/>
  <c r="B5" i="58"/>
  <c r="B6" i="58"/>
  <c r="B7" i="58"/>
  <c r="B8" i="58"/>
  <c r="B9" i="58"/>
  <c r="B10" i="58"/>
  <c r="B11" i="58"/>
  <c r="B12" i="58"/>
  <c r="B13" i="58"/>
  <c r="B14" i="58"/>
  <c r="B15" i="58"/>
  <c r="B16" i="58"/>
  <c r="B17" i="58"/>
  <c r="B18" i="58"/>
  <c r="B19" i="58"/>
  <c r="B20" i="58"/>
  <c r="B21" i="58"/>
  <c r="B22" i="58"/>
  <c r="B23" i="58"/>
  <c r="B24" i="58"/>
  <c r="B25" i="58"/>
  <c r="B26" i="58"/>
  <c r="B27" i="58"/>
  <c r="B28" i="58"/>
  <c r="B29" i="58"/>
  <c r="B30" i="58"/>
  <c r="B31" i="58"/>
  <c r="B32" i="58"/>
  <c r="B33" i="58"/>
  <c r="B34" i="58"/>
  <c r="B35" i="58"/>
  <c r="B36" i="58"/>
  <c r="B37" i="58"/>
  <c r="B38" i="58"/>
  <c r="B39" i="58"/>
  <c r="B40" i="58"/>
  <c r="B41" i="58"/>
  <c r="B42" i="58"/>
  <c r="B43" i="58"/>
  <c r="B44" i="58"/>
  <c r="B45" i="58"/>
  <c r="B46" i="58"/>
  <c r="B47" i="58"/>
  <c r="B48" i="58"/>
  <c r="B49" i="58"/>
  <c r="B50" i="58"/>
  <c r="B51" i="58"/>
  <c r="B52" i="58"/>
  <c r="B3" i="58"/>
  <c r="C4" i="58"/>
  <c r="D4" i="58"/>
  <c r="C5" i="58"/>
  <c r="D5" i="58"/>
  <c r="C6" i="58"/>
  <c r="D6" i="58"/>
  <c r="C7" i="58"/>
  <c r="D7" i="58"/>
  <c r="C8" i="58"/>
  <c r="D8" i="58"/>
  <c r="C9" i="58"/>
  <c r="D9" i="58"/>
  <c r="C10" i="58"/>
  <c r="D10" i="58"/>
  <c r="C11" i="58"/>
  <c r="D11" i="58"/>
  <c r="C12" i="58"/>
  <c r="D12" i="58"/>
  <c r="C13" i="58"/>
  <c r="D13" i="58"/>
  <c r="C14" i="58"/>
  <c r="D14" i="58"/>
  <c r="C15" i="58"/>
  <c r="D15" i="58"/>
  <c r="C16" i="58"/>
  <c r="D16" i="58"/>
  <c r="C17" i="58"/>
  <c r="D17" i="58"/>
  <c r="C18" i="58"/>
  <c r="D18" i="58"/>
  <c r="C19" i="58"/>
  <c r="D19" i="58"/>
  <c r="C20" i="58"/>
  <c r="D20" i="58"/>
  <c r="C21" i="58"/>
  <c r="D21" i="58"/>
  <c r="C22" i="58"/>
  <c r="D22" i="58"/>
  <c r="C23" i="58"/>
  <c r="D23" i="58"/>
  <c r="C24" i="58"/>
  <c r="D24" i="58"/>
  <c r="C25" i="58"/>
  <c r="D25" i="58"/>
  <c r="C26" i="58"/>
  <c r="D26" i="58"/>
  <c r="C27" i="58"/>
  <c r="D27" i="58"/>
  <c r="C28" i="58"/>
  <c r="D28" i="58"/>
  <c r="C29" i="58"/>
  <c r="D29" i="58"/>
  <c r="C30" i="58"/>
  <c r="D30" i="58"/>
  <c r="C31" i="58"/>
  <c r="D31" i="58"/>
  <c r="C32" i="58"/>
  <c r="D32" i="58"/>
  <c r="C33" i="58"/>
  <c r="D33" i="58"/>
  <c r="C34" i="58"/>
  <c r="D34" i="58"/>
  <c r="C35" i="58"/>
  <c r="D35" i="58"/>
  <c r="C36" i="58"/>
  <c r="D36" i="58"/>
  <c r="C37" i="58"/>
  <c r="D37" i="58"/>
  <c r="C38" i="58"/>
  <c r="D38" i="58"/>
  <c r="C39" i="58"/>
  <c r="D39" i="58"/>
  <c r="C40" i="58"/>
  <c r="D40" i="58"/>
  <c r="C41" i="58"/>
  <c r="D41" i="58"/>
  <c r="C42" i="58"/>
  <c r="D42" i="58"/>
  <c r="C43" i="58"/>
  <c r="D43" i="58"/>
  <c r="C44" i="58"/>
  <c r="D44" i="58"/>
  <c r="C45" i="58"/>
  <c r="D45" i="58"/>
  <c r="C46" i="58"/>
  <c r="D46" i="58"/>
  <c r="C47" i="58"/>
  <c r="D47" i="58"/>
  <c r="C48" i="58"/>
  <c r="D48" i="58"/>
  <c r="C49" i="58"/>
  <c r="D49" i="58"/>
  <c r="C50" i="58"/>
  <c r="D50" i="58"/>
  <c r="C51" i="58"/>
  <c r="D51" i="58"/>
  <c r="C52" i="58"/>
  <c r="D52" i="58"/>
  <c r="D3" i="58"/>
  <c r="C3" i="58"/>
  <c r="I4" i="58"/>
  <c r="I5" i="58"/>
  <c r="I6" i="58"/>
  <c r="I7" i="58"/>
  <c r="I8" i="58"/>
  <c r="I9" i="58"/>
  <c r="I10" i="58"/>
  <c r="I11" i="58"/>
  <c r="I12" i="58"/>
  <c r="I13" i="58"/>
  <c r="I14" i="58"/>
  <c r="I15" i="58"/>
  <c r="I16" i="58"/>
  <c r="I17" i="58"/>
  <c r="I18" i="58"/>
  <c r="I19" i="58"/>
  <c r="I20" i="58"/>
  <c r="I21" i="58"/>
  <c r="I22" i="58"/>
  <c r="I23" i="58"/>
  <c r="I24" i="58"/>
  <c r="I25" i="58"/>
  <c r="I26" i="58"/>
  <c r="I27" i="58"/>
  <c r="I28" i="58"/>
  <c r="I29" i="58"/>
  <c r="I30" i="58"/>
  <c r="I31" i="58"/>
  <c r="I32" i="58"/>
  <c r="I33" i="58"/>
  <c r="I34" i="58"/>
  <c r="I35" i="58"/>
  <c r="I36" i="58"/>
  <c r="I37" i="58"/>
  <c r="I38" i="58"/>
  <c r="I39" i="58"/>
  <c r="I40" i="58"/>
  <c r="I41" i="58"/>
  <c r="I42" i="58"/>
  <c r="I43" i="58"/>
  <c r="I44" i="58"/>
  <c r="I45" i="58"/>
  <c r="I46" i="58"/>
  <c r="I47" i="58"/>
  <c r="I48" i="58"/>
  <c r="I49" i="58"/>
  <c r="I50" i="58"/>
  <c r="I51" i="58"/>
  <c r="I52" i="58"/>
  <c r="J4" i="58"/>
  <c r="J5" i="58"/>
  <c r="J6" i="58"/>
  <c r="J7" i="58"/>
  <c r="J8" i="58"/>
  <c r="J9" i="58"/>
  <c r="J10" i="58"/>
  <c r="J11" i="58"/>
  <c r="J12" i="58"/>
  <c r="J13" i="58"/>
  <c r="J14" i="58"/>
  <c r="J15" i="58"/>
  <c r="J16" i="58"/>
  <c r="J17" i="58"/>
  <c r="J18" i="58"/>
  <c r="J19" i="58"/>
  <c r="J20" i="58"/>
  <c r="J21" i="58"/>
  <c r="J22" i="58"/>
  <c r="J23" i="58"/>
  <c r="J24" i="58"/>
  <c r="J25" i="58"/>
  <c r="J26" i="58"/>
  <c r="J27" i="58"/>
  <c r="J28" i="58"/>
  <c r="J29" i="58"/>
  <c r="J30" i="58"/>
  <c r="J31" i="58"/>
  <c r="J32" i="58"/>
  <c r="J33" i="58"/>
  <c r="J34" i="58"/>
  <c r="J35" i="58"/>
  <c r="J36" i="58"/>
  <c r="J37" i="58"/>
  <c r="J38" i="58"/>
  <c r="J39" i="58"/>
  <c r="J40" i="58"/>
  <c r="J41" i="58"/>
  <c r="J42" i="58"/>
  <c r="J43" i="58"/>
  <c r="J44" i="58"/>
  <c r="J45" i="58"/>
  <c r="J46" i="58"/>
  <c r="J47" i="58"/>
  <c r="J48" i="58"/>
  <c r="J49" i="58"/>
  <c r="J50" i="58"/>
  <c r="J51" i="58"/>
  <c r="J52" i="58"/>
  <c r="J3" i="58"/>
  <c r="J54" i="28"/>
  <c r="J55" i="28"/>
  <c r="J56" i="28"/>
  <c r="J57" i="28"/>
  <c r="J58" i="28"/>
  <c r="J59" i="28"/>
  <c r="J60" i="28"/>
  <c r="J61" i="28"/>
  <c r="J62" i="28"/>
  <c r="J63" i="28"/>
  <c r="J64" i="28"/>
  <c r="J65" i="28"/>
  <c r="J66" i="28"/>
  <c r="J67" i="28"/>
  <c r="J68" i="28"/>
  <c r="J69" i="28"/>
  <c r="J70" i="28"/>
  <c r="J71" i="28"/>
  <c r="J72" i="28"/>
  <c r="J73" i="28"/>
  <c r="J74" i="28"/>
  <c r="J75" i="28"/>
  <c r="J76" i="28"/>
  <c r="J77" i="28"/>
  <c r="J78" i="28"/>
  <c r="J79" i="28"/>
  <c r="J80" i="28"/>
  <c r="J81" i="28"/>
  <c r="J82" i="28"/>
  <c r="J83" i="28"/>
  <c r="J84" i="28"/>
  <c r="J85" i="28"/>
  <c r="J86" i="28"/>
  <c r="J87" i="28"/>
  <c r="J88" i="28"/>
  <c r="J89" i="28"/>
  <c r="J90" i="28"/>
  <c r="J91" i="28"/>
  <c r="J92" i="28"/>
  <c r="J93" i="28"/>
  <c r="J94" i="28"/>
  <c r="J95" i="28"/>
  <c r="J96" i="28"/>
  <c r="J97" i="28"/>
  <c r="J98" i="28"/>
  <c r="J99" i="28"/>
  <c r="J100" i="28"/>
  <c r="J101" i="28"/>
  <c r="J102" i="28"/>
  <c r="J53" i="28"/>
  <c r="F54" i="28"/>
  <c r="F55" i="28"/>
  <c r="F56" i="28"/>
  <c r="F57" i="28"/>
  <c r="F58" i="28"/>
  <c r="F59" i="28"/>
  <c r="F60" i="28"/>
  <c r="F61" i="28"/>
  <c r="F62" i="28"/>
  <c r="F63" i="28"/>
  <c r="F64" i="28"/>
  <c r="F65" i="28"/>
  <c r="F66" i="28"/>
  <c r="F67" i="28"/>
  <c r="F68" i="28"/>
  <c r="F69" i="28"/>
  <c r="F70" i="28"/>
  <c r="F71" i="28"/>
  <c r="F72" i="28"/>
  <c r="F73" i="28"/>
  <c r="F74" i="28"/>
  <c r="F75" i="28"/>
  <c r="F76" i="28"/>
  <c r="F77" i="28"/>
  <c r="F78" i="28"/>
  <c r="F79" i="28"/>
  <c r="F80" i="28"/>
  <c r="F81" i="28"/>
  <c r="F82" i="28"/>
  <c r="F83" i="28"/>
  <c r="F84" i="28"/>
  <c r="F85" i="28"/>
  <c r="F86" i="28"/>
  <c r="F87" i="28"/>
  <c r="F88" i="28"/>
  <c r="F89" i="28"/>
  <c r="F90" i="28"/>
  <c r="F91" i="28"/>
  <c r="F92" i="28"/>
  <c r="F93" i="28"/>
  <c r="F94" i="28"/>
  <c r="F95" i="28"/>
  <c r="F96" i="28"/>
  <c r="F97" i="28"/>
  <c r="F98" i="28"/>
  <c r="F99" i="28"/>
  <c r="F100" i="28"/>
  <c r="F101" i="28"/>
  <c r="F102" i="28"/>
  <c r="F53" i="28"/>
  <c r="E133" i="28"/>
  <c r="E134" i="28"/>
  <c r="E135" i="28"/>
  <c r="E136" i="28"/>
  <c r="E137" i="28"/>
  <c r="E138" i="28"/>
  <c r="E139" i="28"/>
  <c r="E140" i="28"/>
  <c r="E141" i="28"/>
  <c r="E142" i="28"/>
  <c r="E143" i="28"/>
  <c r="E144" i="28"/>
  <c r="E145" i="28"/>
  <c r="E146" i="28"/>
  <c r="E147" i="28"/>
  <c r="E148" i="28"/>
  <c r="E149" i="28"/>
  <c r="E150" i="28"/>
  <c r="E151" i="28"/>
  <c r="E152" i="28"/>
  <c r="E153" i="28"/>
  <c r="E154" i="28"/>
  <c r="E155" i="28"/>
  <c r="E156" i="28"/>
  <c r="E157" i="28"/>
  <c r="E158" i="28"/>
  <c r="E159" i="28"/>
  <c r="E160" i="28"/>
  <c r="E161" i="28"/>
  <c r="E162" i="28"/>
  <c r="E163" i="28"/>
  <c r="E164" i="28"/>
  <c r="E165" i="28"/>
  <c r="E166" i="28"/>
  <c r="E167" i="28"/>
  <c r="E168" i="28"/>
  <c r="E169" i="28"/>
  <c r="E170" i="28"/>
  <c r="E171" i="28"/>
  <c r="E172" i="28"/>
  <c r="E173" i="28"/>
  <c r="E174" i="28"/>
  <c r="E175" i="28"/>
  <c r="E176" i="28"/>
  <c r="E177" i="28"/>
  <c r="E178" i="28"/>
  <c r="E179" i="28"/>
  <c r="E180" i="28"/>
  <c r="E181" i="28"/>
  <c r="E182" i="28"/>
  <c r="E183" i="28"/>
  <c r="E184" i="28"/>
  <c r="E185" i="28"/>
  <c r="E186" i="28"/>
  <c r="E187" i="28"/>
  <c r="E188" i="28"/>
  <c r="E189" i="28"/>
  <c r="E190" i="28"/>
  <c r="E191" i="28"/>
  <c r="E192" i="28"/>
  <c r="C54" i="28"/>
  <c r="C55" i="28"/>
  <c r="C56" i="28"/>
  <c r="C57" i="28"/>
  <c r="C58" i="28"/>
  <c r="C59" i="28"/>
  <c r="C60" i="28"/>
  <c r="C61" i="28"/>
  <c r="C62" i="28"/>
  <c r="C63" i="28"/>
  <c r="C64" i="28"/>
  <c r="C65" i="28"/>
  <c r="C66" i="28"/>
  <c r="C67" i="28"/>
  <c r="C68" i="28"/>
  <c r="C69" i="28"/>
  <c r="C70" i="28"/>
  <c r="C71" i="28"/>
  <c r="C72" i="28"/>
  <c r="C73" i="28"/>
  <c r="C74" i="28"/>
  <c r="C75" i="28"/>
  <c r="C76" i="28"/>
  <c r="C77" i="28"/>
  <c r="C78" i="28"/>
  <c r="C79" i="28"/>
  <c r="C80" i="28"/>
  <c r="C81" i="28"/>
  <c r="C82" i="28"/>
  <c r="C83" i="28"/>
  <c r="C84" i="28"/>
  <c r="C85" i="28"/>
  <c r="C86" i="28"/>
  <c r="C87" i="28"/>
  <c r="C88" i="28"/>
  <c r="C89" i="28"/>
  <c r="C90" i="28"/>
  <c r="C91" i="28"/>
  <c r="C92" i="28"/>
  <c r="C93" i="28"/>
  <c r="C94" i="28"/>
  <c r="C95" i="28"/>
  <c r="C96" i="28"/>
  <c r="C97" i="28"/>
  <c r="C98" i="28"/>
  <c r="C99" i="28"/>
  <c r="C100" i="28"/>
  <c r="C101" i="28"/>
  <c r="C102" i="28"/>
  <c r="C53" i="28"/>
  <c r="P6" i="60"/>
  <c r="H53" i="28" s="1"/>
  <c r="P7" i="60"/>
  <c r="H54" i="28" s="1"/>
  <c r="P8" i="60"/>
  <c r="H55" i="28" s="1"/>
  <c r="P9" i="60"/>
  <c r="H56" i="28" s="1"/>
  <c r="P10" i="60"/>
  <c r="H57" i="28" s="1"/>
  <c r="P11" i="60"/>
  <c r="H58" i="28" s="1"/>
  <c r="P12" i="60"/>
  <c r="H59" i="28" s="1"/>
  <c r="P13" i="60"/>
  <c r="H60" i="28" s="1"/>
  <c r="P14" i="60"/>
  <c r="H61" i="28" s="1"/>
  <c r="P15" i="60"/>
  <c r="H62" i="28" s="1"/>
  <c r="P16" i="60"/>
  <c r="H63" i="28" s="1"/>
  <c r="P17" i="60"/>
  <c r="H64" i="28" s="1"/>
  <c r="P18" i="60"/>
  <c r="H65" i="28" s="1"/>
  <c r="P19" i="60"/>
  <c r="H66" i="28" s="1"/>
  <c r="P20" i="60"/>
  <c r="H67" i="28" s="1"/>
  <c r="P21" i="60"/>
  <c r="H68" i="28" s="1"/>
  <c r="P22" i="60"/>
  <c r="H69" i="28" s="1"/>
  <c r="P23" i="60"/>
  <c r="H70" i="28" s="1"/>
  <c r="P24" i="60"/>
  <c r="H71" i="28" s="1"/>
  <c r="P25" i="60"/>
  <c r="H72" i="28" s="1"/>
  <c r="P26" i="60"/>
  <c r="H73" i="28" s="1"/>
  <c r="P27" i="60"/>
  <c r="H74" i="28" s="1"/>
  <c r="P28" i="60"/>
  <c r="H75" i="28" s="1"/>
  <c r="P29" i="60"/>
  <c r="H76" i="28" s="1"/>
  <c r="P30" i="60"/>
  <c r="H77" i="28" s="1"/>
  <c r="P31" i="60"/>
  <c r="H78" i="28" s="1"/>
  <c r="P32" i="60"/>
  <c r="H79" i="28" s="1"/>
  <c r="P33" i="60"/>
  <c r="H80" i="28" s="1"/>
  <c r="P34" i="60"/>
  <c r="H81" i="28" s="1"/>
  <c r="P35" i="60"/>
  <c r="H82" i="28" s="1"/>
  <c r="P36" i="60"/>
  <c r="H83" i="28" s="1"/>
  <c r="P37" i="60"/>
  <c r="H84" i="28" s="1"/>
  <c r="P38" i="60"/>
  <c r="H85" i="28" s="1"/>
  <c r="P39" i="60"/>
  <c r="H86" i="28" s="1"/>
  <c r="P40" i="60"/>
  <c r="H87" i="28" s="1"/>
  <c r="P41" i="60"/>
  <c r="H88" i="28" s="1"/>
  <c r="P42" i="60"/>
  <c r="H89" i="28" s="1"/>
  <c r="P43" i="60"/>
  <c r="H90" i="28" s="1"/>
  <c r="P44" i="60"/>
  <c r="H91" i="28" s="1"/>
  <c r="P45" i="60"/>
  <c r="H92" i="28" s="1"/>
  <c r="P46" i="60"/>
  <c r="H93" i="28" s="1"/>
  <c r="P47" i="60"/>
  <c r="H94" i="28" s="1"/>
  <c r="P48" i="60"/>
  <c r="H95" i="28" s="1"/>
  <c r="P49" i="60"/>
  <c r="H96" i="28" s="1"/>
  <c r="P50" i="60"/>
  <c r="H97" i="28" s="1"/>
  <c r="P51" i="60"/>
  <c r="H98" i="28" s="1"/>
  <c r="P52" i="60"/>
  <c r="H99" i="28" s="1"/>
  <c r="P53" i="60"/>
  <c r="H100" i="28" s="1"/>
  <c r="P54" i="60"/>
  <c r="H101" i="28" s="1"/>
  <c r="P55" i="60"/>
  <c r="H102" i="28" s="1"/>
  <c r="O7" i="60"/>
  <c r="G54" i="28" s="1"/>
  <c r="O8" i="60"/>
  <c r="G55" i="28" s="1"/>
  <c r="O9" i="60"/>
  <c r="G56" i="28" s="1"/>
  <c r="O10" i="60"/>
  <c r="G57" i="28" s="1"/>
  <c r="O11" i="60"/>
  <c r="G58" i="28" s="1"/>
  <c r="O12" i="60"/>
  <c r="G59" i="28" s="1"/>
  <c r="O13" i="60"/>
  <c r="G60" i="28" s="1"/>
  <c r="O14" i="60"/>
  <c r="G61" i="28" s="1"/>
  <c r="O15" i="60"/>
  <c r="G62" i="28" s="1"/>
  <c r="O16" i="60"/>
  <c r="G63" i="28" s="1"/>
  <c r="O17" i="60"/>
  <c r="G64" i="28" s="1"/>
  <c r="O18" i="60"/>
  <c r="G65" i="28" s="1"/>
  <c r="O19" i="60"/>
  <c r="G66" i="28" s="1"/>
  <c r="O20" i="60"/>
  <c r="G67" i="28" s="1"/>
  <c r="O21" i="60"/>
  <c r="G68" i="28" s="1"/>
  <c r="O22" i="60"/>
  <c r="G69" i="28" s="1"/>
  <c r="O23" i="60"/>
  <c r="G70" i="28" s="1"/>
  <c r="O24" i="60"/>
  <c r="G71" i="28" s="1"/>
  <c r="O25" i="60"/>
  <c r="G72" i="28" s="1"/>
  <c r="O26" i="60"/>
  <c r="G73" i="28" s="1"/>
  <c r="O27" i="60"/>
  <c r="G74" i="28" s="1"/>
  <c r="O28" i="60"/>
  <c r="G75" i="28" s="1"/>
  <c r="O29" i="60"/>
  <c r="G76" i="28" s="1"/>
  <c r="O30" i="60"/>
  <c r="G77" i="28" s="1"/>
  <c r="O31" i="60"/>
  <c r="G78" i="28" s="1"/>
  <c r="O32" i="60"/>
  <c r="G79" i="28" s="1"/>
  <c r="O33" i="60"/>
  <c r="G80" i="28" s="1"/>
  <c r="O34" i="60"/>
  <c r="G81" i="28" s="1"/>
  <c r="O35" i="60"/>
  <c r="G82" i="28" s="1"/>
  <c r="O36" i="60"/>
  <c r="G83" i="28" s="1"/>
  <c r="O37" i="60"/>
  <c r="G84" i="28" s="1"/>
  <c r="O38" i="60"/>
  <c r="G85" i="28" s="1"/>
  <c r="O39" i="60"/>
  <c r="G86" i="28" s="1"/>
  <c r="O40" i="60"/>
  <c r="G87" i="28" s="1"/>
  <c r="O41" i="60"/>
  <c r="G88" i="28" s="1"/>
  <c r="O42" i="60"/>
  <c r="G89" i="28" s="1"/>
  <c r="O43" i="60"/>
  <c r="G90" i="28" s="1"/>
  <c r="O44" i="60"/>
  <c r="G91" i="28" s="1"/>
  <c r="O45" i="60"/>
  <c r="G92" i="28" s="1"/>
  <c r="O46" i="60"/>
  <c r="G93" i="28" s="1"/>
  <c r="O47" i="60"/>
  <c r="G94" i="28" s="1"/>
  <c r="O48" i="60"/>
  <c r="G95" i="28" s="1"/>
  <c r="O49" i="60"/>
  <c r="G96" i="28" s="1"/>
  <c r="O50" i="60"/>
  <c r="G97" i="28" s="1"/>
  <c r="O51" i="60"/>
  <c r="G98" i="28" s="1"/>
  <c r="O52" i="60"/>
  <c r="G99" i="28" s="1"/>
  <c r="O53" i="60"/>
  <c r="G100" i="28" s="1"/>
  <c r="O54" i="60"/>
  <c r="G101" i="28" s="1"/>
  <c r="O55" i="60"/>
  <c r="G102" i="28" s="1"/>
  <c r="N9" i="60"/>
  <c r="M56" i="28" s="1"/>
  <c r="N10" i="60"/>
  <c r="M57" i="28" s="1"/>
  <c r="N11" i="60"/>
  <c r="M58" i="28" s="1"/>
  <c r="N12" i="60"/>
  <c r="M59" i="28" s="1"/>
  <c r="N13" i="60"/>
  <c r="M60" i="28" s="1"/>
  <c r="N14" i="60"/>
  <c r="M61" i="28" s="1"/>
  <c r="N15" i="60"/>
  <c r="M62" i="28" s="1"/>
  <c r="N16" i="60"/>
  <c r="M63" i="28" s="1"/>
  <c r="N17" i="60"/>
  <c r="M64" i="28" s="1"/>
  <c r="N18" i="60"/>
  <c r="M65" i="28" s="1"/>
  <c r="N19" i="60"/>
  <c r="M66" i="28" s="1"/>
  <c r="N20" i="60"/>
  <c r="M67" i="28" s="1"/>
  <c r="N21" i="60"/>
  <c r="M68" i="28" s="1"/>
  <c r="N22" i="60"/>
  <c r="M69" i="28" s="1"/>
  <c r="N23" i="60"/>
  <c r="M70" i="28" s="1"/>
  <c r="N24" i="60"/>
  <c r="M71" i="28" s="1"/>
  <c r="N25" i="60"/>
  <c r="M72" i="28" s="1"/>
  <c r="N26" i="60"/>
  <c r="M73" i="28" s="1"/>
  <c r="N27" i="60"/>
  <c r="M74" i="28" s="1"/>
  <c r="N28" i="60"/>
  <c r="M75" i="28" s="1"/>
  <c r="N29" i="60"/>
  <c r="M76" i="28" s="1"/>
  <c r="N30" i="60"/>
  <c r="M77" i="28" s="1"/>
  <c r="N31" i="60"/>
  <c r="M78" i="28" s="1"/>
  <c r="N32" i="60"/>
  <c r="M79" i="28" s="1"/>
  <c r="N33" i="60"/>
  <c r="M80" i="28" s="1"/>
  <c r="N34" i="60"/>
  <c r="M81" i="28" s="1"/>
  <c r="N35" i="60"/>
  <c r="M82" i="28" s="1"/>
  <c r="N36" i="60"/>
  <c r="M83" i="28" s="1"/>
  <c r="N37" i="60"/>
  <c r="M84" i="28" s="1"/>
  <c r="N38" i="60"/>
  <c r="M85" i="28" s="1"/>
  <c r="N39" i="60"/>
  <c r="M86" i="28" s="1"/>
  <c r="N40" i="60"/>
  <c r="M87" i="28" s="1"/>
  <c r="N41" i="60"/>
  <c r="M88" i="28" s="1"/>
  <c r="N42" i="60"/>
  <c r="M89" i="28" s="1"/>
  <c r="N43" i="60"/>
  <c r="M90" i="28" s="1"/>
  <c r="N44" i="60"/>
  <c r="M91" i="28" s="1"/>
  <c r="N45" i="60"/>
  <c r="M92" i="28" s="1"/>
  <c r="N46" i="60"/>
  <c r="M93" i="28" s="1"/>
  <c r="N47" i="60"/>
  <c r="M94" i="28" s="1"/>
  <c r="N48" i="60"/>
  <c r="M95" i="28" s="1"/>
  <c r="N49" i="60"/>
  <c r="M96" i="28" s="1"/>
  <c r="N50" i="60"/>
  <c r="M97" i="28" s="1"/>
  <c r="N51" i="60"/>
  <c r="M98" i="28" s="1"/>
  <c r="N52" i="60"/>
  <c r="M99" i="28" s="1"/>
  <c r="N53" i="60"/>
  <c r="M100" i="28" s="1"/>
  <c r="N54" i="60"/>
  <c r="M101" i="28" s="1"/>
  <c r="N55" i="60"/>
  <c r="M102" i="28" s="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G53" i="28"/>
  <c r="E48" i="58" l="1"/>
  <c r="E40" i="58"/>
  <c r="E32" i="58"/>
  <c r="E24" i="58"/>
  <c r="E16" i="58"/>
  <c r="E47" i="58"/>
  <c r="E39" i="58"/>
  <c r="E31" i="58"/>
  <c r="E23" i="58"/>
  <c r="E15" i="58"/>
  <c r="E46" i="58"/>
  <c r="E38" i="58"/>
  <c r="E30" i="58"/>
  <c r="E22" i="58"/>
  <c r="E14" i="58"/>
  <c r="E45" i="58"/>
  <c r="E37" i="58"/>
  <c r="E29" i="58"/>
  <c r="E21" i="58"/>
  <c r="E13" i="58"/>
  <c r="E52" i="58"/>
  <c r="E44" i="58"/>
  <c r="E36" i="58"/>
  <c r="E28" i="58"/>
  <c r="E20" i="58"/>
  <c r="E51" i="58"/>
  <c r="E43" i="58"/>
  <c r="E35" i="58"/>
  <c r="E27" i="58"/>
  <c r="E19" i="58"/>
  <c r="E50" i="58"/>
  <c r="E42" i="58"/>
  <c r="E34" i="58"/>
  <c r="E26" i="58"/>
  <c r="E18" i="58"/>
  <c r="G9" i="58"/>
  <c r="E49" i="58"/>
  <c r="E41" i="58"/>
  <c r="E33" i="58"/>
  <c r="E25" i="58"/>
  <c r="E17" i="58"/>
  <c r="E6" i="58"/>
  <c r="E4" i="58"/>
  <c r="E12" i="58"/>
  <c r="E8" i="58"/>
  <c r="E11" i="58"/>
  <c r="E9" i="58"/>
  <c r="E7" i="58"/>
  <c r="E5" i="58"/>
  <c r="F10" i="58"/>
  <c r="E10" i="58"/>
  <c r="E3" i="58"/>
  <c r="G46" i="58"/>
  <c r="G14" i="58"/>
  <c r="G42" i="58"/>
  <c r="G30" i="58"/>
  <c r="G26" i="58"/>
  <c r="G38" i="58"/>
  <c r="G22" i="58"/>
  <c r="G6" i="58"/>
  <c r="G11" i="58"/>
  <c r="G7" i="58"/>
  <c r="F11" i="58"/>
  <c r="F7" i="58"/>
  <c r="F3" i="58"/>
  <c r="G5" i="58"/>
  <c r="F49" i="58"/>
  <c r="F45" i="58"/>
  <c r="F41" i="58"/>
  <c r="F37" i="58"/>
  <c r="F33" i="58"/>
  <c r="F29" i="58"/>
  <c r="F25" i="58"/>
  <c r="F21" i="58"/>
  <c r="F17" i="58"/>
  <c r="F13" i="58"/>
  <c r="F9" i="58"/>
  <c r="G10" i="58"/>
  <c r="G51" i="58"/>
  <c r="G47" i="58"/>
  <c r="G43" i="58"/>
  <c r="G39" i="58"/>
  <c r="G35" i="58"/>
  <c r="G31" i="58"/>
  <c r="G27" i="58"/>
  <c r="G23" i="58"/>
  <c r="G19" i="58"/>
  <c r="G15" i="58"/>
  <c r="F50" i="58"/>
  <c r="F46" i="58"/>
  <c r="F42" i="58"/>
  <c r="F38" i="58"/>
  <c r="F34" i="58"/>
  <c r="F30" i="58"/>
  <c r="F26" i="58"/>
  <c r="F22" i="58"/>
  <c r="F18" i="58"/>
  <c r="F14" i="58"/>
  <c r="G50" i="58"/>
  <c r="G34" i="58"/>
  <c r="G18" i="58"/>
  <c r="Q9" i="60"/>
  <c r="Q6" i="60"/>
  <c r="G8" i="58"/>
  <c r="F52" i="58"/>
  <c r="F48" i="58"/>
  <c r="F44" i="58"/>
  <c r="F40" i="58"/>
  <c r="F36" i="58"/>
  <c r="F32" i="58"/>
  <c r="F28" i="58"/>
  <c r="F24" i="58"/>
  <c r="F20" i="58"/>
  <c r="F16" i="58"/>
  <c r="G3" i="58"/>
  <c r="G49" i="58"/>
  <c r="G45" i="58"/>
  <c r="G41" i="58"/>
  <c r="G37" i="58"/>
  <c r="G33" i="58"/>
  <c r="G29" i="58"/>
  <c r="G25" i="58"/>
  <c r="G21" i="58"/>
  <c r="G17" i="58"/>
  <c r="G13" i="58"/>
  <c r="F4" i="58"/>
  <c r="G4" i="58"/>
  <c r="F8" i="58"/>
  <c r="F51" i="58"/>
  <c r="F47" i="58"/>
  <c r="F43" i="58"/>
  <c r="F39" i="58"/>
  <c r="F35" i="58"/>
  <c r="F31" i="58"/>
  <c r="F27" i="58"/>
  <c r="F23" i="58"/>
  <c r="F19" i="58"/>
  <c r="F15" i="58"/>
  <c r="F6" i="58"/>
  <c r="G52" i="58"/>
  <c r="G48" i="58"/>
  <c r="G44" i="58"/>
  <c r="G40" i="58"/>
  <c r="G36" i="58"/>
  <c r="G32" i="58"/>
  <c r="G28" i="58"/>
  <c r="G24" i="58"/>
  <c r="G20" i="58"/>
  <c r="G16" i="58"/>
  <c r="F5" i="58"/>
  <c r="F12" i="58"/>
  <c r="G12" i="58"/>
  <c r="AO22" i="22"/>
  <c r="AO23" i="22"/>
  <c r="AO24" i="22"/>
  <c r="AO14" i="22"/>
  <c r="AO15" i="22"/>
  <c r="AO16" i="22"/>
  <c r="AO17" i="22"/>
  <c r="AO18" i="22"/>
  <c r="AO19" i="22"/>
  <c r="AO20" i="22"/>
  <c r="AO21" i="22"/>
  <c r="AO4" i="22"/>
  <c r="B59" i="60"/>
  <c r="C55" i="60"/>
  <c r="D102" i="28" s="1"/>
  <c r="L102" i="28" s="1"/>
  <c r="C54" i="60"/>
  <c r="D101" i="28" s="1"/>
  <c r="L101" i="28" s="1"/>
  <c r="C53" i="60"/>
  <c r="D100" i="28" s="1"/>
  <c r="L100" i="28" s="1"/>
  <c r="C52" i="60"/>
  <c r="D99" i="28" s="1"/>
  <c r="L99" i="28" s="1"/>
  <c r="C51" i="60"/>
  <c r="D98" i="28" s="1"/>
  <c r="L98" i="28" s="1"/>
  <c r="C50" i="60"/>
  <c r="D97" i="28" s="1"/>
  <c r="L97" i="28" s="1"/>
  <c r="C49" i="60"/>
  <c r="D96" i="28" s="1"/>
  <c r="L96" i="28" s="1"/>
  <c r="C48" i="60"/>
  <c r="D95" i="28" s="1"/>
  <c r="L95" i="28" s="1"/>
  <c r="C47" i="60"/>
  <c r="D94" i="28" s="1"/>
  <c r="L94" i="28" s="1"/>
  <c r="C46" i="60"/>
  <c r="D93" i="28" s="1"/>
  <c r="L93" i="28" s="1"/>
  <c r="C45" i="60"/>
  <c r="D92" i="28" s="1"/>
  <c r="L92" i="28" s="1"/>
  <c r="C44" i="60"/>
  <c r="D91" i="28" s="1"/>
  <c r="L91" i="28" s="1"/>
  <c r="C43" i="60"/>
  <c r="D90" i="28" s="1"/>
  <c r="L90" i="28" s="1"/>
  <c r="C42" i="60"/>
  <c r="D89" i="28" s="1"/>
  <c r="L89" i="28" s="1"/>
  <c r="C41" i="60"/>
  <c r="D88" i="28" s="1"/>
  <c r="L88" i="28" s="1"/>
  <c r="C40" i="60"/>
  <c r="D87" i="28" s="1"/>
  <c r="L87" i="28" s="1"/>
  <c r="C39" i="60"/>
  <c r="D86" i="28" s="1"/>
  <c r="L86" i="28" s="1"/>
  <c r="C38" i="60"/>
  <c r="D85" i="28" s="1"/>
  <c r="L85" i="28" s="1"/>
  <c r="C37" i="60"/>
  <c r="D84" i="28" s="1"/>
  <c r="L84" i="28" s="1"/>
  <c r="C36" i="60"/>
  <c r="D83" i="28" s="1"/>
  <c r="L83" i="28" s="1"/>
  <c r="C35" i="60"/>
  <c r="D82" i="28" s="1"/>
  <c r="L82" i="28" s="1"/>
  <c r="C34" i="60"/>
  <c r="D81" i="28" s="1"/>
  <c r="L81" i="28" s="1"/>
  <c r="C33" i="60"/>
  <c r="D80" i="28" s="1"/>
  <c r="L80" i="28" s="1"/>
  <c r="C32" i="60"/>
  <c r="D79" i="28" s="1"/>
  <c r="L79" i="28" s="1"/>
  <c r="C31" i="60"/>
  <c r="D78" i="28" s="1"/>
  <c r="L78" i="28" s="1"/>
  <c r="C30" i="60"/>
  <c r="D77" i="28" s="1"/>
  <c r="L77" i="28" s="1"/>
  <c r="C29" i="60"/>
  <c r="D76" i="28" s="1"/>
  <c r="L76" i="28" s="1"/>
  <c r="C28" i="60"/>
  <c r="D75" i="28" s="1"/>
  <c r="L75" i="28" s="1"/>
  <c r="C27" i="60"/>
  <c r="D74" i="28" s="1"/>
  <c r="L74" i="28" s="1"/>
  <c r="C26" i="60"/>
  <c r="D73" i="28" s="1"/>
  <c r="L73" i="28" s="1"/>
  <c r="C25" i="60"/>
  <c r="D72" i="28" s="1"/>
  <c r="L72" i="28" s="1"/>
  <c r="C24" i="60"/>
  <c r="D71" i="28" s="1"/>
  <c r="L71" i="28" s="1"/>
  <c r="C23" i="60"/>
  <c r="D70" i="28" s="1"/>
  <c r="L70" i="28" s="1"/>
  <c r="C22" i="60"/>
  <c r="D69" i="28" s="1"/>
  <c r="L69" i="28" s="1"/>
  <c r="C21" i="60"/>
  <c r="D68" i="28" s="1"/>
  <c r="L68" i="28" s="1"/>
  <c r="C20" i="60"/>
  <c r="D67" i="28" s="1"/>
  <c r="L67" i="28" s="1"/>
  <c r="C19" i="60"/>
  <c r="D66" i="28" s="1"/>
  <c r="L66" i="28" s="1"/>
  <c r="C18" i="60"/>
  <c r="D65" i="28" s="1"/>
  <c r="L65" i="28" s="1"/>
  <c r="C17" i="60"/>
  <c r="D64" i="28" s="1"/>
  <c r="L64" i="28" s="1"/>
  <c r="C16" i="60"/>
  <c r="D63" i="28" s="1"/>
  <c r="L63" i="28" s="1"/>
  <c r="C15" i="60"/>
  <c r="D62" i="28" s="1"/>
  <c r="L62" i="28" s="1"/>
  <c r="C14" i="60"/>
  <c r="D61" i="28" s="1"/>
  <c r="L61" i="28" s="1"/>
  <c r="C13" i="60"/>
  <c r="C12" i="60"/>
  <c r="D59" i="28" s="1"/>
  <c r="L59" i="28" s="1"/>
  <c r="C11" i="60"/>
  <c r="C10" i="60"/>
  <c r="D57" i="28" s="1"/>
  <c r="L57" i="28" s="1"/>
  <c r="C9" i="60"/>
  <c r="D56" i="28" s="1"/>
  <c r="L56" i="28" s="1"/>
  <c r="C8" i="60"/>
  <c r="D55" i="28" s="1"/>
  <c r="L55" i="28" s="1"/>
  <c r="C7" i="60"/>
  <c r="C6" i="60"/>
  <c r="D53" i="28" s="1"/>
  <c r="L53" i="28" s="1"/>
  <c r="C13" i="26"/>
  <c r="C12" i="26"/>
  <c r="C11" i="26"/>
  <c r="H9" i="58" l="1"/>
  <c r="M9" i="58" s="1"/>
  <c r="H8" i="58"/>
  <c r="O8" i="58" s="1"/>
  <c r="H10" i="58"/>
  <c r="M10" i="58" s="1"/>
  <c r="H42" i="58"/>
  <c r="M42" i="58" s="1"/>
  <c r="H14" i="58"/>
  <c r="M14" i="58" s="1"/>
  <c r="H26" i="58"/>
  <c r="M26" i="58" s="1"/>
  <c r="H11" i="58"/>
  <c r="O11" i="58" s="1"/>
  <c r="H25" i="58"/>
  <c r="M25" i="58" s="1"/>
  <c r="H41" i="58"/>
  <c r="M41" i="58" s="1"/>
  <c r="H46" i="58"/>
  <c r="M46" i="58" s="1"/>
  <c r="H22" i="58"/>
  <c r="M22" i="58" s="1"/>
  <c r="H15" i="58"/>
  <c r="O15" i="58" s="1"/>
  <c r="H31" i="58"/>
  <c r="M31" i="58" s="1"/>
  <c r="H47" i="58"/>
  <c r="O47" i="58" s="1"/>
  <c r="H30" i="58"/>
  <c r="M30" i="58" s="1"/>
  <c r="H19" i="58"/>
  <c r="O19" i="58" s="1"/>
  <c r="H35" i="58"/>
  <c r="O35" i="58" s="1"/>
  <c r="H51" i="58"/>
  <c r="O51" i="58" s="1"/>
  <c r="H37" i="58"/>
  <c r="M37" i="58" s="1"/>
  <c r="H38" i="58"/>
  <c r="M38" i="58" s="1"/>
  <c r="H29" i="58"/>
  <c r="M29" i="58" s="1"/>
  <c r="H7" i="58"/>
  <c r="O7" i="58" s="1"/>
  <c r="H5" i="58"/>
  <c r="O5" i="58" s="1"/>
  <c r="H16" i="58"/>
  <c r="M16" i="58" s="1"/>
  <c r="H32" i="58"/>
  <c r="M32" i="58" s="1"/>
  <c r="H48" i="58"/>
  <c r="M48" i="58" s="1"/>
  <c r="H13" i="58"/>
  <c r="O13" i="58" s="1"/>
  <c r="H45" i="58"/>
  <c r="O45" i="58" s="1"/>
  <c r="H17" i="58"/>
  <c r="H33" i="58"/>
  <c r="H49" i="58"/>
  <c r="H6" i="58"/>
  <c r="O6" i="58" s="1"/>
  <c r="H27" i="58"/>
  <c r="O27" i="58" s="1"/>
  <c r="H43" i="58"/>
  <c r="O43" i="58" s="1"/>
  <c r="H21" i="58"/>
  <c r="O21" i="58" s="1"/>
  <c r="H3" i="58"/>
  <c r="O3" i="58" s="1"/>
  <c r="F13" i="60"/>
  <c r="E60" i="28" s="1"/>
  <c r="D60" i="28"/>
  <c r="L60" i="28" s="1"/>
  <c r="H18" i="58"/>
  <c r="H34" i="58"/>
  <c r="H50" i="58"/>
  <c r="F7" i="60"/>
  <c r="E54" i="28" s="1"/>
  <c r="D54" i="28"/>
  <c r="L54" i="28" s="1"/>
  <c r="M11" i="60"/>
  <c r="D58" i="28"/>
  <c r="L58" i="28" s="1"/>
  <c r="H23" i="58"/>
  <c r="O23" i="58" s="1"/>
  <c r="H39" i="58"/>
  <c r="O39" i="58" s="1"/>
  <c r="H4" i="58"/>
  <c r="O4" i="58" s="1"/>
  <c r="H20" i="58"/>
  <c r="O20" i="58" s="1"/>
  <c r="H36" i="58"/>
  <c r="O36" i="58" s="1"/>
  <c r="H52" i="58"/>
  <c r="O52" i="58" s="1"/>
  <c r="H24" i="58"/>
  <c r="O24" i="58" s="1"/>
  <c r="H40" i="58"/>
  <c r="O40" i="58" s="1"/>
  <c r="H28" i="58"/>
  <c r="O28" i="58" s="1"/>
  <c r="H44" i="58"/>
  <c r="O44" i="58" s="1"/>
  <c r="H12" i="58"/>
  <c r="O12" i="58" s="1"/>
  <c r="M9" i="60"/>
  <c r="M41" i="60"/>
  <c r="S41" i="60" s="1"/>
  <c r="M49" i="60"/>
  <c r="S49" i="60" s="1"/>
  <c r="M7" i="60"/>
  <c r="M13" i="60"/>
  <c r="S13" i="60" s="1"/>
  <c r="M43" i="60"/>
  <c r="S43" i="60" s="1"/>
  <c r="M51" i="60"/>
  <c r="S51" i="60" s="1"/>
  <c r="M45" i="60"/>
  <c r="S45" i="60" s="1"/>
  <c r="M53" i="60"/>
  <c r="S53" i="60" s="1"/>
  <c r="M47" i="60"/>
  <c r="S47" i="60" s="1"/>
  <c r="M55" i="60"/>
  <c r="S55" i="60" s="1"/>
  <c r="F11" i="60"/>
  <c r="E58" i="28" s="1"/>
  <c r="R4" i="60"/>
  <c r="G4" i="51" s="1"/>
  <c r="F9" i="60"/>
  <c r="E56" i="28" s="1"/>
  <c r="S9" i="60"/>
  <c r="M6" i="60"/>
  <c r="F6" i="60"/>
  <c r="E53" i="28" s="1"/>
  <c r="M16" i="60"/>
  <c r="S16" i="60" s="1"/>
  <c r="F19" i="60"/>
  <c r="E66" i="28" s="1"/>
  <c r="M19" i="60"/>
  <c r="S19" i="60" s="1"/>
  <c r="F24" i="60"/>
  <c r="E71" i="28" s="1"/>
  <c r="F28" i="60"/>
  <c r="E75" i="28" s="1"/>
  <c r="F32" i="60"/>
  <c r="E79" i="28" s="1"/>
  <c r="F34" i="60"/>
  <c r="E81" i="28" s="1"/>
  <c r="F36" i="60"/>
  <c r="E83" i="28" s="1"/>
  <c r="M42" i="60"/>
  <c r="S42" i="60" s="1"/>
  <c r="F42" i="60"/>
  <c r="E89" i="28" s="1"/>
  <c r="S11" i="60"/>
  <c r="M24" i="60"/>
  <c r="S24" i="60" s="1"/>
  <c r="M34" i="60"/>
  <c r="S34" i="60" s="1"/>
  <c r="M36" i="60"/>
  <c r="S36" i="60" s="1"/>
  <c r="M44" i="60"/>
  <c r="S44" i="60" s="1"/>
  <c r="F44" i="60"/>
  <c r="E91" i="28" s="1"/>
  <c r="M52" i="60"/>
  <c r="S52" i="60" s="1"/>
  <c r="F52" i="60"/>
  <c r="E99" i="28" s="1"/>
  <c r="M10" i="60"/>
  <c r="S10" i="60" s="1"/>
  <c r="F10" i="60"/>
  <c r="E57" i="28" s="1"/>
  <c r="M14" i="60"/>
  <c r="S14" i="60" s="1"/>
  <c r="F17" i="60"/>
  <c r="E64" i="28" s="1"/>
  <c r="M17" i="60"/>
  <c r="S17" i="60" s="1"/>
  <c r="M18" i="60"/>
  <c r="S18" i="60" s="1"/>
  <c r="F21" i="60"/>
  <c r="E68" i="28" s="1"/>
  <c r="M21" i="60"/>
  <c r="S21" i="60" s="1"/>
  <c r="M22" i="60"/>
  <c r="S22" i="60" s="1"/>
  <c r="F38" i="60"/>
  <c r="E85" i="28" s="1"/>
  <c r="M38" i="60"/>
  <c r="S38" i="60" s="1"/>
  <c r="M46" i="60"/>
  <c r="S46" i="60" s="1"/>
  <c r="F46" i="60"/>
  <c r="E93" i="28" s="1"/>
  <c r="M54" i="60"/>
  <c r="S54" i="60" s="1"/>
  <c r="F54" i="60"/>
  <c r="E101" i="28" s="1"/>
  <c r="F15" i="60"/>
  <c r="E62" i="28" s="1"/>
  <c r="M15" i="60"/>
  <c r="S15" i="60" s="1"/>
  <c r="M20" i="60"/>
  <c r="S20" i="60" s="1"/>
  <c r="F23" i="60"/>
  <c r="E70" i="28" s="1"/>
  <c r="M23" i="60"/>
  <c r="S23" i="60" s="1"/>
  <c r="F26" i="60"/>
  <c r="E73" i="28" s="1"/>
  <c r="F30" i="60"/>
  <c r="E77" i="28" s="1"/>
  <c r="M50" i="60"/>
  <c r="S50" i="60" s="1"/>
  <c r="F50" i="60"/>
  <c r="E97" i="28" s="1"/>
  <c r="F16" i="60"/>
  <c r="E63" i="28" s="1"/>
  <c r="F20" i="60"/>
  <c r="E67" i="28" s="1"/>
  <c r="Q23" i="60"/>
  <c r="M26" i="60"/>
  <c r="S26" i="60" s="1"/>
  <c r="M28" i="60"/>
  <c r="S28" i="60" s="1"/>
  <c r="M30" i="60"/>
  <c r="S30" i="60" s="1"/>
  <c r="M32" i="60"/>
  <c r="S32" i="60" s="1"/>
  <c r="M8" i="60"/>
  <c r="F8" i="60"/>
  <c r="E55" i="28" s="1"/>
  <c r="M12" i="60"/>
  <c r="S12" i="60" s="1"/>
  <c r="F12" i="60"/>
  <c r="E59" i="28" s="1"/>
  <c r="F14" i="60"/>
  <c r="E61" i="28" s="1"/>
  <c r="F18" i="60"/>
  <c r="E65" i="28" s="1"/>
  <c r="F22" i="60"/>
  <c r="E69" i="28" s="1"/>
  <c r="M40" i="60"/>
  <c r="S40" i="60" s="1"/>
  <c r="F40" i="60"/>
  <c r="E87" i="28" s="1"/>
  <c r="M48" i="60"/>
  <c r="S48" i="60" s="1"/>
  <c r="F48" i="60"/>
  <c r="E95" i="28" s="1"/>
  <c r="F25" i="60"/>
  <c r="E72" i="28" s="1"/>
  <c r="F27" i="60"/>
  <c r="E74" i="28" s="1"/>
  <c r="F29" i="60"/>
  <c r="E76" i="28" s="1"/>
  <c r="F31" i="60"/>
  <c r="E78" i="28" s="1"/>
  <c r="F33" i="60"/>
  <c r="E80" i="28" s="1"/>
  <c r="F35" i="60"/>
  <c r="E82" i="28" s="1"/>
  <c r="F37" i="60"/>
  <c r="E84" i="28" s="1"/>
  <c r="F39" i="60"/>
  <c r="E86" i="28" s="1"/>
  <c r="M25" i="60"/>
  <c r="S25" i="60" s="1"/>
  <c r="M27" i="60"/>
  <c r="S27" i="60" s="1"/>
  <c r="M29" i="60"/>
  <c r="S29" i="60" s="1"/>
  <c r="M31" i="60"/>
  <c r="S31" i="60" s="1"/>
  <c r="M33" i="60"/>
  <c r="S33" i="60" s="1"/>
  <c r="M35" i="60"/>
  <c r="S35" i="60" s="1"/>
  <c r="M37" i="60"/>
  <c r="S37" i="60" s="1"/>
  <c r="M39" i="60"/>
  <c r="S39" i="60" s="1"/>
  <c r="F41" i="60"/>
  <c r="E88" i="28" s="1"/>
  <c r="F43" i="60"/>
  <c r="E90" i="28" s="1"/>
  <c r="F45" i="60"/>
  <c r="E92" i="28" s="1"/>
  <c r="F47" i="60"/>
  <c r="E94" i="28" s="1"/>
  <c r="F49" i="60"/>
  <c r="E96" i="28" s="1"/>
  <c r="F51" i="60"/>
  <c r="E98" i="28" s="1"/>
  <c r="F53" i="60"/>
  <c r="E100" i="28" s="1"/>
  <c r="F55" i="60"/>
  <c r="E102" i="28" s="1"/>
  <c r="Y4" i="22"/>
  <c r="Y5" i="22"/>
  <c r="D29" i="52"/>
  <c r="D28" i="52"/>
  <c r="Q8" i="60"/>
  <c r="Q10" i="60"/>
  <c r="Q12" i="60"/>
  <c r="Q15" i="60"/>
  <c r="Q16" i="60"/>
  <c r="Q17" i="60"/>
  <c r="Q18" i="60"/>
  <c r="Q19" i="60"/>
  <c r="Q20" i="60"/>
  <c r="Q21" i="60"/>
  <c r="Q22" i="60"/>
  <c r="Q24" i="60"/>
  <c r="Q25" i="60"/>
  <c r="Q26" i="60"/>
  <c r="Q27" i="60"/>
  <c r="Q28" i="60"/>
  <c r="Q29" i="60"/>
  <c r="Q30" i="60"/>
  <c r="Q31" i="60"/>
  <c r="Q32" i="60"/>
  <c r="Q33" i="60"/>
  <c r="Q34" i="60"/>
  <c r="Q35" i="60"/>
  <c r="Q36" i="60"/>
  <c r="Q37" i="60"/>
  <c r="Q38" i="60"/>
  <c r="Q39" i="60"/>
  <c r="Q40" i="60"/>
  <c r="Q41" i="60"/>
  <c r="Q42" i="60"/>
  <c r="Q43" i="60"/>
  <c r="Q44" i="60"/>
  <c r="Q45" i="60"/>
  <c r="Q46" i="60"/>
  <c r="Q47" i="60"/>
  <c r="Q48" i="60"/>
  <c r="Q49" i="60"/>
  <c r="Q50" i="60"/>
  <c r="Q51" i="60"/>
  <c r="Q52" i="60"/>
  <c r="Q53" i="60"/>
  <c r="Q54" i="60"/>
  <c r="Q55" i="60"/>
  <c r="M8" i="58" l="1"/>
  <c r="O10" i="58"/>
  <c r="O9" i="58"/>
  <c r="O42" i="58"/>
  <c r="O46" i="58"/>
  <c r="O26" i="58"/>
  <c r="O22" i="58"/>
  <c r="O14" i="58"/>
  <c r="O41" i="58"/>
  <c r="O25" i="58"/>
  <c r="M15" i="58"/>
  <c r="M11" i="58"/>
  <c r="O31" i="58"/>
  <c r="M45" i="58"/>
  <c r="M51" i="58"/>
  <c r="O29" i="58"/>
  <c r="O32" i="58"/>
  <c r="M47" i="58"/>
  <c r="O30" i="58"/>
  <c r="M3" i="58"/>
  <c r="M35" i="58"/>
  <c r="O37" i="58"/>
  <c r="M19" i="58"/>
  <c r="M13" i="58"/>
  <c r="O16" i="58"/>
  <c r="O38" i="58"/>
  <c r="M7" i="58"/>
  <c r="M21" i="58"/>
  <c r="O48" i="58"/>
  <c r="M5" i="58"/>
  <c r="M43" i="58"/>
  <c r="M4" i="58"/>
  <c r="M39" i="58"/>
  <c r="M17" i="58"/>
  <c r="O17" i="58"/>
  <c r="M6" i="58"/>
  <c r="M49" i="58"/>
  <c r="O49" i="58"/>
  <c r="M23" i="58"/>
  <c r="M27" i="58"/>
  <c r="M33" i="58"/>
  <c r="O33" i="58"/>
  <c r="N7" i="60"/>
  <c r="M54" i="28" s="1"/>
  <c r="N8" i="60"/>
  <c r="M55" i="28" s="1"/>
  <c r="M50" i="58"/>
  <c r="O50" i="58"/>
  <c r="N6" i="60"/>
  <c r="M53" i="28" s="1"/>
  <c r="M34" i="58"/>
  <c r="O34" i="58"/>
  <c r="M18" i="58"/>
  <c r="O18" i="58"/>
  <c r="M44" i="58"/>
  <c r="M52" i="58"/>
  <c r="M36" i="58"/>
  <c r="M24" i="58"/>
  <c r="M12" i="58"/>
  <c r="M28" i="58"/>
  <c r="M40" i="58"/>
  <c r="M20" i="58"/>
  <c r="T51" i="60"/>
  <c r="T49" i="60"/>
  <c r="T41" i="60"/>
  <c r="T29" i="60"/>
  <c r="T35" i="60"/>
  <c r="T39" i="60"/>
  <c r="T31" i="60"/>
  <c r="T10" i="60"/>
  <c r="T37" i="60"/>
  <c r="T27" i="60"/>
  <c r="T33" i="60"/>
  <c r="T25" i="60"/>
  <c r="T15" i="60"/>
  <c r="T47" i="60"/>
  <c r="T45" i="60"/>
  <c r="T53" i="60"/>
  <c r="T43" i="60"/>
  <c r="T12" i="60"/>
  <c r="T52" i="60"/>
  <c r="T44" i="60"/>
  <c r="T16" i="60"/>
  <c r="T34" i="60"/>
  <c r="T24" i="60"/>
  <c r="T28" i="60"/>
  <c r="T26" i="60"/>
  <c r="T18" i="60"/>
  <c r="T21" i="60"/>
  <c r="T23" i="60"/>
  <c r="T32" i="60"/>
  <c r="T20" i="60"/>
  <c r="T36" i="60"/>
  <c r="T42" i="60"/>
  <c r="T17" i="60"/>
  <c r="T19" i="60"/>
  <c r="T30" i="60"/>
  <c r="T54" i="60"/>
  <c r="T46" i="60"/>
  <c r="T55" i="60"/>
  <c r="T48" i="60"/>
  <c r="T40" i="60"/>
  <c r="T50" i="60"/>
  <c r="T38" i="60"/>
  <c r="T22" i="60"/>
  <c r="Q13" i="60"/>
  <c r="T13" i="60" s="1"/>
  <c r="O124" i="22"/>
  <c r="M124" i="22"/>
  <c r="O123" i="22"/>
  <c r="M123" i="22"/>
  <c r="O122" i="22"/>
  <c r="M122" i="22"/>
  <c r="S6" i="60" l="1"/>
  <c r="S8" i="60"/>
  <c r="T8" i="60" s="1"/>
  <c r="N4" i="60"/>
  <c r="C4" i="51" s="1"/>
  <c r="S7" i="60"/>
  <c r="T9" i="60"/>
  <c r="Q14" i="60"/>
  <c r="T14" i="60" s="1"/>
  <c r="Q11" i="60"/>
  <c r="T11" i="60" s="1"/>
  <c r="Q7" i="60"/>
  <c r="S4" i="60" l="1"/>
  <c r="H4" i="51" s="1"/>
  <c r="T7" i="60"/>
  <c r="O4" i="60"/>
  <c r="D4" i="51" s="1"/>
  <c r="P4" i="60"/>
  <c r="E4" i="51" s="1"/>
  <c r="B58" i="1"/>
  <c r="B42" i="37"/>
  <c r="B26" i="61" s="1"/>
  <c r="B47" i="52"/>
  <c r="B20" i="44"/>
  <c r="B195" i="28"/>
  <c r="J195" i="28"/>
  <c r="K195" i="28"/>
  <c r="L195" i="28"/>
  <c r="B196" i="28"/>
  <c r="J196" i="28"/>
  <c r="K196" i="28"/>
  <c r="L196" i="28"/>
  <c r="B197" i="28"/>
  <c r="J197" i="28"/>
  <c r="K197" i="28"/>
  <c r="L197" i="28"/>
  <c r="B198" i="28"/>
  <c r="J198" i="28"/>
  <c r="K198" i="28"/>
  <c r="L198" i="28"/>
  <c r="B199" i="28"/>
  <c r="J199" i="28"/>
  <c r="K199" i="28"/>
  <c r="L199" i="28"/>
  <c r="B200" i="28"/>
  <c r="J200" i="28"/>
  <c r="K200" i="28"/>
  <c r="L200" i="28"/>
  <c r="B201" i="28"/>
  <c r="J201" i="28"/>
  <c r="K201" i="28"/>
  <c r="L201" i="28"/>
  <c r="B202" i="28"/>
  <c r="J202" i="28"/>
  <c r="K202" i="28"/>
  <c r="L202" i="28"/>
  <c r="B203" i="28"/>
  <c r="J203" i="28"/>
  <c r="K203" i="28"/>
  <c r="L203" i="28"/>
  <c r="B204" i="28"/>
  <c r="J204" i="28"/>
  <c r="K204" i="28"/>
  <c r="L204" i="28"/>
  <c r="B205" i="28"/>
  <c r="J205" i="28"/>
  <c r="K205" i="28"/>
  <c r="L205" i="28"/>
  <c r="B206" i="28"/>
  <c r="J206" i="28"/>
  <c r="K206" i="28"/>
  <c r="L206" i="28"/>
  <c r="B207" i="28"/>
  <c r="J207" i="28"/>
  <c r="K207" i="28"/>
  <c r="L207" i="28"/>
  <c r="B208" i="28"/>
  <c r="J208" i="28"/>
  <c r="K208" i="28"/>
  <c r="L208" i="28"/>
  <c r="B209" i="28"/>
  <c r="J209" i="28"/>
  <c r="K209" i="28"/>
  <c r="L209" i="28"/>
  <c r="B210" i="28"/>
  <c r="J210" i="28"/>
  <c r="K210" i="28"/>
  <c r="L210" i="28"/>
  <c r="B211" i="28"/>
  <c r="J211" i="28"/>
  <c r="K211" i="28"/>
  <c r="L211" i="28"/>
  <c r="B212" i="28"/>
  <c r="J212" i="28"/>
  <c r="K212" i="28"/>
  <c r="L212" i="28"/>
  <c r="J194" i="28"/>
  <c r="K194" i="28"/>
  <c r="L194" i="28"/>
  <c r="L193" i="28"/>
  <c r="K193" i="28"/>
  <c r="J193" i="28"/>
  <c r="D193" i="28"/>
  <c r="D194" i="28"/>
  <c r="D195" i="28"/>
  <c r="D196" i="28"/>
  <c r="D197" i="28"/>
  <c r="D198" i="28"/>
  <c r="D199" i="28"/>
  <c r="D200" i="28"/>
  <c r="D201" i="28"/>
  <c r="D202" i="28"/>
  <c r="D203" i="28"/>
  <c r="D204" i="28"/>
  <c r="D205" i="28"/>
  <c r="D206" i="28"/>
  <c r="D207" i="28"/>
  <c r="D208" i="28"/>
  <c r="D209" i="28"/>
  <c r="D210" i="28"/>
  <c r="D211" i="28"/>
  <c r="D212" i="28"/>
  <c r="B194" i="28"/>
  <c r="B193" i="28"/>
  <c r="B165" i="28"/>
  <c r="F165" i="28"/>
  <c r="J165" i="28"/>
  <c r="K165" i="28"/>
  <c r="L165" i="28"/>
  <c r="B166" i="28"/>
  <c r="F166" i="28"/>
  <c r="J166" i="28"/>
  <c r="K166" i="28"/>
  <c r="L166" i="28"/>
  <c r="B167" i="28"/>
  <c r="F167" i="28"/>
  <c r="J167" i="28"/>
  <c r="K167" i="28"/>
  <c r="L167" i="28"/>
  <c r="B168" i="28"/>
  <c r="F168" i="28"/>
  <c r="J168" i="28"/>
  <c r="K168" i="28"/>
  <c r="L168" i="28"/>
  <c r="B169" i="28"/>
  <c r="F169" i="28"/>
  <c r="J169" i="28"/>
  <c r="K169" i="28"/>
  <c r="L169" i="28"/>
  <c r="B170" i="28"/>
  <c r="F170" i="28"/>
  <c r="J170" i="28"/>
  <c r="K170" i="28"/>
  <c r="L170" i="28"/>
  <c r="B171" i="28"/>
  <c r="F171" i="28"/>
  <c r="J171" i="28"/>
  <c r="K171" i="28"/>
  <c r="L171" i="28"/>
  <c r="B172" i="28"/>
  <c r="F172" i="28"/>
  <c r="J172" i="28"/>
  <c r="K172" i="28"/>
  <c r="L172" i="28"/>
  <c r="B173" i="28"/>
  <c r="F173" i="28"/>
  <c r="J173" i="28"/>
  <c r="K173" i="28"/>
  <c r="L173" i="28"/>
  <c r="B174" i="28"/>
  <c r="F174" i="28"/>
  <c r="J174" i="28"/>
  <c r="K174" i="28"/>
  <c r="L174" i="28"/>
  <c r="B175" i="28"/>
  <c r="F175" i="28"/>
  <c r="J175" i="28"/>
  <c r="K175" i="28"/>
  <c r="L175" i="28"/>
  <c r="B176" i="28"/>
  <c r="F176" i="28"/>
  <c r="J176" i="28"/>
  <c r="K176" i="28"/>
  <c r="L176" i="28"/>
  <c r="B177" i="28"/>
  <c r="F177" i="28"/>
  <c r="J177" i="28"/>
  <c r="K177" i="28"/>
  <c r="L177" i="28"/>
  <c r="B178" i="28"/>
  <c r="F178" i="28"/>
  <c r="J178" i="28"/>
  <c r="K178" i="28"/>
  <c r="L178" i="28"/>
  <c r="B179" i="28"/>
  <c r="F179" i="28"/>
  <c r="J179" i="28"/>
  <c r="K179" i="28"/>
  <c r="L179" i="28"/>
  <c r="B180" i="28"/>
  <c r="F180" i="28"/>
  <c r="J180" i="28"/>
  <c r="K180" i="28"/>
  <c r="L180" i="28"/>
  <c r="B181" i="28"/>
  <c r="F181" i="28"/>
  <c r="J181" i="28"/>
  <c r="K181" i="28"/>
  <c r="L181" i="28"/>
  <c r="B182" i="28"/>
  <c r="F182" i="28"/>
  <c r="J182" i="28"/>
  <c r="K182" i="28"/>
  <c r="L182" i="28"/>
  <c r="B183" i="28"/>
  <c r="F183" i="28"/>
  <c r="J183" i="28"/>
  <c r="K183" i="28"/>
  <c r="L183" i="28"/>
  <c r="B184" i="28"/>
  <c r="F184" i="28"/>
  <c r="J184" i="28"/>
  <c r="K184" i="28"/>
  <c r="L184" i="28"/>
  <c r="B185" i="28"/>
  <c r="F185" i="28"/>
  <c r="J185" i="28"/>
  <c r="K185" i="28"/>
  <c r="L185" i="28"/>
  <c r="B186" i="28"/>
  <c r="F186" i="28"/>
  <c r="J186" i="28"/>
  <c r="K186" i="28"/>
  <c r="L186" i="28"/>
  <c r="B187" i="28"/>
  <c r="F187" i="28"/>
  <c r="J187" i="28"/>
  <c r="K187" i="28"/>
  <c r="L187" i="28"/>
  <c r="B188" i="28"/>
  <c r="F188" i="28"/>
  <c r="J188" i="28"/>
  <c r="K188" i="28"/>
  <c r="L188" i="28"/>
  <c r="B189" i="28"/>
  <c r="F189" i="28"/>
  <c r="J189" i="28"/>
  <c r="K189" i="28"/>
  <c r="L189" i="28"/>
  <c r="B190" i="28"/>
  <c r="F190" i="28"/>
  <c r="J190" i="28"/>
  <c r="K190" i="28"/>
  <c r="L190" i="28"/>
  <c r="B191" i="28"/>
  <c r="F191" i="28"/>
  <c r="J191" i="28"/>
  <c r="K191" i="28"/>
  <c r="L191" i="28"/>
  <c r="B192" i="28"/>
  <c r="F192" i="28"/>
  <c r="J192" i="28"/>
  <c r="K192" i="28"/>
  <c r="L192" i="28"/>
  <c r="F164" i="28"/>
  <c r="J164" i="28"/>
  <c r="K164" i="28"/>
  <c r="L164" i="28"/>
  <c r="L163" i="28"/>
  <c r="K163" i="28"/>
  <c r="J163" i="28"/>
  <c r="F163" i="28"/>
  <c r="B164" i="28"/>
  <c r="B163" i="28"/>
  <c r="B159" i="28"/>
  <c r="F159" i="28"/>
  <c r="J159" i="28"/>
  <c r="K159" i="28"/>
  <c r="L159" i="28"/>
  <c r="B160" i="28"/>
  <c r="F160" i="28"/>
  <c r="J160" i="28"/>
  <c r="K160" i="28"/>
  <c r="L160" i="28"/>
  <c r="B161" i="28"/>
  <c r="F161" i="28"/>
  <c r="J161" i="28"/>
  <c r="K161" i="28"/>
  <c r="L161" i="28"/>
  <c r="B162" i="28"/>
  <c r="F162" i="28"/>
  <c r="J162" i="28"/>
  <c r="K162" i="28"/>
  <c r="L162" i="28"/>
  <c r="B135" i="28"/>
  <c r="F135" i="28"/>
  <c r="J135" i="28"/>
  <c r="K135" i="28"/>
  <c r="L135" i="28"/>
  <c r="B136" i="28"/>
  <c r="F136" i="28"/>
  <c r="J136" i="28"/>
  <c r="K136" i="28"/>
  <c r="L136" i="28"/>
  <c r="B137" i="28"/>
  <c r="F137" i="28"/>
  <c r="J137" i="28"/>
  <c r="K137" i="28"/>
  <c r="L137" i="28"/>
  <c r="B138" i="28"/>
  <c r="F138" i="28"/>
  <c r="J138" i="28"/>
  <c r="K138" i="28"/>
  <c r="L138" i="28"/>
  <c r="B139" i="28"/>
  <c r="F139" i="28"/>
  <c r="J139" i="28"/>
  <c r="K139" i="28"/>
  <c r="L139" i="28"/>
  <c r="B140" i="28"/>
  <c r="F140" i="28"/>
  <c r="J140" i="28"/>
  <c r="K140" i="28"/>
  <c r="L140" i="28"/>
  <c r="B141" i="28"/>
  <c r="F141" i="28"/>
  <c r="J141" i="28"/>
  <c r="K141" i="28"/>
  <c r="L141" i="28"/>
  <c r="B142" i="28"/>
  <c r="F142" i="28"/>
  <c r="J142" i="28"/>
  <c r="K142" i="28"/>
  <c r="L142" i="28"/>
  <c r="B143" i="28"/>
  <c r="F143" i="28"/>
  <c r="J143" i="28"/>
  <c r="K143" i="28"/>
  <c r="L143" i="28"/>
  <c r="B144" i="28"/>
  <c r="F144" i="28"/>
  <c r="J144" i="28"/>
  <c r="K144" i="28"/>
  <c r="L144" i="28"/>
  <c r="B145" i="28"/>
  <c r="F145" i="28"/>
  <c r="J145" i="28"/>
  <c r="K145" i="28"/>
  <c r="L145" i="28"/>
  <c r="B146" i="28"/>
  <c r="F146" i="28"/>
  <c r="J146" i="28"/>
  <c r="K146" i="28"/>
  <c r="L146" i="28"/>
  <c r="B147" i="28"/>
  <c r="F147" i="28"/>
  <c r="J147" i="28"/>
  <c r="K147" i="28"/>
  <c r="L147" i="28"/>
  <c r="B148" i="28"/>
  <c r="F148" i="28"/>
  <c r="J148" i="28"/>
  <c r="K148" i="28"/>
  <c r="L148" i="28"/>
  <c r="B149" i="28"/>
  <c r="F149" i="28"/>
  <c r="J149" i="28"/>
  <c r="K149" i="28"/>
  <c r="L149" i="28"/>
  <c r="B150" i="28"/>
  <c r="F150" i="28"/>
  <c r="J150" i="28"/>
  <c r="K150" i="28"/>
  <c r="L150" i="28"/>
  <c r="B151" i="28"/>
  <c r="F151" i="28"/>
  <c r="J151" i="28"/>
  <c r="K151" i="28"/>
  <c r="L151" i="28"/>
  <c r="B152" i="28"/>
  <c r="F152" i="28"/>
  <c r="J152" i="28"/>
  <c r="K152" i="28"/>
  <c r="L152" i="28"/>
  <c r="B153" i="28"/>
  <c r="F153" i="28"/>
  <c r="J153" i="28"/>
  <c r="K153" i="28"/>
  <c r="L153" i="28"/>
  <c r="B154" i="28"/>
  <c r="F154" i="28"/>
  <c r="J154" i="28"/>
  <c r="K154" i="28"/>
  <c r="L154" i="28"/>
  <c r="B155" i="28"/>
  <c r="F155" i="28"/>
  <c r="J155" i="28"/>
  <c r="K155" i="28"/>
  <c r="L155" i="28"/>
  <c r="B156" i="28"/>
  <c r="F156" i="28"/>
  <c r="J156" i="28"/>
  <c r="K156" i="28"/>
  <c r="L156" i="28"/>
  <c r="B157" i="28"/>
  <c r="F157" i="28"/>
  <c r="J157" i="28"/>
  <c r="K157" i="28"/>
  <c r="L157" i="28"/>
  <c r="B158" i="28"/>
  <c r="F158" i="28"/>
  <c r="J158" i="28"/>
  <c r="K158" i="28"/>
  <c r="L158" i="28"/>
  <c r="L134" i="28"/>
  <c r="F134" i="28"/>
  <c r="J134" i="28"/>
  <c r="K134" i="28"/>
  <c r="L133" i="28"/>
  <c r="K133" i="28"/>
  <c r="J133" i="28"/>
  <c r="F133" i="28"/>
  <c r="B134" i="28"/>
  <c r="B133" i="28"/>
  <c r="K54" i="28"/>
  <c r="K55" i="28"/>
  <c r="K56"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K86" i="28"/>
  <c r="K87" i="28"/>
  <c r="K88" i="28"/>
  <c r="K89" i="28"/>
  <c r="K90" i="28"/>
  <c r="K91" i="28"/>
  <c r="K92" i="28"/>
  <c r="K93" i="28"/>
  <c r="K94" i="28"/>
  <c r="K95" i="28"/>
  <c r="K96" i="28"/>
  <c r="K97" i="28"/>
  <c r="K98" i="28"/>
  <c r="K99" i="28"/>
  <c r="K100" i="28"/>
  <c r="K101"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K131" i="28"/>
  <c r="K132" i="28"/>
  <c r="K4" i="28"/>
  <c r="K5" i="28"/>
  <c r="K6" i="28"/>
  <c r="K7" i="28"/>
  <c r="K8" i="28"/>
  <c r="K9" i="28"/>
  <c r="K10" i="28"/>
  <c r="K11" i="28"/>
  <c r="K12" i="28"/>
  <c r="K13" i="28"/>
  <c r="K14"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K43" i="28"/>
  <c r="K44" i="28"/>
  <c r="K45" i="28"/>
  <c r="K46" i="28"/>
  <c r="K47" i="28"/>
  <c r="K48" i="28"/>
  <c r="K49" i="28"/>
  <c r="K50" i="28"/>
  <c r="K51" i="28"/>
  <c r="K52" i="28"/>
  <c r="K53" i="28"/>
  <c r="K3" i="28"/>
  <c r="B24" i="26"/>
  <c r="B18" i="26"/>
  <c r="M203" i="28"/>
  <c r="H203" i="28"/>
  <c r="M204" i="28"/>
  <c r="H204" i="28"/>
  <c r="M205" i="28"/>
  <c r="H205" i="28"/>
  <c r="M206" i="28"/>
  <c r="H206" i="28"/>
  <c r="M207" i="28"/>
  <c r="H207" i="28"/>
  <c r="M208" i="28"/>
  <c r="H208" i="28"/>
  <c r="M209" i="28"/>
  <c r="H209" i="28"/>
  <c r="M210" i="28"/>
  <c r="H210" i="28"/>
  <c r="M211" i="28"/>
  <c r="H211" i="28"/>
  <c r="M212" i="28"/>
  <c r="H212" i="28"/>
  <c r="M196" i="28"/>
  <c r="M197" i="28"/>
  <c r="M198" i="28"/>
  <c r="M199" i="28"/>
  <c r="M200" i="28"/>
  <c r="M201" i="28"/>
  <c r="M202" i="28"/>
  <c r="H194" i="28"/>
  <c r="H195" i="28"/>
  <c r="H196" i="28"/>
  <c r="H197" i="28"/>
  <c r="H198" i="28"/>
  <c r="H199" i="28"/>
  <c r="H200" i="28"/>
  <c r="H201" i="28"/>
  <c r="H202" i="28"/>
  <c r="G193" i="28"/>
  <c r="G194" i="28"/>
  <c r="G195" i="28"/>
  <c r="G196" i="28"/>
  <c r="G197" i="28"/>
  <c r="G198" i="28"/>
  <c r="G199" i="28"/>
  <c r="G200" i="28"/>
  <c r="G201" i="28"/>
  <c r="G202" i="28"/>
  <c r="D141" i="28"/>
  <c r="C6" i="1"/>
  <c r="K6" i="1" s="1"/>
  <c r="C7" i="1"/>
  <c r="C8" i="1"/>
  <c r="K8" i="1" s="1"/>
  <c r="C9" i="1"/>
  <c r="K9" i="1" s="1"/>
  <c r="C10" i="1"/>
  <c r="K10" i="1" s="1"/>
  <c r="C11" i="1"/>
  <c r="K11" i="1" s="1"/>
  <c r="C12" i="1"/>
  <c r="K12" i="1" s="1"/>
  <c r="C13" i="1"/>
  <c r="K13" i="1" s="1"/>
  <c r="C14" i="1"/>
  <c r="K14" i="1" s="1"/>
  <c r="C15" i="1"/>
  <c r="K15" i="1" s="1"/>
  <c r="C16" i="1"/>
  <c r="K16" i="1" s="1"/>
  <c r="S16" i="1" s="1"/>
  <c r="C17" i="1"/>
  <c r="K17" i="1" s="1"/>
  <c r="C18" i="1"/>
  <c r="K18" i="1" s="1"/>
  <c r="C19" i="1"/>
  <c r="K19" i="1" s="1"/>
  <c r="C20" i="1"/>
  <c r="K20" i="1" s="1"/>
  <c r="C21" i="1"/>
  <c r="K21" i="1" s="1"/>
  <c r="C22" i="1"/>
  <c r="K22" i="1" s="1"/>
  <c r="C23" i="1"/>
  <c r="K23" i="1" s="1"/>
  <c r="C24" i="1"/>
  <c r="K24" i="1" s="1"/>
  <c r="C25" i="1"/>
  <c r="K25" i="1" s="1"/>
  <c r="C26" i="1"/>
  <c r="K26" i="1" s="1"/>
  <c r="C27" i="1"/>
  <c r="K27" i="1" s="1"/>
  <c r="C28" i="1"/>
  <c r="K28" i="1" s="1"/>
  <c r="C29" i="1"/>
  <c r="K29" i="1" s="1"/>
  <c r="C30" i="1"/>
  <c r="K30" i="1" s="1"/>
  <c r="C31" i="1"/>
  <c r="K31" i="1" s="1"/>
  <c r="C32" i="1"/>
  <c r="K32" i="1" s="1"/>
  <c r="C33" i="1"/>
  <c r="K33" i="1" s="1"/>
  <c r="C34" i="1"/>
  <c r="K34" i="1" s="1"/>
  <c r="C35" i="1"/>
  <c r="K35" i="1" s="1"/>
  <c r="C36" i="1"/>
  <c r="K36" i="1" s="1"/>
  <c r="C37" i="1"/>
  <c r="K37" i="1" s="1"/>
  <c r="C38" i="1"/>
  <c r="K38" i="1" s="1"/>
  <c r="C39" i="1"/>
  <c r="K39" i="1" s="1"/>
  <c r="C40" i="1"/>
  <c r="K40" i="1" s="1"/>
  <c r="C41" i="1"/>
  <c r="K41" i="1" s="1"/>
  <c r="C42" i="1"/>
  <c r="K42" i="1" s="1"/>
  <c r="C43" i="1"/>
  <c r="K43" i="1" s="1"/>
  <c r="C44" i="1"/>
  <c r="K44" i="1" s="1"/>
  <c r="C45" i="1"/>
  <c r="K45" i="1" s="1"/>
  <c r="C46" i="1"/>
  <c r="K46" i="1" s="1"/>
  <c r="C47" i="1"/>
  <c r="K47" i="1" s="1"/>
  <c r="C48" i="1"/>
  <c r="K48" i="1" s="1"/>
  <c r="C49" i="1"/>
  <c r="K49" i="1" s="1"/>
  <c r="C50" i="1"/>
  <c r="K50" i="1" s="1"/>
  <c r="C51" i="1"/>
  <c r="K51" i="1" s="1"/>
  <c r="C52" i="1"/>
  <c r="K52" i="1" s="1"/>
  <c r="C53" i="1"/>
  <c r="K53" i="1" s="1"/>
  <c r="C54" i="1"/>
  <c r="K54" i="1" s="1"/>
  <c r="K7" i="1" l="1"/>
  <c r="F7" i="1"/>
  <c r="S12" i="1"/>
  <c r="T12" i="1"/>
  <c r="T15" i="1"/>
  <c r="S15" i="1"/>
  <c r="T11" i="1"/>
  <c r="S11" i="1"/>
  <c r="S7" i="1"/>
  <c r="T7" i="1"/>
  <c r="T14" i="1"/>
  <c r="S14" i="1"/>
  <c r="T10" i="1"/>
  <c r="S10" i="1"/>
  <c r="T6" i="1"/>
  <c r="S6" i="1"/>
  <c r="S8" i="1"/>
  <c r="T8" i="1"/>
  <c r="S13" i="1"/>
  <c r="T13" i="1"/>
  <c r="S9" i="1"/>
  <c r="T9" i="1"/>
  <c r="N50" i="58"/>
  <c r="N46" i="58"/>
  <c r="N42" i="58"/>
  <c r="N38" i="58"/>
  <c r="N34" i="58"/>
  <c r="N26" i="58"/>
  <c r="N22" i="58"/>
  <c r="N18" i="58"/>
  <c r="N29" i="58"/>
  <c r="N25" i="58"/>
  <c r="N48" i="58"/>
  <c r="N32" i="58"/>
  <c r="N16" i="58"/>
  <c r="N12" i="58"/>
  <c r="N31" i="58"/>
  <c r="N15" i="58"/>
  <c r="N44" i="58"/>
  <c r="N36" i="58"/>
  <c r="N28" i="58"/>
  <c r="N20" i="58"/>
  <c r="N51" i="58"/>
  <c r="N47" i="58"/>
  <c r="N43" i="58"/>
  <c r="N39" i="58"/>
  <c r="N35" i="58"/>
  <c r="N27" i="58"/>
  <c r="N23" i="58"/>
  <c r="N19" i="58"/>
  <c r="N52" i="58"/>
  <c r="N40" i="58"/>
  <c r="N24" i="58"/>
  <c r="N30" i="58"/>
  <c r="N14" i="58"/>
  <c r="N49" i="58"/>
  <c r="N45" i="58"/>
  <c r="N41" i="58"/>
  <c r="N37" i="58"/>
  <c r="N33" i="58"/>
  <c r="N21" i="58"/>
  <c r="N17" i="58"/>
  <c r="N13" i="58"/>
  <c r="N5" i="58"/>
  <c r="N11" i="58"/>
  <c r="N10" i="58"/>
  <c r="N9" i="58"/>
  <c r="N8" i="58"/>
  <c r="N7" i="58"/>
  <c r="N6" i="58"/>
  <c r="N4" i="58"/>
  <c r="Q6" i="1"/>
  <c r="R6" i="1" s="1"/>
  <c r="T6" i="60"/>
  <c r="Q4" i="60"/>
  <c r="G203" i="28"/>
  <c r="Q53" i="1"/>
  <c r="Q43" i="1"/>
  <c r="Q33" i="1"/>
  <c r="Q27" i="1"/>
  <c r="Q17" i="1"/>
  <c r="Q51" i="1"/>
  <c r="Q41" i="1"/>
  <c r="Q37" i="1"/>
  <c r="Q29" i="1"/>
  <c r="Q23" i="1"/>
  <c r="Q19" i="1"/>
  <c r="Q15" i="1"/>
  <c r="R15" i="1" s="1"/>
  <c r="Q13" i="1"/>
  <c r="R13" i="1" s="1"/>
  <c r="Q16" i="1"/>
  <c r="Q49" i="1"/>
  <c r="Q45" i="1"/>
  <c r="Q39" i="1"/>
  <c r="Q35" i="1"/>
  <c r="Q31" i="1"/>
  <c r="Q25" i="1"/>
  <c r="Q21" i="1"/>
  <c r="Q54" i="1"/>
  <c r="Q52" i="1"/>
  <c r="Q50" i="1"/>
  <c r="Q48" i="1"/>
  <c r="Q46" i="1"/>
  <c r="Q44" i="1"/>
  <c r="Q42" i="1"/>
  <c r="Q40" i="1"/>
  <c r="Q38" i="1"/>
  <c r="Q36" i="1"/>
  <c r="Q34" i="1"/>
  <c r="Q32" i="1"/>
  <c r="Q30" i="1"/>
  <c r="Q28" i="1"/>
  <c r="Q26" i="1"/>
  <c r="Q24" i="1"/>
  <c r="Q22" i="1"/>
  <c r="Q20" i="1"/>
  <c r="Q14" i="1"/>
  <c r="R14" i="1" s="1"/>
  <c r="Q11" i="1"/>
  <c r="R11" i="1" s="1"/>
  <c r="Q12" i="1"/>
  <c r="R12" i="1" s="1"/>
  <c r="Q9" i="1"/>
  <c r="R9" i="1" s="1"/>
  <c r="Q8" i="1"/>
  <c r="R8" i="1" s="1"/>
  <c r="Q7" i="1"/>
  <c r="R7" i="1" s="1"/>
  <c r="D45" i="28"/>
  <c r="F45" i="28" s="1"/>
  <c r="Q47" i="1"/>
  <c r="D8" i="28"/>
  <c r="F8" i="28" s="1"/>
  <c r="Q10" i="1"/>
  <c r="R10" i="1" s="1"/>
  <c r="D16" i="28"/>
  <c r="F16" i="28" s="1"/>
  <c r="Q18" i="1"/>
  <c r="H193" i="28"/>
  <c r="G211" i="28"/>
  <c r="G209" i="28"/>
  <c r="G212" i="28"/>
  <c r="G204" i="28"/>
  <c r="G205" i="28"/>
  <c r="G206" i="28"/>
  <c r="G210" i="28"/>
  <c r="G207" i="28"/>
  <c r="G208" i="28"/>
  <c r="D169" i="28"/>
  <c r="D160" i="28"/>
  <c r="D185" i="28"/>
  <c r="D21" i="28"/>
  <c r="F21" i="28" s="1"/>
  <c r="D140" i="28"/>
  <c r="D37" i="28"/>
  <c r="F37" i="28" s="1"/>
  <c r="D177" i="28"/>
  <c r="D32" i="28"/>
  <c r="F32" i="28" s="1"/>
  <c r="D13" i="28"/>
  <c r="F13" i="28" s="1"/>
  <c r="D161" i="28"/>
  <c r="D29" i="28"/>
  <c r="F29" i="28" s="1"/>
  <c r="D157" i="28"/>
  <c r="D156" i="28"/>
  <c r="D24" i="28"/>
  <c r="F24" i="28" s="1"/>
  <c r="D5" i="28"/>
  <c r="F5" i="28" s="1"/>
  <c r="D148" i="28"/>
  <c r="D149" i="28"/>
  <c r="D164" i="28"/>
  <c r="D166" i="28"/>
  <c r="D174" i="28"/>
  <c r="D138" i="28"/>
  <c r="D146" i="28"/>
  <c r="D154" i="28"/>
  <c r="D162" i="28"/>
  <c r="D52" i="28"/>
  <c r="F52" i="28" s="1"/>
  <c r="D39" i="28"/>
  <c r="F39" i="28" s="1"/>
  <c r="D19" i="28"/>
  <c r="F19" i="28" s="1"/>
  <c r="D191" i="28"/>
  <c r="D35" i="28"/>
  <c r="F35" i="28" s="1"/>
  <c r="D11" i="28"/>
  <c r="F11" i="28" s="1"/>
  <c r="D139" i="28"/>
  <c r="D50" i="28"/>
  <c r="F50" i="28" s="1"/>
  <c r="D40" i="28"/>
  <c r="F40" i="28" s="1"/>
  <c r="D190" i="28"/>
  <c r="D44" i="28"/>
  <c r="F44" i="28" s="1"/>
  <c r="D47" i="28"/>
  <c r="F47" i="28" s="1"/>
  <c r="D27" i="28"/>
  <c r="F27" i="28" s="1"/>
  <c r="D175" i="28"/>
  <c r="D155" i="28"/>
  <c r="D43" i="28"/>
  <c r="F43" i="28" s="1"/>
  <c r="D23" i="28"/>
  <c r="F23" i="28" s="1"/>
  <c r="D183" i="28"/>
  <c r="D48" i="28"/>
  <c r="F48" i="28" s="1"/>
  <c r="D182" i="28"/>
  <c r="D51" i="28"/>
  <c r="F51" i="28" s="1"/>
  <c r="D31" i="28"/>
  <c r="F31" i="28" s="1"/>
  <c r="D15" i="28"/>
  <c r="F15" i="28" s="1"/>
  <c r="D7" i="28"/>
  <c r="F7" i="28" s="1"/>
  <c r="D167" i="28"/>
  <c r="D147" i="28"/>
  <c r="D46" i="28"/>
  <c r="F46" i="28" s="1"/>
  <c r="D42" i="28"/>
  <c r="F42" i="28" s="1"/>
  <c r="D34" i="28"/>
  <c r="F34" i="28" s="1"/>
  <c r="D26" i="28"/>
  <c r="F26" i="28" s="1"/>
  <c r="D18" i="28"/>
  <c r="F18" i="28" s="1"/>
  <c r="D10" i="28"/>
  <c r="F10" i="28" s="1"/>
  <c r="D159" i="28"/>
  <c r="D187" i="28"/>
  <c r="D179" i="28"/>
  <c r="D171" i="28"/>
  <c r="D192" i="28"/>
  <c r="D184" i="28"/>
  <c r="D176" i="28"/>
  <c r="D168" i="28"/>
  <c r="D36" i="28"/>
  <c r="F36" i="28" s="1"/>
  <c r="D28" i="28"/>
  <c r="F28" i="28" s="1"/>
  <c r="D20" i="28"/>
  <c r="F20" i="28" s="1"/>
  <c r="D12" i="28"/>
  <c r="F12" i="28" s="1"/>
  <c r="D4" i="28"/>
  <c r="F4" i="28" s="1"/>
  <c r="D153" i="28"/>
  <c r="D145" i="28"/>
  <c r="D137" i="28"/>
  <c r="D189" i="28"/>
  <c r="D181" i="28"/>
  <c r="D173" i="28"/>
  <c r="D165" i="28"/>
  <c r="D49" i="28"/>
  <c r="F49" i="28" s="1"/>
  <c r="D41" i="28"/>
  <c r="F41" i="28" s="1"/>
  <c r="D33" i="28"/>
  <c r="F33" i="28" s="1"/>
  <c r="D25" i="28"/>
  <c r="F25" i="28" s="1"/>
  <c r="D17" i="28"/>
  <c r="F17" i="28" s="1"/>
  <c r="D9" i="28"/>
  <c r="F9" i="28" s="1"/>
  <c r="D152" i="28"/>
  <c r="D144" i="28"/>
  <c r="D136" i="28"/>
  <c r="D186" i="28"/>
  <c r="D178" i="28"/>
  <c r="D170" i="28"/>
  <c r="D38" i="28"/>
  <c r="F38" i="28" s="1"/>
  <c r="D30" i="28"/>
  <c r="F30" i="28" s="1"/>
  <c r="D22" i="28"/>
  <c r="F22" i="28" s="1"/>
  <c r="D14" i="28"/>
  <c r="F14" i="28" s="1"/>
  <c r="D6" i="28"/>
  <c r="F6" i="28" s="1"/>
  <c r="D134" i="28"/>
  <c r="D151" i="28"/>
  <c r="D143" i="28"/>
  <c r="D135" i="28"/>
  <c r="D163" i="28"/>
  <c r="D158" i="28"/>
  <c r="D150" i="28"/>
  <c r="D142" i="28"/>
  <c r="D188" i="28"/>
  <c r="D180" i="28"/>
  <c r="D172" i="28"/>
  <c r="D133" i="28"/>
  <c r="T4" i="60" l="1"/>
  <c r="F4" i="51"/>
  <c r="J16" i="28"/>
  <c r="G16" i="28"/>
  <c r="H16" i="28"/>
  <c r="J8" i="28"/>
  <c r="H45" i="28"/>
  <c r="G45" i="28"/>
  <c r="J45" i="28"/>
  <c r="H15" i="28"/>
  <c r="H40" i="28"/>
  <c r="J21" i="28"/>
  <c r="H21" i="28"/>
  <c r="H12" i="28"/>
  <c r="G21" i="28"/>
  <c r="H38" i="28"/>
  <c r="J14" i="28"/>
  <c r="G27" i="28"/>
  <c r="H27" i="28"/>
  <c r="J5" i="28"/>
  <c r="G31" i="28"/>
  <c r="H20" i="28"/>
  <c r="G40" i="28"/>
  <c r="H31" i="28"/>
  <c r="J40" i="28"/>
  <c r="J31" i="28"/>
  <c r="G13" i="28"/>
  <c r="J23" i="28"/>
  <c r="H13" i="28"/>
  <c r="H49" i="28"/>
  <c r="G36" i="28"/>
  <c r="H44" i="28"/>
  <c r="J50" i="28"/>
  <c r="H23" i="28"/>
  <c r="H50" i="28"/>
  <c r="J4" i="28"/>
  <c r="J13" i="28"/>
  <c r="G50" i="28"/>
  <c r="G23" i="28"/>
  <c r="J38" i="28"/>
  <c r="J27" i="28"/>
  <c r="J47" i="28"/>
  <c r="J24" i="28"/>
  <c r="G30" i="28"/>
  <c r="J30" i="28"/>
  <c r="H30" i="28"/>
  <c r="G37" i="28"/>
  <c r="G22" i="28"/>
  <c r="G38" i="28"/>
  <c r="G24" i="28"/>
  <c r="G43" i="28"/>
  <c r="H37" i="28"/>
  <c r="J37" i="28"/>
  <c r="H24" i="28"/>
  <c r="J25" i="28"/>
  <c r="H25" i="28"/>
  <c r="G25" i="28"/>
  <c r="G46" i="28"/>
  <c r="H36" i="28"/>
  <c r="J52" i="28"/>
  <c r="G32" i="28"/>
  <c r="G49" i="28"/>
  <c r="H26" i="28"/>
  <c r="H52" i="28"/>
  <c r="G10" i="28"/>
  <c r="G52" i="28"/>
  <c r="H28" i="28"/>
  <c r="J32" i="28"/>
  <c r="G26" i="28"/>
  <c r="H29" i="28"/>
  <c r="J36" i="28"/>
  <c r="J29" i="28"/>
  <c r="G15" i="28"/>
  <c r="G29" i="28"/>
  <c r="H46" i="28"/>
  <c r="H32" i="28"/>
  <c r="G14" i="28"/>
  <c r="G33" i="28"/>
  <c r="H18" i="28"/>
  <c r="J18" i="28"/>
  <c r="G47" i="28"/>
  <c r="H19" i="28"/>
  <c r="H47" i="28"/>
  <c r="J22" i="28"/>
  <c r="J48" i="28"/>
  <c r="J19" i="28"/>
  <c r="H10" i="28"/>
  <c r="J51" i="28"/>
  <c r="H33" i="28"/>
  <c r="G18" i="28"/>
  <c r="J6" i="28"/>
  <c r="J26" i="28"/>
  <c r="J41" i="28"/>
  <c r="J43" i="28"/>
  <c r="G19" i="28"/>
  <c r="G51" i="28"/>
  <c r="H22" i="28"/>
  <c r="H41" i="28"/>
  <c r="H51" i="28"/>
  <c r="J33" i="28"/>
  <c r="G41" i="28"/>
  <c r="H14" i="28"/>
  <c r="H43" i="28"/>
  <c r="J10" i="28"/>
  <c r="J49" i="28"/>
  <c r="J7" i="28"/>
  <c r="G39" i="28"/>
  <c r="J20" i="28"/>
  <c r="G48" i="28"/>
  <c r="H39" i="28"/>
  <c r="J17" i="28"/>
  <c r="J39" i="28"/>
  <c r="J34" i="28"/>
  <c r="G9" i="28"/>
  <c r="G17" i="28"/>
  <c r="H48" i="28"/>
  <c r="G34" i="28"/>
  <c r="G42" i="28"/>
  <c r="H9" i="28"/>
  <c r="H17" i="28"/>
  <c r="J42" i="28"/>
  <c r="J35" i="28"/>
  <c r="J11" i="28"/>
  <c r="G11" i="28"/>
  <c r="G35" i="28"/>
  <c r="H34" i="28"/>
  <c r="H42" i="28"/>
  <c r="J12" i="28"/>
  <c r="J28" i="28"/>
  <c r="J44" i="28"/>
  <c r="J15" i="28"/>
  <c r="J9" i="28"/>
  <c r="G12" i="28"/>
  <c r="G20" i="28"/>
  <c r="G28" i="28"/>
  <c r="G44" i="28"/>
  <c r="H11" i="28"/>
  <c r="H35" i="28"/>
  <c r="J46" i="28"/>
  <c r="B104" i="28" l="1"/>
  <c r="C104" i="28"/>
  <c r="F104" i="28"/>
  <c r="J104" i="28"/>
  <c r="L104" i="28"/>
  <c r="B105" i="28"/>
  <c r="C105" i="28"/>
  <c r="F105" i="28"/>
  <c r="J105" i="28"/>
  <c r="L105" i="28"/>
  <c r="B106" i="28"/>
  <c r="C106" i="28"/>
  <c r="F106" i="28"/>
  <c r="J106" i="28"/>
  <c r="L106" i="28"/>
  <c r="B107" i="28"/>
  <c r="C107" i="28"/>
  <c r="F107" i="28"/>
  <c r="J107" i="28"/>
  <c r="L107" i="28"/>
  <c r="B108" i="28"/>
  <c r="C108" i="28"/>
  <c r="F108" i="28"/>
  <c r="J108" i="28"/>
  <c r="L108" i="28"/>
  <c r="B109" i="28"/>
  <c r="C109" i="28"/>
  <c r="F109" i="28"/>
  <c r="J109" i="28"/>
  <c r="L109" i="28"/>
  <c r="B110" i="28"/>
  <c r="C110" i="28"/>
  <c r="F110" i="28"/>
  <c r="J110" i="28"/>
  <c r="L110" i="28"/>
  <c r="B111" i="28"/>
  <c r="C111" i="28"/>
  <c r="F111" i="28"/>
  <c r="J111" i="28"/>
  <c r="L111" i="28"/>
  <c r="B112" i="28"/>
  <c r="C112" i="28"/>
  <c r="F112" i="28"/>
  <c r="J112" i="28"/>
  <c r="L112" i="28"/>
  <c r="B113" i="28"/>
  <c r="C113" i="28"/>
  <c r="F113" i="28"/>
  <c r="J113" i="28"/>
  <c r="L113" i="28"/>
  <c r="B114" i="28"/>
  <c r="C114" i="28"/>
  <c r="F114" i="28"/>
  <c r="J114" i="28"/>
  <c r="L114" i="28"/>
  <c r="B115" i="28"/>
  <c r="C115" i="28"/>
  <c r="F115" i="28"/>
  <c r="J115" i="28"/>
  <c r="L115" i="28"/>
  <c r="B116" i="28"/>
  <c r="C116" i="28"/>
  <c r="F116" i="28"/>
  <c r="J116" i="28"/>
  <c r="L116" i="28"/>
  <c r="B117" i="28"/>
  <c r="C117" i="28"/>
  <c r="F117" i="28"/>
  <c r="J117" i="28"/>
  <c r="L117" i="28"/>
  <c r="B118" i="28"/>
  <c r="C118" i="28"/>
  <c r="F118" i="28"/>
  <c r="J118" i="28"/>
  <c r="L118" i="28"/>
  <c r="B119" i="28"/>
  <c r="C119" i="28"/>
  <c r="F119" i="28"/>
  <c r="J119" i="28"/>
  <c r="L119" i="28"/>
  <c r="B120" i="28"/>
  <c r="C120" i="28"/>
  <c r="F120" i="28"/>
  <c r="J120" i="28"/>
  <c r="L120" i="28"/>
  <c r="B121" i="28"/>
  <c r="C121" i="28"/>
  <c r="F121" i="28"/>
  <c r="J121" i="28"/>
  <c r="L121" i="28"/>
  <c r="B122" i="28"/>
  <c r="C122" i="28"/>
  <c r="F122" i="28"/>
  <c r="J122" i="28"/>
  <c r="L122" i="28"/>
  <c r="B123" i="28"/>
  <c r="C123" i="28"/>
  <c r="F123" i="28"/>
  <c r="J123" i="28"/>
  <c r="L123" i="28"/>
  <c r="B124" i="28"/>
  <c r="C124" i="28"/>
  <c r="F124" i="28"/>
  <c r="J124" i="28"/>
  <c r="L124" i="28"/>
  <c r="B125" i="28"/>
  <c r="C125" i="28"/>
  <c r="F125" i="28"/>
  <c r="J125" i="28"/>
  <c r="L125" i="28"/>
  <c r="B126" i="28"/>
  <c r="C126" i="28"/>
  <c r="F126" i="28"/>
  <c r="J126" i="28"/>
  <c r="L126" i="28"/>
  <c r="B127" i="28"/>
  <c r="C127" i="28"/>
  <c r="F127" i="28"/>
  <c r="J127" i="28"/>
  <c r="L127" i="28"/>
  <c r="B128" i="28"/>
  <c r="C128" i="28"/>
  <c r="F128" i="28"/>
  <c r="J128" i="28"/>
  <c r="L128" i="28"/>
  <c r="B129" i="28"/>
  <c r="C129" i="28"/>
  <c r="F129" i="28"/>
  <c r="J129" i="28"/>
  <c r="L129" i="28"/>
  <c r="B130" i="28"/>
  <c r="C130" i="28"/>
  <c r="F130" i="28"/>
  <c r="J130" i="28"/>
  <c r="L130" i="28"/>
  <c r="B131" i="28"/>
  <c r="C131" i="28"/>
  <c r="F131" i="28"/>
  <c r="J131" i="28"/>
  <c r="L131" i="28"/>
  <c r="B132" i="28"/>
  <c r="C132" i="28"/>
  <c r="F132" i="28"/>
  <c r="J132" i="28"/>
  <c r="L132" i="28"/>
  <c r="L103" i="28"/>
  <c r="J103" i="28"/>
  <c r="F103" i="28"/>
  <c r="C10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4" i="28"/>
  <c r="C4" i="28"/>
  <c r="B5" i="28"/>
  <c r="C5" i="28"/>
  <c r="B6" i="28"/>
  <c r="C6" i="28"/>
  <c r="B7" i="28"/>
  <c r="C7" i="28"/>
  <c r="B8" i="28"/>
  <c r="C8" i="28"/>
  <c r="B9" i="28"/>
  <c r="C9" i="28"/>
  <c r="B10" i="28"/>
  <c r="C10" i="28"/>
  <c r="B11" i="28"/>
  <c r="C11" i="28"/>
  <c r="B12" i="28"/>
  <c r="C12" i="28"/>
  <c r="B13" i="28"/>
  <c r="C13" i="28"/>
  <c r="B14" i="28"/>
  <c r="C14" i="28"/>
  <c r="B15" i="28"/>
  <c r="C15" i="28"/>
  <c r="B16" i="28"/>
  <c r="C16" i="28"/>
  <c r="B17" i="28"/>
  <c r="C17" i="28"/>
  <c r="B18" i="28"/>
  <c r="C18" i="28"/>
  <c r="B19" i="28"/>
  <c r="C19" i="28"/>
  <c r="B20" i="28"/>
  <c r="C20" i="28"/>
  <c r="B21" i="28"/>
  <c r="C21" i="28"/>
  <c r="B22" i="28"/>
  <c r="C22" i="28"/>
  <c r="B23" i="28"/>
  <c r="C23" i="28"/>
  <c r="B24" i="28"/>
  <c r="C24" i="28"/>
  <c r="B25" i="28"/>
  <c r="C25" i="28"/>
  <c r="B26" i="28"/>
  <c r="C26" i="28"/>
  <c r="B27" i="28"/>
  <c r="C27" i="28"/>
  <c r="B28" i="28"/>
  <c r="C28" i="28"/>
  <c r="B29" i="28"/>
  <c r="C29" i="28"/>
  <c r="B30" i="28"/>
  <c r="C30" i="28"/>
  <c r="B31" i="28"/>
  <c r="C31" i="28"/>
  <c r="B32" i="28"/>
  <c r="C32" i="28"/>
  <c r="B33" i="28"/>
  <c r="C33" i="28"/>
  <c r="B34" i="28"/>
  <c r="C34" i="28"/>
  <c r="B35" i="28"/>
  <c r="C35" i="28"/>
  <c r="B36" i="28"/>
  <c r="C36" i="28"/>
  <c r="B37" i="28"/>
  <c r="C37" i="28"/>
  <c r="B38" i="28"/>
  <c r="C38" i="28"/>
  <c r="B39" i="28"/>
  <c r="C39" i="28"/>
  <c r="B40" i="28"/>
  <c r="C40" i="28"/>
  <c r="B41" i="28"/>
  <c r="C41" i="28"/>
  <c r="B42" i="28"/>
  <c r="C42" i="28"/>
  <c r="B43" i="28"/>
  <c r="C43" i="28"/>
  <c r="B44" i="28"/>
  <c r="C44" i="28"/>
  <c r="B45" i="28"/>
  <c r="C45" i="28"/>
  <c r="B46" i="28"/>
  <c r="C46" i="28"/>
  <c r="B47" i="28"/>
  <c r="C47" i="28"/>
  <c r="B48" i="28"/>
  <c r="C48" i="28"/>
  <c r="B49" i="28"/>
  <c r="C49" i="28"/>
  <c r="B50" i="28"/>
  <c r="C50" i="28"/>
  <c r="B51" i="28"/>
  <c r="C51" i="28"/>
  <c r="B52" i="28"/>
  <c r="C52" i="28"/>
  <c r="C3" i="28"/>
  <c r="P8" i="53"/>
  <c r="Q8" i="53"/>
  <c r="R8" i="53"/>
  <c r="O8" i="53"/>
  <c r="N7" i="53"/>
  <c r="N5" i="53"/>
  <c r="N4" i="53"/>
  <c r="I7" i="53"/>
  <c r="H7" i="53"/>
  <c r="G7" i="53"/>
  <c r="F7" i="53"/>
  <c r="E7" i="53"/>
  <c r="D7" i="53"/>
  <c r="C7" i="53"/>
  <c r="B7" i="53"/>
  <c r="N6" i="53"/>
  <c r="I6" i="53"/>
  <c r="H6" i="53"/>
  <c r="G6" i="53"/>
  <c r="F6" i="53"/>
  <c r="E6" i="53"/>
  <c r="D6" i="53"/>
  <c r="C6" i="53"/>
  <c r="B6" i="53"/>
  <c r="M5" i="53"/>
  <c r="I5" i="53"/>
  <c r="H5" i="53"/>
  <c r="G5" i="53"/>
  <c r="F5" i="53"/>
  <c r="E5" i="53"/>
  <c r="D5" i="53"/>
  <c r="C5" i="53"/>
  <c r="B5" i="53"/>
  <c r="L4" i="53"/>
  <c r="K4" i="53"/>
  <c r="J4" i="53"/>
  <c r="J8" i="53" s="1"/>
  <c r="I4" i="53"/>
  <c r="I8" i="53" s="1"/>
  <c r="H4" i="53"/>
  <c r="H8" i="53" s="1"/>
  <c r="G4" i="53"/>
  <c r="G8" i="53" s="1"/>
  <c r="F4" i="53"/>
  <c r="F8" i="53" s="1"/>
  <c r="E4" i="53"/>
  <c r="E8" i="53" s="1"/>
  <c r="D4" i="53"/>
  <c r="D8" i="53" s="1"/>
  <c r="C4" i="53"/>
  <c r="C8" i="53" s="1"/>
  <c r="B4" i="53"/>
  <c r="B8" i="53" s="1"/>
  <c r="D24" i="52"/>
  <c r="D18" i="52"/>
  <c r="D30" i="52" s="1"/>
  <c r="D33" i="52" l="1"/>
  <c r="D32" i="52"/>
  <c r="D31" i="52"/>
  <c r="D23" i="52"/>
  <c r="D25" i="52"/>
  <c r="D22" i="52"/>
  <c r="B15" i="52"/>
  <c r="D17" i="52"/>
  <c r="D19" i="52"/>
  <c r="D16" i="52"/>
  <c r="B29" i="26" l="1"/>
  <c r="B6" i="22"/>
  <c r="M195" i="28" l="1"/>
  <c r="M193" i="28"/>
  <c r="V3" i="1"/>
  <c r="G3" i="51" s="1"/>
  <c r="D23" i="26" s="1"/>
  <c r="M194" i="28" l="1"/>
  <c r="AO5" i="22"/>
  <c r="AO6" i="22"/>
  <c r="AO7" i="22"/>
  <c r="AO8" i="22"/>
  <c r="AO9" i="22"/>
  <c r="AO10" i="22"/>
  <c r="AO11" i="22"/>
  <c r="AO12" i="22"/>
  <c r="AO13" i="22"/>
  <c r="D103" i="28" l="1"/>
  <c r="D120" i="28"/>
  <c r="D110" i="28"/>
  <c r="D126" i="28"/>
  <c r="D112" i="28"/>
  <c r="D118" i="28"/>
  <c r="D111" i="28"/>
  <c r="D119" i="28"/>
  <c r="D127" i="28"/>
  <c r="D128" i="28"/>
  <c r="D105" i="28"/>
  <c r="D113" i="28"/>
  <c r="D121" i="28"/>
  <c r="D129" i="28"/>
  <c r="D104" i="28"/>
  <c r="D106" i="28"/>
  <c r="D114" i="28"/>
  <c r="D122" i="28"/>
  <c r="D130" i="28"/>
  <c r="D107" i="28"/>
  <c r="D115" i="28"/>
  <c r="D123" i="28"/>
  <c r="D131" i="28"/>
  <c r="D108" i="28"/>
  <c r="D116" i="28"/>
  <c r="D124" i="28"/>
  <c r="D132" i="28"/>
  <c r="D109" i="28"/>
  <c r="D117" i="28"/>
  <c r="D125" i="28"/>
  <c r="H103" i="28" l="1"/>
  <c r="M103" i="28"/>
  <c r="G103" i="28" l="1"/>
  <c r="C5" i="1" l="1"/>
  <c r="K5" i="1" s="1"/>
  <c r="T5" i="1" l="1"/>
  <c r="S5" i="1"/>
  <c r="N3" i="58"/>
  <c r="Q5" i="1"/>
  <c r="R5" i="1" s="1"/>
  <c r="F5" i="1"/>
  <c r="E3" i="28" s="1"/>
  <c r="W5" i="1" l="1"/>
  <c r="M3" i="28"/>
  <c r="L35" i="28"/>
  <c r="L51" i="28"/>
  <c r="L13" i="28"/>
  <c r="L34" i="28"/>
  <c r="L48" i="28"/>
  <c r="L23" i="28"/>
  <c r="L38" i="28"/>
  <c r="L26" i="28"/>
  <c r="L27" i="28"/>
  <c r="L52" i="28"/>
  <c r="L43" i="28"/>
  <c r="L21" i="28"/>
  <c r="L6" i="28"/>
  <c r="L49" i="28"/>
  <c r="L16" i="28"/>
  <c r="L32" i="28"/>
  <c r="L30" i="28"/>
  <c r="L45" i="28"/>
  <c r="L36" i="28"/>
  <c r="L44" i="28"/>
  <c r="L47" i="28"/>
  <c r="L4" i="28"/>
  <c r="L9" i="28"/>
  <c r="L50" i="28"/>
  <c r="L14" i="28"/>
  <c r="L33" i="28"/>
  <c r="L41" i="28"/>
  <c r="L24" i="28"/>
  <c r="L25" i="28"/>
  <c r="L40" i="28"/>
  <c r="L10" i="28"/>
  <c r="L29" i="28"/>
  <c r="L20" i="28"/>
  <c r="L39" i="28"/>
  <c r="L37" i="28"/>
  <c r="L12" i="28"/>
  <c r="L5" i="28"/>
  <c r="L42" i="28"/>
  <c r="L22" i="28"/>
  <c r="L15" i="28"/>
  <c r="L7" i="28"/>
  <c r="L8" i="28"/>
  <c r="L17" i="28"/>
  <c r="L46" i="28"/>
  <c r="L18" i="28"/>
  <c r="L19" i="28"/>
  <c r="L11" i="28"/>
  <c r="L28" i="28"/>
  <c r="L31" i="28"/>
  <c r="U5" i="1"/>
  <c r="X5" i="1" l="1"/>
  <c r="D24" i="26" l="1"/>
  <c r="B19" i="33" s="1"/>
  <c r="G5" i="51"/>
  <c r="B103" i="28"/>
  <c r="B53" i="28"/>
  <c r="B3" i="28"/>
  <c r="D26" i="26" l="1"/>
  <c r="C8" i="26" l="1"/>
  <c r="D3" i="28"/>
  <c r="L3" i="28" s="1"/>
  <c r="J3" i="28" l="1"/>
  <c r="B26" i="33" s="1"/>
  <c r="F3" i="28"/>
  <c r="H3" i="28"/>
  <c r="G3" i="28"/>
  <c r="D19" i="33" l="1"/>
  <c r="C13" i="52" l="1"/>
  <c r="F38" i="1" l="1"/>
  <c r="E36" i="28" s="1"/>
  <c r="H5" i="28"/>
  <c r="H146" i="28" l="1"/>
  <c r="G137" i="28"/>
  <c r="U44" i="1"/>
  <c r="F51" i="1"/>
  <c r="E49" i="28" s="1"/>
  <c r="H106" i="28"/>
  <c r="F45" i="1"/>
  <c r="E43" i="28" s="1"/>
  <c r="H6" i="28"/>
  <c r="H7" i="28"/>
  <c r="H149" i="28"/>
  <c r="H158" i="28"/>
  <c r="H147" i="28"/>
  <c r="H134" i="28"/>
  <c r="H156" i="28"/>
  <c r="H155" i="28"/>
  <c r="H161" i="28"/>
  <c r="H139" i="28"/>
  <c r="H148" i="28"/>
  <c r="H136" i="28"/>
  <c r="H153" i="28"/>
  <c r="H142" i="28"/>
  <c r="H154" i="28"/>
  <c r="H141" i="28"/>
  <c r="H140" i="28"/>
  <c r="H145" i="28"/>
  <c r="H144" i="28"/>
  <c r="H162" i="28"/>
  <c r="H152" i="28"/>
  <c r="H138" i="28"/>
  <c r="H137" i="28"/>
  <c r="H135" i="28"/>
  <c r="H151" i="28"/>
  <c r="H143" i="28"/>
  <c r="H157" i="28"/>
  <c r="H150" i="28"/>
  <c r="H160" i="28"/>
  <c r="H159" i="28"/>
  <c r="H183" i="28"/>
  <c r="U28" i="1"/>
  <c r="U29" i="1"/>
  <c r="U23" i="1"/>
  <c r="U47" i="1"/>
  <c r="F29" i="1"/>
  <c r="E27" i="28" s="1"/>
  <c r="U12" i="1"/>
  <c r="U33" i="1"/>
  <c r="U48" i="1"/>
  <c r="F19" i="1"/>
  <c r="E17" i="28" s="1"/>
  <c r="U41" i="1"/>
  <c r="H109" i="28"/>
  <c r="H113" i="28"/>
  <c r="F25" i="1"/>
  <c r="E23" i="28" s="1"/>
  <c r="U40" i="1"/>
  <c r="F52" i="1"/>
  <c r="E50" i="28" s="1"/>
  <c r="F12" i="1"/>
  <c r="E10" i="28" s="1"/>
  <c r="F35" i="1"/>
  <c r="E33" i="28" s="1"/>
  <c r="F16" i="1"/>
  <c r="E14" i="28" s="1"/>
  <c r="H117" i="28"/>
  <c r="F14" i="1"/>
  <c r="E12" i="28" s="1"/>
  <c r="H178" i="28"/>
  <c r="H118" i="28"/>
  <c r="U26" i="1"/>
  <c r="F20" i="1"/>
  <c r="E18" i="28" s="1"/>
  <c r="U22" i="1"/>
  <c r="U50" i="1"/>
  <c r="F42" i="1"/>
  <c r="E40" i="28" s="1"/>
  <c r="H122" i="28"/>
  <c r="H130" i="28"/>
  <c r="H124" i="28"/>
  <c r="H181" i="28"/>
  <c r="H171" i="28"/>
  <c r="U25" i="1"/>
  <c r="F54" i="1"/>
  <c r="E52" i="28" s="1"/>
  <c r="H132" i="28"/>
  <c r="H131" i="28"/>
  <c r="U21" i="1"/>
  <c r="U36" i="1"/>
  <c r="F17" i="1"/>
  <c r="E15" i="28" s="1"/>
  <c r="F49" i="1"/>
  <c r="E47" i="28" s="1"/>
  <c r="F31" i="1"/>
  <c r="E29" i="28" s="1"/>
  <c r="U43" i="1"/>
  <c r="H165" i="28"/>
  <c r="F33" i="1"/>
  <c r="E31" i="28" s="1"/>
  <c r="H120" i="28"/>
  <c r="H111" i="28"/>
  <c r="U49" i="1"/>
  <c r="F40" i="1"/>
  <c r="E38" i="28" s="1"/>
  <c r="U15" i="1"/>
  <c r="H167" i="28"/>
  <c r="U30" i="1"/>
  <c r="E5" i="28"/>
  <c r="H166" i="28"/>
  <c r="H176" i="28"/>
  <c r="H121" i="28"/>
  <c r="H112" i="28"/>
  <c r="H186" i="28"/>
  <c r="U35" i="1"/>
  <c r="H170" i="28"/>
  <c r="H119" i="28"/>
  <c r="F9" i="1"/>
  <c r="E7" i="28" s="1"/>
  <c r="U20" i="1"/>
  <c r="F6" i="1"/>
  <c r="E4" i="28" s="1"/>
  <c r="H177" i="28"/>
  <c r="F15" i="1"/>
  <c r="E13" i="28" s="1"/>
  <c r="H172" i="28"/>
  <c r="U51" i="1"/>
  <c r="F22" i="1"/>
  <c r="E20" i="28" s="1"/>
  <c r="F53" i="1"/>
  <c r="E51" i="28" s="1"/>
  <c r="U52" i="1"/>
  <c r="H126" i="28"/>
  <c r="F21" i="1"/>
  <c r="E19" i="28" s="1"/>
  <c r="F39" i="1"/>
  <c r="E37" i="28" s="1"/>
  <c r="U54" i="1"/>
  <c r="F30" i="1"/>
  <c r="E28" i="28" s="1"/>
  <c r="U31" i="1"/>
  <c r="H174" i="28"/>
  <c r="H164" i="28"/>
  <c r="F46" i="1"/>
  <c r="E44" i="28" s="1"/>
  <c r="H190" i="28"/>
  <c r="F50" i="1"/>
  <c r="E48" i="28" s="1"/>
  <c r="U42" i="1"/>
  <c r="U27" i="1"/>
  <c r="H115" i="28"/>
  <c r="F8" i="1"/>
  <c r="E6" i="28" s="1"/>
  <c r="U53" i="1"/>
  <c r="F26" i="1"/>
  <c r="E24" i="28" s="1"/>
  <c r="U38" i="1"/>
  <c r="H173" i="28"/>
  <c r="U45" i="1"/>
  <c r="F18" i="1"/>
  <c r="E16" i="28" s="1"/>
  <c r="U39" i="1"/>
  <c r="H127" i="28"/>
  <c r="F24" i="1"/>
  <c r="E22" i="28" s="1"/>
  <c r="F13" i="1"/>
  <c r="E11" i="28" s="1"/>
  <c r="F28" i="1"/>
  <c r="E26" i="28" s="1"/>
  <c r="F36" i="1"/>
  <c r="E34" i="28" s="1"/>
  <c r="H169" i="28"/>
  <c r="H184" i="28"/>
  <c r="H128" i="28"/>
  <c r="U16" i="1"/>
  <c r="H129" i="28"/>
  <c r="F37" i="1"/>
  <c r="E35" i="28" s="1"/>
  <c r="F11" i="1"/>
  <c r="E9" i="28" s="1"/>
  <c r="H107" i="28"/>
  <c r="H182" i="28"/>
  <c r="F47" i="1"/>
  <c r="E45" i="28" s="1"/>
  <c r="F43" i="1"/>
  <c r="E41" i="28" s="1"/>
  <c r="U32" i="1"/>
  <c r="H108" i="28"/>
  <c r="H179" i="28"/>
  <c r="H168" i="28"/>
  <c r="U46" i="1"/>
  <c r="F10" i="1"/>
  <c r="E8" i="28" s="1"/>
  <c r="H116" i="28"/>
  <c r="U34" i="1"/>
  <c r="H185" i="28"/>
  <c r="H114" i="28"/>
  <c r="H189" i="28"/>
  <c r="H175" i="28"/>
  <c r="H105" i="28"/>
  <c r="H191" i="28"/>
  <c r="U13" i="1"/>
  <c r="H192" i="28"/>
  <c r="H125" i="28"/>
  <c r="F32" i="1"/>
  <c r="E30" i="28" s="1"/>
  <c r="U37" i="1"/>
  <c r="H188" i="28"/>
  <c r="H180" i="28"/>
  <c r="U19" i="1"/>
  <c r="F48" i="1"/>
  <c r="E46" i="28" s="1"/>
  <c r="F23" i="1"/>
  <c r="E21" i="28" s="1"/>
  <c r="H110" i="28"/>
  <c r="F41" i="1"/>
  <c r="E39" i="28" s="1"/>
  <c r="H123" i="28"/>
  <c r="F27" i="1"/>
  <c r="E25" i="28" s="1"/>
  <c r="U11" i="1"/>
  <c r="U24" i="1"/>
  <c r="F34" i="1"/>
  <c r="E32" i="28" s="1"/>
  <c r="H4" i="28"/>
  <c r="F44" i="1"/>
  <c r="E42" i="28" s="1"/>
  <c r="H187" i="28"/>
  <c r="G4" i="28"/>
  <c r="U14" i="1"/>
  <c r="U17" i="1"/>
  <c r="H8" i="28"/>
  <c r="U18" i="1"/>
  <c r="U10" i="1" l="1"/>
  <c r="G8" i="28"/>
  <c r="U9" i="1"/>
  <c r="G7" i="28"/>
  <c r="U8" i="1"/>
  <c r="G6" i="28"/>
  <c r="U7" i="1"/>
  <c r="G5" i="28"/>
  <c r="T3" i="1"/>
  <c r="M111" i="28"/>
  <c r="G178" i="28"/>
  <c r="G173" i="28"/>
  <c r="M137" i="28"/>
  <c r="M186" i="28"/>
  <c r="M155" i="28"/>
  <c r="C18" i="26"/>
  <c r="M153" i="28"/>
  <c r="M172" i="28"/>
  <c r="W11" i="1"/>
  <c r="X11" i="1" s="1"/>
  <c r="M9" i="28"/>
  <c r="W45" i="1"/>
  <c r="X45" i="1" s="1"/>
  <c r="M43" i="28"/>
  <c r="M184" i="28"/>
  <c r="M167" i="28"/>
  <c r="M154" i="28"/>
  <c r="M113" i="28"/>
  <c r="G117" i="28"/>
  <c r="M132" i="28"/>
  <c r="W13" i="1"/>
  <c r="X13" i="1" s="1"/>
  <c r="M11" i="28"/>
  <c r="M39" i="28"/>
  <c r="W41" i="1"/>
  <c r="X41" i="1" s="1"/>
  <c r="M110" i="28"/>
  <c r="G166" i="28"/>
  <c r="M118" i="28"/>
  <c r="G115" i="28"/>
  <c r="M34" i="28"/>
  <c r="W36" i="1"/>
  <c r="X36" i="1" s="1"/>
  <c r="M45" i="28"/>
  <c r="W47" i="1"/>
  <c r="X47" i="1" s="1"/>
  <c r="M47" i="28"/>
  <c r="W49" i="1"/>
  <c r="X49" i="1" s="1"/>
  <c r="G129" i="28"/>
  <c r="W42" i="1"/>
  <c r="X42" i="1" s="1"/>
  <c r="M40" i="28"/>
  <c r="G156" i="28"/>
  <c r="G142" i="28"/>
  <c r="G150" i="28"/>
  <c r="G144" i="28"/>
  <c r="G184" i="28"/>
  <c r="M115" i="28"/>
  <c r="M117" i="28"/>
  <c r="M122" i="28"/>
  <c r="M188" i="28"/>
  <c r="W9" i="1"/>
  <c r="M7" i="28"/>
  <c r="M131" i="28"/>
  <c r="M143" i="28"/>
  <c r="M10" i="28"/>
  <c r="W12" i="1"/>
  <c r="X12" i="1" s="1"/>
  <c r="M152" i="28"/>
  <c r="W18" i="1"/>
  <c r="X18" i="1" s="1"/>
  <c r="M16" i="28"/>
  <c r="G105" i="28"/>
  <c r="M151" i="28"/>
  <c r="M191" i="28"/>
  <c r="W31" i="1"/>
  <c r="X31" i="1" s="1"/>
  <c r="M29" i="28"/>
  <c r="G163" i="28"/>
  <c r="G119" i="28"/>
  <c r="G183" i="28"/>
  <c r="M141" i="28"/>
  <c r="M123" i="28"/>
  <c r="G189" i="28"/>
  <c r="M170" i="28"/>
  <c r="G176" i="28"/>
  <c r="G114" i="28"/>
  <c r="G125" i="28"/>
  <c r="M15" i="28"/>
  <c r="W17" i="1"/>
  <c r="X17" i="1" s="1"/>
  <c r="W34" i="1"/>
  <c r="X34" i="1" s="1"/>
  <c r="M32" i="28"/>
  <c r="G140" i="28"/>
  <c r="G151" i="28"/>
  <c r="M21" i="28"/>
  <c r="W23" i="1"/>
  <c r="X23" i="1" s="1"/>
  <c r="M149" i="28"/>
  <c r="G111" i="28"/>
  <c r="W10" i="1"/>
  <c r="M8" i="28"/>
  <c r="G107" i="28"/>
  <c r="G175" i="28"/>
  <c r="G127" i="28"/>
  <c r="M176" i="28"/>
  <c r="M36" i="28"/>
  <c r="W38" i="1"/>
  <c r="X38" i="1" s="1"/>
  <c r="M49" i="28"/>
  <c r="W51" i="1"/>
  <c r="X51" i="1" s="1"/>
  <c r="G185" i="28"/>
  <c r="W37" i="1"/>
  <c r="X37" i="1" s="1"/>
  <c r="M35" i="28"/>
  <c r="M163" i="28"/>
  <c r="M17" i="28"/>
  <c r="W19" i="1"/>
  <c r="X19" i="1" s="1"/>
  <c r="M127" i="28"/>
  <c r="M177" i="28"/>
  <c r="I4" i="51"/>
  <c r="W16" i="1"/>
  <c r="X16" i="1" s="1"/>
  <c r="M14" i="28"/>
  <c r="M150" i="28"/>
  <c r="G179" i="28"/>
  <c r="M185" i="28"/>
  <c r="M124" i="28"/>
  <c r="G118" i="28"/>
  <c r="M120" i="28"/>
  <c r="W52" i="1"/>
  <c r="X52" i="1" s="1"/>
  <c r="M50" i="28"/>
  <c r="G110" i="28"/>
  <c r="G134" i="28"/>
  <c r="G160" i="28"/>
  <c r="G141" i="28"/>
  <c r="G158" i="28"/>
  <c r="G148" i="28"/>
  <c r="M174" i="28"/>
  <c r="M180" i="28"/>
  <c r="M130" i="28"/>
  <c r="M189" i="28"/>
  <c r="W6" i="1"/>
  <c r="M4" i="28"/>
  <c r="R3" i="1"/>
  <c r="C3" i="51" s="1"/>
  <c r="W33" i="1"/>
  <c r="X33" i="1" s="1"/>
  <c r="M31" i="28"/>
  <c r="M121" i="28"/>
  <c r="M128" i="28"/>
  <c r="M106" i="28"/>
  <c r="M166" i="28"/>
  <c r="M104" i="28"/>
  <c r="M181" i="28"/>
  <c r="M158" i="28"/>
  <c r="G171" i="28"/>
  <c r="M19" i="28"/>
  <c r="W21" i="1"/>
  <c r="X21" i="1" s="1"/>
  <c r="G120" i="28"/>
  <c r="M33" i="28"/>
  <c r="W35" i="1"/>
  <c r="X35" i="1" s="1"/>
  <c r="W43" i="1"/>
  <c r="X43" i="1" s="1"/>
  <c r="M41" i="28"/>
  <c r="M12" i="28"/>
  <c r="W14" i="1"/>
  <c r="X14" i="1" s="1"/>
  <c r="M173" i="28"/>
  <c r="G104" i="28"/>
  <c r="M159" i="28"/>
  <c r="M156" i="28"/>
  <c r="M142" i="28"/>
  <c r="G188" i="28"/>
  <c r="G123" i="28"/>
  <c r="M165" i="28"/>
  <c r="G187" i="28"/>
  <c r="D18" i="26"/>
  <c r="G112" i="28"/>
  <c r="G108" i="28"/>
  <c r="G159" i="28"/>
  <c r="G152" i="28"/>
  <c r="H133" i="28"/>
  <c r="G146" i="28"/>
  <c r="G138" i="28"/>
  <c r="G170" i="28"/>
  <c r="M133" i="28"/>
  <c r="M25" i="28"/>
  <c r="W27" i="1"/>
  <c r="X27" i="1" s="1"/>
  <c r="G130" i="28"/>
  <c r="M171" i="28"/>
  <c r="M187" i="28"/>
  <c r="M162" i="28"/>
  <c r="M13" i="28"/>
  <c r="W15" i="1"/>
  <c r="X15" i="1" s="1"/>
  <c r="G169" i="28"/>
  <c r="M114" i="28"/>
  <c r="M105" i="28"/>
  <c r="G109" i="28"/>
  <c r="M23" i="28"/>
  <c r="W25" i="1"/>
  <c r="X25" i="1" s="1"/>
  <c r="M52" i="28"/>
  <c r="W54" i="1"/>
  <c r="X54" i="1" s="1"/>
  <c r="W53" i="1"/>
  <c r="X53" i="1" s="1"/>
  <c r="M51" i="28"/>
  <c r="M192" i="28"/>
  <c r="G180" i="28"/>
  <c r="G131" i="28"/>
  <c r="G136" i="28"/>
  <c r="G133" i="28"/>
  <c r="G168" i="28"/>
  <c r="M28" i="28"/>
  <c r="W30" i="1"/>
  <c r="X30" i="1" s="1"/>
  <c r="G128" i="28"/>
  <c r="M168" i="28"/>
  <c r="M161" i="28"/>
  <c r="M145" i="28"/>
  <c r="G165" i="28"/>
  <c r="M119" i="28"/>
  <c r="M134" i="28"/>
  <c r="G190" i="28"/>
  <c r="G192" i="28"/>
  <c r="G126" i="28"/>
  <c r="M126" i="28"/>
  <c r="M30" i="28"/>
  <c r="W32" i="1"/>
  <c r="X32" i="1" s="1"/>
  <c r="M144" i="28"/>
  <c r="M178" i="28"/>
  <c r="M107" i="28"/>
  <c r="G186" i="28"/>
  <c r="M38" i="28"/>
  <c r="W40" i="1"/>
  <c r="X40" i="1" s="1"/>
  <c r="G124" i="28"/>
  <c r="M190" i="28"/>
  <c r="G182" i="28"/>
  <c r="G145" i="28"/>
  <c r="G161" i="28"/>
  <c r="G139" i="28"/>
  <c r="G157" i="28"/>
  <c r="G153" i="28"/>
  <c r="G162" i="28"/>
  <c r="M175" i="28"/>
  <c r="W46" i="1"/>
  <c r="X46" i="1" s="1"/>
  <c r="M44" i="28"/>
  <c r="W24" i="1"/>
  <c r="X24" i="1" s="1"/>
  <c r="M22" i="28"/>
  <c r="M24" i="28"/>
  <c r="W26" i="1"/>
  <c r="X26" i="1" s="1"/>
  <c r="M146" i="28"/>
  <c r="S3" i="1"/>
  <c r="D3" i="51" s="1"/>
  <c r="U6" i="1"/>
  <c r="G116" i="28"/>
  <c r="M147" i="28"/>
  <c r="M46" i="28"/>
  <c r="W48" i="1"/>
  <c r="X48" i="1" s="1"/>
  <c r="G167" i="28"/>
  <c r="G113" i="28"/>
  <c r="G174" i="28"/>
  <c r="W8" i="1"/>
  <c r="M6" i="28"/>
  <c r="G181" i="28"/>
  <c r="M183" i="28"/>
  <c r="G121" i="28"/>
  <c r="M37" i="28"/>
  <c r="W39" i="1"/>
  <c r="X39" i="1" s="1"/>
  <c r="W29" i="1"/>
  <c r="X29" i="1" s="1"/>
  <c r="M27" i="28"/>
  <c r="M157" i="28"/>
  <c r="M169" i="28"/>
  <c r="W44" i="1"/>
  <c r="X44" i="1" s="1"/>
  <c r="M42" i="28"/>
  <c r="G172" i="28"/>
  <c r="G164" i="28"/>
  <c r="M5" i="28"/>
  <c r="W7" i="1"/>
  <c r="G147" i="28"/>
  <c r="G143" i="28"/>
  <c r="G135" i="28"/>
  <c r="M112" i="28"/>
  <c r="M140" i="28"/>
  <c r="M138" i="28"/>
  <c r="M148" i="28"/>
  <c r="M109" i="28"/>
  <c r="W20" i="1"/>
  <c r="X20" i="1" s="1"/>
  <c r="M18" i="28"/>
  <c r="G122" i="28"/>
  <c r="M136" i="28"/>
  <c r="M179" i="28"/>
  <c r="W28" i="1"/>
  <c r="X28" i="1" s="1"/>
  <c r="M26" i="28"/>
  <c r="M48" i="28"/>
  <c r="W50" i="1"/>
  <c r="X50" i="1" s="1"/>
  <c r="M20" i="28"/>
  <c r="W22" i="1"/>
  <c r="X22" i="1" s="1"/>
  <c r="G191" i="28"/>
  <c r="H163" i="28"/>
  <c r="M116" i="28"/>
  <c r="M108" i="28"/>
  <c r="M125" i="28"/>
  <c r="M129" i="28"/>
  <c r="H104" i="28"/>
  <c r="M164" i="28"/>
  <c r="G177" i="28"/>
  <c r="G132" i="28"/>
  <c r="M135" i="28"/>
  <c r="G106" i="28"/>
  <c r="M182" i="28"/>
  <c r="G149" i="28"/>
  <c r="G155" i="28"/>
  <c r="G154" i="28"/>
  <c r="M160" i="28"/>
  <c r="M139" i="28"/>
  <c r="X9" i="1" l="1"/>
  <c r="I3" i="51"/>
  <c r="C5" i="51"/>
  <c r="X8" i="1"/>
  <c r="X10" i="1"/>
  <c r="X7" i="1"/>
  <c r="E3" i="51"/>
  <c r="D17" i="26" s="1"/>
  <c r="D19" i="26" s="1"/>
  <c r="U3" i="1"/>
  <c r="F3" i="51" s="1"/>
  <c r="C23" i="26" s="1"/>
  <c r="C17" i="26"/>
  <c r="C19" i="26" s="1"/>
  <c r="B24" i="33" s="1"/>
  <c r="D5" i="51"/>
  <c r="X6" i="1"/>
  <c r="W3" i="1"/>
  <c r="F8" i="26" l="1"/>
  <c r="F13" i="52" s="1"/>
  <c r="J3" i="51"/>
  <c r="E23" i="26" s="1"/>
  <c r="I53" i="28"/>
  <c r="X3" i="1"/>
  <c r="B3" i="33"/>
  <c r="I135" i="28"/>
  <c r="I5" i="51"/>
  <c r="E5" i="51"/>
  <c r="C24" i="26"/>
  <c r="C26" i="26" s="1"/>
  <c r="I165" i="28"/>
  <c r="I54" i="28"/>
  <c r="I130" i="28"/>
  <c r="I145" i="28"/>
  <c r="I156" i="28"/>
  <c r="I27" i="28"/>
  <c r="I21" i="28"/>
  <c r="I182" i="28"/>
  <c r="I112" i="28"/>
  <c r="I140" i="28"/>
  <c r="I185" i="28"/>
  <c r="I116" i="28"/>
  <c r="I29" i="28"/>
  <c r="I39" i="28"/>
  <c r="I122" i="28"/>
  <c r="I181" i="28"/>
  <c r="I32" i="28"/>
  <c r="I188" i="28"/>
  <c r="I148" i="28"/>
  <c r="I123" i="28"/>
  <c r="I133" i="28"/>
  <c r="I167" i="28"/>
  <c r="I143" i="28"/>
  <c r="I120" i="28"/>
  <c r="I186" i="28"/>
  <c r="I176" i="28"/>
  <c r="I22" i="28"/>
  <c r="I113" i="28"/>
  <c r="I127" i="28"/>
  <c r="I171" i="28"/>
  <c r="I110" i="28"/>
  <c r="I172" i="28"/>
  <c r="I141" i="28"/>
  <c r="I40" i="28"/>
  <c r="I28" i="28"/>
  <c r="I191" i="28"/>
  <c r="I153" i="28"/>
  <c r="I124" i="28"/>
  <c r="I136" i="28"/>
  <c r="I47" i="28"/>
  <c r="I14" i="28"/>
  <c r="I134" i="28"/>
  <c r="I184" i="28"/>
  <c r="I125" i="28"/>
  <c r="I121" i="28"/>
  <c r="I187" i="28"/>
  <c r="I17" i="28"/>
  <c r="I117" i="28"/>
  <c r="I106" i="28"/>
  <c r="I179" i="28"/>
  <c r="I6" i="28"/>
  <c r="I178" i="28"/>
  <c r="I142" i="28"/>
  <c r="I19" i="28"/>
  <c r="I158" i="28"/>
  <c r="I15" i="28"/>
  <c r="I13" i="28"/>
  <c r="I164" i="28"/>
  <c r="I11" i="28"/>
  <c r="I183" i="28"/>
  <c r="I131" i="28"/>
  <c r="I189" i="28"/>
  <c r="I126" i="28"/>
  <c r="I175" i="28"/>
  <c r="I149" i="28"/>
  <c r="I49" i="28"/>
  <c r="I44" i="28"/>
  <c r="I137" i="28"/>
  <c r="I8" i="28"/>
  <c r="I114" i="28"/>
  <c r="I192" i="28"/>
  <c r="I45" i="28"/>
  <c r="I48" i="28"/>
  <c r="I16" i="28"/>
  <c r="I31" i="28"/>
  <c r="I144" i="28"/>
  <c r="I24" i="28"/>
  <c r="I7" i="28"/>
  <c r="I150" i="28"/>
  <c r="I111" i="28"/>
  <c r="I33" i="28"/>
  <c r="I170" i="28"/>
  <c r="I173" i="28"/>
  <c r="I108" i="28"/>
  <c r="I118" i="28"/>
  <c r="I35" i="28"/>
  <c r="I109" i="28"/>
  <c r="I105" i="28"/>
  <c r="I151" i="28"/>
  <c r="I129" i="28"/>
  <c r="I119" i="28"/>
  <c r="I159" i="28"/>
  <c r="H3" i="51"/>
  <c r="I10" i="28"/>
  <c r="I128" i="28"/>
  <c r="I38" i="28"/>
  <c r="I139" i="28"/>
  <c r="I46" i="28"/>
  <c r="I43" i="28"/>
  <c r="I37" i="28"/>
  <c r="I51" i="28"/>
  <c r="I174" i="28"/>
  <c r="I163" i="28"/>
  <c r="I41" i="28"/>
  <c r="I146" i="28"/>
  <c r="I154" i="28"/>
  <c r="I138" i="28"/>
  <c r="I36" i="28"/>
  <c r="I166" i="28"/>
  <c r="I168" i="28"/>
  <c r="I20" i="28"/>
  <c r="I4" i="28"/>
  <c r="I147" i="28"/>
  <c r="I132" i="28"/>
  <c r="I177" i="28"/>
  <c r="I23" i="28"/>
  <c r="I26" i="28"/>
  <c r="I30" i="28"/>
  <c r="I160" i="28"/>
  <c r="I25" i="28"/>
  <c r="I157" i="28"/>
  <c r="I34" i="28"/>
  <c r="I180" i="28"/>
  <c r="I161" i="28"/>
  <c r="J4" i="51"/>
  <c r="E24" i="26" s="1"/>
  <c r="F24" i="26" s="1"/>
  <c r="I204" i="28"/>
  <c r="I103" i="28"/>
  <c r="I203" i="28"/>
  <c r="I210" i="28"/>
  <c r="I211" i="28"/>
  <c r="I200" i="28"/>
  <c r="I212" i="28"/>
  <c r="I202" i="28"/>
  <c r="I3" i="28"/>
  <c r="I201" i="28"/>
  <c r="I205" i="28"/>
  <c r="I208" i="28"/>
  <c r="I195" i="28"/>
  <c r="I193" i="28"/>
  <c r="I194" i="28"/>
  <c r="I197" i="28"/>
  <c r="I209" i="28"/>
  <c r="I198" i="28"/>
  <c r="I196" i="28"/>
  <c r="I199" i="28"/>
  <c r="I207" i="28"/>
  <c r="I206" i="28"/>
  <c r="I96" i="28"/>
  <c r="I63" i="28"/>
  <c r="I77" i="28"/>
  <c r="I64" i="28"/>
  <c r="I73" i="28"/>
  <c r="I59" i="28"/>
  <c r="I61" i="28"/>
  <c r="I87" i="28"/>
  <c r="I99" i="28"/>
  <c r="I82" i="28"/>
  <c r="I93" i="28"/>
  <c r="I70" i="28"/>
  <c r="I101" i="28"/>
  <c r="I84" i="28"/>
  <c r="I75" i="28"/>
  <c r="I57" i="28"/>
  <c r="I85" i="28"/>
  <c r="I97" i="28"/>
  <c r="I95" i="28"/>
  <c r="I69" i="28"/>
  <c r="I91" i="28"/>
  <c r="I67" i="28"/>
  <c r="I79" i="28"/>
  <c r="I102" i="28"/>
  <c r="I58" i="28"/>
  <c r="I100" i="28"/>
  <c r="I66" i="28"/>
  <c r="I76" i="28"/>
  <c r="I88" i="28"/>
  <c r="I71" i="28"/>
  <c r="I74" i="28"/>
  <c r="I72" i="28"/>
  <c r="I83" i="28"/>
  <c r="I56" i="28"/>
  <c r="I81" i="28"/>
  <c r="I68" i="28"/>
  <c r="I94" i="28"/>
  <c r="I78" i="28"/>
  <c r="I62" i="28"/>
  <c r="I98" i="28"/>
  <c r="I90" i="28"/>
  <c r="I80" i="28"/>
  <c r="I92" i="28"/>
  <c r="I60" i="28"/>
  <c r="I86" i="28"/>
  <c r="I89" i="28"/>
  <c r="I65" i="28"/>
  <c r="I55" i="28"/>
  <c r="I162" i="28"/>
  <c r="I42" i="28"/>
  <c r="I115" i="28"/>
  <c r="I104" i="28"/>
  <c r="I107" i="28"/>
  <c r="I52" i="28"/>
  <c r="I155" i="28"/>
  <c r="I50" i="28"/>
  <c r="I190" i="28"/>
  <c r="I9" i="28"/>
  <c r="I18" i="28"/>
  <c r="I5" i="28"/>
  <c r="I152" i="28"/>
  <c r="I12" i="28"/>
  <c r="I169" i="28"/>
  <c r="B18" i="33" l="1"/>
  <c r="E26" i="26"/>
  <c r="D8" i="26" s="1"/>
  <c r="F23" i="26"/>
  <c r="H5" i="51"/>
  <c r="F5" i="51"/>
  <c r="G24" i="26"/>
  <c r="J5" i="51"/>
  <c r="B21" i="33" l="1"/>
  <c r="B20" i="33"/>
  <c r="D18" i="33"/>
  <c r="D21" i="33" l="1"/>
  <c r="D20" i="33"/>
  <c r="G23" i="26"/>
  <c r="F26" i="26" l="1"/>
  <c r="G26" i="26" l="1"/>
  <c r="E8" i="26"/>
  <c r="E13" i="52" s="1"/>
  <c r="D13" i="52"/>
  <c r="B2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Sheaffer, Andrew</author>
    <author>Kurtz, Spencer</author>
  </authors>
  <commentList>
    <comment ref="B14" authorId="0" shapeId="0" xr:uid="{51CC2BC9-DE43-46DD-A295-3C14B4685552}">
      <text>
        <r>
          <rPr>
            <sz val="10"/>
            <color theme="1"/>
            <rFont val="Calibri"/>
            <family val="2"/>
            <scheme val="minor"/>
          </rPr>
          <t>Publicly funded organizations include organizations that are primarily funded by Federal, state or municipal sources.  Examples include: Federal, state or municipal organizations/facilities, public schools and universities, museums, public hospitals/clinics, etc.</t>
        </r>
      </text>
    </comment>
    <comment ref="E28" authorId="1" shapeId="0" xr:uid="{00000000-0006-0000-0000-000001000000}">
      <text>
        <r>
          <rPr>
            <sz val="10"/>
            <color theme="1"/>
            <rFont val="Calibri"/>
            <family val="2"/>
            <scheme val="minor"/>
          </rPr>
          <t xml:space="preserve"> Input the 'blended' rate of electricity for the given account number, i.e. the total electric utility costs for at least the previous 12 months divided by the total kWh consumption during the same time period.  This data is not used to calculate incentives, but allows this application to provide an estimate of the reduction in the customer's energy bills resulting from the implementation of measures contained in the application.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27789A80-6960-4C01-B6BE-5C3384D3D9AE}">
      <text>
        <r>
          <rPr>
            <sz val="9"/>
            <color indexed="81"/>
            <rFont val="Tahoma"/>
            <family val="2"/>
          </rPr>
          <t>Add any additional or relevant notes or information for the project here that isn't captured in the previous "customer inputs" for each line item.</t>
        </r>
      </text>
    </comment>
    <comment ref="R4" authorId="0" shapeId="0" xr:uid="{00000000-0006-0000-0200-000006000000}">
      <text>
        <r>
          <rPr>
            <sz val="9"/>
            <color indexed="81"/>
            <rFont val="Tahoma"/>
            <family val="2"/>
          </rPr>
          <t>The estimated incentive shown below does not incorporate project level incentive caps, which may reduce the total incentive paid to a project.</t>
        </r>
      </text>
    </comment>
    <comment ref="W4" authorId="0" shapeId="0" xr:uid="{38C9D8EC-C80F-48C5-8A92-68D7248A52A8}">
      <text>
        <r>
          <rPr>
            <sz val="9"/>
            <color indexed="81"/>
            <rFont val="Tahoma"/>
            <family val="2"/>
          </rPr>
          <t xml:space="preserve">The sum of net measure costs shown on this tab and other tabs may not equal the total net project cost shown on the Summary page due to the influence of project caps, which are not incorporated here, but are incorporated into the net project cost shown on the Summary page.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5" authorId="0" shapeId="0" xr:uid="{4532A9F3-7C27-45B0-AD91-F97AE48AA6FE}">
      <text>
        <r>
          <rPr>
            <sz val="9"/>
            <color indexed="81"/>
            <rFont val="Tahoma"/>
            <family val="2"/>
          </rPr>
          <t>Add any additional or relevant notes or information for the project here that isn't captured in the previous "customer inputs" for each line item.</t>
        </r>
      </text>
    </comment>
    <comment ref="J5" authorId="0" shapeId="0" xr:uid="{BDB9200C-A7C2-439F-BD15-DDB0F3F3FB2A}">
      <text>
        <r>
          <rPr>
            <b/>
            <sz val="9"/>
            <color indexed="81"/>
            <rFont val="Tahoma"/>
            <family val="2"/>
          </rPr>
          <t>Use the manufacturer full load kW/ton efficiency for the specific make and model. If that is not available, use the baseline efficiency values designated in the IECC 2009 energy code or the New Orleans Technical Reference Manual (TRM) v7.0</t>
        </r>
        <r>
          <rPr>
            <sz val="9"/>
            <color indexed="81"/>
            <rFont val="Tahoma"/>
            <family val="2"/>
          </rPr>
          <t xml:space="preserve">
</t>
        </r>
      </text>
    </comment>
    <comment ref="K5" authorId="0" shapeId="0" xr:uid="{18B0F64B-B0E7-41E3-A877-6817F718B3DB}">
      <text>
        <r>
          <rPr>
            <b/>
            <sz val="9"/>
            <color indexed="81"/>
            <rFont val="Tahoma"/>
            <family val="2"/>
          </rPr>
          <t>Use the manufacturer part load kW/ton efficiency (IPLV) for the specific make and model. If that is not available, use the baseline efficiency values designated in the IECC 2009 energy code or the New Orleans Technical Reference Manual (TRM) v7.0</t>
        </r>
      </text>
    </comment>
    <comment ref="N5" authorId="0" shapeId="0" xr:uid="{132AF9B0-6A78-4E93-BA6C-26BE6D4015C1}">
      <text>
        <r>
          <rPr>
            <sz val="9"/>
            <color indexed="81"/>
            <rFont val="Tahoma"/>
            <family val="2"/>
          </rPr>
          <t>The estimated incentive shown below does not incorporate project level incentive caps, which may reduce the total incentive paid to a project.</t>
        </r>
      </text>
    </comment>
    <comment ref="S5" authorId="0" shapeId="0" xr:uid="{546EDC90-E30E-4FA7-9E2B-C8CD8DB05D02}">
      <text>
        <r>
          <rPr>
            <sz val="9"/>
            <color indexed="81"/>
            <rFont val="Tahoma"/>
            <family val="2"/>
          </rPr>
          <t xml:space="preserve">The sum of net measure costs shown on this tab and other tabs may not equal the total net project cost shown on the Summary page due to the influence of project caps, which are not incorporated here, but are incorporated into the net project cost shown on the Summary page.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Sheaffer, Andrew</author>
  </authors>
  <commentList>
    <comment ref="E22" authorId="0" shapeId="0" xr:uid="{A243DF63-C6FE-44A0-BE77-0D1A27EF4ED7}">
      <text>
        <r>
          <rPr>
            <sz val="9"/>
            <color indexed="81"/>
            <rFont val="Tahoma"/>
            <family val="2"/>
          </rPr>
          <t>Incentives detailed here may differ from total incentives shown on measure input sheets due to project caps (see information on project caps on the Eligibility Tab).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tc={8EF07D4B-37BF-4245-9CA3-94EB6DE9529C}</author>
    <author>tc={62C74FEC-860C-4FD5-BBC1-61E30FA1D7C5}</author>
    <author>tc={13CE2E3C-D381-46CB-B794-332D929AC969}</author>
  </authors>
  <commentList>
    <comment ref="N116" authorId="0" shapeId="0" xr:uid="{8EF07D4B-37BF-4245-9CA3-94EB6DE9529C}">
      <text>
        <t>[Threaded comment]
Your version of Excel allows you to read this threaded comment; however, any edits to it will get removed if the file is opened in a newer version of Excel. Learn more: https://go.microsoft.com/fwlink/?linkid=870924
Comment:
    SEER2</t>
      </text>
    </comment>
    <comment ref="N121" authorId="1" shapeId="0" xr:uid="{62C74FEC-860C-4FD5-BBC1-61E30FA1D7C5}">
      <text>
        <t>[Threaded comment]
Your version of Excel allows you to read this threaded comment; however, any edits to it will get removed if the file is opened in a newer version of Excel. Learn more: https://go.microsoft.com/fwlink/?linkid=870924
Comment:
    SEER2</t>
      </text>
    </comment>
    <comment ref="O121" authorId="2" shapeId="0" xr:uid="{13CE2E3C-D381-46CB-B794-332D929AC969}">
      <text>
        <t>[Threaded comment]
Your version of Excel allows you to read this threaded comment; however, any edits to it will get removed if the file is opened in a newer version of Excel. Learn more: https://go.microsoft.com/fwlink/?linkid=870924
Comment:
    HSPF2</t>
      </text>
    </comment>
  </commentList>
</comments>
</file>

<file path=xl/sharedStrings.xml><?xml version="1.0" encoding="utf-8"?>
<sst xmlns="http://schemas.openxmlformats.org/spreadsheetml/2006/main" count="1048" uniqueCount="528">
  <si>
    <t>Commercial and Industrial HVAC tune-up workbook</t>
  </si>
  <si>
    <r>
      <rPr>
        <sz val="10"/>
        <color rgb="FF000000"/>
        <rFont val="Arial"/>
        <family val="2"/>
      </rPr>
      <t xml:space="preserve">Energy Smart energy efficiency incentives are available to all commercial Entergy New Orleans customers. This workbook serves as the primary application for non-lighting energy efficiency projects. The workbook provides an estimate of the energy saved as well as potential Energy Smart incentives, subject to review and approval by the program team. </t>
    </r>
    <r>
      <rPr>
        <b/>
        <sz val="10"/>
        <color rgb="FFB41E83"/>
        <rFont val="Arial"/>
        <family val="2"/>
      </rPr>
      <t xml:space="preserve">Pre-approval and a pre-installation site inspection are required for projects with custom measures and projects with prescriptive measures over $5,000.
</t>
    </r>
    <r>
      <rPr>
        <sz val="10"/>
        <color rgb="FF000000"/>
        <rFont val="Arial"/>
        <family val="2"/>
      </rPr>
      <t xml:space="preserve">
</t>
    </r>
  </si>
  <si>
    <t>Energy Smart project application package</t>
  </si>
  <si>
    <r>
      <rPr>
        <sz val="10"/>
        <color rgb="FF000000"/>
        <rFont val="Arial"/>
        <family val="2"/>
      </rPr>
      <t xml:space="preserve">Before ordering equipment, submit application package to </t>
    </r>
    <r>
      <rPr>
        <b/>
        <sz val="10"/>
        <color rgb="FFB41E83"/>
        <rFont val="Arial"/>
        <family val="2"/>
      </rPr>
      <t>commercialapps@energysmartnola.com</t>
    </r>
    <r>
      <rPr>
        <sz val="10"/>
        <color rgb="FF000000"/>
        <rFont val="Arial"/>
        <family val="2"/>
      </rPr>
      <t xml:space="preserve">.
</t>
    </r>
    <r>
      <rPr>
        <b/>
        <sz val="10"/>
        <color rgb="FF000000"/>
        <rFont val="Arial"/>
        <family val="2"/>
      </rPr>
      <t xml:space="preserve">Application package includes: 
</t>
    </r>
    <r>
      <rPr>
        <sz val="10"/>
        <color rgb="FF000000"/>
        <rFont val="Arial"/>
        <family val="2"/>
      </rPr>
      <t xml:space="preserve">1. Completed Energy Smart workbook (this workbook).
2. Entergy New Orleans electric bill for primary account at job site location. 
3. Cut sheets or manufacturer's specification sheets for all proposed equipment. 
4. Detailed project proposal/quote.
5. Photos of existing equipment.
6. W9 for incentive payee. 
For custom scope of work, include detailed energy savings calculations. </t>
    </r>
  </si>
  <si>
    <t>Workbook data entry</t>
  </si>
  <si>
    <t>Data entry cell</t>
  </si>
  <si>
    <t>No data entry required cell</t>
  </si>
  <si>
    <t xml:space="preserve">Cells colored in dark gray should not be filled in and may be locked to prevent data entry. </t>
  </si>
  <si>
    <t>Workbook tabs</t>
  </si>
  <si>
    <t>Intro tab</t>
  </si>
  <si>
    <t xml:space="preserve">Contains information about the workbook, requirements for eligible equipment and application package submittal instructions. </t>
  </si>
  <si>
    <t>Application tab</t>
  </si>
  <si>
    <r>
      <rPr>
        <sz val="10"/>
        <color rgb="FF000000"/>
        <rFont val="Arial"/>
        <family val="2"/>
      </rPr>
      <t xml:space="preserve">Provides project application. This tab must be completed before submitting application package to the Energy Smart program. </t>
    </r>
    <r>
      <rPr>
        <sz val="10"/>
        <color rgb="FFB41E83"/>
        <rFont val="Arial"/>
        <family val="2"/>
      </rPr>
      <t>Data entry required.</t>
    </r>
    <r>
      <rPr>
        <sz val="10"/>
        <color rgb="FF000000"/>
        <rFont val="Arial"/>
        <family val="2"/>
      </rPr>
      <t xml:space="preserve"> </t>
    </r>
  </si>
  <si>
    <t>Signature tab</t>
  </si>
  <si>
    <r>
      <t xml:space="preserve">Contains the Customer Application Agreement and link to program terms and conditions. </t>
    </r>
    <r>
      <rPr>
        <sz val="10"/>
        <color rgb="FFB41E83"/>
        <rFont val="Arial"/>
        <family val="2"/>
      </rPr>
      <t>Customer's electronic signature required.</t>
    </r>
    <r>
      <rPr>
        <sz val="10"/>
        <color theme="1"/>
        <rFont val="Arial"/>
        <family val="2"/>
      </rPr>
      <t xml:space="preserve"> </t>
    </r>
  </si>
  <si>
    <t>A/C and Heat Pumps</t>
  </si>
  <si>
    <r>
      <rPr>
        <sz val="10"/>
        <color rgb="FF000000"/>
        <rFont val="Arial"/>
        <family val="2"/>
      </rPr>
      <t xml:space="preserve">Provides a space for entering information on prescriptive HVAC DX tune-up measures. </t>
    </r>
    <r>
      <rPr>
        <sz val="10"/>
        <color rgb="FFB41E83"/>
        <rFont val="Arial"/>
        <family val="2"/>
      </rPr>
      <t xml:space="preserve">Data entry required if applying for prescriptive HVAC tune-up measures. </t>
    </r>
  </si>
  <si>
    <t>Chillers</t>
  </si>
  <si>
    <r>
      <rPr>
        <sz val="10"/>
        <color rgb="FF000000"/>
        <rFont val="Arial"/>
        <family val="2"/>
      </rPr>
      <t xml:space="preserve">Provides spaces for entering information on prescriptive chiller tune-up measures. </t>
    </r>
    <r>
      <rPr>
        <sz val="10"/>
        <color rgb="FFB41E83"/>
        <rFont val="Arial"/>
        <family val="2"/>
      </rPr>
      <t xml:space="preserve">Data entry required if applying for prescriptive chiller tune-up measures. </t>
    </r>
  </si>
  <si>
    <t>Summary tab</t>
  </si>
  <si>
    <t>Contains a project-level summary of all measures entered into the workbook. No data entry is required on this tab.</t>
  </si>
  <si>
    <t>Equipment qualifications</t>
  </si>
  <si>
    <r>
      <rPr>
        <b/>
        <sz val="10"/>
        <color rgb="FF000000"/>
        <rFont val="Arial"/>
        <family val="2"/>
      </rPr>
      <t>For HVAC DX (A/C and heat pump) tune-ups to be eligible for Energy Smart incentives:</t>
    </r>
    <r>
      <rPr>
        <sz val="10"/>
        <color rgb="FF000000"/>
        <rFont val="Arial"/>
        <family val="2"/>
      </rPr>
      <t xml:space="preserve">                                                                                             </t>
    </r>
    <r>
      <rPr>
        <b/>
        <i/>
        <sz val="10"/>
        <color rgb="FF000000"/>
        <rFont val="Arial"/>
        <family val="2"/>
      </rPr>
      <t xml:space="preserve"> </t>
    </r>
    <r>
      <rPr>
        <i/>
        <sz val="10"/>
        <color rgb="FF000000"/>
        <rFont val="Arial"/>
        <family val="2"/>
      </rPr>
      <t>Incentives are tiered based on the specific capacity range of the individual equipment in scope.</t>
    </r>
    <r>
      <rPr>
        <b/>
        <i/>
        <sz val="10"/>
        <color rgb="FF000000"/>
        <rFont val="Arial"/>
        <family val="2"/>
      </rPr>
      <t xml:space="preserve">  </t>
    </r>
    <r>
      <rPr>
        <b/>
        <sz val="10"/>
        <color rgb="FF000000"/>
        <rFont val="Arial"/>
        <family val="2"/>
      </rPr>
      <t xml:space="preserve">   </t>
    </r>
    <r>
      <rPr>
        <sz val="10"/>
        <color rgb="FF000000"/>
        <rFont val="Arial"/>
        <family val="2"/>
      </rPr>
      <t xml:space="preserve">                                                                                                                                                                                                               ▪ Trade allies submitting this measure are </t>
    </r>
    <r>
      <rPr>
        <b/>
        <sz val="10"/>
        <color rgb="FF000000"/>
        <rFont val="Arial"/>
        <family val="2"/>
      </rPr>
      <t>required</t>
    </r>
    <r>
      <rPr>
        <sz val="10"/>
        <color rgb="FF000000"/>
        <rFont val="Arial"/>
        <family val="2"/>
      </rPr>
      <t xml:space="preserve"> to perform test-in and test-out measurements of equipment voltage and amperage (current).                                                                                                                                                                                                                                    ▪ Inspect and clean condenser, evaporator coils and blower. 
▪ Inspect refrigerant level and adjust to manufacturer specifications.
▪ Measure the static pressure across the cooling coil to verify adequate system airflow and adjust to manufacturer specifications.
▪ Inspect, clean or change air filters.
▪ Calibrate thermostat on/off setpoints based on building occupancy.
▪ Tighten all electrical connections, and measure voltage and current on motors.
▪ Lubricate all moving parts, including motor and fan bearings.
▪ Inspect and clean the condensate drain.
▪ Inspect controls of the system to ensure proper and safe operation. Check the starting cycle of the equipment to ensure the system starts, operates and shuts off properly.
▪ Provide documentation showing completion of the above checklist to the utility or the utility’s
representative.</t>
    </r>
  </si>
  <si>
    <r>
      <rPr>
        <b/>
        <sz val="10"/>
        <color rgb="FF000000"/>
        <rFont val="Arial"/>
        <family val="2"/>
      </rPr>
      <t xml:space="preserve">For chiller tune-ups to be eligible for Energy Smart incentives:   </t>
    </r>
    <r>
      <rPr>
        <sz val="10"/>
        <color rgb="FF000000"/>
        <rFont val="Arial"/>
        <family val="2"/>
      </rPr>
      <t xml:space="preserve">                                                                                                                                </t>
    </r>
    <r>
      <rPr>
        <i/>
        <sz val="10"/>
        <color rgb="FF000000"/>
        <rFont val="Arial"/>
        <family val="2"/>
      </rPr>
      <t xml:space="preserve"> Incentives are tiered based on the type of chiller equipment (air-cooled vs. water-cooled)   </t>
    </r>
    <r>
      <rPr>
        <sz val="10"/>
        <color rgb="FF000000"/>
        <rFont val="Arial"/>
        <family val="2"/>
      </rPr>
      <t xml:space="preserve">                                                                                Tune-up requirements:
▪ Clean condenser coil/tubes.
▪ Check cooling tower for scale or buildup (only for water-cooled chillers).
▪ Check contactors condition.
▪ Check evaporator condition.
▪ Check low-pressure controls.
▪ Check high-pressure controls.
▪ Check filter, replace as needed.
▪ Check belt, replace as needed.
▪ Check crankcase heater operation.
▪ Check economizer operation.                                                                                                                                               
                                                                                                                                                                                                                               Measurement requirements (to be filled out on the "Chiller Data Measurements" tab):
▪ Record system pressure psig.
▪ Record compressor amp draw.
▪ Record liquid line temperature in °F.
▪ Record subcooling and superheat temperatures in °F.
▪ Record suction pressure psig and temperature in °F.
▪ Record condenser fan amp draw.
▪ Record supply motor amp draw.</t>
    </r>
  </si>
  <si>
    <t>Product of APTIM Environmental &amp; Infrastruction, LLC</t>
  </si>
  <si>
    <t>Project application information</t>
  </si>
  <si>
    <t>Entergy New Orleans customer information</t>
  </si>
  <si>
    <t>Project information</t>
  </si>
  <si>
    <t>Business/organization name</t>
  </si>
  <si>
    <t>Brief project description</t>
  </si>
  <si>
    <t>Customer contact name</t>
  </si>
  <si>
    <t>Legal street address 
(as shown on W-9)</t>
  </si>
  <si>
    <t>City</t>
  </si>
  <si>
    <t>State</t>
  </si>
  <si>
    <t>Estimated project start date</t>
  </si>
  <si>
    <t>ZIP code</t>
  </si>
  <si>
    <t>Estimated project completion date</t>
  </si>
  <si>
    <t>Phone number</t>
  </si>
  <si>
    <t>Program type</t>
  </si>
  <si>
    <t>Contact email address</t>
  </si>
  <si>
    <t>Project stage</t>
  </si>
  <si>
    <t>Business/organization classification</t>
  </si>
  <si>
    <t>Project installation type</t>
  </si>
  <si>
    <t>Is this a publicly funded organization?</t>
  </si>
  <si>
    <t>Job site information</t>
  </si>
  <si>
    <t>Is this customer a Disadvantaged Business Enterprise (DBE)?</t>
  </si>
  <si>
    <t>Job site business/organization name</t>
  </si>
  <si>
    <t>Trade ally/contractor information</t>
  </si>
  <si>
    <t>Job site contact name</t>
  </si>
  <si>
    <t>Business name</t>
  </si>
  <si>
    <t>Job site address</t>
  </si>
  <si>
    <t>Trade ally contact name</t>
  </si>
  <si>
    <t>Address</t>
  </si>
  <si>
    <t>ZIP</t>
  </si>
  <si>
    <t>Email address</t>
  </si>
  <si>
    <t>Entergy account number</t>
  </si>
  <si>
    <t>New account? (last 8 weeks)</t>
  </si>
  <si>
    <t>Registered trade ally?</t>
  </si>
  <si>
    <t>Year built</t>
  </si>
  <si>
    <t>Additional contact information (optional)</t>
  </si>
  <si>
    <t>Square footage</t>
  </si>
  <si>
    <t>Does the customer own or rent/lease the job site location?</t>
  </si>
  <si>
    <t>Additional contact name</t>
  </si>
  <si>
    <t>Average electric rate ($/kWh)</t>
  </si>
  <si>
    <t>Building type</t>
  </si>
  <si>
    <t>Heating and cooling system</t>
  </si>
  <si>
    <t>Water heating system</t>
  </si>
  <si>
    <t>Incentive payment information</t>
  </si>
  <si>
    <t>Mail incentive check to</t>
  </si>
  <si>
    <t>Attention to (optional)</t>
  </si>
  <si>
    <t>Project role</t>
  </si>
  <si>
    <t>Make check payable to</t>
  </si>
  <si>
    <t>Additional information</t>
  </si>
  <si>
    <t>Federal tax ID number</t>
  </si>
  <si>
    <t>If Energy Smart has a question, we should contact:</t>
  </si>
  <si>
    <t>Tax entity</t>
  </si>
  <si>
    <t xml:space="preserve">How did you hear about the Energy Smart program? </t>
  </si>
  <si>
    <t>Energy Smart program customer agreement</t>
  </si>
  <si>
    <t>Under penalty of perjury, I certify that:</t>
  </si>
  <si>
    <t>I have read and agreed to the provisions set forth herein and to the Terms and Conditions available at: energysmartnola.com/business/terms. I understand that Energy Smart may revise these Terms and Conditions at any time and I will not be notified in the event changes are made. To the best of my knowledge, all statements made on this application are complete, true and correct.</t>
  </si>
  <si>
    <t>Link to Energy Smart Program Agreement Terms and Conditions</t>
  </si>
  <si>
    <t>Electronic signature (customer)</t>
  </si>
  <si>
    <t>Date</t>
  </si>
  <si>
    <t>HVAC tune-up measure input</t>
  </si>
  <si>
    <t>Building/space type</t>
  </si>
  <si>
    <t>Proposed</t>
  </si>
  <si>
    <t>Totals</t>
  </si>
  <si>
    <t>Line ref. no.</t>
  </si>
  <si>
    <t>Measure number</t>
  </si>
  <si>
    <t>Location/measure notes</t>
  </si>
  <si>
    <t>DX tune-up measure</t>
  </si>
  <si>
    <t>Unit of measure</t>
  </si>
  <si>
    <t>Unit capacity (tons)</t>
  </si>
  <si>
    <t>Unit make &amp; model</t>
  </si>
  <si>
    <t>Refrigerant charge adjustment?</t>
  </si>
  <si>
    <t>EER</t>
  </si>
  <si>
    <t>HSPF</t>
  </si>
  <si>
    <t>Pre-voltage measurement</t>
  </si>
  <si>
    <t>Post-voltage measurement</t>
  </si>
  <si>
    <t>Pre-amperage measurement</t>
  </si>
  <si>
    <t>Post-amperage measurement</t>
  </si>
  <si>
    <t>Total equipment + labor cost</t>
  </si>
  <si>
    <t>Per-unit incentive</t>
  </si>
  <si>
    <t>Estimated incentive</t>
  </si>
  <si>
    <t>Energy savings (kWh)</t>
  </si>
  <si>
    <t>Demand reduction (kW)</t>
  </si>
  <si>
    <t>Cost savings</t>
  </si>
  <si>
    <t>Gross measure cost</t>
  </si>
  <si>
    <t>Net measure cost</t>
  </si>
  <si>
    <t>Simple payback (years)</t>
  </si>
  <si>
    <t>Chiller tune-up measure input</t>
  </si>
  <si>
    <t>Chiller tune-up measure</t>
  </si>
  <si>
    <t>Unit make and model</t>
  </si>
  <si>
    <t>Number of units</t>
  </si>
  <si>
    <t>Full load kW/ton</t>
  </si>
  <si>
    <t>Part load (IPLV) kW/ton</t>
  </si>
  <si>
    <t>Unit make and model number:</t>
  </si>
  <si>
    <t>Unit serial number (if available):</t>
  </si>
  <si>
    <t>Chiller measurement requirements</t>
  </si>
  <si>
    <t>Pre-implementation</t>
  </si>
  <si>
    <t>Post-implementation</t>
  </si>
  <si>
    <t>Chiller measurement 
requirements</t>
  </si>
  <si>
    <t>System pressure (psig)</t>
  </si>
  <si>
    <t>Compressor amp draw</t>
  </si>
  <si>
    <t>Liquid line temperature (°F)</t>
  </si>
  <si>
    <t>Subcooling temperature (°F)</t>
  </si>
  <si>
    <t>Superheat temperature (°F)</t>
  </si>
  <si>
    <t>Suction pressure (psig)</t>
  </si>
  <si>
    <t>Suction temperature (°F)</t>
  </si>
  <si>
    <t>Condenser fan motor amp draw</t>
  </si>
  <si>
    <t>Supply fan motor amp draw</t>
  </si>
  <si>
    <t>Project summary report</t>
  </si>
  <si>
    <r>
      <t xml:space="preserve">Thank you for participating in the Energy Smart program. Energy Smart is proud to help New Orleans businesses increase energy efficiency and lower costs. Contact us at </t>
    </r>
    <r>
      <rPr>
        <b/>
        <sz val="10"/>
        <color rgb="FFB41E83"/>
        <rFont val="Arial"/>
        <family val="2"/>
      </rPr>
      <t>info@energysmartnola.com</t>
    </r>
    <r>
      <rPr>
        <sz val="10"/>
        <color theme="1"/>
        <rFont val="Arial"/>
        <family val="2"/>
      </rPr>
      <t xml:space="preserve"> for more opportunities to save.</t>
    </r>
  </si>
  <si>
    <t>Project summary</t>
  </si>
  <si>
    <t>Total gross project cost</t>
  </si>
  <si>
    <t>Estimated project incentive</t>
  </si>
  <si>
    <t>Net project cost</t>
  </si>
  <si>
    <t>Project energy savings (kWh)</t>
  </si>
  <si>
    <t xml:space="preserve">Project contacts </t>
  </si>
  <si>
    <t>Customer</t>
  </si>
  <si>
    <t>Trade ally</t>
  </si>
  <si>
    <t>Additional contact</t>
  </si>
  <si>
    <t>Energy savings summary</t>
  </si>
  <si>
    <t>Incentive type</t>
  </si>
  <si>
    <t>kW reduction</t>
  </si>
  <si>
    <t>Total</t>
  </si>
  <si>
    <t>Financial details</t>
  </si>
  <si>
    <t>Gross project cost</t>
  </si>
  <si>
    <t>Estimated Incentive</t>
  </si>
  <si>
    <t>Project Completion Notice</t>
  </si>
  <si>
    <t>All project information shown below reflects inputs in the Project Tab of the project application, to update any information shown below, please update the information in the Project Tab of the application.</t>
  </si>
  <si>
    <t>This form should not be used or signed until after the project is installed.  To indicate that a project has been installed, please update the Project Stage field on the Project Tab to "Post-Retrofit"</t>
  </si>
  <si>
    <t>Project Summary</t>
  </si>
  <si>
    <t>Total Gross Project Cost</t>
  </si>
  <si>
    <t>Estimated Project Incentive</t>
  </si>
  <si>
    <t>Net Project Cost</t>
  </si>
  <si>
    <t>Project Energy Savings (kWh)</t>
  </si>
  <si>
    <t>Business/Organization Name</t>
  </si>
  <si>
    <t>Customer Contact Name</t>
  </si>
  <si>
    <t>Business/Organization Classification</t>
  </si>
  <si>
    <t>Trade Ally/Contractor Information</t>
  </si>
  <si>
    <t>Business Name</t>
  </si>
  <si>
    <t>Trade Ally Contact Name</t>
  </si>
  <si>
    <t>Registered Trade Ally?</t>
  </si>
  <si>
    <t>Incentive Payment Information</t>
  </si>
  <si>
    <t>Mail To</t>
  </si>
  <si>
    <t>Attention To</t>
  </si>
  <si>
    <t>Make Check Payable To</t>
  </si>
  <si>
    <t>Federal Tax ID Number</t>
  </si>
  <si>
    <t>Tax Entity</t>
  </si>
  <si>
    <t>Project Installation Completion Date</t>
  </si>
  <si>
    <t xml:space="preserve">I, the below signed, certify that the stated energy efficient measures detailed in this application were completed at the project location identified above and that the actual costs reported represents the final and eligible costs of the approved project. I further certify that, to the best of my knowledge, the statements made on this notice are correct. I have submitted the appropriate supporting documentation including all project invoices. </t>
  </si>
  <si>
    <t>Electronic Signature (Customer)</t>
  </si>
  <si>
    <t>Named Values &amp; Inputs</t>
  </si>
  <si>
    <t>Table_Prescript_Meas</t>
  </si>
  <si>
    <t>Table_Programs_Rates</t>
  </si>
  <si>
    <t>Value_Project_CAP</t>
  </si>
  <si>
    <t>Sort Order</t>
  </si>
  <si>
    <t>Type</t>
  </si>
  <si>
    <t>Measure Number</t>
  </si>
  <si>
    <t>Measure Description</t>
  </si>
  <si>
    <t>Incentive - SC</t>
  </si>
  <si>
    <t>Incentive - LC</t>
  </si>
  <si>
    <t>Average Tons</t>
  </si>
  <si>
    <t>Units</t>
  </si>
  <si>
    <t>Deemed kWh Savings</t>
  </si>
  <si>
    <t>Deemed kW Savings</t>
  </si>
  <si>
    <t>Hybrid Lookup</t>
  </si>
  <si>
    <t>Table 2-44 Deemed Savings by Building Type  – Commercial AC Tune-up</t>
  </si>
  <si>
    <t>List_Programs</t>
  </si>
  <si>
    <t>Custom Incentive Rate</t>
  </si>
  <si>
    <t>List_Biz_Class</t>
  </si>
  <si>
    <t>List_Tax_Entity</t>
  </si>
  <si>
    <t>List_Y_N_U</t>
  </si>
  <si>
    <t>List_Y_N</t>
  </si>
  <si>
    <t>List_DBE_Option</t>
  </si>
  <si>
    <t>List_Project_Stage</t>
  </si>
  <si>
    <t>List_Install_Type</t>
  </si>
  <si>
    <t>List_Ownership</t>
  </si>
  <si>
    <t>List_Bldg_Types</t>
  </si>
  <si>
    <t>List_HVAC</t>
  </si>
  <si>
    <t>List_Water_Heating</t>
  </si>
  <si>
    <t>List_Contacts</t>
  </si>
  <si>
    <t>List_Source</t>
  </si>
  <si>
    <t>List_HVAC_Measure</t>
  </si>
  <si>
    <t>Value_Measure_CAP</t>
  </si>
  <si>
    <t>HVAC</t>
  </si>
  <si>
    <t>A/C Tune-Up (1.5 to 3.5 Tons)</t>
  </si>
  <si>
    <t>Unit</t>
  </si>
  <si>
    <t>Building Type</t>
  </si>
  <si>
    <t>kWh/Ton</t>
  </si>
  <si>
    <t>kW/Ton</t>
  </si>
  <si>
    <t>Small Commercial Solutions (project site demand &lt; 100kW)</t>
  </si>
  <si>
    <t xml:space="preserve">Corporation </t>
  </si>
  <si>
    <t>Individual/Sole Proprietor</t>
  </si>
  <si>
    <t>Yes</t>
  </si>
  <si>
    <t>No</t>
  </si>
  <si>
    <t>Pre-Retrofit</t>
  </si>
  <si>
    <t>Contractor Install</t>
  </si>
  <si>
    <t>Rent/Lease</t>
  </si>
  <si>
    <t>Leisure Dining: Bar Area</t>
  </si>
  <si>
    <t>A/C with gas heat</t>
  </si>
  <si>
    <t>Electric</t>
  </si>
  <si>
    <t>Bill Insert</t>
  </si>
  <si>
    <t>Value_FastTrack_Limit</t>
  </si>
  <si>
    <t>A/C Tune-Up (3.6 to 5.0 Tons)</t>
  </si>
  <si>
    <t>Fast Food</t>
  </si>
  <si>
    <t>Large Commercial &amp; Industrial Solutions (project site demand &gt;100 kW)</t>
  </si>
  <si>
    <t>LLC, C,S,P</t>
  </si>
  <si>
    <t>LLC</t>
  </si>
  <si>
    <t>Unknown</t>
  </si>
  <si>
    <t>Post-Retrofit</t>
  </si>
  <si>
    <t>Self Install</t>
  </si>
  <si>
    <t>Own</t>
  </si>
  <si>
    <t>Corridor/Hallway/Stairwell</t>
  </si>
  <si>
    <t>A/C with electric resistance heat</t>
  </si>
  <si>
    <t>Natural Gas</t>
  </si>
  <si>
    <t>Trade Ally/Contractor</t>
  </si>
  <si>
    <t>Calling Campaign</t>
  </si>
  <si>
    <t>Value_Cus_IncentRate</t>
  </si>
  <si>
    <t>A/C Tune-Up (5.1 to 10 Tons)</t>
  </si>
  <si>
    <t>Grocery</t>
  </si>
  <si>
    <t>Individual/Sole Proprietorship</t>
  </si>
  <si>
    <t>Corporation</t>
  </si>
  <si>
    <t>Yes-DOT Disadvantaged Business Enterprise</t>
  </si>
  <si>
    <t>Direct Install</t>
  </si>
  <si>
    <t>Education: College/University</t>
  </si>
  <si>
    <t>A/C with heat pump heat</t>
  </si>
  <si>
    <t>Oil</t>
  </si>
  <si>
    <t>Additional Contact</t>
  </si>
  <si>
    <t>Direct Mail</t>
  </si>
  <si>
    <t>Value_Max_ItoC_Ratio</t>
  </si>
  <si>
    <t>A/C Tune-Up (10.1 to 15 Tons)</t>
  </si>
  <si>
    <t>Health Clinic</t>
  </si>
  <si>
    <t>Partnership</t>
  </si>
  <si>
    <t>Yes-Disabled Veteran-Owned Business Enterprise (DVET)</t>
  </si>
  <si>
    <t>Other</t>
  </si>
  <si>
    <t>Education: K-12</t>
  </si>
  <si>
    <t>A/C with no heat</t>
  </si>
  <si>
    <t>Propane</t>
  </si>
  <si>
    <t>Job Site</t>
  </si>
  <si>
    <t>Energy Advisor</t>
  </si>
  <si>
    <t>Value_Application_Version</t>
  </si>
  <si>
    <t>A/C Tune-Up (15.1 to 25 Tons)</t>
  </si>
  <si>
    <t>Large Office</t>
  </si>
  <si>
    <t>Trust/Estate</t>
  </si>
  <si>
    <t>Trust/estate</t>
  </si>
  <si>
    <t>Yes-Veteran-Owned Business Enterprise (VBE)</t>
  </si>
  <si>
    <t>Exterior/Outdoors/Parking Lot</t>
  </si>
  <si>
    <t>Refrigerated space (33-41°F)</t>
  </si>
  <si>
    <t>Steam</t>
  </si>
  <si>
    <t>Event/Trade Show</t>
  </si>
  <si>
    <t>Value_Bonus_Rate</t>
  </si>
  <si>
    <t>A/C Tune-Up (25.1 to 30 Tons)</t>
  </si>
  <si>
    <t>Lodging</t>
  </si>
  <si>
    <t>Non-Profit</t>
  </si>
  <si>
    <t>Exempt</t>
  </si>
  <si>
    <t>Yes-Woman-Owned Business Enterprise (WBE)</t>
  </si>
  <si>
    <t>Food Sales: 24-Hour Supermarket</t>
  </si>
  <si>
    <t>Freezer space (-10-10°F)</t>
  </si>
  <si>
    <t>Search Engine</t>
  </si>
  <si>
    <t>A/C Tune-Up (30.1 to 50 Tons)</t>
  </si>
  <si>
    <t>Full Menu Restaurant</t>
  </si>
  <si>
    <t>Yes-SBA 8(a) program</t>
  </si>
  <si>
    <t>Food Sales: Non 24-Hour Supermarket</t>
  </si>
  <si>
    <t>N/A (Unconditioned)</t>
  </si>
  <si>
    <t>Not Applicable</t>
  </si>
  <si>
    <t>SMS Text</t>
  </si>
  <si>
    <t>A/C Tune-Up (50.1 to 80 Tons)</t>
  </si>
  <si>
    <t>Retail</t>
  </si>
  <si>
    <t>Yes-SMA Small Disadvantaged Business Enterprise (SDB)</t>
  </si>
  <si>
    <t>Food Service: Fast Food</t>
  </si>
  <si>
    <t>Social Media</t>
  </si>
  <si>
    <t>A/C Tune-Up (80.1+ Tons)</t>
  </si>
  <si>
    <t>School</t>
  </si>
  <si>
    <t>Yes-SBA HubZone Business Enterprise (HubZone)</t>
  </si>
  <si>
    <t>Food Service: Sit-Down Restaurant</t>
  </si>
  <si>
    <t>Utility Website</t>
  </si>
  <si>
    <t>Heat Pump Tune-Up (1.5 to 3.5 Tons)</t>
  </si>
  <si>
    <t>Small Office</t>
  </si>
  <si>
    <t>Yes-LGBT-Owned Business Enterprise</t>
  </si>
  <si>
    <t>Health Care: In-Patient</t>
  </si>
  <si>
    <t>Heat Pump Tune-Up (3.6 to 5.0 Tons)</t>
  </si>
  <si>
    <t>University</t>
  </si>
  <si>
    <t>Yes-DBE Type Not Listed</t>
  </si>
  <si>
    <t>Health Care: Nursing Home</t>
  </si>
  <si>
    <t>Heat Pump Tune-Up (5.1 to 10 Tons)</t>
  </si>
  <si>
    <t>Health Care: Out-Patient</t>
  </si>
  <si>
    <t>Heat Pump Tune-Up (10.1 to 15 Tons)</t>
  </si>
  <si>
    <t>Convenience Store (non-24 hour)</t>
  </si>
  <si>
    <t>Heat Pump Tune-Up (15.1 to 25 Tons)</t>
  </si>
  <si>
    <t>Table 2-45 Deemed Savings by Building Type  – Commercial Heat Pump Tune-up</t>
  </si>
  <si>
    <t>Lodging (Hotel/Motel/Dorm): Common Areas</t>
  </si>
  <si>
    <t>Heat Pump Tune-Up (25.1 to 30 Tons)</t>
  </si>
  <si>
    <t>Lodging (Hotel/Motel/Dorm): Room</t>
  </si>
  <si>
    <t>Heat Pump Tune-Up (30.1 to 50 Tons)</t>
  </si>
  <si>
    <t>Manufacturing</t>
  </si>
  <si>
    <t>Heat Pump Tune-Up (50.1 to 80 Tons)</t>
  </si>
  <si>
    <t>Multi-family Housing: Common Areas</t>
  </si>
  <si>
    <t>Heat Pump Tune-Up (80.1+ Tons)</t>
  </si>
  <si>
    <t>Non-Warehouse Storage (Generic)</t>
  </si>
  <si>
    <t>Tune-Up of Air-Cooled Chiller</t>
  </si>
  <si>
    <t>Ton</t>
  </si>
  <si>
    <t>Office</t>
  </si>
  <si>
    <t>Tune-Up of Water-Cooled Chiller (Reciprocating, Rotary Screw, Scroll)</t>
  </si>
  <si>
    <t>Office (attached to other facility)</t>
  </si>
  <si>
    <t>Tune-Up of Water-Cooled Chiller (Centrifugal)</t>
  </si>
  <si>
    <t>Parking Structure</t>
  </si>
  <si>
    <t>Public Assembly</t>
  </si>
  <si>
    <t>Public Order and Safety</t>
  </si>
  <si>
    <t>Religious Gathering</t>
  </si>
  <si>
    <t>Restroom (Generic)</t>
  </si>
  <si>
    <t>Retail: Enclosed Mall</t>
  </si>
  <si>
    <t>Retail: Freestanding</t>
  </si>
  <si>
    <t>Retail: Other</t>
  </si>
  <si>
    <t>Retail: Strip Mall</t>
  </si>
  <si>
    <t>Service: Excluding Food</t>
  </si>
  <si>
    <t>Warehouse: Non-Refrigerated</t>
  </si>
  <si>
    <t>Warehouse: Refrigerated</t>
  </si>
  <si>
    <t>Other/Unknown</t>
  </si>
  <si>
    <t>A/C + Heat Pump</t>
  </si>
  <si>
    <t>ΔkWhcooling = (cooling capacity,kBtu/hr)/EER*EFLHc*%Savings</t>
  </si>
  <si>
    <t>Heat Pump Only</t>
  </si>
  <si>
    <t>ΔkWhheating = (heating capacity,kBtu/hr)/HSPF*EFLHh*%Savings</t>
  </si>
  <si>
    <t>Table 2-48 Default Air Conditioner EER per Size Category</t>
  </si>
  <si>
    <t>Size Category (BTU/hr.)</t>
  </si>
  <si>
    <t>EER (BTU/watt-hr)</t>
  </si>
  <si>
    <t>EERpre</t>
  </si>
  <si>
    <t>&lt; 65,000</t>
  </si>
  <si>
    <r>
      <t>&gt;</t>
    </r>
    <r>
      <rPr>
        <sz val="11"/>
        <color indexed="8"/>
        <rFont val="Calibri"/>
        <family val="1"/>
        <charset val="204"/>
      </rPr>
      <t xml:space="preserve"> 65,000 and &lt; 135,000</t>
    </r>
  </si>
  <si>
    <r>
      <t>&gt;</t>
    </r>
    <r>
      <rPr>
        <sz val="11"/>
        <color indexed="8"/>
        <rFont val="Calibri"/>
        <family val="1"/>
        <charset val="204"/>
      </rPr>
      <t xml:space="preserve"> 135,000 and &lt; 240,000</t>
    </r>
  </si>
  <si>
    <r>
      <t>&gt;</t>
    </r>
    <r>
      <rPr>
        <sz val="11"/>
        <color indexed="8"/>
        <rFont val="Calibri"/>
        <family val="1"/>
        <charset val="204"/>
      </rPr>
      <t xml:space="preserve"> 240,000 and &lt; 760,000</t>
    </r>
  </si>
  <si>
    <t>Table 2-49 Default Heat Pump EER per Size Category 264</t>
  </si>
  <si>
    <t>Default HSPF</t>
  </si>
  <si>
    <t>HSPFpre</t>
  </si>
  <si>
    <r>
      <t>&gt;</t>
    </r>
    <r>
      <rPr>
        <sz val="11"/>
        <color indexed="8"/>
        <rFont val="Calibri"/>
        <family val="1"/>
        <charset val="204"/>
      </rPr>
      <t xml:space="preserve"> 240,000</t>
    </r>
  </si>
  <si>
    <t xml:space="preserve">Table 2-50 Default Heat Pump HSPF per Size Category </t>
  </si>
  <si>
    <t>Subcategory or Rating
Condition</t>
  </si>
  <si>
    <t>Split System</t>
  </si>
  <si>
    <t>Single Package</t>
  </si>
  <si>
    <t>47°F db/43°F wb Outdoor Air</t>
  </si>
  <si>
    <t>17°F db/15°F wb Outdoor Air</t>
  </si>
  <si>
    <r>
      <t>&gt;</t>
    </r>
    <r>
      <rPr>
        <sz val="11"/>
        <color indexed="8"/>
        <rFont val="Calibri"/>
        <family val="1"/>
        <charset val="204"/>
      </rPr>
      <t xml:space="preserve"> 135,000</t>
    </r>
  </si>
  <si>
    <t>Table 2-46 Efficiency Loss Percentage by Refrigerant Charge Level (Fixed Orifice)</t>
  </si>
  <si>
    <t>% Charged</t>
  </si>
  <si>
    <t>EL</t>
  </si>
  <si>
    <r>
      <t>&lt;</t>
    </r>
    <r>
      <rPr>
        <sz val="11"/>
        <color indexed="8"/>
        <rFont val="Calibri"/>
        <family val="1"/>
        <charset val="204"/>
      </rPr>
      <t xml:space="preserve"> 70</t>
    </r>
  </si>
  <si>
    <r>
      <t>&gt;</t>
    </r>
    <r>
      <rPr>
        <sz val="11"/>
        <color indexed="8"/>
        <rFont val="Calibri"/>
        <family val="1"/>
        <charset val="204"/>
      </rPr>
      <t xml:space="preserve"> 120</t>
    </r>
  </si>
  <si>
    <t>Table 2-47 Efficiency Loss Percentage by Refrigerant Charge Level (TXV)</t>
  </si>
  <si>
    <t>Table 2‑34 Equivalent Full-Load Hours by building type</t>
  </si>
  <si>
    <r>
      <t>EFLH</t>
    </r>
    <r>
      <rPr>
        <b/>
        <vertAlign val="subscript"/>
        <sz val="11"/>
        <color theme="1"/>
        <rFont val="Calibri"/>
        <family val="2"/>
        <scheme val="minor"/>
      </rPr>
      <t>C</t>
    </r>
  </si>
  <si>
    <r>
      <t>EFLH</t>
    </r>
    <r>
      <rPr>
        <b/>
        <vertAlign val="subscript"/>
        <sz val="11"/>
        <color theme="1"/>
        <rFont val="Calibri"/>
        <family val="2"/>
        <scheme val="minor"/>
      </rPr>
      <t>H</t>
    </r>
  </si>
  <si>
    <t>Coincidence Factor</t>
  </si>
  <si>
    <t>Baseline</t>
  </si>
  <si>
    <t>Efficient (Requirement)</t>
  </si>
  <si>
    <t>Tons Requirement</t>
  </si>
  <si>
    <t>Equipment Type</t>
  </si>
  <si>
    <t>Min EER</t>
  </si>
  <si>
    <t>Min SEER/IEER</t>
  </si>
  <si>
    <t>Min Htg Eff. (HSPF)</t>
  </si>
  <si>
    <t>Min</t>
  </si>
  <si>
    <t>Max</t>
  </si>
  <si>
    <t>A/C Unit (&lt; 5.42 Tons) - Min. efficiency of 12.3 EER/14.5 SEER2</t>
  </si>
  <si>
    <t>A/C Unit (5.42 - 11.24 Tons) - Min. efficiency 12.2 EER/14.8 SEER</t>
  </si>
  <si>
    <t>A/C Unit (11.25 - 19.9 Tons) - Min. efficiency 12.2 EER/14.8 SEER</t>
  </si>
  <si>
    <t>A/C Unit (20 to 63.3 Tons) - Min. efficiency 10.8 EER/13.5 SEER</t>
  </si>
  <si>
    <t>A/C Unit (&gt;63.3 tons) - Min. efficiency 10.4 EER, 13.0 SEER</t>
  </si>
  <si>
    <t>Heat Pump (&lt; 5.42 Tons) - Min. efficiency 12.3 EER/14.5 SEER2/8.0 HSPF2</t>
  </si>
  <si>
    <t>Heat Pump (5.42 - 11.24 Tons) - Min. efficiency 11.3 EER/14.5 SEER/12.0 HSPF</t>
  </si>
  <si>
    <t>Heat Pump (11.25 - 19.9 Tons) - Min. efficiency 10.9 EER/14.0 SEER/12.0 HSPF</t>
  </si>
  <si>
    <t>Heat Pump (&gt;= 20 Tons) - Min. efficiency 10.3 EER/13.0 SEER/12.0 HSPF</t>
  </si>
  <si>
    <t>Table 2-42 Minimum Efficiencies from IECC 2009</t>
  </si>
  <si>
    <t>Size Category</t>
  </si>
  <si>
    <t>Path A</t>
  </si>
  <si>
    <t>Path B</t>
  </si>
  <si>
    <t>Air-Cooled, with condenser</t>
  </si>
  <si>
    <t>&lt; 150 tons</t>
  </si>
  <si>
    <t>≥ 9.562</t>
  </si>
  <si>
    <t>≥ 12.500</t>
  </si>
  <si>
    <t>N/A</t>
  </si>
  <si>
    <t>≥ 150 tons</t>
  </si>
  <si>
    <t>≥ 9.563</t>
  </si>
  <si>
    <t>≥ 12.750</t>
  </si>
  <si>
    <t>Air-Cooled, without condenser, electrically operated</t>
  </si>
  <si>
    <t>All capacities</t>
  </si>
  <si>
    <t>Air-cooled chillers without condensers must be rated with matching condensers and comply with the air-cooled chiller efficiency
requirements</t>
  </si>
  <si>
    <t>Water-Cooled, electronically operated, positive displacement
(reciprocating)</t>
  </si>
  <si>
    <t>kW/ton</t>
  </si>
  <si>
    <t>Reciprocating units must comply with water cooled positive displacement efficiency requirements</t>
  </si>
  <si>
    <t>Water-Cooled, electronically operated, positive displacement (rotary screw and scroll)</t>
  </si>
  <si>
    <t>&lt; 75 tons</t>
  </si>
  <si>
    <t>≤ 0.078</t>
  </si>
  <si>
    <t>≤ 0.63</t>
  </si>
  <si>
    <t>≤ 0.8</t>
  </si>
  <si>
    <t>≤ 0.6</t>
  </si>
  <si>
    <t>≥ 75 tons and &lt; 150 tons</t>
  </si>
  <si>
    <t>≤ 0.775</t>
  </si>
  <si>
    <t>≤ 0.615</t>
  </si>
  <si>
    <t>≤ 0.79</t>
  </si>
  <si>
    <t>≤ 0.586</t>
  </si>
  <si>
    <t>≥ 150 tons and &lt; 300 tons</t>
  </si>
  <si>
    <t>≤ 0.68</t>
  </si>
  <si>
    <t>≤ 0.58</t>
  </si>
  <si>
    <t>≤ 0.718</t>
  </si>
  <si>
    <t>≤ 0.54</t>
  </si>
  <si>
    <t>≥ 300 tons</t>
  </si>
  <si>
    <t>≤ 0.62</t>
  </si>
  <si>
    <t>≤ 0.639</t>
  </si>
  <si>
    <t>≤ 0.49</t>
  </si>
  <si>
    <t>Water-Cooled, electronically operated, positive displacement
(centrifugal)</t>
  </si>
  <si>
    <t>≤ 0.634</t>
  </si>
  <si>
    <t>≤ 0.596</t>
  </si>
  <si>
    <t>≤ 0.450</t>
  </si>
  <si>
    <t>≥ 300 tons and &lt; 600 tons</t>
  </si>
  <si>
    <t>≤ 0.756</t>
  </si>
  <si>
    <t>≤ 0.549</t>
  </si>
  <si>
    <t>≤ 0.4</t>
  </si>
  <si>
    <t>≥ 600 tons</t>
  </si>
  <si>
    <t>≤ 5.7</t>
  </si>
  <si>
    <t>≤ 0.539</t>
  </si>
  <si>
    <t>≤ 0.59</t>
  </si>
  <si>
    <t>Capacity (Btu/hr)</t>
  </si>
  <si>
    <t>Pre Wattage</t>
  </si>
  <si>
    <t>Post Wattage</t>
  </si>
  <si>
    <t>Pre EER</t>
  </si>
  <si>
    <t>Post EER</t>
  </si>
  <si>
    <t>Efficiency Difference</t>
  </si>
  <si>
    <t>EFLH (Cooling)</t>
  </si>
  <si>
    <t>EFLH (Heating)</t>
  </si>
  <si>
    <t>kWh Savings (Cooling)</t>
  </si>
  <si>
    <t>kWh Savings (Heating)</t>
  </si>
  <si>
    <t>kW Savings</t>
  </si>
  <si>
    <t>Table_Measure_Caps</t>
  </si>
  <si>
    <t>Table_Bonus_Caps</t>
  </si>
  <si>
    <t>Worksheet</t>
  </si>
  <si>
    <t>Measure Type</t>
  </si>
  <si>
    <t>Estimated Raw Incentive Total</t>
  </si>
  <si>
    <t>Energy Savings Total (kWh)</t>
  </si>
  <si>
    <t>Demand Reduction Total (kW)</t>
  </si>
  <si>
    <t>Cost Savings Total</t>
  </si>
  <si>
    <t>Gross Measure Cost Total</t>
  </si>
  <si>
    <t>Net Measure Cost Total</t>
  </si>
  <si>
    <t>Raw ItoC Ratio</t>
  </si>
  <si>
    <t>Capped Incentive</t>
  </si>
  <si>
    <t>Bonus Rate</t>
  </si>
  <si>
    <t>Raw Incentive Total</t>
  </si>
  <si>
    <t>Uncapped Bonus</t>
  </si>
  <si>
    <t>Final Bonus</t>
  </si>
  <si>
    <t>Prescriptive HVAC Tune-Up</t>
  </si>
  <si>
    <t>Prescriptive Chiller Tune-Up</t>
  </si>
  <si>
    <t>Project ID Number</t>
  </si>
  <si>
    <t>Include Snips of Documentation (Business Type, Invoice, DLC, specs)</t>
  </si>
  <si>
    <t>Annual Usage from APTracks (kWh)</t>
  </si>
  <si>
    <t>Savings as a % of the Annual Usage</t>
  </si>
  <si>
    <t>QC Checklist</t>
  </si>
  <si>
    <t>Advisor Review</t>
  </si>
  <si>
    <t>Engineering Review</t>
  </si>
  <si>
    <t>Name</t>
  </si>
  <si>
    <t>Is the building type accurate?</t>
  </si>
  <si>
    <t>Do the fixture quantities match the invoices/proposals?</t>
  </si>
  <si>
    <t>Do the baseline wattage values agree with the TRM?</t>
  </si>
  <si>
    <t>Do the LED wattage values match the spec sheets?</t>
  </si>
  <si>
    <t>Do the LEDs have DLC or ES certification?</t>
  </si>
  <si>
    <t>Does HVAC type makes sense for the facility?</t>
  </si>
  <si>
    <t>Is there a bonus? If yes, unhide Summary columns E &amp; F</t>
  </si>
  <si>
    <t>Are supporting snips provided (see right)?</t>
  </si>
  <si>
    <t>Verify that Bonus (if applicable) doesn't exceed caps</t>
  </si>
  <si>
    <t>Incentive Review</t>
  </si>
  <si>
    <t>Prescriptive</t>
  </si>
  <si>
    <t>Custom</t>
  </si>
  <si>
    <t>Incentive</t>
  </si>
  <si>
    <t>Project Cost</t>
  </si>
  <si>
    <t>Ratio: Incentive / $25K Cap</t>
  </si>
  <si>
    <t>Ratio: Incentive / Project Cost</t>
  </si>
  <si>
    <t>Automated Checks</t>
  </si>
  <si>
    <t>Summary kWh = Export kWh</t>
  </si>
  <si>
    <t>Summary Incentives = Export Incentives</t>
  </si>
  <si>
    <t>Summary Costs = Export Costs</t>
  </si>
  <si>
    <t>Summary Other Costs = Export Install Costs</t>
  </si>
  <si>
    <t>Table_Contacts</t>
  </si>
  <si>
    <t>Entity</t>
  </si>
  <si>
    <t>Contact Name</t>
  </si>
  <si>
    <t>Street</t>
  </si>
  <si>
    <t>Zip</t>
  </si>
  <si>
    <t>Phone</t>
  </si>
  <si>
    <t>Email</t>
  </si>
  <si>
    <t>Classification</t>
  </si>
  <si>
    <t>PFI?</t>
  </si>
  <si>
    <t>DBE?</t>
  </si>
  <si>
    <t>Registered TA?</t>
  </si>
  <si>
    <t>Project Role</t>
  </si>
  <si>
    <t>Check Payable To</t>
  </si>
  <si>
    <t>NA</t>
  </si>
  <si>
    <t>Payee</t>
  </si>
  <si>
    <t>Tab</t>
  </si>
  <si>
    <t>Project Number</t>
  </si>
  <si>
    <t>Line Ref No.</t>
  </si>
  <si>
    <t>Unit of Measure</t>
  </si>
  <si>
    <t>kWh Savings</t>
  </si>
  <si>
    <t>Total Equipment + Labor Cost</t>
  </si>
  <si>
    <t>Calculator Version</t>
  </si>
  <si>
    <t>Uncapped Incentive</t>
  </si>
  <si>
    <t>Com Kitchen</t>
  </si>
  <si>
    <t>ea.</t>
  </si>
  <si>
    <t>Window Film</t>
  </si>
  <si>
    <t>Misc</t>
  </si>
  <si>
    <t>Cells with a green background (or light gray) are data input cells where required information is needed. Some data entry cells will have drop-down selection that limits what data may be entered.</t>
  </si>
  <si>
    <t>Version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</si>
</sst>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4" formatCode="_(&quot;$&quot;* #,##0.00_);_(&quot;$&quot;* \(#,##0.00\);_(&quot;$&quot;* &quot;-&quot;??_);_(@_)"/>
    <numFmt numFmtId="43" formatCode="_(* #,##0.00_);_(* \(#,##0.00\);_(* &quot;-&quot;??_);_(@_)"/>
    <numFmt numFmtId="164" formatCode="&quot;$&quot;#,##0.00"/>
    <numFmt numFmtId="165" formatCode="&quot;$&quot;#,##0"/>
    <numFmt numFmtId="166" formatCode="0.0"/>
    <numFmt numFmtId="167" formatCode="#,##0.0"/>
    <numFmt numFmtId="168" formatCode="#,##0.000"/>
    <numFmt numFmtId="169" formatCode="0.000"/>
    <numFmt numFmtId="170" formatCode="0.0%"/>
    <numFmt numFmtId="171" formatCode="&quot;$&quot;#,##0.000"/>
    <numFmt numFmtId="172" formatCode="0.0000"/>
    <numFmt numFmtId="173" formatCode="_(* #,##0.0_);_(* \(#,##0.0\);_(* &quot;-&quot;??_);_(@_)"/>
  </numFmts>
  <fonts count="71"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3F3F76"/>
      <name val="Calibri"/>
      <family val="2"/>
      <scheme val="minor"/>
    </font>
    <font>
      <sz val="10"/>
      <color theme="1"/>
      <name val="Arial"/>
      <family val="2"/>
    </font>
    <font>
      <sz val="9"/>
      <color indexed="81"/>
      <name val="Tahoma"/>
      <family val="2"/>
    </font>
    <font>
      <sz val="11"/>
      <name val="Calibri"/>
      <family val="2"/>
      <scheme val="minor"/>
    </font>
    <font>
      <sz val="8"/>
      <name val="Calibri"/>
      <family val="2"/>
      <scheme val="minor"/>
    </font>
    <font>
      <b/>
      <sz val="10"/>
      <name val="Arial"/>
      <family val="2"/>
    </font>
    <font>
      <b/>
      <sz val="10"/>
      <color theme="0"/>
      <name val="Calibri"/>
      <family val="2"/>
      <scheme val="minor"/>
    </font>
    <font>
      <sz val="10"/>
      <color theme="1"/>
      <name val="Calibri"/>
      <family val="2"/>
      <scheme val="minor"/>
    </font>
    <font>
      <sz val="11"/>
      <color theme="0"/>
      <name val="Calibri"/>
      <family val="2"/>
      <scheme val="minor"/>
    </font>
    <font>
      <u/>
      <sz val="11"/>
      <color theme="1"/>
      <name val="Calibri"/>
      <family val="2"/>
      <scheme val="minor"/>
    </font>
    <font>
      <sz val="10"/>
      <color theme="0"/>
      <name val="Calibri"/>
      <family val="2"/>
      <scheme val="minor"/>
    </font>
    <font>
      <b/>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2"/>
      <color theme="0"/>
      <name val="Calibri"/>
      <family val="2"/>
      <scheme val="minor"/>
    </font>
    <font>
      <b/>
      <sz val="10"/>
      <color theme="1"/>
      <name val="Calibri"/>
      <family val="2"/>
    </font>
    <font>
      <b/>
      <sz val="13"/>
      <color theme="0"/>
      <name val="Calibri"/>
      <family val="2"/>
      <scheme val="minor"/>
    </font>
    <font>
      <sz val="10"/>
      <color rgb="FF000000"/>
      <name val="Calibri"/>
      <family val="2"/>
    </font>
    <font>
      <sz val="10"/>
      <color theme="1"/>
      <name val="Calibri"/>
      <family val="2"/>
    </font>
    <font>
      <u/>
      <sz val="10"/>
      <color theme="10"/>
      <name val="Calibri"/>
      <family val="2"/>
      <scheme val="minor"/>
    </font>
    <font>
      <u/>
      <sz val="10"/>
      <color theme="11"/>
      <name val="Calibri"/>
      <family val="2"/>
      <scheme val="minor"/>
    </font>
    <font>
      <b/>
      <i/>
      <sz val="10"/>
      <color theme="8"/>
      <name val="Calibri"/>
      <family val="2"/>
    </font>
    <font>
      <b/>
      <sz val="10"/>
      <color theme="1"/>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4"/>
      <color theme="0"/>
      <name val="Calibri"/>
      <family val="2"/>
      <scheme val="minor"/>
    </font>
    <font>
      <b/>
      <sz val="18"/>
      <color theme="0"/>
      <name val="Calibri"/>
      <family val="2"/>
      <scheme val="minor"/>
    </font>
    <font>
      <sz val="10.5"/>
      <color theme="1"/>
      <name val="Calibri"/>
      <family val="2"/>
      <scheme val="minor"/>
    </font>
    <font>
      <sz val="11"/>
      <color theme="1"/>
      <name val="Calibri Light"/>
      <family val="2"/>
      <scheme val="major"/>
    </font>
    <font>
      <b/>
      <vertAlign val="subscript"/>
      <sz val="11"/>
      <color theme="1"/>
      <name val="Calibri"/>
      <family val="2"/>
      <scheme val="minor"/>
    </font>
    <font>
      <b/>
      <sz val="11"/>
      <color theme="1"/>
      <name val="Calibri Light"/>
      <family val="2"/>
      <scheme val="major"/>
    </font>
    <font>
      <b/>
      <sz val="9"/>
      <color indexed="81"/>
      <name val="Tahoma"/>
      <family val="2"/>
    </font>
    <font>
      <sz val="10"/>
      <name val="Times New Roman"/>
      <family val="1"/>
      <charset val="204"/>
    </font>
    <font>
      <sz val="11"/>
      <color indexed="8"/>
      <name val="Arial"/>
      <family val="2"/>
    </font>
    <font>
      <sz val="11"/>
      <color indexed="8"/>
      <name val="Calibri"/>
      <family val="2"/>
    </font>
    <font>
      <b/>
      <sz val="11"/>
      <color indexed="8"/>
      <name val="Calibri"/>
      <family val="2"/>
    </font>
    <font>
      <b/>
      <sz val="10"/>
      <name val="Times New Roman"/>
      <family val="1"/>
    </font>
    <font>
      <sz val="11"/>
      <color rgb="FF000000"/>
      <name val="Aptos"/>
      <family val="2"/>
    </font>
    <font>
      <b/>
      <sz val="11"/>
      <color indexed="8"/>
      <name val="Calibri"/>
      <family val="1"/>
      <charset val="204"/>
    </font>
    <font>
      <sz val="11"/>
      <color indexed="8"/>
      <name val="Calibri"/>
      <family val="1"/>
      <charset val="204"/>
    </font>
    <font>
      <u/>
      <sz val="11"/>
      <color indexed="8"/>
      <name val="Calibri"/>
      <family val="1"/>
      <charset val="204"/>
    </font>
    <font>
      <b/>
      <sz val="20"/>
      <color rgb="FFB41E83"/>
      <name val="Arial"/>
      <family val="2"/>
    </font>
    <font>
      <b/>
      <sz val="10"/>
      <color theme="8"/>
      <name val="Arial"/>
      <family val="2"/>
    </font>
    <font>
      <b/>
      <sz val="12"/>
      <color theme="0"/>
      <name val="Arial"/>
      <family val="2"/>
    </font>
    <font>
      <b/>
      <sz val="10"/>
      <color theme="1"/>
      <name val="Arial"/>
      <family val="2"/>
    </font>
    <font>
      <sz val="10"/>
      <color rgb="FF000000"/>
      <name val="Arial"/>
      <family val="2"/>
    </font>
    <font>
      <b/>
      <sz val="10"/>
      <color theme="0"/>
      <name val="Arial"/>
      <family val="2"/>
    </font>
    <font>
      <sz val="10"/>
      <color rgb="FFB41E83"/>
      <name val="Arial"/>
      <family val="2"/>
    </font>
    <font>
      <b/>
      <sz val="18"/>
      <color rgb="FFB41E83"/>
      <name val="Arial"/>
      <family val="2"/>
    </font>
    <font>
      <u/>
      <sz val="10"/>
      <color theme="10"/>
      <name val="Arial"/>
      <family val="2"/>
    </font>
    <font>
      <strike/>
      <sz val="10"/>
      <color theme="1"/>
      <name val="Arial"/>
      <family val="2"/>
    </font>
    <font>
      <b/>
      <sz val="18"/>
      <color theme="0"/>
      <name val="Arial"/>
      <family val="2"/>
    </font>
    <font>
      <b/>
      <sz val="14"/>
      <color theme="0"/>
      <name val="Arial"/>
      <family val="2"/>
    </font>
    <font>
      <b/>
      <sz val="10"/>
      <color rgb="FFB41E83"/>
      <name val="Arial"/>
      <family val="2"/>
    </font>
    <font>
      <b/>
      <sz val="10"/>
      <color rgb="FF000000"/>
      <name val="Arial"/>
      <family val="2"/>
    </font>
    <font>
      <sz val="10"/>
      <color rgb="FF000000"/>
      <name val="Arial"/>
      <family val="2"/>
    </font>
    <font>
      <sz val="10"/>
      <color theme="1"/>
      <name val="Arial"/>
      <family val="2"/>
    </font>
    <font>
      <b/>
      <i/>
      <sz val="10"/>
      <color rgb="FF000000"/>
      <name val="Arial"/>
      <family val="2"/>
    </font>
    <font>
      <i/>
      <sz val="10"/>
      <color rgb="FF000000"/>
      <name val="Arial"/>
      <family val="2"/>
    </font>
  </fonts>
  <fills count="31">
    <fill>
      <patternFill patternType="none"/>
    </fill>
    <fill>
      <patternFill patternType="gray125"/>
    </fill>
    <fill>
      <patternFill patternType="solid">
        <fgColor theme="0" tint="-0.14999847407452621"/>
        <bgColor indexed="64"/>
      </patternFill>
    </fill>
    <fill>
      <patternFill patternType="solid">
        <fgColor rgb="FF003C71"/>
        <bgColor indexed="64"/>
      </patternFill>
    </fill>
    <fill>
      <patternFill patternType="solid">
        <fgColor theme="0" tint="-4.9989318521683403E-2"/>
        <bgColor indexed="64"/>
      </patternFill>
    </fill>
    <fill>
      <patternFill patternType="solid">
        <fgColor rgb="FFF2F2F2"/>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rgb="FF002D56"/>
        <bgColor indexed="64"/>
      </patternFill>
    </fill>
    <fill>
      <patternFill patternType="solid">
        <fgColor rgb="FFC00000"/>
        <bgColor indexed="64"/>
      </patternFill>
    </fill>
    <fill>
      <patternFill patternType="solid">
        <fgColor theme="2"/>
        <bgColor indexed="64"/>
      </patternFill>
    </fill>
    <fill>
      <patternFill patternType="solid">
        <fgColor rgb="FFA5A5A5"/>
      </patternFill>
    </fill>
    <fill>
      <patternFill patternType="solid">
        <fgColor theme="4" tint="0.79998168889431442"/>
        <bgColor indexed="65"/>
      </patternFill>
    </fill>
    <fill>
      <patternFill patternType="solid">
        <fgColor theme="6"/>
        <bgColor indexed="64"/>
      </patternFill>
    </fill>
    <fill>
      <patternFill patternType="solid">
        <fgColor theme="8"/>
        <bgColor indexed="64"/>
      </patternFill>
    </fill>
    <fill>
      <patternFill patternType="solid">
        <fgColor theme="3"/>
        <bgColor indexed="64"/>
      </patternFill>
    </fill>
    <fill>
      <patternFill patternType="solid">
        <fgColor rgb="FF8DC63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ED1653"/>
        <bgColor indexed="64"/>
      </patternFill>
    </fill>
    <fill>
      <patternFill patternType="solid">
        <fgColor rgb="FFC0C0C0"/>
        <bgColor indexed="64"/>
      </patternFill>
    </fill>
    <fill>
      <patternFill patternType="solid">
        <fgColor rgb="FF00B050"/>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ck">
        <color auto="1"/>
      </left>
      <right style="thick">
        <color auto="1"/>
      </right>
      <top style="thick">
        <color auto="1"/>
      </top>
      <bottom style="thick">
        <color auto="1"/>
      </bottom>
      <diagonal/>
    </border>
    <border>
      <left style="thin">
        <color rgb="FFC00000"/>
      </left>
      <right style="thin">
        <color rgb="FFC00000"/>
      </right>
      <top style="thin">
        <color rgb="FFC00000"/>
      </top>
      <bottom style="thin">
        <color rgb="FFC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rgb="FFC00000"/>
      </left>
      <right style="thin">
        <color rgb="FFC00000"/>
      </right>
      <top style="thin">
        <color rgb="FFC00000"/>
      </top>
      <bottom/>
      <diagonal/>
    </border>
    <border>
      <left style="medium">
        <color rgb="FF7F7F7F"/>
      </left>
      <right style="medium">
        <color rgb="FF7F7F7F"/>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style="medium">
        <color rgb="FF7F7F7F"/>
      </right>
      <top/>
      <bottom style="medium">
        <color rgb="FF7F7F7F"/>
      </bottom>
      <diagonal/>
    </border>
    <border>
      <left/>
      <right style="medium">
        <color rgb="FF7F7F7F"/>
      </right>
      <top/>
      <bottom style="medium">
        <color rgb="FF7F7F7F"/>
      </bottom>
      <diagonal/>
    </border>
    <border>
      <left style="thin">
        <color rgb="FF7E7E7E"/>
      </left>
      <right style="thin">
        <color rgb="FF7E7E7E"/>
      </right>
      <top style="thin">
        <color rgb="FF7E7E7E"/>
      </top>
      <bottom style="thin">
        <color rgb="FF7E7E7E"/>
      </bottom>
      <diagonal/>
    </border>
    <border>
      <left style="thin">
        <color rgb="FF7E7E7E"/>
      </left>
      <right/>
      <top style="thin">
        <color rgb="FF7E7E7E"/>
      </top>
      <bottom style="thin">
        <color rgb="FF7E7E7E"/>
      </bottom>
      <diagonal/>
    </border>
    <border>
      <left style="thin">
        <color rgb="FF7E7E7E"/>
      </left>
      <right style="thin">
        <color rgb="FF7E7E7E"/>
      </right>
      <top/>
      <bottom style="thin">
        <color rgb="FF7E7E7E"/>
      </bottom>
      <diagonal/>
    </border>
    <border>
      <left style="thin">
        <color rgb="FF7E7E7E"/>
      </left>
      <right style="thin">
        <color rgb="FF7E7E7E"/>
      </right>
      <top style="thin">
        <color rgb="FF7E7E7E"/>
      </top>
      <bottom/>
      <diagonal/>
    </border>
    <border>
      <left/>
      <right style="thin">
        <color rgb="FF7E7E7E"/>
      </right>
      <top style="thin">
        <color rgb="FF7E7E7E"/>
      </top>
      <bottom style="thin">
        <color rgb="FF7E7E7E"/>
      </bottom>
      <diagonal/>
    </border>
    <border>
      <left/>
      <right/>
      <top style="thin">
        <color rgb="FF7E7E7E"/>
      </top>
      <bottom style="thin">
        <color rgb="FF7E7E7E"/>
      </bottom>
      <diagonal/>
    </border>
    <border>
      <left style="thin">
        <color rgb="FF7E7E7E"/>
      </left>
      <right style="thin">
        <color rgb="FF7E7E7E"/>
      </right>
      <top/>
      <bottom/>
      <diagonal/>
    </border>
  </borders>
  <cellStyleXfs count="40">
    <xf numFmtId="0" fontId="0" fillId="0" borderId="0"/>
    <xf numFmtId="0" fontId="29" fillId="0" borderId="0" applyNumberFormat="0" applyFill="0" applyBorder="0" applyAlignment="0" applyProtection="0"/>
    <xf numFmtId="0" fontId="25" fillId="18" borderId="1" applyNumberFormat="0">
      <alignment horizontal="left" vertical="center" wrapText="1"/>
    </xf>
    <xf numFmtId="0" fontId="27" fillId="24" borderId="1" applyNumberFormat="0">
      <alignment horizontal="left" vertical="center" wrapText="1"/>
      <protection locked="0"/>
    </xf>
    <xf numFmtId="9" fontId="3" fillId="0" borderId="0" applyFont="0" applyFill="0" applyBorder="0" applyAlignment="0" applyProtection="0"/>
    <xf numFmtId="0" fontId="30" fillId="0" borderId="0" applyNumberFormat="0" applyFill="0" applyBorder="0" applyAlignment="0" applyProtection="0"/>
    <xf numFmtId="0" fontId="17" fillId="0" borderId="0" applyNumberFormat="0" applyFill="0" applyBorder="0" applyAlignment="0" applyProtection="0"/>
    <xf numFmtId="0" fontId="18" fillId="0" borderId="16" applyNumberFormat="0" applyFill="0" applyAlignment="0" applyProtection="0"/>
    <xf numFmtId="0" fontId="19" fillId="0" borderId="17" applyNumberFormat="0" applyFill="0" applyAlignment="0" applyProtection="0"/>
    <xf numFmtId="0" fontId="20" fillId="0" borderId="18" applyNumberFormat="0" applyFill="0" applyAlignment="0" applyProtection="0"/>
    <xf numFmtId="0" fontId="20" fillId="0" borderId="0" applyNumberFormat="0" applyFill="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4" fillId="14" borderId="5" applyNumberFormat="0" applyAlignment="0" applyProtection="0"/>
    <xf numFmtId="0" fontId="3" fillId="15" borderId="19" applyNumberFormat="0" applyFont="0" applyAlignment="0" applyProtection="0"/>
    <xf numFmtId="0" fontId="15" fillId="0" borderId="20" applyNumberFormat="0" applyFill="0" applyAlignment="0" applyProtection="0"/>
    <xf numFmtId="0" fontId="24" fillId="16" borderId="1" applyNumberFormat="0" applyAlignment="0" applyProtection="0">
      <alignment horizontal="left" vertical="center"/>
    </xf>
    <xf numFmtId="0" fontId="28" fillId="18" borderId="1" applyNumberFormat="0">
      <alignment vertical="center" wrapText="1"/>
    </xf>
    <xf numFmtId="0" fontId="10" fillId="21" borderId="1">
      <alignment horizontal="centerContinuous" vertical="center" wrapText="1"/>
    </xf>
    <xf numFmtId="0" fontId="26" fillId="10" borderId="1">
      <alignment horizontal="centerContinuous" vertical="center" wrapText="1"/>
    </xf>
    <xf numFmtId="0" fontId="10" fillId="10" borderId="1">
      <alignment horizontal="centerContinuous" vertical="center" wrapText="1"/>
    </xf>
    <xf numFmtId="0" fontId="38" fillId="21" borderId="0">
      <alignment horizontal="centerContinuous" vertical="center" wrapText="1"/>
    </xf>
    <xf numFmtId="0" fontId="10" fillId="16" borderId="1">
      <alignment horizontal="center" vertical="center" wrapText="1"/>
    </xf>
    <xf numFmtId="0" fontId="28" fillId="0" borderId="1" applyNumberFormat="0">
      <alignment horizontal="left" vertical="center" wrapText="1"/>
    </xf>
    <xf numFmtId="0" fontId="14" fillId="17" borderId="0" applyNumberFormat="0" applyAlignment="0">
      <alignment horizontal="center" vertical="center"/>
    </xf>
    <xf numFmtId="0" fontId="10" fillId="17" borderId="22">
      <alignment horizontal="left" wrapText="1"/>
    </xf>
    <xf numFmtId="0" fontId="11" fillId="0" borderId="23" applyNumberFormat="0"/>
    <xf numFmtId="0" fontId="33" fillId="5" borderId="24" applyNumberFormat="0" applyAlignment="0" applyProtection="0"/>
    <xf numFmtId="0" fontId="34" fillId="19" borderId="25"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2" fillId="20" borderId="0" applyNumberFormat="0" applyBorder="0" applyAlignment="0" applyProtection="0"/>
    <xf numFmtId="0" fontId="34" fillId="21" borderId="0">
      <alignment horizontal="centerContinuous"/>
    </xf>
    <xf numFmtId="0" fontId="24" fillId="10" borderId="1">
      <alignment horizontal="centerContinuous" vertical="center" wrapText="1"/>
    </xf>
    <xf numFmtId="0" fontId="10" fillId="22" borderId="1">
      <alignment horizontal="center" vertical="center" wrapText="1"/>
    </xf>
    <xf numFmtId="0" fontId="10" fillId="22" borderId="1">
      <alignment horizontal="center" vertical="center" wrapText="1"/>
    </xf>
    <xf numFmtId="44" fontId="11" fillId="0" borderId="0" applyFont="0" applyFill="0" applyBorder="0" applyAlignment="0" applyProtection="0"/>
    <xf numFmtId="9" fontId="1" fillId="0" borderId="0" applyFont="0" applyFill="0" applyBorder="0" applyAlignment="0" applyProtection="0"/>
    <xf numFmtId="43" fontId="11" fillId="0" borderId="0" applyFont="0" applyFill="0" applyBorder="0" applyAlignment="0" applyProtection="0"/>
  </cellStyleXfs>
  <cellXfs count="343">
    <xf numFmtId="0" fontId="0" fillId="0" borderId="0" xfId="0"/>
    <xf numFmtId="0" fontId="5" fillId="0" borderId="0" xfId="0" applyFont="1" applyAlignment="1">
      <alignment horizontal="left" wrapText="1" indent="1"/>
    </xf>
    <xf numFmtId="0" fontId="0" fillId="2" borderId="1" xfId="0" applyFill="1" applyBorder="1" applyAlignment="1">
      <alignment horizontal="center" vertical="center"/>
    </xf>
    <xf numFmtId="0" fontId="0" fillId="0" borderId="0" xfId="0" applyAlignment="1">
      <alignment horizontal="center" vertical="center"/>
    </xf>
    <xf numFmtId="0" fontId="0" fillId="0" borderId="1" xfId="0" applyBorder="1"/>
    <xf numFmtId="0" fontId="0" fillId="2" borderId="1" xfId="0" applyFill="1" applyBorder="1"/>
    <xf numFmtId="0" fontId="0" fillId="0" borderId="0" xfId="0" applyAlignment="1">
      <alignment wrapText="1"/>
    </xf>
    <xf numFmtId="0" fontId="0" fillId="7" borderId="1" xfId="0" applyFill="1" applyBorder="1"/>
    <xf numFmtId="0" fontId="0" fillId="7" borderId="4" xfId="0" applyFill="1" applyBorder="1"/>
    <xf numFmtId="3" fontId="0" fillId="7" borderId="1" xfId="0" applyNumberFormat="1" applyFill="1" applyBorder="1"/>
    <xf numFmtId="0" fontId="0" fillId="0" borderId="1" xfId="0" applyBorder="1" applyAlignment="1">
      <alignment horizontal="center" vertical="center"/>
    </xf>
    <xf numFmtId="0" fontId="13" fillId="0" borderId="0" xfId="0" applyFont="1"/>
    <xf numFmtId="0" fontId="0" fillId="8" borderId="1" xfId="0" applyFill="1" applyBorder="1" applyAlignment="1">
      <alignment horizontal="center" vertical="center"/>
    </xf>
    <xf numFmtId="3" fontId="0" fillId="8" borderId="1" xfId="0" applyNumberFormat="1"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vertical="center"/>
    </xf>
    <xf numFmtId="9" fontId="0" fillId="0" borderId="1" xfId="4"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wrapText="1"/>
    </xf>
    <xf numFmtId="9" fontId="7" fillId="2" borderId="1" xfId="4" applyFont="1" applyFill="1" applyBorder="1" applyAlignment="1">
      <alignment horizontal="center" vertical="center"/>
    </xf>
    <xf numFmtId="0" fontId="7" fillId="2" borderId="1" xfId="0" applyFont="1" applyFill="1" applyBorder="1" applyAlignment="1">
      <alignment horizontal="center" vertical="center"/>
    </xf>
    <xf numFmtId="164" fontId="0" fillId="0" borderId="1" xfId="4" applyNumberFormat="1" applyFont="1" applyBorder="1" applyAlignment="1">
      <alignment horizontal="center" vertical="center"/>
    </xf>
    <xf numFmtId="166" fontId="0" fillId="7" borderId="4" xfId="0" applyNumberFormat="1" applyFill="1" applyBorder="1"/>
    <xf numFmtId="0" fontId="0" fillId="6" borderId="2" xfId="0" applyFill="1" applyBorder="1"/>
    <xf numFmtId="3" fontId="0" fillId="6" borderId="2" xfId="0" applyNumberFormat="1" applyFill="1" applyBorder="1"/>
    <xf numFmtId="0" fontId="0" fillId="6" borderId="9" xfId="0" applyFill="1" applyBorder="1"/>
    <xf numFmtId="0" fontId="9" fillId="0" borderId="0" xfId="0" applyFont="1" applyAlignment="1">
      <alignment horizontal="left" vertical="center" wrapText="1" indent="1"/>
    </xf>
    <xf numFmtId="165" fontId="0" fillId="0" borderId="0" xfId="0" applyNumberFormat="1"/>
    <xf numFmtId="0" fontId="5" fillId="0" borderId="0" xfId="0" applyFont="1" applyAlignment="1">
      <alignment horizontal="left" vertical="center" wrapText="1" indent="1"/>
    </xf>
    <xf numFmtId="164" fontId="0" fillId="0" borderId="0" xfId="0" applyNumberFormat="1"/>
    <xf numFmtId="0" fontId="0" fillId="9" borderId="1" xfId="0" applyFill="1" applyBorder="1"/>
    <xf numFmtId="0" fontId="0" fillId="9" borderId="4" xfId="0" applyFill="1" applyBorder="1"/>
    <xf numFmtId="166" fontId="0" fillId="9" borderId="4" xfId="0" applyNumberFormat="1" applyFill="1" applyBorder="1"/>
    <xf numFmtId="2" fontId="0" fillId="9" borderId="3" xfId="0" applyNumberFormat="1" applyFill="1" applyBorder="1"/>
    <xf numFmtId="2" fontId="0" fillId="7" borderId="3" xfId="0" applyNumberFormat="1" applyFill="1" applyBorder="1"/>
    <xf numFmtId="2" fontId="0" fillId="0" borderId="0" xfId="0" applyNumberFormat="1"/>
    <xf numFmtId="2" fontId="0" fillId="9" borderId="1" xfId="0" applyNumberFormat="1" applyFill="1" applyBorder="1"/>
    <xf numFmtId="2" fontId="0" fillId="7" borderId="1" xfId="0" applyNumberFormat="1" applyFill="1" applyBorder="1"/>
    <xf numFmtId="2" fontId="0" fillId="6" borderId="2" xfId="0" applyNumberFormat="1" applyFill="1" applyBorder="1"/>
    <xf numFmtId="0" fontId="16" fillId="0" borderId="0" xfId="0" applyFont="1" applyAlignment="1">
      <alignment horizontal="left" wrapText="1"/>
    </xf>
    <xf numFmtId="14" fontId="27" fillId="24" borderId="1" xfId="3" applyNumberFormat="1">
      <alignment horizontal="left" vertical="center" wrapText="1"/>
      <protection locked="0"/>
    </xf>
    <xf numFmtId="0" fontId="10" fillId="21" borderId="1" xfId="19">
      <alignment horizontal="centerContinuous" vertical="center" wrapText="1"/>
    </xf>
    <xf numFmtId="0" fontId="28" fillId="0" borderId="0" xfId="24" applyBorder="1">
      <alignment horizontal="left" vertical="center" wrapText="1"/>
    </xf>
    <xf numFmtId="0" fontId="24" fillId="16" borderId="1" xfId="17" applyAlignment="1"/>
    <xf numFmtId="0" fontId="10" fillId="17" borderId="22" xfId="26">
      <alignment horizontal="left" wrapText="1"/>
    </xf>
    <xf numFmtId="0" fontId="10" fillId="17" borderId="22" xfId="26" applyAlignment="1">
      <alignment horizontal="left"/>
    </xf>
    <xf numFmtId="0" fontId="11" fillId="0" borderId="23" xfId="27"/>
    <xf numFmtId="0" fontId="38" fillId="21" borderId="0" xfId="22" applyAlignment="1">
      <alignment horizontal="left" vertical="center" wrapText="1"/>
    </xf>
    <xf numFmtId="0" fontId="32" fillId="0" borderId="0" xfId="0" applyFont="1"/>
    <xf numFmtId="165" fontId="11" fillId="0" borderId="23" xfId="27" applyNumberFormat="1"/>
    <xf numFmtId="0" fontId="0" fillId="0" borderId="0" xfId="0" applyAlignment="1">
      <alignment horizontal="center" wrapText="1"/>
    </xf>
    <xf numFmtId="165" fontId="0" fillId="0" borderId="0" xfId="0" applyNumberFormat="1" applyAlignment="1">
      <alignment horizontal="center"/>
    </xf>
    <xf numFmtId="9" fontId="0" fillId="0" borderId="0" xfId="4" applyFont="1" applyAlignment="1">
      <alignment horizontal="center"/>
    </xf>
    <xf numFmtId="9" fontId="11" fillId="0" borderId="23" xfId="27" applyNumberFormat="1"/>
    <xf numFmtId="0" fontId="0" fillId="0" borderId="0" xfId="0" applyAlignment="1">
      <alignment horizontal="left" wrapText="1"/>
    </xf>
    <xf numFmtId="0" fontId="0" fillId="9" borderId="13" xfId="0" applyFill="1" applyBorder="1"/>
    <xf numFmtId="0" fontId="0" fillId="7" borderId="13" xfId="0" applyFill="1" applyBorder="1"/>
    <xf numFmtId="0" fontId="12" fillId="3" borderId="15" xfId="0" applyFont="1" applyFill="1" applyBorder="1" applyAlignment="1">
      <alignment wrapText="1"/>
    </xf>
    <xf numFmtId="0" fontId="12" fillId="3" borderId="10" xfId="0" applyFont="1" applyFill="1" applyBorder="1" applyAlignment="1">
      <alignment wrapText="1"/>
    </xf>
    <xf numFmtId="0" fontId="12" fillId="3" borderId="8" xfId="0" applyFont="1" applyFill="1" applyBorder="1" applyAlignment="1">
      <alignment wrapText="1"/>
    </xf>
    <xf numFmtId="2" fontId="12" fillId="3" borderId="10" xfId="0" applyNumberFormat="1" applyFont="1" applyFill="1" applyBorder="1" applyAlignment="1">
      <alignment wrapText="1"/>
    </xf>
    <xf numFmtId="0" fontId="12" fillId="3" borderId="14" xfId="0" applyFont="1" applyFill="1" applyBorder="1" applyAlignment="1">
      <alignment wrapText="1"/>
    </xf>
    <xf numFmtId="2" fontId="0" fillId="6" borderId="7" xfId="0" applyNumberFormat="1" applyFill="1" applyBorder="1"/>
    <xf numFmtId="0" fontId="0" fillId="6" borderId="11" xfId="0" applyFill="1" applyBorder="1"/>
    <xf numFmtId="9" fontId="0" fillId="0" borderId="0" xfId="0" applyNumberFormat="1"/>
    <xf numFmtId="0" fontId="11" fillId="0" borderId="29" xfId="27" applyBorder="1"/>
    <xf numFmtId="9" fontId="0" fillId="0" borderId="1" xfId="0" applyNumberFormat="1" applyBorder="1"/>
    <xf numFmtId="4" fontId="0" fillId="0" borderId="0" xfId="0" applyNumberFormat="1"/>
    <xf numFmtId="0" fontId="0" fillId="25" borderId="9" xfId="0" applyFill="1" applyBorder="1"/>
    <xf numFmtId="0" fontId="0" fillId="25" borderId="2" xfId="0" applyFill="1" applyBorder="1"/>
    <xf numFmtId="3" fontId="0" fillId="25" borderId="2" xfId="0" applyNumberFormat="1" applyFill="1" applyBorder="1"/>
    <xf numFmtId="2" fontId="0" fillId="25" borderId="7" xfId="0" applyNumberFormat="1" applyFill="1" applyBorder="1"/>
    <xf numFmtId="2" fontId="0" fillId="25" borderId="2" xfId="0" applyNumberFormat="1" applyFill="1" applyBorder="1"/>
    <xf numFmtId="166" fontId="0" fillId="25" borderId="4" xfId="0" applyNumberFormat="1" applyFill="1" applyBorder="1"/>
    <xf numFmtId="0" fontId="0" fillId="25" borderId="11" xfId="0" applyFill="1" applyBorder="1"/>
    <xf numFmtId="0" fontId="0" fillId="25" borderId="1" xfId="0" applyFill="1" applyBorder="1"/>
    <xf numFmtId="0" fontId="0" fillId="26" borderId="9" xfId="0" applyFill="1" applyBorder="1"/>
    <xf numFmtId="0" fontId="0" fillId="26" borderId="2" xfId="0" applyFill="1" applyBorder="1"/>
    <xf numFmtId="3" fontId="0" fillId="26" borderId="2" xfId="0" applyNumberFormat="1" applyFill="1" applyBorder="1"/>
    <xf numFmtId="2" fontId="0" fillId="26" borderId="7" xfId="0" applyNumberFormat="1" applyFill="1" applyBorder="1"/>
    <xf numFmtId="2" fontId="0" fillId="26" borderId="2" xfId="0" applyNumberFormat="1" applyFill="1" applyBorder="1"/>
    <xf numFmtId="166" fontId="0" fillId="26" borderId="4" xfId="0" applyNumberFormat="1" applyFill="1" applyBorder="1"/>
    <xf numFmtId="0" fontId="0" fillId="26" borderId="11" xfId="0" applyFill="1" applyBorder="1"/>
    <xf numFmtId="0" fontId="0" fillId="8" borderId="9" xfId="0" applyFill="1" applyBorder="1"/>
    <xf numFmtId="0" fontId="0" fillId="8" borderId="2" xfId="0" applyFill="1" applyBorder="1"/>
    <xf numFmtId="3" fontId="0" fillId="8" borderId="2" xfId="0" applyNumberFormat="1" applyFill="1" applyBorder="1"/>
    <xf numFmtId="2" fontId="0" fillId="8" borderId="7" xfId="0" applyNumberFormat="1" applyFill="1" applyBorder="1"/>
    <xf numFmtId="2" fontId="0" fillId="8" borderId="2" xfId="0" applyNumberFormat="1" applyFill="1" applyBorder="1"/>
    <xf numFmtId="166" fontId="0" fillId="8" borderId="4" xfId="0" applyNumberFormat="1" applyFill="1" applyBorder="1"/>
    <xf numFmtId="0" fontId="0" fillId="8" borderId="11" xfId="0" applyFill="1" applyBorder="1"/>
    <xf numFmtId="169" fontId="0" fillId="9" borderId="1" xfId="0" applyNumberFormat="1" applyFill="1" applyBorder="1"/>
    <xf numFmtId="169" fontId="0" fillId="7" borderId="1" xfId="0" applyNumberFormat="1" applyFill="1" applyBorder="1"/>
    <xf numFmtId="169" fontId="0" fillId="6" borderId="2" xfId="0" applyNumberFormat="1" applyFill="1" applyBorder="1"/>
    <xf numFmtId="169" fontId="0" fillId="25" borderId="2" xfId="0" applyNumberFormat="1" applyFill="1" applyBorder="1"/>
    <xf numFmtId="169" fontId="0" fillId="26" borderId="2" xfId="0" applyNumberFormat="1" applyFill="1" applyBorder="1"/>
    <xf numFmtId="169" fontId="0" fillId="8" borderId="2" xfId="0" applyNumberFormat="1" applyFill="1" applyBorder="1"/>
    <xf numFmtId="167" fontId="0" fillId="0" borderId="0" xfId="0" applyNumberFormat="1" applyAlignment="1">
      <alignment horizontal="center"/>
    </xf>
    <xf numFmtId="168" fontId="0" fillId="0" borderId="0" xfId="0" applyNumberFormat="1"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39" fillId="0" borderId="0" xfId="0" applyFont="1" applyAlignment="1">
      <alignment vertical="center"/>
    </xf>
    <xf numFmtId="0" fontId="40" fillId="0" borderId="0" xfId="0" applyFont="1"/>
    <xf numFmtId="0" fontId="15" fillId="0" borderId="30" xfId="0" applyFont="1" applyBorder="1" applyAlignment="1">
      <alignment vertical="center" wrapText="1"/>
    </xf>
    <xf numFmtId="0" fontId="15" fillId="0" borderId="31" xfId="0" applyFont="1" applyBorder="1" applyAlignment="1">
      <alignment vertical="center" wrapText="1"/>
    </xf>
    <xf numFmtId="0" fontId="0" fillId="0" borderId="32" xfId="0" applyBorder="1" applyAlignment="1">
      <alignment vertical="center" wrapText="1"/>
    </xf>
    <xf numFmtId="3" fontId="0" fillId="0" borderId="33" xfId="0" applyNumberFormat="1" applyBorder="1" applyAlignment="1">
      <alignment vertical="center" wrapText="1"/>
    </xf>
    <xf numFmtId="0" fontId="0" fillId="0" borderId="33" xfId="0" applyBorder="1" applyAlignment="1">
      <alignment vertical="center" wrapText="1"/>
    </xf>
    <xf numFmtId="2" fontId="0" fillId="0" borderId="33" xfId="0" applyNumberFormat="1" applyBorder="1" applyAlignment="1">
      <alignment vertical="center" wrapText="1"/>
    </xf>
    <xf numFmtId="0" fontId="12" fillId="27" borderId="10" xfId="0" applyFont="1" applyFill="1" applyBorder="1" applyAlignment="1">
      <alignment horizontal="centerContinuous"/>
    </xf>
    <xf numFmtId="0" fontId="12" fillId="27" borderId="1" xfId="0" applyFont="1" applyFill="1" applyBorder="1" applyAlignment="1">
      <alignment horizontal="centerContinuous"/>
    </xf>
    <xf numFmtId="0" fontId="0" fillId="27" borderId="1" xfId="0" applyFill="1" applyBorder="1" applyAlignment="1">
      <alignment horizontal="centerContinuous"/>
    </xf>
    <xf numFmtId="0" fontId="12" fillId="27" borderId="1" xfId="0" applyFont="1" applyFill="1" applyBorder="1"/>
    <xf numFmtId="0" fontId="12" fillId="27" borderId="12" xfId="0" applyFont="1" applyFill="1" applyBorder="1"/>
    <xf numFmtId="0" fontId="0" fillId="0" borderId="1" xfId="0" applyBorder="1" applyAlignment="1">
      <alignment vertical="center"/>
    </xf>
    <xf numFmtId="0" fontId="40" fillId="0" borderId="1" xfId="0" applyFont="1" applyBorder="1"/>
    <xf numFmtId="166" fontId="0" fillId="0" borderId="1" xfId="0" applyNumberFormat="1" applyBorder="1"/>
    <xf numFmtId="166" fontId="0" fillId="0" borderId="0" xfId="0" applyNumberFormat="1"/>
    <xf numFmtId="169" fontId="0" fillId="0" borderId="0" xfId="0" applyNumberFormat="1"/>
    <xf numFmtId="0" fontId="15" fillId="0" borderId="0" xfId="0" applyFont="1" applyAlignment="1">
      <alignment vertical="center" wrapText="1"/>
    </xf>
    <xf numFmtId="0" fontId="0" fillId="0" borderId="0" xfId="0" applyAlignment="1">
      <alignment vertical="center" wrapText="1"/>
    </xf>
    <xf numFmtId="2" fontId="0" fillId="0" borderId="0" xfId="0" applyNumberFormat="1" applyAlignment="1">
      <alignment vertical="center" wrapText="1"/>
    </xf>
    <xf numFmtId="0" fontId="42" fillId="0" borderId="0" xfId="0" applyFont="1"/>
    <xf numFmtId="164" fontId="28" fillId="0" borderId="1" xfId="24" applyNumberFormat="1" applyAlignment="1" applyProtection="1">
      <alignment horizontal="center" vertical="center" wrapText="1"/>
      <protection hidden="1"/>
    </xf>
    <xf numFmtId="3" fontId="28" fillId="0" borderId="1" xfId="24" applyNumberFormat="1" applyAlignment="1" applyProtection="1">
      <alignment horizontal="center" vertical="center" wrapText="1"/>
      <protection hidden="1"/>
    </xf>
    <xf numFmtId="170" fontId="0" fillId="4" borderId="1" xfId="4" applyNumberFormat="1" applyFont="1" applyFill="1" applyBorder="1" applyAlignment="1">
      <alignment horizontal="center" vertical="center"/>
    </xf>
    <xf numFmtId="169" fontId="11" fillId="0" borderId="23" xfId="27" applyNumberFormat="1"/>
    <xf numFmtId="171" fontId="0" fillId="0" borderId="0" xfId="0" applyNumberFormat="1"/>
    <xf numFmtId="172" fontId="40" fillId="0" borderId="0" xfId="0" applyNumberFormat="1" applyFont="1"/>
    <xf numFmtId="2" fontId="40" fillId="0" borderId="0" xfId="0" applyNumberFormat="1" applyFont="1"/>
    <xf numFmtId="173" fontId="40" fillId="0" borderId="0" xfId="39" applyNumberFormat="1" applyFont="1"/>
    <xf numFmtId="173" fontId="0" fillId="0" borderId="0" xfId="39" applyNumberFormat="1" applyFont="1"/>
    <xf numFmtId="0" fontId="47" fillId="0" borderId="34" xfId="0" applyFont="1" applyBorder="1" applyAlignment="1">
      <alignment horizontal="left" vertical="top" wrapText="1"/>
    </xf>
    <xf numFmtId="0" fontId="47" fillId="0" borderId="35" xfId="0" applyFont="1" applyBorder="1" applyAlignment="1">
      <alignment horizontal="left" vertical="top" wrapText="1"/>
    </xf>
    <xf numFmtId="0" fontId="46" fillId="0" borderId="34" xfId="0" applyFont="1" applyBorder="1" applyAlignment="1">
      <alignment horizontal="left" vertical="top" wrapText="1"/>
    </xf>
    <xf numFmtId="0" fontId="46" fillId="0" borderId="0" xfId="0" applyFont="1" applyAlignment="1">
      <alignment vertical="center" wrapText="1"/>
    </xf>
    <xf numFmtId="1" fontId="45" fillId="0" borderId="35" xfId="0" applyNumberFormat="1" applyFont="1" applyBorder="1" applyAlignment="1">
      <alignment horizontal="left" vertical="top" shrinkToFit="1"/>
    </xf>
    <xf numFmtId="0" fontId="47" fillId="0" borderId="1" xfId="0" applyFont="1" applyBorder="1" applyAlignment="1">
      <alignment horizontal="left" vertical="top" wrapText="1"/>
    </xf>
    <xf numFmtId="172" fontId="45" fillId="0" borderId="1" xfId="0" applyNumberFormat="1" applyFont="1" applyBorder="1" applyAlignment="1">
      <alignment horizontal="left" vertical="top" shrinkToFit="1"/>
    </xf>
    <xf numFmtId="169" fontId="45" fillId="0" borderId="1" xfId="0" applyNumberFormat="1" applyFont="1" applyBorder="1" applyAlignment="1">
      <alignment horizontal="left" vertical="top" shrinkToFit="1"/>
    </xf>
    <xf numFmtId="169" fontId="44" fillId="0" borderId="0" xfId="0" applyNumberFormat="1" applyFont="1" applyAlignment="1">
      <alignment horizontal="left" wrapText="1"/>
    </xf>
    <xf numFmtId="166" fontId="44" fillId="0" borderId="0" xfId="0" applyNumberFormat="1" applyFont="1" applyAlignment="1">
      <alignment horizontal="left" wrapText="1"/>
    </xf>
    <xf numFmtId="0" fontId="47" fillId="0" borderId="0" xfId="0" applyFont="1" applyAlignment="1">
      <alignment horizontal="left" vertical="top" wrapText="1"/>
    </xf>
    <xf numFmtId="0" fontId="48" fillId="0" borderId="0" xfId="0" applyFont="1" applyAlignment="1">
      <alignment horizontal="left" wrapText="1"/>
    </xf>
    <xf numFmtId="0" fontId="48" fillId="0" borderId="0" xfId="0" applyFont="1" applyAlignment="1">
      <alignment horizontal="left" vertical="center" wrapText="1"/>
    </xf>
    <xf numFmtId="170" fontId="40" fillId="0" borderId="0" xfId="4" applyNumberFormat="1" applyFont="1"/>
    <xf numFmtId="0" fontId="49" fillId="0" borderId="0" xfId="0" applyFont="1" applyAlignment="1">
      <alignment vertical="center"/>
    </xf>
    <xf numFmtId="0" fontId="44" fillId="0" borderId="0" xfId="0" applyFont="1" applyAlignment="1">
      <alignment horizontal="left" wrapText="1"/>
    </xf>
    <xf numFmtId="0" fontId="52" fillId="0" borderId="34" xfId="0" applyFont="1" applyBorder="1" applyAlignment="1">
      <alignment horizontal="left" vertical="top" wrapText="1"/>
    </xf>
    <xf numFmtId="0" fontId="46" fillId="0" borderId="35" xfId="0" applyFont="1" applyBorder="1" applyAlignment="1">
      <alignment horizontal="left" vertical="top" wrapText="1"/>
    </xf>
    <xf numFmtId="0" fontId="52" fillId="0" borderId="35" xfId="0" applyFont="1" applyBorder="1" applyAlignment="1">
      <alignment horizontal="left" vertical="top" wrapText="1"/>
    </xf>
    <xf numFmtId="0" fontId="50" fillId="0" borderId="1" xfId="0" applyFont="1" applyBorder="1" applyAlignment="1">
      <alignment horizontal="left" vertical="top" wrapText="1"/>
    </xf>
    <xf numFmtId="166" fontId="45" fillId="0" borderId="1" xfId="0" applyNumberFormat="1" applyFont="1" applyBorder="1" applyAlignment="1">
      <alignment horizontal="left" vertical="top" shrinkToFit="1"/>
    </xf>
    <xf numFmtId="0" fontId="44" fillId="0" borderId="0" xfId="0" applyFont="1" applyAlignment="1">
      <alignment horizontal="left" vertical="top" wrapText="1"/>
    </xf>
    <xf numFmtId="166" fontId="45" fillId="0" borderId="1" xfId="0" applyNumberFormat="1" applyFont="1" applyBorder="1" applyAlignment="1">
      <alignment horizontal="right" vertical="top" indent="1" shrinkToFit="1"/>
    </xf>
    <xf numFmtId="166" fontId="44" fillId="0" borderId="1" xfId="0" applyNumberFormat="1" applyFont="1" applyBorder="1" applyAlignment="1">
      <alignment horizontal="left" wrapText="1"/>
    </xf>
    <xf numFmtId="2" fontId="45" fillId="0" borderId="35" xfId="0" applyNumberFormat="1" applyFont="1" applyBorder="1" applyAlignment="1">
      <alignment horizontal="left" vertical="top" shrinkToFit="1"/>
    </xf>
    <xf numFmtId="0" fontId="44" fillId="0" borderId="0" xfId="0" applyFont="1" applyAlignment="1">
      <alignment horizontal="left" vertical="center" wrapText="1"/>
    </xf>
    <xf numFmtId="1" fontId="45" fillId="0" borderId="34" xfId="0" applyNumberFormat="1" applyFont="1" applyBorder="1" applyAlignment="1">
      <alignment horizontal="left" vertical="top" shrinkToFit="1"/>
    </xf>
    <xf numFmtId="2" fontId="45" fillId="0" borderId="35" xfId="0" applyNumberFormat="1" applyFont="1" applyBorder="1" applyAlignment="1">
      <alignment horizontal="center" vertical="top" shrinkToFit="1"/>
    </xf>
    <xf numFmtId="0" fontId="39" fillId="0" borderId="0" xfId="0" applyFont="1" applyAlignment="1">
      <alignment vertical="center" wrapText="1"/>
    </xf>
    <xf numFmtId="0" fontId="39" fillId="0" borderId="0" xfId="0" applyFont="1" applyAlignment="1">
      <alignment horizontal="center" vertical="center" wrapText="1"/>
    </xf>
    <xf numFmtId="0" fontId="0" fillId="0" borderId="0" xfId="0" applyAlignment="1">
      <alignment vertical="center"/>
    </xf>
    <xf numFmtId="0" fontId="15" fillId="0" borderId="0" xfId="0" applyFont="1" applyAlignment="1">
      <alignment horizontal="center" vertical="center"/>
    </xf>
    <xf numFmtId="0" fontId="15" fillId="0" borderId="0" xfId="0" applyFont="1" applyAlignment="1">
      <alignment horizontal="center" vertical="center" wrapText="1"/>
    </xf>
    <xf numFmtId="166" fontId="42" fillId="0" borderId="0" xfId="0" applyNumberFormat="1" applyFont="1"/>
    <xf numFmtId="169" fontId="42" fillId="0" borderId="0" xfId="0" applyNumberFormat="1" applyFont="1"/>
    <xf numFmtId="169" fontId="40" fillId="0" borderId="0" xfId="0" applyNumberFormat="1" applyFont="1"/>
    <xf numFmtId="0" fontId="15" fillId="0" borderId="0" xfId="0" applyFont="1" applyAlignment="1">
      <alignment vertical="center"/>
    </xf>
    <xf numFmtId="166" fontId="0" fillId="0" borderId="1" xfId="0" applyNumberFormat="1" applyBorder="1" applyAlignment="1">
      <alignment vertical="center"/>
    </xf>
    <xf numFmtId="166" fontId="40" fillId="0" borderId="1" xfId="0" applyNumberFormat="1" applyFont="1" applyBorder="1"/>
    <xf numFmtId="43" fontId="0" fillId="0" borderId="0" xfId="39" applyFont="1"/>
    <xf numFmtId="43" fontId="0" fillId="0" borderId="0" xfId="39" applyFont="1" applyFill="1"/>
    <xf numFmtId="0" fontId="50" fillId="0" borderId="1" xfId="0" applyFont="1" applyBorder="1" applyAlignment="1">
      <alignment vertical="top" wrapText="1"/>
    </xf>
    <xf numFmtId="0" fontId="46" fillId="0" borderId="1" xfId="0" applyFont="1" applyBorder="1" applyAlignment="1">
      <alignment vertical="top" wrapText="1"/>
    </xf>
    <xf numFmtId="0" fontId="44" fillId="0" borderId="1" xfId="0" applyFont="1" applyBorder="1" applyAlignment="1">
      <alignment wrapText="1"/>
    </xf>
    <xf numFmtId="0" fontId="46" fillId="0" borderId="0" xfId="0" applyFont="1" applyAlignment="1">
      <alignment wrapText="1"/>
    </xf>
    <xf numFmtId="0" fontId="47" fillId="0" borderId="36" xfId="0" applyFont="1" applyBorder="1" applyAlignment="1">
      <alignment horizontal="left" vertical="top" wrapText="1"/>
    </xf>
    <xf numFmtId="0" fontId="46" fillId="0" borderId="1" xfId="0" applyFont="1" applyBorder="1" applyAlignment="1">
      <alignment vertical="center" wrapText="1"/>
    </xf>
    <xf numFmtId="0" fontId="46" fillId="0" borderId="1" xfId="0" applyFont="1" applyBorder="1" applyAlignment="1">
      <alignment wrapText="1"/>
    </xf>
    <xf numFmtId="0" fontId="44" fillId="0" borderId="34" xfId="0" applyFont="1" applyBorder="1" applyAlignment="1">
      <alignment horizontal="center" vertical="center" wrapText="1"/>
    </xf>
    <xf numFmtId="0" fontId="46" fillId="29" borderId="34" xfId="0" applyFont="1" applyFill="1" applyBorder="1" applyAlignment="1">
      <alignment horizontal="center" vertical="center" wrapText="1"/>
    </xf>
    <xf numFmtId="0" fontId="46" fillId="0" borderId="34" xfId="0" applyFont="1" applyBorder="1" applyAlignment="1">
      <alignment horizontal="center" vertical="center" wrapText="1"/>
    </xf>
    <xf numFmtId="0" fontId="51" fillId="0" borderId="34" xfId="0" applyFont="1" applyBorder="1" applyAlignment="1">
      <alignment horizontal="center" vertical="center" wrapText="1"/>
    </xf>
    <xf numFmtId="0" fontId="5" fillId="0" borderId="0" xfId="0" applyFont="1"/>
    <xf numFmtId="0" fontId="5" fillId="0" borderId="14" xfId="0" applyFont="1" applyBorder="1" applyAlignment="1">
      <alignment horizontal="left" wrapText="1"/>
    </xf>
    <xf numFmtId="0" fontId="5" fillId="18" borderId="1" xfId="18" applyFont="1" applyAlignment="1">
      <alignment horizontal="center" vertical="center" wrapText="1"/>
    </xf>
    <xf numFmtId="0" fontId="5" fillId="0" borderId="0" xfId="0" applyFont="1" applyAlignment="1">
      <alignment vertical="center"/>
    </xf>
    <xf numFmtId="0" fontId="5" fillId="0" borderId="0" xfId="0" applyFont="1" applyAlignment="1">
      <alignment horizontal="left"/>
    </xf>
    <xf numFmtId="0" fontId="5" fillId="18" borderId="1" xfId="18" applyFont="1" applyAlignment="1">
      <alignment horizontal="left" vertical="center" wrapText="1"/>
    </xf>
    <xf numFmtId="0" fontId="56" fillId="18" borderId="1" xfId="0" applyFont="1" applyFill="1" applyBorder="1" applyAlignment="1">
      <alignment horizontal="left" vertical="center" wrapText="1"/>
    </xf>
    <xf numFmtId="0" fontId="58" fillId="21" borderId="1" xfId="0" applyFont="1" applyFill="1" applyBorder="1" applyAlignment="1">
      <alignment horizontal="left" vertical="center" wrapText="1"/>
    </xf>
    <xf numFmtId="0" fontId="5" fillId="0" borderId="0" xfId="0" applyFont="1" applyAlignment="1">
      <alignment horizontal="left" vertical="center"/>
    </xf>
    <xf numFmtId="0" fontId="58" fillId="23" borderId="1" xfId="0" applyFont="1" applyFill="1" applyBorder="1" applyAlignment="1">
      <alignment horizontal="left" vertical="center" wrapText="1"/>
    </xf>
    <xf numFmtId="0" fontId="57" fillId="4" borderId="1" xfId="3" applyFont="1" applyFill="1">
      <alignment horizontal="left" vertical="center" wrapText="1"/>
      <protection locked="0"/>
    </xf>
    <xf numFmtId="0" fontId="60" fillId="30" borderId="0" xfId="22" applyFont="1" applyFill="1" applyAlignment="1">
      <alignment horizontal="left" vertical="center" wrapText="1"/>
    </xf>
    <xf numFmtId="0" fontId="60" fillId="30" borderId="0" xfId="22" applyFont="1" applyFill="1" applyAlignment="1">
      <alignment vertical="center" wrapText="1"/>
    </xf>
    <xf numFmtId="0" fontId="59" fillId="30" borderId="0" xfId="0" applyFont="1" applyFill="1"/>
    <xf numFmtId="0" fontId="56" fillId="30" borderId="1" xfId="2" applyFont="1" applyFill="1">
      <alignment horizontal="left" vertical="center" wrapText="1"/>
    </xf>
    <xf numFmtId="14" fontId="57" fillId="4" borderId="1" xfId="3" applyNumberFormat="1" applyFont="1" applyFill="1">
      <alignment horizontal="left" vertical="center" wrapText="1"/>
      <protection locked="0"/>
    </xf>
    <xf numFmtId="0" fontId="5" fillId="0" borderId="0" xfId="0" applyFont="1" applyAlignment="1">
      <alignment horizontal="left" wrapText="1"/>
    </xf>
    <xf numFmtId="0" fontId="59" fillId="30" borderId="0" xfId="0" applyFont="1" applyFill="1" applyAlignment="1">
      <alignment horizontal="left"/>
    </xf>
    <xf numFmtId="3" fontId="57" fillId="4" borderId="1" xfId="3" applyNumberFormat="1" applyFont="1" applyFill="1">
      <alignment horizontal="left" vertical="center" wrapText="1"/>
      <protection locked="0"/>
    </xf>
    <xf numFmtId="164" fontId="57" fillId="4" borderId="1" xfId="3" applyNumberFormat="1" applyFont="1" applyFill="1">
      <alignment horizontal="left" vertical="center" wrapText="1"/>
      <protection locked="0"/>
    </xf>
    <xf numFmtId="0" fontId="56" fillId="18" borderId="1" xfId="2" applyFont="1">
      <alignment horizontal="left" vertical="center" wrapText="1"/>
    </xf>
    <xf numFmtId="0" fontId="5" fillId="30" borderId="0" xfId="0" applyFont="1" applyFill="1"/>
    <xf numFmtId="0" fontId="56" fillId="30" borderId="0" xfId="0" applyFont="1" applyFill="1"/>
    <xf numFmtId="0" fontId="5" fillId="30" borderId="0" xfId="0" applyFont="1" applyFill="1" applyAlignment="1">
      <alignment horizontal="left" vertical="top" wrapText="1"/>
    </xf>
    <xf numFmtId="0" fontId="61" fillId="30" borderId="0" xfId="1" applyFont="1" applyFill="1" applyBorder="1" applyAlignment="1">
      <alignment horizontal="left" vertical="top" wrapText="1"/>
    </xf>
    <xf numFmtId="49" fontId="57" fillId="4" borderId="1" xfId="3" applyNumberFormat="1" applyFont="1" applyFill="1">
      <alignment horizontal="left" vertical="center" wrapText="1"/>
      <protection locked="0"/>
    </xf>
    <xf numFmtId="0" fontId="62" fillId="0" borderId="0" xfId="0" applyFont="1"/>
    <xf numFmtId="0" fontId="56" fillId="0" borderId="0" xfId="0" applyFont="1"/>
    <xf numFmtId="167" fontId="54" fillId="18" borderId="1" xfId="18" applyNumberFormat="1" applyFont="1" applyAlignment="1">
      <alignment horizontal="center" vertical="center" wrapText="1"/>
    </xf>
    <xf numFmtId="0" fontId="5" fillId="0" borderId="0" xfId="0" applyFont="1" applyAlignment="1">
      <alignment horizontal="center" vertical="center"/>
    </xf>
    <xf numFmtId="0" fontId="5" fillId="18" borderId="4" xfId="18" applyFont="1" applyBorder="1" applyAlignment="1">
      <alignment horizontal="center" vertical="center" wrapText="1"/>
    </xf>
    <xf numFmtId="167" fontId="57" fillId="24" borderId="1" xfId="3" applyNumberFormat="1" applyFont="1" applyAlignment="1">
      <alignment horizontal="center" vertical="center" wrapText="1"/>
      <protection locked="0"/>
    </xf>
    <xf numFmtId="0" fontId="57" fillId="24" borderId="1" xfId="3" applyNumberFormat="1" applyFont="1" applyAlignment="1">
      <alignment horizontal="center" vertical="center" wrapText="1"/>
      <protection locked="0"/>
    </xf>
    <xf numFmtId="2" fontId="5" fillId="18" borderId="1" xfId="18" applyNumberFormat="1" applyFont="1" applyAlignment="1">
      <alignment horizontal="center" vertical="center" wrapText="1"/>
    </xf>
    <xf numFmtId="167" fontId="57" fillId="24" borderId="1" xfId="3" applyNumberFormat="1" applyFont="1">
      <alignment horizontal="left" vertical="center" wrapText="1"/>
      <protection locked="0"/>
    </xf>
    <xf numFmtId="164" fontId="57" fillId="24" borderId="1" xfId="3" applyNumberFormat="1" applyFont="1" applyAlignment="1">
      <alignment horizontal="center" vertical="center" wrapText="1"/>
      <protection locked="0"/>
    </xf>
    <xf numFmtId="164" fontId="5" fillId="18" borderId="1" xfId="18" applyNumberFormat="1" applyFont="1" applyAlignment="1">
      <alignment horizontal="center" vertical="center" wrapText="1"/>
    </xf>
    <xf numFmtId="167" fontId="5" fillId="18" borderId="1" xfId="18" applyNumberFormat="1" applyFont="1" applyAlignment="1">
      <alignment horizontal="center" vertical="center" wrapText="1"/>
    </xf>
    <xf numFmtId="168" fontId="5" fillId="18" borderId="1" xfId="18" applyNumberFormat="1" applyFont="1" applyAlignment="1">
      <alignment horizontal="center" vertical="center" wrapText="1"/>
    </xf>
    <xf numFmtId="0" fontId="57" fillId="4" borderId="3" xfId="3" applyFont="1" applyFill="1" applyBorder="1">
      <alignment horizontal="left" vertical="center" wrapText="1"/>
      <protection locked="0"/>
    </xf>
    <xf numFmtId="0" fontId="57" fillId="4" borderId="1" xfId="3" applyFont="1" applyFill="1" applyAlignment="1">
      <alignment horizontal="center" vertical="center" wrapText="1"/>
      <protection locked="0"/>
    </xf>
    <xf numFmtId="0" fontId="63" fillId="30" borderId="0" xfId="22" applyFont="1" applyFill="1" applyAlignment="1">
      <alignment vertical="center" wrapText="1"/>
    </xf>
    <xf numFmtId="0" fontId="5" fillId="0" borderId="0" xfId="0" applyFont="1" applyAlignment="1">
      <alignment horizontal="left" vertical="center" wrapText="1"/>
    </xf>
    <xf numFmtId="0" fontId="58" fillId="16" borderId="15" xfId="23" applyFont="1" applyBorder="1" applyAlignment="1">
      <alignment horizontal="left" vertical="center" wrapText="1"/>
    </xf>
    <xf numFmtId="0" fontId="58" fillId="16" borderId="10" xfId="17" applyFont="1" applyBorder="1" applyAlignment="1" applyProtection="1">
      <alignment horizontal="left" vertical="center" wrapText="1"/>
    </xf>
    <xf numFmtId="0" fontId="58" fillId="16" borderId="8" xfId="23" applyFont="1" applyBorder="1" applyAlignment="1">
      <alignment horizontal="left" vertical="center" wrapText="1"/>
    </xf>
    <xf numFmtId="0" fontId="58" fillId="16" borderId="10" xfId="23" applyFont="1" applyBorder="1" applyAlignment="1">
      <alignment horizontal="left" vertical="center" wrapText="1"/>
    </xf>
    <xf numFmtId="0" fontId="58" fillId="10" borderId="1" xfId="21" applyFont="1" applyAlignment="1">
      <alignment horizontal="left" vertical="center" wrapText="1"/>
    </xf>
    <xf numFmtId="0" fontId="58" fillId="10" borderId="10" xfId="21" applyFont="1" applyBorder="1" applyAlignment="1">
      <alignment horizontal="left" vertical="center" wrapText="1"/>
    </xf>
    <xf numFmtId="0" fontId="58" fillId="22" borderId="1" xfId="36" applyFont="1" applyAlignment="1">
      <alignment horizontal="left" vertical="center" wrapText="1"/>
    </xf>
    <xf numFmtId="164" fontId="54" fillId="18" borderId="4" xfId="18" applyNumberFormat="1" applyFont="1" applyBorder="1" applyAlignment="1">
      <alignment horizontal="left" vertical="center" wrapText="1"/>
    </xf>
    <xf numFmtId="167" fontId="54" fillId="18" borderId="1" xfId="18" applyNumberFormat="1" applyFont="1" applyAlignment="1">
      <alignment horizontal="left" vertical="center" wrapText="1"/>
    </xf>
    <xf numFmtId="168" fontId="54" fillId="18" borderId="1" xfId="18" applyNumberFormat="1" applyFont="1" applyAlignment="1">
      <alignment horizontal="left" vertical="center" wrapText="1"/>
    </xf>
    <xf numFmtId="164" fontId="54" fillId="18" borderId="1" xfId="18" applyNumberFormat="1" applyFont="1" applyAlignment="1">
      <alignment horizontal="left" vertical="center" wrapText="1"/>
    </xf>
    <xf numFmtId="3" fontId="57" fillId="24" borderId="1" xfId="3" applyNumberFormat="1" applyFont="1" applyAlignment="1">
      <alignment horizontal="center" vertical="center" wrapText="1"/>
      <protection locked="0"/>
    </xf>
    <xf numFmtId="4" fontId="57" fillId="24" borderId="1" xfId="3" applyNumberFormat="1" applyFont="1">
      <alignment horizontal="left" vertical="center" wrapText="1"/>
      <protection locked="0"/>
    </xf>
    <xf numFmtId="0" fontId="5" fillId="0" borderId="1" xfId="0" applyFont="1" applyBorder="1" applyAlignment="1">
      <alignment horizontal="left"/>
    </xf>
    <xf numFmtId="0" fontId="58" fillId="16" borderId="10" xfId="17" applyFont="1" applyBorder="1" applyAlignment="1">
      <alignment horizontal="left" vertical="center" wrapText="1"/>
    </xf>
    <xf numFmtId="0" fontId="5" fillId="28" borderId="1" xfId="0" applyFont="1" applyFill="1" applyBorder="1" applyAlignment="1">
      <alignment horizontal="left"/>
    </xf>
    <xf numFmtId="167" fontId="57" fillId="4" borderId="4" xfId="3" applyNumberFormat="1" applyFont="1" applyFill="1" applyBorder="1">
      <alignment horizontal="left" vertical="center" wrapText="1"/>
      <protection locked="0"/>
    </xf>
    <xf numFmtId="167" fontId="57" fillId="4" borderId="1" xfId="3" applyNumberFormat="1" applyFont="1" applyFill="1">
      <alignment horizontal="left" vertical="center" wrapText="1"/>
      <protection locked="0"/>
    </xf>
    <xf numFmtId="164" fontId="5" fillId="0" borderId="1" xfId="24" applyNumberFormat="1" applyFont="1" applyProtection="1">
      <alignment horizontal="left" vertical="center" wrapText="1"/>
      <protection hidden="1"/>
    </xf>
    <xf numFmtId="167" fontId="5" fillId="0" borderId="1" xfId="24" applyNumberFormat="1" applyFont="1" applyProtection="1">
      <alignment horizontal="left" vertical="center" wrapText="1"/>
      <protection hidden="1"/>
    </xf>
    <xf numFmtId="164" fontId="56" fillId="18" borderId="4" xfId="2" applyNumberFormat="1" applyFont="1" applyBorder="1">
      <alignment horizontal="left" vertical="center" wrapText="1"/>
    </xf>
    <xf numFmtId="168" fontId="5" fillId="0" borderId="3" xfId="24" applyNumberFormat="1" applyFont="1" applyBorder="1" applyProtection="1">
      <alignment horizontal="left" vertical="center" wrapText="1"/>
      <protection hidden="1"/>
    </xf>
    <xf numFmtId="0" fontId="56" fillId="18" borderId="9" xfId="0" applyFont="1" applyFill="1" applyBorder="1" applyAlignment="1">
      <alignment horizontal="left" vertical="center" wrapText="1"/>
    </xf>
    <xf numFmtId="167" fontId="56" fillId="0" borderId="1" xfId="0" applyNumberFormat="1" applyFont="1" applyBorder="1" applyAlignment="1" applyProtection="1">
      <alignment horizontal="left" vertical="center" wrapText="1"/>
      <protection hidden="1"/>
    </xf>
    <xf numFmtId="168" fontId="56" fillId="0" borderId="3" xfId="0" applyNumberFormat="1" applyFont="1" applyBorder="1" applyAlignment="1" applyProtection="1">
      <alignment horizontal="left" vertical="center" wrapText="1"/>
      <protection hidden="1"/>
    </xf>
    <xf numFmtId="164" fontId="5" fillId="0" borderId="1" xfId="37" applyNumberFormat="1" applyFont="1" applyBorder="1" applyAlignment="1" applyProtection="1">
      <alignment horizontal="left" vertical="center" wrapText="1"/>
      <protection hidden="1"/>
    </xf>
    <xf numFmtId="167" fontId="5" fillId="0" borderId="3" xfId="24" applyNumberFormat="1" applyFont="1" applyBorder="1" applyProtection="1">
      <alignment horizontal="left" vertical="center" wrapText="1"/>
      <protection hidden="1"/>
    </xf>
    <xf numFmtId="164" fontId="56" fillId="18" borderId="4" xfId="2" applyNumberFormat="1" applyFont="1" applyBorder="1" applyProtection="1">
      <alignment horizontal="left" vertical="center" wrapText="1"/>
      <protection hidden="1"/>
    </xf>
    <xf numFmtId="164" fontId="56" fillId="0" borderId="1" xfId="0" applyNumberFormat="1" applyFont="1" applyBorder="1" applyAlignment="1" applyProtection="1">
      <alignment horizontal="left" vertical="center" wrapText="1"/>
      <protection hidden="1"/>
    </xf>
    <xf numFmtId="167" fontId="56" fillId="0" borderId="3" xfId="0" applyNumberFormat="1" applyFont="1" applyBorder="1" applyAlignment="1" applyProtection="1">
      <alignment horizontal="left" vertical="center" wrapText="1"/>
      <protection hidden="1"/>
    </xf>
    <xf numFmtId="0" fontId="58" fillId="23" borderId="1" xfId="19" applyFont="1" applyFill="1" applyAlignment="1">
      <alignment horizontal="left" vertical="center" wrapText="1"/>
    </xf>
    <xf numFmtId="0" fontId="66" fillId="18" borderId="1" xfId="19" applyFont="1" applyFill="1" applyAlignment="1">
      <alignment horizontal="left" vertical="center" wrapText="1"/>
    </xf>
    <xf numFmtId="0" fontId="68" fillId="0" borderId="1" xfId="0" applyFont="1" applyBorder="1" applyAlignment="1">
      <alignment horizontal="left" vertical="center" wrapText="1"/>
    </xf>
    <xf numFmtId="0" fontId="5" fillId="0" borderId="1" xfId="0" applyFont="1" applyBorder="1" applyAlignment="1">
      <alignment horizontal="left" vertical="center" wrapText="1"/>
    </xf>
    <xf numFmtId="0" fontId="67" fillId="0" borderId="1" xfId="0" applyFont="1" applyBorder="1" applyAlignment="1">
      <alignment horizontal="left" vertical="center" wrapText="1"/>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4" xfId="0" applyFont="1" applyBorder="1" applyAlignment="1">
      <alignment horizontal="left" vertical="center"/>
    </xf>
    <xf numFmtId="0" fontId="55" fillId="10" borderId="7" xfId="17" applyFont="1" applyFill="1" applyBorder="1" applyAlignment="1">
      <alignment horizontal="left"/>
    </xf>
    <xf numFmtId="0" fontId="55" fillId="10" borderId="11" xfId="17" applyFont="1" applyFill="1" applyBorder="1" applyAlignment="1">
      <alignment horizontal="left"/>
    </xf>
    <xf numFmtId="0" fontId="55" fillId="10" borderId="9" xfId="17" applyFont="1" applyFill="1" applyBorder="1" applyAlignment="1">
      <alignment horizontal="left"/>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4" xfId="0" applyFont="1" applyBorder="1" applyAlignment="1">
      <alignment horizontal="left" vertical="center" wrapText="1"/>
    </xf>
    <xf numFmtId="0" fontId="53" fillId="0" borderId="0" xfId="0" applyFont="1" applyAlignment="1">
      <alignment horizontal="left" vertical="center"/>
    </xf>
    <xf numFmtId="0" fontId="55" fillId="10" borderId="1" xfId="17" applyFont="1" applyFill="1" applyAlignment="1">
      <alignment horizontal="left" vertical="center" wrapText="1"/>
    </xf>
    <xf numFmtId="0" fontId="68" fillId="0" borderId="14" xfId="0" applyFont="1" applyBorder="1" applyAlignment="1">
      <alignment horizontal="left" vertical="top" wrapText="1"/>
    </xf>
    <xf numFmtId="0" fontId="5" fillId="0" borderId="14" xfId="0" applyFont="1" applyBorder="1" applyAlignment="1">
      <alignment horizontal="left" vertical="top" wrapText="1"/>
    </xf>
    <xf numFmtId="0" fontId="68" fillId="0" borderId="7" xfId="0" applyFont="1" applyBorder="1" applyAlignment="1">
      <alignment horizontal="left" vertical="top" wrapText="1"/>
    </xf>
    <xf numFmtId="0" fontId="5" fillId="0" borderId="11" xfId="0" applyFont="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5" fillId="0" borderId="21" xfId="0" applyFont="1" applyBorder="1" applyAlignment="1">
      <alignment horizontal="left" vertical="top" wrapText="1"/>
    </xf>
    <xf numFmtId="0" fontId="5" fillId="0" borderId="8" xfId="0" applyFont="1" applyBorder="1" applyAlignment="1">
      <alignment horizontal="left" vertical="top" wrapText="1"/>
    </xf>
    <xf numFmtId="0" fontId="5" fillId="0" borderId="15" xfId="0" applyFont="1" applyBorder="1" applyAlignment="1">
      <alignment horizontal="left" vertical="top" wrapText="1"/>
    </xf>
    <xf numFmtId="0" fontId="5" fillId="0" borderId="3" xfId="0" applyFont="1" applyBorder="1" applyAlignment="1">
      <alignment horizontal="left" vertical="top" wrapText="1"/>
    </xf>
    <xf numFmtId="0" fontId="5" fillId="0" borderId="13" xfId="0" applyFont="1" applyBorder="1" applyAlignment="1">
      <alignment horizontal="left" vertical="top" wrapText="1"/>
    </xf>
    <xf numFmtId="0" fontId="5" fillId="0" borderId="4" xfId="0" applyFont="1" applyBorder="1" applyAlignment="1">
      <alignment horizontal="left" vertical="top" wrapText="1"/>
    </xf>
    <xf numFmtId="0" fontId="60" fillId="30" borderId="0" xfId="22" applyFont="1" applyFill="1" applyAlignment="1">
      <alignment horizontal="left" vertical="center" wrapText="1"/>
    </xf>
    <xf numFmtId="0" fontId="55" fillId="10" borderId="3" xfId="17" applyFont="1" applyFill="1" applyBorder="1" applyAlignment="1">
      <alignment horizontal="left" vertical="center" wrapText="1"/>
    </xf>
    <xf numFmtId="0" fontId="55" fillId="10" borderId="4" xfId="17" applyFont="1" applyFill="1" applyBorder="1" applyAlignment="1">
      <alignment horizontal="left" vertical="center" wrapText="1"/>
    </xf>
    <xf numFmtId="0" fontId="56" fillId="30" borderId="1" xfId="2" applyFont="1" applyFill="1" applyAlignment="1">
      <alignment horizontal="left" vertical="center" wrapText="1"/>
    </xf>
    <xf numFmtId="0" fontId="57" fillId="4" borderId="1" xfId="3" applyFont="1" applyFill="1" applyAlignment="1">
      <alignment horizontal="left" vertical="center" wrapText="1"/>
      <protection locked="0"/>
    </xf>
    <xf numFmtId="0" fontId="5" fillId="30" borderId="0" xfId="0" applyFont="1" applyFill="1" applyAlignment="1">
      <alignment horizontal="left" vertical="top" wrapText="1"/>
    </xf>
    <xf numFmtId="0" fontId="58" fillId="10" borderId="1" xfId="21" applyFont="1" applyAlignment="1">
      <alignment horizontal="center" vertical="center" wrapText="1"/>
    </xf>
    <xf numFmtId="0" fontId="5" fillId="4" borderId="1" xfId="0" applyFont="1" applyFill="1" applyBorder="1" applyAlignment="1" applyProtection="1">
      <alignment horizontal="left"/>
      <protection locked="0"/>
    </xf>
    <xf numFmtId="0" fontId="64" fillId="10" borderId="1" xfId="17" applyFont="1" applyFill="1" applyAlignment="1">
      <alignment horizontal="left" vertical="center" wrapText="1"/>
    </xf>
    <xf numFmtId="0" fontId="5" fillId="0" borderId="0" xfId="0" applyFont="1" applyAlignment="1">
      <alignment horizontal="left" wrapText="1"/>
    </xf>
    <xf numFmtId="0" fontId="55" fillId="10" borderId="14" xfId="17" applyFont="1" applyFill="1" applyBorder="1" applyAlignment="1">
      <alignment horizontal="left"/>
    </xf>
    <xf numFmtId="0" fontId="55" fillId="10" borderId="3" xfId="17" applyFont="1" applyFill="1" applyBorder="1" applyAlignment="1">
      <alignment horizontal="left"/>
    </xf>
    <xf numFmtId="0" fontId="55" fillId="10" borderId="13" xfId="17" applyFont="1" applyFill="1" applyBorder="1" applyAlignment="1">
      <alignment horizontal="left"/>
    </xf>
    <xf numFmtId="0" fontId="55" fillId="10" borderId="6" xfId="17" applyFont="1" applyFill="1" applyBorder="1" applyAlignment="1">
      <alignment horizontal="left"/>
    </xf>
    <xf numFmtId="0" fontId="55" fillId="10" borderId="0" xfId="17" applyFont="1" applyFill="1" applyBorder="1" applyAlignment="1">
      <alignment horizontal="left"/>
    </xf>
    <xf numFmtId="0" fontId="5" fillId="0" borderId="1" xfId="24" applyFont="1" applyAlignment="1" applyProtection="1">
      <alignment horizontal="left" vertical="center" wrapText="1"/>
      <protection hidden="1"/>
    </xf>
    <xf numFmtId="0" fontId="38" fillId="21" borderId="0" xfId="22" applyAlignment="1">
      <alignment horizontal="left" vertical="center" wrapText="1"/>
    </xf>
    <xf numFmtId="0" fontId="28" fillId="0" borderId="0" xfId="24" applyBorder="1" applyAlignment="1">
      <alignment horizontal="left" vertical="center" wrapText="1"/>
    </xf>
    <xf numFmtId="0" fontId="37" fillId="16" borderId="1" xfId="17" applyFont="1" applyAlignment="1">
      <alignment horizontal="center" vertical="center" wrapText="1"/>
    </xf>
    <xf numFmtId="0" fontId="24" fillId="16" borderId="1" xfId="17" applyAlignment="1">
      <alignment horizontal="center"/>
    </xf>
    <xf numFmtId="0" fontId="31" fillId="0" borderId="0" xfId="24" applyFont="1" applyBorder="1" applyAlignment="1">
      <alignment horizontal="left" vertical="center" wrapText="1"/>
    </xf>
    <xf numFmtId="0" fontId="24" fillId="16" borderId="1" xfId="17" applyAlignment="1">
      <alignment horizontal="center" vertical="center" wrapText="1"/>
    </xf>
    <xf numFmtId="0" fontId="25" fillId="18" borderId="1" xfId="2" applyAlignment="1">
      <alignment vertical="center" wrapText="1"/>
    </xf>
    <xf numFmtId="0" fontId="28" fillId="0" borderId="1" xfId="24" applyAlignment="1" applyProtection="1">
      <alignment horizontal="left" vertical="center" wrapText="1"/>
      <protection hidden="1"/>
    </xf>
    <xf numFmtId="49" fontId="27" fillId="24" borderId="1" xfId="3" applyNumberFormat="1" applyAlignment="1">
      <alignment horizontal="left" vertical="center" wrapText="1"/>
      <protection locked="0"/>
    </xf>
    <xf numFmtId="0" fontId="0" fillId="0" borderId="0" xfId="0" applyAlignment="1">
      <alignment horizontal="left" vertical="top" wrapText="1"/>
    </xf>
    <xf numFmtId="0" fontId="10" fillId="16" borderId="1" xfId="23" applyAlignment="1">
      <alignment horizontal="center" vertical="center" wrapText="1"/>
    </xf>
    <xf numFmtId="14" fontId="27" fillId="24" borderId="1" xfId="3" applyNumberFormat="1" applyAlignment="1">
      <alignment horizontal="left" vertical="center" wrapText="1"/>
      <protection locked="0"/>
    </xf>
    <xf numFmtId="0" fontId="46" fillId="0" borderId="37" xfId="0" applyFont="1" applyBorder="1" applyAlignment="1">
      <alignment horizontal="center" vertical="center" wrapText="1"/>
    </xf>
    <xf numFmtId="0" fontId="46" fillId="0" borderId="36" xfId="0" applyFont="1" applyBorder="1" applyAlignment="1">
      <alignment horizontal="center" vertical="center" wrapText="1"/>
    </xf>
    <xf numFmtId="0" fontId="46" fillId="29" borderId="37" xfId="0" applyFont="1" applyFill="1" applyBorder="1" applyAlignment="1">
      <alignment horizontal="center" vertical="center" wrapText="1"/>
    </xf>
    <xf numFmtId="0" fontId="46" fillId="29" borderId="40" xfId="0" applyFont="1" applyFill="1" applyBorder="1" applyAlignment="1">
      <alignment horizontal="center" vertical="center" wrapText="1"/>
    </xf>
    <xf numFmtId="0" fontId="46" fillId="29" borderId="36" xfId="0" applyFont="1" applyFill="1" applyBorder="1" applyAlignment="1">
      <alignment horizontal="center" vertical="center" wrapText="1"/>
    </xf>
    <xf numFmtId="0" fontId="51" fillId="29" borderId="37" xfId="0" applyFont="1" applyFill="1" applyBorder="1" applyAlignment="1">
      <alignment horizontal="center" vertical="center" wrapText="1"/>
    </xf>
    <xf numFmtId="0" fontId="51" fillId="29" borderId="40" xfId="0" applyFont="1" applyFill="1" applyBorder="1" applyAlignment="1">
      <alignment horizontal="center" vertical="center" wrapText="1"/>
    </xf>
    <xf numFmtId="0" fontId="51" fillId="29" borderId="36" xfId="0" applyFont="1" applyFill="1" applyBorder="1" applyAlignment="1">
      <alignment horizontal="center" vertical="center" wrapText="1"/>
    </xf>
    <xf numFmtId="0" fontId="52" fillId="0" borderId="2" xfId="0" applyFont="1" applyBorder="1" applyAlignment="1">
      <alignment horizontal="left" vertical="top" wrapText="1"/>
    </xf>
    <xf numFmtId="0" fontId="52" fillId="0" borderId="10" xfId="0" applyFont="1" applyBorder="1" applyAlignment="1">
      <alignment horizontal="left" vertical="top" wrapText="1"/>
    </xf>
    <xf numFmtId="0" fontId="51" fillId="0" borderId="35" xfId="0" applyFont="1" applyBorder="1" applyAlignment="1">
      <alignment horizontal="center" vertical="center" wrapText="1"/>
    </xf>
    <xf numFmtId="0" fontId="51" fillId="0" borderId="39" xfId="0" applyFont="1" applyBorder="1" applyAlignment="1">
      <alignment horizontal="center" vertical="center" wrapText="1"/>
    </xf>
    <xf numFmtId="0" fontId="51" fillId="0" borderId="38" xfId="0" applyFont="1" applyBorder="1" applyAlignment="1">
      <alignment horizontal="center" vertical="center" wrapText="1"/>
    </xf>
    <xf numFmtId="0" fontId="46" fillId="0" borderId="35" xfId="0" applyFont="1" applyBorder="1" applyAlignment="1">
      <alignment horizontal="center" vertical="center" wrapText="1"/>
    </xf>
    <xf numFmtId="0" fontId="46" fillId="0" borderId="39"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0" xfId="0" applyFont="1" applyAlignment="1">
      <alignment horizontal="left" vertical="center" wrapText="1"/>
    </xf>
    <xf numFmtId="0" fontId="44" fillId="0" borderId="37" xfId="0" applyFont="1" applyBorder="1" applyAlignment="1">
      <alignment horizontal="center" vertical="center" wrapText="1"/>
    </xf>
    <xf numFmtId="0" fontId="44" fillId="0" borderId="36"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36" xfId="0" applyFont="1" applyBorder="1" applyAlignment="1">
      <alignment horizontal="center" vertical="center" wrapText="1"/>
    </xf>
    <xf numFmtId="0" fontId="47" fillId="0" borderId="35" xfId="0" applyFont="1" applyBorder="1" applyAlignment="1">
      <alignment horizontal="center" vertical="center" wrapText="1"/>
    </xf>
    <xf numFmtId="0" fontId="47" fillId="0" borderId="38" xfId="0" applyFont="1" applyBorder="1" applyAlignment="1">
      <alignment horizontal="center" vertical="center" wrapText="1"/>
    </xf>
    <xf numFmtId="0" fontId="10" fillId="17" borderId="26" xfId="26" applyBorder="1" applyAlignment="1">
      <alignment wrapText="1"/>
    </xf>
    <xf numFmtId="0" fontId="10" fillId="17" borderId="27" xfId="26" applyBorder="1" applyAlignment="1">
      <alignment wrapText="1"/>
    </xf>
    <xf numFmtId="0" fontId="10" fillId="17" borderId="28" xfId="26" applyBorder="1" applyAlignment="1">
      <alignment wrapText="1"/>
    </xf>
    <xf numFmtId="0" fontId="46" fillId="0" borderId="2" xfId="0" applyFont="1" applyBorder="1" applyAlignment="1">
      <alignment horizontal="left" vertical="top" wrapText="1"/>
    </xf>
    <xf numFmtId="0" fontId="46" fillId="0" borderId="10" xfId="0" applyFont="1" applyBorder="1" applyAlignment="1">
      <alignment horizontal="left" vertical="top" wrapText="1"/>
    </xf>
    <xf numFmtId="0" fontId="46" fillId="0" borderId="0" xfId="0" applyFont="1" applyAlignment="1">
      <alignment horizontal="left" wrapText="1"/>
    </xf>
    <xf numFmtId="0" fontId="10" fillId="17" borderId="22" xfId="26" applyAlignment="1">
      <alignment horizontal="left" wrapText="1"/>
    </xf>
  </cellXfs>
  <cellStyles count="40">
    <cellStyle name="20% - Accent1" xfId="32" builtinId="30" hidden="1"/>
    <cellStyle name="Bad" xfId="12" builtinId="27" hidden="1"/>
    <cellStyle name="Check Cell" xfId="29" builtinId="23" hidden="1"/>
    <cellStyle name="Comma" xfId="39" builtinId="3"/>
    <cellStyle name="Currency" xfId="37" builtinId="4"/>
    <cellStyle name="Explanatory Text" xfId="31" builtinId="53" hidden="1"/>
    <cellStyle name="Followed Hyperlink" xfId="5" builtinId="9" customBuiltin="1"/>
    <cellStyle name="Good" xfId="11" builtinId="26" hidden="1"/>
    <cellStyle name="Heading 1" xfId="20" builtinId="16" hidden="1"/>
    <cellStyle name="Heading 1" xfId="7" builtinId="16" hidden="1"/>
    <cellStyle name="Heading 1" xfId="17" xr:uid="{827A2D4A-7385-4E53-97FD-71BCCCD5F2E7}"/>
    <cellStyle name="Heading 2" xfId="8" builtinId="17" hidden="1"/>
    <cellStyle name="Heading 2" xfId="33" builtinId="17" customBuiltin="1"/>
    <cellStyle name="Heading 3" xfId="9" builtinId="18" hidden="1"/>
    <cellStyle name="Heading 3" xfId="34" xr:uid="{E719F22B-8762-4EB0-8669-209ED71251E1}"/>
    <cellStyle name="Heading 4" xfId="35" builtinId="19" hidden="1"/>
    <cellStyle name="Heading 4" xfId="10" builtinId="19" hidden="1"/>
    <cellStyle name="Hide Cell" xfId="25" xr:uid="{2243FA24-2F08-4FD5-AA9A-ED2C4FD21563}"/>
    <cellStyle name="Hyperlink" xfId="1" builtinId="8" customBuiltin="1"/>
    <cellStyle name="Input" xfId="14" builtinId="20" hidden="1"/>
    <cellStyle name="Input General" xfId="3" xr:uid="{FD8ACB3A-2E60-4E56-BDE0-F16C605B706F}"/>
    <cellStyle name="Locked Cell" xfId="18" xr:uid="{C5AC115B-4C70-4598-B33B-FF8931F43D69}"/>
    <cellStyle name="Locked Cell Bold" xfId="2" xr:uid="{00000000-0005-0000-0000-000003000000}"/>
    <cellStyle name="Locked Cell White" xfId="24" xr:uid="{8F7DEB48-FAC3-4610-9226-B7D4124C58C1}"/>
    <cellStyle name="Name Range Title" xfId="26" xr:uid="{46E703C9-C83A-4FAE-BD96-AD2C2F1C6BF7}"/>
    <cellStyle name="Neutral" xfId="13" builtinId="28" hidden="1"/>
    <cellStyle name="Normal" xfId="0" builtinId="0" customBuiltin="1"/>
    <cellStyle name="Note" xfId="15" builtinId="10" hidden="1"/>
    <cellStyle name="Output" xfId="28" builtinId="21" hidden="1"/>
    <cellStyle name="Percent" xfId="4" builtinId="5"/>
    <cellStyle name="Percent 2" xfId="38" xr:uid="{44F3F0DE-722B-4F05-8BB5-87AC0137E196}"/>
    <cellStyle name="Range Data" xfId="27" xr:uid="{7896B364-4370-470C-B83C-A03F3C77F542}"/>
    <cellStyle name="Sheet Heading" xfId="22" xr:uid="{9BC41EA3-605D-47B9-99C5-959AB6AED4CA}"/>
    <cellStyle name="Table Top 1" xfId="23" xr:uid="{8C0905FB-CD4E-49DB-B46F-8EC853259812}"/>
    <cellStyle name="Table Top 2" xfId="19" xr:uid="{DDE9671C-2664-4B42-B64A-D6F716A86511}"/>
    <cellStyle name="Table Top 3" xfId="21" xr:uid="{241A7E45-4EC5-408D-8C63-73DB54E40084}"/>
    <cellStyle name="Table Top 4" xfId="36" xr:uid="{FDC1E094-0D14-4F86-90B9-56EB940D9840}"/>
    <cellStyle name="Title" xfId="6" builtinId="15" hidden="1"/>
    <cellStyle name="Total" xfId="16" builtinId="25" hidden="1"/>
    <cellStyle name="Warning Text" xfId="30" builtinId="11" hidden="1"/>
  </cellStyles>
  <dxfs count="160">
    <dxf>
      <fill>
        <patternFill patternType="solid">
          <fgColor indexed="64"/>
          <bgColor theme="5" tint="0.79998168889431442"/>
        </patternFill>
      </fill>
      <border diagonalUp="0" diagonalDown="0">
        <left/>
        <right/>
        <top style="thin">
          <color indexed="64"/>
        </top>
        <bottom style="thin">
          <color indexed="64"/>
        </bottom>
        <vertical/>
        <horizontal/>
      </border>
    </dxf>
    <dxf>
      <numFmt numFmtId="166" formatCode="0.0"/>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7" tint="0.79998168889431442"/>
        </patternFill>
      </fill>
      <border diagonalUp="0" diagonalDown="0">
        <left style="thin">
          <color auto="1"/>
        </left>
        <right style="thin">
          <color auto="1"/>
        </right>
        <top style="thin">
          <color auto="1"/>
        </top>
        <bottom/>
        <vertical/>
        <horizontal/>
      </border>
    </dxf>
    <dxf>
      <numFmt numFmtId="169" formatCode="0.000"/>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dxf>
    <dxf>
      <border outline="0">
        <bottom style="thin">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rgb="FF003C71"/>
        </patternFill>
      </fill>
      <alignment horizontal="general" vertical="bottom" textRotation="0" wrapText="1" indent="0" justifyLastLine="0" shrinkToFit="0" readingOrder="0"/>
      <border diagonalUp="0" diagonalDown="0" outline="0">
        <left style="thin">
          <color auto="1"/>
        </left>
        <right style="thin">
          <color auto="1"/>
        </right>
        <top/>
        <bottom/>
      </border>
    </dxf>
    <dxf>
      <fill>
        <patternFill patternType="mediumGray"/>
      </fill>
    </dxf>
    <dxf>
      <fill>
        <patternFill patternType="mediumGray"/>
      </fill>
    </dxf>
    <dxf>
      <numFmt numFmtId="0" formatCode="General"/>
    </dxf>
    <dxf>
      <numFmt numFmtId="0" formatCode="General"/>
    </dxf>
    <dxf>
      <numFmt numFmtId="0" formatCode="General"/>
    </dxf>
    <dxf>
      <numFmt numFmtId="0" formatCode="General"/>
    </dxf>
    <dxf>
      <font>
        <b/>
      </font>
    </dxf>
    <dxf>
      <numFmt numFmtId="165" formatCode="&quot;$&quot;#,##0"/>
    </dxf>
    <dxf>
      <numFmt numFmtId="165" formatCode="&quot;$&quot;#,##0"/>
    </dxf>
    <dxf>
      <numFmt numFmtId="165" formatCode="&quot;$&quot;#,##0"/>
    </dxf>
    <dxf>
      <numFmt numFmtId="13" formatCode="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0" formatCode="General"/>
    </dxf>
    <dxf>
      <alignment horizontal="center" vertical="bottom" textRotation="0" wrapText="1" indent="0" justifyLastLine="0" shrinkToFit="0" readingOrder="0"/>
    </dxf>
    <dxf>
      <numFmt numFmtId="171" formatCode="&quot;$&quot;#,##0.000"/>
    </dxf>
    <dxf>
      <alignment horizontal="general" vertical="bottom" textRotation="0" wrapText="0" indent="0" justifyLastLine="0" shrinkToFit="0" readingOrder="0"/>
    </dxf>
    <dxf>
      <numFmt numFmtId="166" formatCode="0.0"/>
    </dxf>
    <dxf>
      <numFmt numFmtId="0" formatCode="General"/>
    </dxf>
    <dxf>
      <numFmt numFmtId="164" formatCode="&quot;$&quot;#,##0.00"/>
    </dxf>
    <dxf>
      <numFmt numFmtId="164" formatCode="&quot;$&quot;#,##0.00"/>
    </dxf>
    <dxf>
      <numFmt numFmtId="164" formatCode="&quot;$&quot;#,##0.00"/>
    </dxf>
    <dxf>
      <numFmt numFmtId="0" formatCode="General"/>
    </dxf>
    <dxf>
      <fill>
        <patternFill patternType="none">
          <fgColor indexed="64"/>
          <bgColor indexed="65"/>
        </patternFill>
      </fill>
    </dxf>
    <dxf>
      <fill>
        <patternFill>
          <bgColor theme="2"/>
        </patternFill>
      </fill>
    </dxf>
    <dxf>
      <font>
        <b/>
        <i val="0"/>
        <strike val="0"/>
        <condense val="0"/>
        <extend val="0"/>
        <outline val="0"/>
        <shadow val="0"/>
        <u val="none"/>
        <vertAlign val="baseline"/>
        <sz val="10"/>
        <color theme="1"/>
        <name val="Arial"/>
        <family val="2"/>
        <scheme val="none"/>
      </font>
      <numFmt numFmtId="167" formatCode="#,##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7" formatCode="#,##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alignment horizontal="left" textRotation="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3"/>
        </patternFill>
      </fill>
      <alignment horizontal="left" textRotation="0" indent="0" justifyLastLine="0" shrinkToFit="0" readingOrder="0"/>
    </dxf>
    <dxf>
      <font>
        <b/>
        <i val="0"/>
        <strike val="0"/>
        <condense val="0"/>
        <extend val="0"/>
        <outline val="0"/>
        <shadow val="0"/>
        <u val="none"/>
        <vertAlign val="baseline"/>
        <sz val="10"/>
        <color theme="1"/>
        <name val="Arial"/>
        <family val="2"/>
        <scheme val="none"/>
      </font>
      <numFmt numFmtId="168" formatCode="#,##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8" formatCode="#,##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7" formatCode="#,##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7" formatCode="#,##0.0"/>
      <alignment horizontal="left" vertical="center" textRotation="0" wrapText="1" indent="0" justifyLastLine="0" shrinkToFit="0" readingOrder="0"/>
      <border outline="0">
        <left style="thin">
          <color indexed="64"/>
        </left>
        <right style="thin">
          <color indexed="64"/>
        </right>
      </border>
      <protection locked="1" hidden="1"/>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alignment horizontal="left" textRotation="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textRotation="0" indent="0" justifyLastLine="0" shrinkToFit="0" readingOrder="0"/>
    </dxf>
    <dxf>
      <font>
        <strike val="0"/>
        <outline val="0"/>
        <shadow val="0"/>
        <u val="none"/>
        <vertAlign val="baseline"/>
        <name val="Arial"/>
        <family val="2"/>
        <scheme val="none"/>
      </font>
      <fill>
        <patternFill patternType="solid">
          <fgColor indexed="64"/>
          <bgColor theme="3"/>
        </patternFill>
      </fill>
      <alignment horizontal="left" textRotation="0" indent="0" justifyLastLine="0" shrinkToFit="0" readingOrder="0"/>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4" formatCode="#,##0.00"/>
      <border outline="0">
        <left style="thin">
          <color indexed="64"/>
        </left>
        <right style="thin">
          <color indexed="64"/>
        </right>
      </border>
    </dxf>
    <dxf>
      <font>
        <outline val="0"/>
        <shadow val="0"/>
        <u val="none"/>
        <vertAlign val="baseline"/>
        <name val="Arial"/>
        <family val="2"/>
        <scheme val="none"/>
      </font>
      <numFmt numFmtId="4" formatCode="#,##0.00"/>
      <border outline="0">
        <right style="thin">
          <color indexed="64"/>
        </right>
      </border>
    </dxf>
    <dxf>
      <font>
        <outline val="0"/>
        <shadow val="0"/>
        <u val="none"/>
        <vertAlign val="baseline"/>
        <name val="Arial"/>
        <family val="2"/>
        <scheme val="none"/>
      </font>
      <numFmt numFmtId="3" formatCode="#,##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border>
    </dxf>
    <dxf>
      <font>
        <strike/>
        <outline val="0"/>
        <shadow val="0"/>
        <u val="none"/>
        <vertAlign val="baseline"/>
        <color rgb="FF000000"/>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left style="thin">
          <color indexed="64"/>
        </left>
      </border>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outline val="0"/>
        <shadow val="0"/>
        <u val="none"/>
        <vertAlign val="baseline"/>
        <name val="Arial"/>
        <family val="2"/>
        <scheme val="none"/>
      </font>
    </dxf>
    <dxf>
      <border outline="0">
        <bottom style="thin">
          <color rgb="FF000000"/>
        </bottom>
      </border>
    </dxf>
    <dxf>
      <font>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ill>
        <patternFill>
          <bgColor theme="2"/>
        </patternFill>
      </fill>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7" formatCode="#,##0.0"/>
      <border outline="0">
        <left style="thin">
          <color indexed="64"/>
        </left>
        <right style="thin">
          <color indexed="64"/>
        </right>
      </border>
    </dxf>
    <dxf>
      <font>
        <outline val="0"/>
        <shadow val="0"/>
        <u val="none"/>
        <vertAlign val="baseline"/>
        <name val="Arial"/>
        <family val="2"/>
        <scheme val="none"/>
      </font>
      <numFmt numFmtId="167" formatCode="#,##0.0"/>
      <border outline="0">
        <left style="thin">
          <color indexed="64"/>
        </left>
        <right style="thin">
          <color indexed="64"/>
        </right>
      </border>
    </dxf>
    <dxf>
      <font>
        <outline val="0"/>
        <shadow val="0"/>
        <u val="none"/>
        <vertAlign val="baseline"/>
        <name val="Arial"/>
        <family val="2"/>
        <scheme val="none"/>
      </font>
      <numFmt numFmtId="167" formatCode="#,##0.0"/>
      <alignment horizontal="center" vertical="center" textRotation="0" wrapText="1" indent="0" justifyLastLine="0" shrinkToFit="0" readingOrder="0"/>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2" formatCode="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2" formatCode="0.00"/>
      <alignment horizontal="center" vertical="center" textRotation="0" wrapText="1" indent="0" justifyLastLine="0" shrinkToFit="0" readingOrder="0"/>
    </dxf>
    <dxf>
      <font>
        <outline val="0"/>
        <shadow val="0"/>
        <u val="none"/>
        <vertAlign val="baseline"/>
        <name val="Arial"/>
        <family val="2"/>
        <scheme val="none"/>
      </font>
      <numFmt numFmtId="0" formatCode="General"/>
      <alignment horizontal="center" vertical="center" textRotation="0" wrapText="1" indent="0" justifyLastLine="0" shrinkToFit="0" readingOrder="0"/>
      <border outline="0">
        <right style="thin">
          <color indexed="64"/>
        </right>
      </border>
    </dxf>
    <dxf>
      <font>
        <outline val="0"/>
        <shadow val="0"/>
        <u val="none"/>
        <vertAlign val="baseline"/>
        <name val="Arial"/>
        <family val="2"/>
        <scheme val="none"/>
      </font>
      <numFmt numFmtId="0" formatCode="General"/>
      <alignment horizontal="center" vertical="center" textRotation="0" wrapText="1" indent="0" justifyLastLine="0" shrinkToFit="0" readingOrder="0"/>
    </dxf>
    <dxf>
      <font>
        <strike/>
        <outline val="0"/>
        <shadow val="0"/>
        <u val="none"/>
        <vertAlign val="baseline"/>
        <color rgb="FF000000"/>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u val="none"/>
        <vertAlign val="baseline"/>
        <name val="Arial"/>
        <family val="2"/>
        <scheme val="none"/>
      </font>
    </dxf>
    <dxf>
      <border outline="0">
        <bottom style="thin">
          <color indexed="64"/>
        </bottom>
      </border>
    </dxf>
    <dxf>
      <font>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ill>
        <patternFill>
          <bgColor theme="2"/>
        </patternFill>
      </fill>
    </dxf>
    <dxf>
      <fill>
        <patternFill patternType="solid">
          <fgColor auto="1"/>
          <bgColor rgb="FFF7F7F7"/>
        </patternFill>
      </fill>
    </dxf>
    <dxf>
      <fill>
        <patternFill patternType="solid">
          <fgColor auto="1"/>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1"/>
      </font>
    </dxf>
    <dxf>
      <font>
        <b/>
        <color theme="1"/>
      </font>
    </dxf>
    <dxf>
      <font>
        <b/>
        <color theme="1"/>
      </font>
      <border>
        <top style="double">
          <color theme="5"/>
        </top>
      </border>
    </dxf>
    <dxf>
      <font>
        <b/>
        <i val="0"/>
        <strike val="0"/>
        <color theme="0"/>
      </font>
      <fill>
        <patternFill>
          <bgColor theme="5"/>
        </patternFill>
      </fill>
      <border>
        <bottom style="medium">
          <color theme="5"/>
        </bottom>
      </border>
    </dxf>
    <dxf>
      <font>
        <color theme="1"/>
      </font>
      <border>
        <left style="thin">
          <color theme="5"/>
        </left>
        <right style="thin">
          <color theme="5"/>
        </right>
        <top style="thin">
          <color theme="5"/>
        </top>
        <bottom style="thin">
          <color theme="5"/>
        </bottom>
        <vertical style="thin">
          <color theme="5"/>
        </vertical>
        <horizontal style="thin">
          <color theme="5"/>
        </horizontal>
      </border>
    </dxf>
    <dxf>
      <fill>
        <patternFill patternType="solid">
          <fgColor theme="0"/>
          <bgColor rgb="FFFFEAA7"/>
        </patternFill>
      </fill>
    </dxf>
    <dxf>
      <fill>
        <patternFill patternType="solid">
          <fgColor theme="7"/>
          <bgColor rgb="FFFFD54F"/>
        </patternFill>
      </fill>
    </dxf>
    <dxf>
      <border>
        <vertical style="thin">
          <color auto="1"/>
        </vertical>
        <horizontal style="thin">
          <color auto="1"/>
        </horizontal>
      </border>
    </dxf>
    <dxf>
      <fill>
        <patternFill patternType="gray125">
          <fgColor theme="7"/>
        </patternFill>
      </fill>
    </dxf>
    <dxf>
      <fill>
        <patternFill patternType="mediumGray">
          <fgColor theme="7"/>
        </patternFill>
      </fill>
    </dxf>
    <dxf>
      <border>
        <vertical style="thin">
          <color auto="1"/>
        </vertical>
        <horizontal style="thin">
          <color auto="1"/>
        </horizontal>
      </border>
    </dxf>
  </dxfs>
  <tableStyles count="5" defaultTableStyle="Lookup Table" defaultPivotStyle="PivotStyleLight16">
    <tableStyle name="Input Cells" pivot="0" count="3" xr9:uid="{00000000-0011-0000-FFFF-FFFF00000000}">
      <tableStyleElement type="wholeTable" dxfId="159"/>
      <tableStyleElement type="firstRowStripe" dxfId="158"/>
      <tableStyleElement type="secondRowStripe" dxfId="157"/>
    </tableStyle>
    <tableStyle name="Input Cells 2" pivot="0" count="3" xr9:uid="{C2C6F8B6-F1BF-4C38-8C6C-F5810E96A7ED}">
      <tableStyleElement type="wholeTable" dxfId="156"/>
      <tableStyleElement type="firstRowStripe" dxfId="155"/>
      <tableStyleElement type="secondRowStripe" dxfId="154"/>
    </tableStyle>
    <tableStyle name="Invisible" pivot="0" table="0" count="0" xr9:uid="{608B31E0-24D9-463C-B6F1-B39AD8790504}"/>
    <tableStyle name="Lookup Table" pivot="0" count="7" xr9:uid="{7A430CEC-830A-4AC1-B89A-72EA92F001D4}">
      <tableStyleElement type="wholeTable" dxfId="153"/>
      <tableStyleElement type="headerRow" dxfId="152"/>
      <tableStyleElement type="totalRow" dxfId="151"/>
      <tableStyleElement type="firstColumn" dxfId="150"/>
      <tableStyleElement type="lastColumn" dxfId="149"/>
      <tableStyleElement type="firstRowStripe" dxfId="148"/>
      <tableStyleElement type="firstColumnStripe" dxfId="147"/>
    </tableStyle>
    <tableStyle name="No Input" pivot="0" count="3" xr9:uid="{6B172CA5-6E53-4EC8-A05C-2C0F8F85993F}">
      <tableStyleElement type="wholeTable" dxfId="146"/>
      <tableStyleElement type="firstRowStripe" dxfId="145"/>
      <tableStyleElement type="secondRowStripe" dxfId="144"/>
    </tableStyle>
  </tableStyles>
  <colors>
    <mruColors>
      <color rgb="FF8DC63F"/>
      <color rgb="FFB41E83"/>
      <color rgb="FFC0C0C0"/>
      <color rgb="FF002D56"/>
      <color rgb="FF000000"/>
      <color rgb="FF006E51"/>
      <color rgb="FFC9E4A6"/>
      <color rgb="FFFFF2CC"/>
      <color rgb="FFFF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26671</xdr:colOff>
      <xdr:row>0</xdr:row>
      <xdr:rowOff>227394</xdr:rowOff>
    </xdr:from>
    <xdr:ext cx="1874520" cy="567543"/>
    <xdr:pic>
      <xdr:nvPicPr>
        <xdr:cNvPr id="2" name="Picture 1">
          <a:extLst>
            <a:ext uri="{FF2B5EF4-FFF2-40B4-BE49-F238E27FC236}">
              <a16:creationId xmlns:a16="http://schemas.microsoft.com/office/drawing/2014/main" id="{391E5E12-4AF4-41CF-9353-705974077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971" y="227394"/>
          <a:ext cx="1874520" cy="567543"/>
        </a:xfrm>
        <a:prstGeom prst="rect">
          <a:avLst/>
        </a:prstGeom>
      </xdr:spPr>
    </xdr:pic>
    <xdr:clientData/>
  </xdr:oneCellAnchor>
  <xdr:twoCellAnchor editAs="oneCell">
    <xdr:from>
      <xdr:col>1</xdr:col>
      <xdr:colOff>0</xdr:colOff>
      <xdr:row>27</xdr:row>
      <xdr:rowOff>0</xdr:rowOff>
    </xdr:from>
    <xdr:to>
      <xdr:col>2</xdr:col>
      <xdr:colOff>104775</xdr:colOff>
      <xdr:row>27</xdr:row>
      <xdr:rowOff>257175</xdr:rowOff>
    </xdr:to>
    <xdr:pic>
      <xdr:nvPicPr>
        <xdr:cNvPr id="7" name="Picture 6">
          <a:extLst>
            <a:ext uri="{FF2B5EF4-FFF2-40B4-BE49-F238E27FC236}">
              <a16:creationId xmlns:a16="http://schemas.microsoft.com/office/drawing/2014/main" id="{537BFE1D-5173-4474-9694-E8C0FFA00E66}"/>
            </a:ext>
            <a:ext uri="{147F2762-F138-4A5C-976F-8EAC2B608ADB}">
              <a16:predDERef xmlns:a16="http://schemas.microsoft.com/office/drawing/2014/main" pred="{391E5E12-4AF4-41CF-9353-7059740770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00" y="15792450"/>
          <a:ext cx="1047750" cy="257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144780</xdr:colOff>
      <xdr:row>0</xdr:row>
      <xdr:rowOff>83820</xdr:rowOff>
    </xdr:from>
    <xdr:to>
      <xdr:col>1</xdr:col>
      <xdr:colOff>1557751</xdr:colOff>
      <xdr:row>0</xdr:row>
      <xdr:rowOff>567690</xdr:rowOff>
    </xdr:to>
    <xdr:pic>
      <xdr:nvPicPr>
        <xdr:cNvPr id="3" name="Picture 2">
          <a:extLst>
            <a:ext uri="{FF2B5EF4-FFF2-40B4-BE49-F238E27FC236}">
              <a16:creationId xmlns:a16="http://schemas.microsoft.com/office/drawing/2014/main" id="{E6075330-BE49-46B1-A29F-0089EFA46F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0" y="83820"/>
          <a:ext cx="1565371" cy="480060"/>
        </a:xfrm>
        <a:prstGeom prst="rect">
          <a:avLst/>
        </a:prstGeom>
      </xdr:spPr>
    </xdr:pic>
    <xdr:clientData/>
  </xdr:twoCellAnchor>
  <xdr:twoCellAnchor editAs="oneCell">
    <xdr:from>
      <xdr:col>1</xdr:col>
      <xdr:colOff>22860</xdr:colOff>
      <xdr:row>43</xdr:row>
      <xdr:rowOff>45720</xdr:rowOff>
    </xdr:from>
    <xdr:to>
      <xdr:col>1</xdr:col>
      <xdr:colOff>1066800</xdr:colOff>
      <xdr:row>44</xdr:row>
      <xdr:rowOff>137160</xdr:rowOff>
    </xdr:to>
    <xdr:pic>
      <xdr:nvPicPr>
        <xdr:cNvPr id="4" name="Picture 3">
          <a:extLst>
            <a:ext uri="{FF2B5EF4-FFF2-40B4-BE49-F238E27FC236}">
              <a16:creationId xmlns:a16="http://schemas.microsoft.com/office/drawing/2014/main" id="{8CC35D45-51D1-4D0D-BE93-12D9B149FA2F}"/>
            </a:ext>
            <a:ext uri="{147F2762-F138-4A5C-976F-8EAC2B608ADB}">
              <a16:predDERef xmlns:a16="http://schemas.microsoft.com/office/drawing/2014/main" pred="{E6075330-BE49-46B1-A29F-0089EFA46F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9204960"/>
          <a:ext cx="1043940" cy="251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xdr:colOff>
      <xdr:row>0</xdr:row>
      <xdr:rowOff>232523</xdr:rowOff>
    </xdr:from>
    <xdr:to>
      <xdr:col>1</xdr:col>
      <xdr:colOff>1626870</xdr:colOff>
      <xdr:row>0</xdr:row>
      <xdr:rowOff>705403</xdr:rowOff>
    </xdr:to>
    <xdr:pic>
      <xdr:nvPicPr>
        <xdr:cNvPr id="2" name="Picture 1">
          <a:extLst>
            <a:ext uri="{FF2B5EF4-FFF2-40B4-BE49-F238E27FC236}">
              <a16:creationId xmlns:a16="http://schemas.microsoft.com/office/drawing/2014/main" id="{E708C688-6E51-44D5-B2EB-3A3849D32F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32523"/>
          <a:ext cx="1605915" cy="472880"/>
        </a:xfrm>
        <a:prstGeom prst="rect">
          <a:avLst/>
        </a:prstGeom>
      </xdr:spPr>
    </xdr:pic>
    <xdr:clientData/>
  </xdr:twoCellAnchor>
  <xdr:twoCellAnchor editAs="oneCell">
    <xdr:from>
      <xdr:col>1</xdr:col>
      <xdr:colOff>45720</xdr:colOff>
      <xdr:row>22</xdr:row>
      <xdr:rowOff>22860</xdr:rowOff>
    </xdr:from>
    <xdr:to>
      <xdr:col>1</xdr:col>
      <xdr:colOff>1097280</xdr:colOff>
      <xdr:row>23</xdr:row>
      <xdr:rowOff>121920</xdr:rowOff>
    </xdr:to>
    <xdr:pic>
      <xdr:nvPicPr>
        <xdr:cNvPr id="4" name="Picture 3">
          <a:extLst>
            <a:ext uri="{FF2B5EF4-FFF2-40B4-BE49-F238E27FC236}">
              <a16:creationId xmlns:a16="http://schemas.microsoft.com/office/drawing/2014/main" id="{D5F9EE6C-6D90-480D-8503-FAF9A7337FE6}"/>
            </a:ext>
            <a:ext uri="{147F2762-F138-4A5C-976F-8EAC2B608ADB}">
              <a16:predDERef xmlns:a16="http://schemas.microsoft.com/office/drawing/2014/main" pred="{E708C688-6E51-44D5-B2EB-3A3849D32F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7640" y="4511040"/>
          <a:ext cx="1051560" cy="2590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72390</xdr:colOff>
      <xdr:row>0</xdr:row>
      <xdr:rowOff>177165</xdr:rowOff>
    </xdr:from>
    <xdr:to>
      <xdr:col>3</xdr:col>
      <xdr:colOff>599536</xdr:colOff>
      <xdr:row>0</xdr:row>
      <xdr:rowOff>651510</xdr:rowOff>
    </xdr:to>
    <xdr:pic>
      <xdr:nvPicPr>
        <xdr:cNvPr id="3" name="Picture 2">
          <a:extLst>
            <a:ext uri="{FF2B5EF4-FFF2-40B4-BE49-F238E27FC236}">
              <a16:creationId xmlns:a16="http://schemas.microsoft.com/office/drawing/2014/main" id="{C769A26C-175F-4CCF-A5DD-727621E434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 y="177165"/>
          <a:ext cx="1592041" cy="474345"/>
        </a:xfrm>
        <a:prstGeom prst="rect">
          <a:avLst/>
        </a:prstGeom>
      </xdr:spPr>
    </xdr:pic>
    <xdr:clientData/>
  </xdr:twoCellAnchor>
  <xdr:twoCellAnchor editAs="oneCell">
    <xdr:from>
      <xdr:col>1</xdr:col>
      <xdr:colOff>41910</xdr:colOff>
      <xdr:row>60</xdr:row>
      <xdr:rowOff>1905</xdr:rowOff>
    </xdr:from>
    <xdr:to>
      <xdr:col>3</xdr:col>
      <xdr:colOff>26670</xdr:colOff>
      <xdr:row>61</xdr:row>
      <xdr:rowOff>95250</xdr:rowOff>
    </xdr:to>
    <xdr:pic>
      <xdr:nvPicPr>
        <xdr:cNvPr id="4" name="Picture 3">
          <a:extLst>
            <a:ext uri="{FF2B5EF4-FFF2-40B4-BE49-F238E27FC236}">
              <a16:creationId xmlns:a16="http://schemas.microsoft.com/office/drawing/2014/main" id="{673137B7-2856-431B-8181-FC289A405DD3}"/>
            </a:ext>
            <a:ext uri="{147F2762-F138-4A5C-976F-8EAC2B608ADB}">
              <a16:predDERef xmlns:a16="http://schemas.microsoft.com/office/drawing/2014/main" pred="{C769A26C-175F-4CCF-A5DD-727621E434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6690" y="10967085"/>
          <a:ext cx="1051560" cy="2533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41910</xdr:colOff>
      <xdr:row>60</xdr:row>
      <xdr:rowOff>114300</xdr:rowOff>
    </xdr:from>
    <xdr:to>
      <xdr:col>3</xdr:col>
      <xdr:colOff>64770</xdr:colOff>
      <xdr:row>62</xdr:row>
      <xdr:rowOff>49530</xdr:rowOff>
    </xdr:to>
    <xdr:pic>
      <xdr:nvPicPr>
        <xdr:cNvPr id="2" name="Picture 1">
          <a:extLst>
            <a:ext uri="{FF2B5EF4-FFF2-40B4-BE49-F238E27FC236}">
              <a16:creationId xmlns:a16="http://schemas.microsoft.com/office/drawing/2014/main" id="{5CF43883-2745-4217-9F27-2B5AD03515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690" y="11109960"/>
          <a:ext cx="1051560" cy="255270"/>
        </a:xfrm>
        <a:prstGeom prst="rect">
          <a:avLst/>
        </a:prstGeom>
      </xdr:spPr>
    </xdr:pic>
    <xdr:clientData/>
  </xdr:twoCellAnchor>
  <xdr:twoCellAnchor editAs="oneCell">
    <xdr:from>
      <xdr:col>1</xdr:col>
      <xdr:colOff>13335</xdr:colOff>
      <xdr:row>0</xdr:row>
      <xdr:rowOff>118110</xdr:rowOff>
    </xdr:from>
    <xdr:to>
      <xdr:col>3</xdr:col>
      <xdr:colOff>574771</xdr:colOff>
      <xdr:row>0</xdr:row>
      <xdr:rowOff>605790</xdr:rowOff>
    </xdr:to>
    <xdr:pic>
      <xdr:nvPicPr>
        <xdr:cNvPr id="3" name="Picture 2">
          <a:extLst>
            <a:ext uri="{FF2B5EF4-FFF2-40B4-BE49-F238E27FC236}">
              <a16:creationId xmlns:a16="http://schemas.microsoft.com/office/drawing/2014/main" id="{FFD79419-EF66-4386-9B03-4DD927CC7E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115" y="118110"/>
          <a:ext cx="1588231"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40005</xdr:colOff>
      <xdr:row>0</xdr:row>
      <xdr:rowOff>114366</xdr:rowOff>
    </xdr:from>
    <xdr:to>
      <xdr:col>1</xdr:col>
      <xdr:colOff>1822773</xdr:colOff>
      <xdr:row>0</xdr:row>
      <xdr:rowOff>651510</xdr:rowOff>
    </xdr:to>
    <xdr:pic>
      <xdr:nvPicPr>
        <xdr:cNvPr id="2" name="Picture 1">
          <a:extLst>
            <a:ext uri="{FF2B5EF4-FFF2-40B4-BE49-F238E27FC236}">
              <a16:creationId xmlns:a16="http://schemas.microsoft.com/office/drawing/2014/main" id="{FA98B2D4-FFD4-4CF9-ABBB-4DA99BBD8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305" y="114366"/>
          <a:ext cx="1773243" cy="540954"/>
        </a:xfrm>
        <a:prstGeom prst="rect">
          <a:avLst/>
        </a:prstGeom>
      </xdr:spPr>
    </xdr:pic>
    <xdr:clientData/>
  </xdr:twoCellAnchor>
  <xdr:twoCellAnchor editAs="oneCell">
    <xdr:from>
      <xdr:col>1</xdr:col>
      <xdr:colOff>60960</xdr:colOff>
      <xdr:row>31</xdr:row>
      <xdr:rowOff>7620</xdr:rowOff>
    </xdr:from>
    <xdr:to>
      <xdr:col>1</xdr:col>
      <xdr:colOff>1005840</xdr:colOff>
      <xdr:row>32</xdr:row>
      <xdr:rowOff>91440</xdr:rowOff>
    </xdr:to>
    <xdr:pic>
      <xdr:nvPicPr>
        <xdr:cNvPr id="3" name="Picture 2">
          <a:extLst>
            <a:ext uri="{FF2B5EF4-FFF2-40B4-BE49-F238E27FC236}">
              <a16:creationId xmlns:a16="http://schemas.microsoft.com/office/drawing/2014/main" id="{BDA23FD2-2374-4322-BC63-E7E4C0D24EBD}"/>
            </a:ext>
            <a:ext uri="{147F2762-F138-4A5C-976F-8EAC2B608ADB}">
              <a16:predDERef xmlns:a16="http://schemas.microsoft.com/office/drawing/2014/main" pred="{FA98B2D4-FFD4-4CF9-ABBB-4DA99BBD8E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6774180"/>
          <a:ext cx="944880" cy="2438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714375</xdr:colOff>
      <xdr:row>0</xdr:row>
      <xdr:rowOff>85725</xdr:rowOff>
    </xdr:from>
    <xdr:to>
      <xdr:col>7</xdr:col>
      <xdr:colOff>70089</xdr:colOff>
      <xdr:row>5</xdr:row>
      <xdr:rowOff>57703</xdr:rowOff>
    </xdr:to>
    <xdr:pic>
      <xdr:nvPicPr>
        <xdr:cNvPr id="2" name="Picture 1">
          <a:extLst>
            <a:ext uri="{FF2B5EF4-FFF2-40B4-BE49-F238E27FC236}">
              <a16:creationId xmlns:a16="http://schemas.microsoft.com/office/drawing/2014/main" id="{0D1A2153-FBDB-4DDA-9BD7-739133D33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67225" y="85725"/>
          <a:ext cx="2927589" cy="886378"/>
        </a:xfrm>
        <a:prstGeom prst="rect">
          <a:avLst/>
        </a:prstGeom>
      </xdr:spPr>
    </xdr:pic>
    <xdr:clientData/>
  </xdr:twoCellAnchor>
  <xdr:twoCellAnchor editAs="oneCell">
    <xdr:from>
      <xdr:col>5</xdr:col>
      <xdr:colOff>714375</xdr:colOff>
      <xdr:row>45</xdr:row>
      <xdr:rowOff>0</xdr:rowOff>
    </xdr:from>
    <xdr:to>
      <xdr:col>6</xdr:col>
      <xdr:colOff>1188176</xdr:colOff>
      <xdr:row>47</xdr:row>
      <xdr:rowOff>100545</xdr:rowOff>
    </xdr:to>
    <xdr:pic>
      <xdr:nvPicPr>
        <xdr:cNvPr id="3" name="Picture 2">
          <a:extLst>
            <a:ext uri="{FF2B5EF4-FFF2-40B4-BE49-F238E27FC236}">
              <a16:creationId xmlns:a16="http://schemas.microsoft.com/office/drawing/2014/main" id="{328BCC47-5909-4D58-A147-4926CF0F31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3175" y="7181850"/>
          <a:ext cx="1664426" cy="4243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14816</xdr:colOff>
      <xdr:row>31</xdr:row>
      <xdr:rowOff>57150</xdr:rowOff>
    </xdr:from>
    <xdr:to>
      <xdr:col>19</xdr:col>
      <xdr:colOff>867553</xdr:colOff>
      <xdr:row>40</xdr:row>
      <xdr:rowOff>95455</xdr:rowOff>
    </xdr:to>
    <xdr:pic>
      <xdr:nvPicPr>
        <xdr:cNvPr id="4" name="Picture 3">
          <a:extLst>
            <a:ext uri="{FF2B5EF4-FFF2-40B4-BE49-F238E27FC236}">
              <a16:creationId xmlns:a16="http://schemas.microsoft.com/office/drawing/2014/main" id="{94A7BF2C-2227-9219-5BE2-CCF2019E8F51}"/>
            </a:ext>
          </a:extLst>
        </xdr:cNvPr>
        <xdr:cNvPicPr>
          <a:picLocks noChangeAspect="1"/>
        </xdr:cNvPicPr>
      </xdr:nvPicPr>
      <xdr:blipFill>
        <a:blip xmlns:r="http://schemas.openxmlformats.org/officeDocument/2006/relationships" r:embed="rId1"/>
        <a:stretch>
          <a:fillRect/>
        </a:stretch>
      </xdr:blipFill>
      <xdr:spPr>
        <a:xfrm>
          <a:off x="23319316" y="6343650"/>
          <a:ext cx="5572903" cy="1467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pencer_kurtz_aptim_com/Documents/Desktop/ENO%20Program%20Files/HVAC-Chiller%20Tune-Ups/Energy_Smart_Non-Lighting_Workbook_v3.1%20-%20Unlocked.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sonal/spencer_kurtz_aptim_com/Documents/Desktop/ELL%20Program%20Files/Program%20Template%20Docs%20&amp;%20Calculators/2024%20Template%20Calculators/ELL_Non-Lighting%20Workbook_Unprotected_2024%20v4.3.xlsx?13C3DDEE" TargetMode="External"/><Relationship Id="rId1" Type="http://schemas.openxmlformats.org/officeDocument/2006/relationships/externalLinkPath" Target="file:///\\13C3DDEE\ELL_Non-Lighting%20Workbook_Unprotected_2024%20v4.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andrew_sheaffer_aptim_com/_vti_history/121856/Documents/Documents/Files/Calc%20rework/ENO%20Combined%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Application"/>
      <sheetName val="Signature"/>
      <sheetName val="HVAC"/>
      <sheetName val="Refrigeration"/>
      <sheetName val="Com Kitchen"/>
      <sheetName val="Window Film"/>
      <sheetName val="Efficient Windows"/>
      <sheetName val="Misc"/>
      <sheetName val="Custom"/>
      <sheetName val="Summary"/>
      <sheetName val="Completion"/>
      <sheetName val="References"/>
      <sheetName val="HVAC Calcs"/>
      <sheetName val="Caps"/>
      <sheetName val="QC"/>
      <sheetName val="Proj Data"/>
      <sheetName val="APTracks Export Data"/>
      <sheetName val="Change Log"/>
      <sheetName val="Energy_Smart_Non-Lighting_Work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lable application &amp; instruct"/>
      <sheetName val="Equipment qualifications"/>
      <sheetName val="Summary"/>
      <sheetName val="HVAC"/>
      <sheetName val="Refrigeration"/>
      <sheetName val="Food service"/>
      <sheetName val="Misc."/>
      <sheetName val="Custom"/>
      <sheetName val="Completion notice"/>
      <sheetName val="QC"/>
      <sheetName val="Printable application"/>
      <sheetName val="Lookups"/>
      <sheetName val="Savings Lookups"/>
      <sheetName val="APTracks Export Data"/>
      <sheetName val="Change Log"/>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sheetData sheetId="12"/>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V"/>
      <sheetName val="Summary"/>
      <sheetName val="Review"/>
      <sheetName val="EnSmPC"/>
      <sheetName val="Tables"/>
      <sheetName val="Library"/>
      <sheetName val="Analysis"/>
      <sheetName val="WE"/>
      <sheetName val="OE"/>
      <sheetName val="EQ"/>
      <sheetName val="TAC"/>
      <sheetName val="PA"/>
      <sheetName val="AS"/>
      <sheetName val="DummyCopy"/>
      <sheetName val="PML"/>
      <sheetName val="PL"/>
      <sheetName val="PLC"/>
      <sheetName val="PH"/>
      <sheetName val="PR"/>
      <sheetName val="PCK"/>
      <sheetName val="PM"/>
      <sheetName val="CLI"/>
      <sheetName val="FT"/>
      <sheetName val="CH"/>
      <sheetName val="CLPost"/>
      <sheetName val="CLPre"/>
      <sheetName val="CN"/>
      <sheetName val="CK"/>
      <sheetName val="SR"/>
      <sheetName val="PC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istribution View" id="{AB6DCCBF-3DF4-4B0A-BF49-28D813B48435}"/>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istribution View" id="{B219B1AF-9DD7-4B07-98FA-2CC58DBD0253}"/>
</namedSheetViews>
</file>

<file path=xl/persons/person.xml><?xml version="1.0" encoding="utf-8"?>
<personList xmlns="http://schemas.microsoft.com/office/spreadsheetml/2018/threadedcomments" xmlns:x="http://schemas.openxmlformats.org/spreadsheetml/2006/main">
  <person displayName="Kurtz, Spencer" id="{A3E89FC8-9D46-4C6C-B92E-ADD4BB5C8EEA}" userId="S::spencer.kurtz@aptim.com::fe2f2be9-1164-485f-94b6-80f4257875e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6DCFFF-2D47-473A-9BC9-BAB0551BF868}" name="Table_PrescriptLights_Input" displayName="Table_PrescriptLights_Input" ref="B4:X54" totalsRowShown="0" headerRowDxfId="142" dataDxfId="140" headerRowBorderDxfId="141" tableBorderDxfId="139" totalsRowBorderDxfId="138" headerRowCellStyle="Table Top 1" dataCellStyle="Locked Cell">
  <tableColumns count="23">
    <tableColumn id="1" xr3:uid="{8F9C875C-9563-4ABB-B625-09C157533782}" name="Line ref. no." dataDxfId="137" dataCellStyle="Locked Cell"/>
    <tableColumn id="2" xr3:uid="{46C6C011-1316-4CC5-A76D-C108F8C6CA48}" name="Measure number" dataDxfId="136" dataCellStyle="Locked Cell">
      <calculatedColumnFormula>IFERROR(INDEX(Table_Prescript_Meas[Measure Number], MATCH(E5, Table_Prescript_Meas[Measure Description], 0)), "")</calculatedColumnFormula>
    </tableColumn>
    <tableColumn id="3" xr3:uid="{B3CC9771-7C6F-449B-85D9-1ECC10D7772F}" name="Location/measure notes" dataDxfId="135" dataCellStyle="Locked Cell"/>
    <tableColumn id="4" xr3:uid="{81D64D76-AD10-4279-8BB9-C983A5F9AFD2}" name="DX tune-up measure" dataDxfId="134" dataCellStyle="Input General"/>
    <tableColumn id="5" xr3:uid="{4C67F5B5-106B-4EE5-80F4-0928E678A73D}" name="Unit of measure" dataDxfId="133" dataCellStyle="Locked Cell">
      <calculatedColumnFormula>IFERROR(INDEX(Table_Prescript_Meas[Units], MATCH(Table_PrescriptLights_Input[[#This Row],[Measure number]], Table_Prescript_Meas[Measure Number], 0)), "")</calculatedColumnFormula>
    </tableColumn>
    <tableColumn id="9" xr3:uid="{1C657E22-9C15-4CE8-82E7-5398C82E25D2}" name="Unit capacity (tons)" dataDxfId="132" dataCellStyle="Input General"/>
    <tableColumn id="27" xr3:uid="{66653FDD-3CE9-400C-9BB2-87B2DBC3D409}" name="Unit make &amp; model" dataDxfId="131" dataCellStyle="Input General"/>
    <tableColumn id="6" xr3:uid="{E27416DA-4FE7-49DB-BBF2-733D283EC664}" name="Refrigerant charge adjustment?" dataDxfId="130" dataCellStyle="Input General"/>
    <tableColumn id="12" xr3:uid="{473EBD1B-E884-4D80-8CED-256D9D57CE33}" name="EER" dataDxfId="129" dataCellStyle="Input General">
      <calculatedColumnFormula>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calculatedColumnFormula>
    </tableColumn>
    <tableColumn id="13" xr3:uid="{20AE13A7-6071-4B50-9696-84AFC96DED90}" name="HSPF" dataDxfId="128" dataCellStyle="Input General">
      <calculatedColumnFormula>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calculatedColumnFormula>
    </tableColumn>
    <tableColumn id="10" xr3:uid="{01EE3323-40BF-43E8-A6BF-B105BA2F38E2}" name="Pre-voltage measurement" dataDxfId="127" dataCellStyle="Input General"/>
    <tableColumn id="11" xr3:uid="{0C0D8B49-BF55-4944-844A-0A9DE61206D3}" name="Post-voltage measurement" dataDxfId="126" dataCellStyle="Input General"/>
    <tableColumn id="8" xr3:uid="{1F1CA8C4-3BDE-4AC5-BAA5-4B9E0FEE46DB}" name="Pre-amperage measurement" dataDxfId="125" dataCellStyle="Input General"/>
    <tableColumn id="7" xr3:uid="{7FB1A9D2-0768-42EE-8DA6-A7C20C689834}" name="Post-amperage measurement" dataDxfId="124" dataCellStyle="Input General"/>
    <tableColumn id="15" xr3:uid="{73391BD7-BA9B-4655-8D59-8036683B6997}" name="Total equipment + labor cost" dataDxfId="123" dataCellStyle="Input General"/>
    <tableColumn id="16" xr3:uid="{75D6130F-A3AD-4B6C-8D4A-A9BF89230E2D}" name="Per-unit incentive" dataDxfId="122" dataCellStyle="Locked Cell">
      <calculatedColumnFormula>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calculatedColumnFormula>
    </tableColumn>
    <tableColumn id="17" xr3:uid="{10CA3C0B-F6F6-4CD9-BAFE-66EF99651F2B}" name="Estimated incentive" dataDxfId="121" dataCellStyle="Locked Cell">
      <calculatedColumnFormula>IF(Table_PrescriptLights_Input[[#This Row],[Unit capacity (tons)]]="","",IFERROR(Table_PrescriptLights_Input[[#This Row],[Per-unit incentive]],""))</calculatedColumnFormula>
    </tableColumn>
    <tableColumn id="18" xr3:uid="{242BB73F-FF6A-4795-8760-4BF5E54052DF}" name="Energy savings (kWh)" dataDxfId="120" dataCellStyle="Locked Cell">
      <calculatedColumnFormula>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calculatedColumnFormula>
    </tableColumn>
    <tableColumn id="20" xr3:uid="{1D47EF14-5FDD-46D6-BD70-A783441979ED}" name="Demand reduction (kW)" dataDxfId="119" dataCellStyle="Locked Cell">
      <calculatedColumnFormula>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calculatedColumnFormula>
    </tableColumn>
    <tableColumn id="19" xr3:uid="{9353DCEE-B0B9-4D5E-99AD-C689A8C09023}" name="Cost savings" dataDxfId="118" dataCellStyle="Locked Cell">
      <calculatedColumnFormula>IFERROR(Table_PrescriptLights_Input[[#This Row],[Energy savings (kWh)]]*Input_AvgkWhRate, "")</calculatedColumnFormula>
    </tableColumn>
    <tableColumn id="25" xr3:uid="{F3721235-2AC1-4A24-BEAB-C067BFB49151}" name="Gross measure cost" dataDxfId="117" dataCellStyle="Locked Cell">
      <calculatedColumnFormula>IF(Table_PrescriptLights_Input[[#This Row],[Unit capacity (tons)]]="", "",Table_PrescriptLights_Input[[#This Row],[Total equipment + labor cost]])</calculatedColumnFormula>
    </tableColumn>
    <tableColumn id="21" xr3:uid="{61B34AB5-3923-452A-A360-BEE9FD62F90C}" name="Net measure cost" dataDxfId="116" dataCellStyle="Locked Cell">
      <calculatedColumnFormula>IFERROR(Table_PrescriptLights_Input[[#This Row],[Gross measure cost]]-Table_PrescriptLights_Input[[#This Row],[Estimated incentive]], "")</calculatedColumnFormula>
    </tableColumn>
    <tableColumn id="22" xr3:uid="{72C4AABA-BB74-40F5-B832-4F50AEC6866D}" name="Simple payback (years)" dataDxfId="115" dataCellStyle="Locked Cell">
      <calculatedColumnFormula>IFERROR($W5/$U5,"")</calculatedColumnFormula>
    </tableColumn>
  </tableColumns>
  <tableStyleInfo name="Lookup Tabl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ECA0D8E-39DB-439E-8DE5-5370072D2993}" name="Table18" displayName="Table18" ref="A1:L212" totalsRowShown="0" headerRowDxfId="16" dataDxfId="14" headerRowBorderDxfId="15" tableBorderDxfId="13" totalsRowBorderDxfId="12">
  <autoFilter ref="A1:L212" xr:uid="{AC1521BA-AD84-493D-AF13-55C57F1C1791}"/>
  <tableColumns count="12">
    <tableColumn id="1" xr3:uid="{3DB06459-5EF0-4845-87C6-71093DF4D059}" name="Tab" dataDxfId="11"/>
    <tableColumn id="2" xr3:uid="{9EDF22A4-E4B2-48B6-AD3D-0BE485A40D26}" name="Project Number" dataDxfId="10">
      <calculatedColumnFormula>Input_ProjectNumber</calculatedColumnFormula>
    </tableColumn>
    <tableColumn id="3" xr3:uid="{F859D182-8016-4172-A4B6-3B0EEE37FAE5}" name="Line Ref No." dataDxfId="9"/>
    <tableColumn id="4" xr3:uid="{C54F4813-8C41-4CD8-A0D4-73CBF600E09F}" name="Measure Number" dataDxfId="8"/>
    <tableColumn id="5" xr3:uid="{19E1D120-0A8A-4B1A-94ED-FA426FDD8475}" name="Unit of Measure" dataDxfId="7"/>
    <tableColumn id="6" xr3:uid="{1F77E8C1-7320-44EA-8A57-57259BF07F35}" name="Units" dataDxfId="6"/>
    <tableColumn id="7" xr3:uid="{1F937121-6018-4D01-A8F7-949B9D82B1AC}" name="kWh Savings" dataDxfId="5"/>
    <tableColumn id="8" xr3:uid="{36567BEC-6C41-4BEF-841E-E148D3329C61}" name="kW Savings" dataDxfId="4"/>
    <tableColumn id="9" xr3:uid="{A460E20F-8F1A-440D-B049-49AE2A807C1B}" name="Incentive" dataDxfId="3">
      <calculatedColumnFormula>IFERROR(M2*MIN(Table_Measure_Caps[[#Totals],[Estimated Raw Incentive Total]], Table_Measure_Caps[[#Totals],[Gross Measure Cost Total]], Value_Project_CAP)/Table_Measure_Caps[[#Totals],[Estimated Raw Incentive Total]], "")</calculatedColumnFormula>
    </tableColumn>
    <tableColumn id="11" xr3:uid="{2AEAB220-3903-4800-985E-9696295079E6}" name="Total Equipment + Labor Cost" dataDxfId="2"/>
    <tableColumn id="15" xr3:uid="{31A47813-DF33-4ED0-B687-26FDA4A4DFE2}" name="Calculator Version" dataDxfId="1"/>
    <tableColumn id="16" xr3:uid="{00B36A9C-1D39-4559-88E5-6B6F68BA784A}" name="Measure Description" dataDxfId="0"/>
  </tableColumns>
  <tableStyleInfo name="Lookup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AB3297D-6954-4316-B6C5-DD7E16D75031}" name="Table_PrescriptLights_Input5" displayName="Table_PrescriptLights_Input5" ref="B5:T55" totalsRowShown="0" headerRowDxfId="113" dataDxfId="111" headerRowBorderDxfId="112" tableBorderDxfId="110" totalsRowBorderDxfId="109" headerRowCellStyle="Table Top 1" dataCellStyle="Locked Cell">
  <tableColumns count="19">
    <tableColumn id="1" xr3:uid="{6AF85111-7E8E-466F-9D70-B57386523012}" name="Line ref. no." dataDxfId="108" dataCellStyle="Locked Cell"/>
    <tableColumn id="2" xr3:uid="{7252A63D-D7D8-4C34-B3AA-7E2450D201A8}" name="Measure number" dataDxfId="107" dataCellStyle="Locked Cell">
      <calculatedColumnFormula>IFERROR(INDEX(Table_Prescript_Meas[Measure Number], MATCH(E6, Table_Prescript_Meas[Measure Description], 0)), "")</calculatedColumnFormula>
    </tableColumn>
    <tableColumn id="3" xr3:uid="{AF670799-FDFD-4B0C-BD45-47E8E41A1AF5}" name="Location/measure notes" dataDxfId="106" dataCellStyle="Locked Cell"/>
    <tableColumn id="4" xr3:uid="{233AF04A-A95D-48D5-803D-A7F19F79C91F}" name="Chiller tune-up measure" dataDxfId="105" dataCellStyle="Input General"/>
    <tableColumn id="5" xr3:uid="{7D6275B2-47CA-4DA5-A622-3B8BFC2A4DC5}" name="Unit of measure" dataDxfId="104" dataCellStyle="Locked Cell">
      <calculatedColumnFormula>IFERROR(INDEX(Table_Prescript_Meas[Units], MATCH(Table_PrescriptLights_Input5[[#This Row],[Measure number]], Table_Prescript_Meas[Measure Number], 0)), "")</calculatedColumnFormula>
    </tableColumn>
    <tableColumn id="9" xr3:uid="{A76B2E60-E258-42F0-AB4A-2433D1D62567}" name="Unit capacity (tons)" dataDxfId="103" dataCellStyle="Input General"/>
    <tableColumn id="10" xr3:uid="{B070EA37-CEDE-4C91-A068-3FFDEDA41B85}" name="Unit make and model" dataDxfId="102" dataCellStyle="Input General"/>
    <tableColumn id="6" xr3:uid="{434E24F1-F4DA-4B70-98BF-F52E061E0F48}" name="Number of units" dataDxfId="101" dataCellStyle="Input General"/>
    <tableColumn id="8" xr3:uid="{20657895-A3BE-4F96-930C-38E8F79DDA8E}" name="Full load kW/ton" dataDxfId="100" dataCellStyle="Input General"/>
    <tableColumn id="7" xr3:uid="{0660A7B6-7A03-4D91-AB41-CFF820817CDE}" name="Part load (IPLV) kW/ton" dataDxfId="99" dataCellStyle="Input General"/>
    <tableColumn id="15" xr3:uid="{F6FFFBBF-697F-46F7-8CE0-66C817C0A633}" name="Total equipment + labor cost" dataDxfId="98" dataCellStyle="Input General"/>
    <tableColumn id="16" xr3:uid="{2970E3C1-36D5-486D-843A-FF58F2703FB2}" name="Per-unit incentive" dataDxfId="97" dataCellStyle="Locked Cell">
      <calculatedColumnFormula>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calculatedColumnFormula>
    </tableColumn>
    <tableColumn id="17" xr3:uid="{730E5035-FF08-4BC3-9B2C-C797E7926432}" name="Estimated incentive" dataDxfId="96" dataCellStyle="Locked Cell">
      <calculatedColumnFormula>IF(Table_PrescriptLights_Input5[[#This Row],[Unit capacity (tons)]]="","",IFERROR(Table_PrescriptLights_Input5[[#This Row],[Per-unit incentive]]*Table_PrescriptLights_Input5[[#This Row],[Unit capacity (tons)]]*Table_PrescriptLights_Input5[[#This Row],[Number of units]],""))</calculatedColumnFormula>
    </tableColumn>
    <tableColumn id="18" xr3:uid="{9FC94D01-C342-4F01-9FA5-0DF1BE47DE19}" name="Energy savings (kWh)" dataDxfId="95" dataCellStyle="Locked Cell">
      <calculatedColumnFormula>IF(Table_PrescriptLights_Input5[[#This Row],[Unit capacity (tons)]]="","",Table_PrescriptLights_Input5[[#This Row],[Unit capacity (tons)]]*Table_PrescriptLights_Input5[[#This Row],[Number of units]]*Table_PrescriptLights_Input5[[#This Row],[Part load (IPLV) kW/ton]]*VLOOKUP($E$4,References!$L$103:$O$112,2,FALSE)*0.05)</calculatedColumnFormula>
    </tableColumn>
    <tableColumn id="20" xr3:uid="{D5FA8FA8-C1E2-417E-9989-0A76A9A1F489}" name="Demand reduction (kW)" dataDxfId="94" dataCellStyle="Locked Cell">
      <calculatedColumnFormula>IF(Table_PrescriptLights_Input5[[#This Row],[Unit capacity (tons)]]="","",Table_PrescriptLights_Input5[[#This Row],[Unit capacity (tons)]]*Table_PrescriptLights_Input5[[#This Row],[Number of units]]*Table_PrescriptLights_Input5[[#This Row],[Full load kW/ton]]*VLOOKUP($E$4,References!$L$103:$O$112,4,FALSE)*0.05)</calculatedColumnFormula>
    </tableColumn>
    <tableColumn id="19" xr3:uid="{CC09A20D-B17F-46A1-9CFF-B3B569A9C65D}" name="Cost savings" dataDxfId="93" dataCellStyle="Locked Cell">
      <calculatedColumnFormula>IFERROR(Table_PrescriptLights_Input5[[#This Row],[Energy savings (kWh)]]*Input_AvgkWhRate, "")</calculatedColumnFormula>
    </tableColumn>
    <tableColumn id="25" xr3:uid="{53EA0721-203C-4318-9CFB-7308F0CC8F6C}" name="Gross measure cost" dataDxfId="92" dataCellStyle="Locked Cell">
      <calculatedColumnFormula>IF(Table_PrescriptLights_Input5[[#This Row],[Unit capacity (tons)]]="", "",Table_PrescriptLights_Input5[[#This Row],[Total equipment + labor cost]])</calculatedColumnFormula>
    </tableColumn>
    <tableColumn id="21" xr3:uid="{311DDD8C-FC73-4F5E-84DA-99C115AEBEED}" name="Net measure cost" dataDxfId="91" dataCellStyle="Locked Cell">
      <calculatedColumnFormula>IFERROR(Table_PrescriptLights_Input5[[#This Row],[Gross measure cost]]-Table_PrescriptLights_Input5[[#This Row],[Estimated incentive]], "")</calculatedColumnFormula>
    </tableColumn>
    <tableColumn id="22" xr3:uid="{6A93F0C1-0796-49EA-87FC-588A1E50CDFB}" name="Simple payback (years)" dataDxfId="90" dataCellStyle="Locked Cell">
      <calculatedColumnFormula>IFERROR($S6/$Q6,"")</calculatedColumnFormula>
    </tableColumn>
  </tableColumns>
  <tableStyleInfo name="Lookup Tabl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3E3CD38-913D-4F45-A343-C44868F40E80}" name="Table16" displayName="Table16" ref="B16:D19" totalsRowCount="1" headerRowDxfId="83" dataDxfId="82" totalsRowDxfId="80" tableBorderDxfId="81" totalsRowBorderDxfId="79" headerRowCellStyle="Table Top 2">
  <autoFilter ref="B16:D18" xr:uid="{B3E3CD38-913D-4F45-A343-C44868F40E80}">
    <filterColumn colId="0" hiddenButton="1"/>
    <filterColumn colId="1" hiddenButton="1"/>
    <filterColumn colId="2" hiddenButton="1"/>
  </autoFilter>
  <tableColumns count="3">
    <tableColumn id="1" xr3:uid="{83B90E73-B8F8-4BE8-A365-A62775107D60}" name="Incentive type" totalsRowLabel="Total" dataDxfId="78" totalsRowDxfId="77" dataCellStyle="Locked Cell Bold">
      <calculatedColumnFormula>Caps!B3</calculatedColumnFormula>
    </tableColumn>
    <tableColumn id="2" xr3:uid="{BB580220-364F-4342-A480-3A7F0A85971E}" name="Energy savings (kWh)" totalsRowFunction="sum" dataDxfId="76" totalsRowDxfId="75" dataCellStyle="Locked Cell White"/>
    <tableColumn id="3" xr3:uid="{08D5337C-CE22-4B9F-9C93-9E240610E3CF}" name="kW reduction" totalsRowFunction="sum" dataDxfId="74" totalsRowDxfId="73" dataCellStyle="Locked Cell White">
      <calculatedColumnFormula>Caps!E3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7C5417B-4AA8-4901-BDA8-B9F8286E5C8F}" name="Table15" displayName="Table15" ref="B22:G26" totalsRowCount="1" headerRowDxfId="72" dataDxfId="71" totalsRowDxfId="69" tableBorderDxfId="70" totalsRowBorderDxfId="68" headerRowCellStyle="Table Top 2" dataCellStyle="Locked Cell White">
  <tableColumns count="6">
    <tableColumn id="1" xr3:uid="{D548A418-04DA-4B50-A62E-C275304AA5D5}" name="Incentive type" totalsRowLabel="Total" dataDxfId="67" totalsRowDxfId="66" dataCellStyle="Locked Cell Bold"/>
    <tableColumn id="2" xr3:uid="{C84C9810-0655-48B1-BBAC-7F4CE667FA2F}" name="Cost savings" totalsRowFunction="sum" dataDxfId="65" totalsRowDxfId="64" dataCellStyle="Currency">
      <calculatedColumnFormula>INDEX(Table_Measure_Caps[Cost Savings Total], MATCH(Table15[[#This Row],[Incentive type]],Table_Measure_Caps[Measure Type], 0))</calculatedColumnFormula>
    </tableColumn>
    <tableColumn id="3" xr3:uid="{624D4AEF-BAE5-47BC-9E6E-DDA3C0A9F2D9}" name="Gross project cost" totalsRowFunction="sum" dataDxfId="63" totalsRowDxfId="62" dataCellStyle="Currency">
      <calculatedColumnFormula>INDEX(Table_Measure_Caps[Gross Measure Cost Total], MATCH(Table15[[#This Row],[Incentive type]],Table_Measure_Caps[Measure Type], 0))</calculatedColumnFormula>
    </tableColumn>
    <tableColumn id="4" xr3:uid="{BAC78EBD-B290-44C2-80FD-EDD976754B88}" name="Estimated Incentive" totalsRowFunction="custom" dataDxfId="61" totalsRowDxfId="60" dataCellStyle="Currency">
      <calculatedColumnFormula>INDEX(Table_Measure_Caps[Capped Incentive], MATCH(Table15[[#This Row],[Incentive type]], Table_Measure_Caps[Measure Type], 0))</calculatedColumnFormula>
      <totalsRowFormula>MIN(Value_Project_CAP,SUBTOTAL(109,Table15[Estimated Incentive]))</totalsRowFormula>
    </tableColumn>
    <tableColumn id="7" xr3:uid="{313B6AB0-18D4-414B-8255-A4B0D4E313F6}" name="Net project cost" totalsRowFunction="sum" dataDxfId="59" totalsRowDxfId="58" dataCellStyle="Currency"/>
    <tableColumn id="8" xr3:uid="{0947E50A-946D-4F5D-8278-1B82EC35172D}" name="Simple payback (years)" totalsRowFunction="custom" dataDxfId="57" totalsRowDxfId="56" dataCellStyle="Locked Cell White">
      <calculatedColumnFormula>IFERROR(Table15[[#This Row],[Net project cost]]/Table15[[#This Row],[Cost savings]],"")</calculatedColumnFormula>
      <totalsRowFormula>Table15[[#Totals],[Net project cost]]/Table15[[#Totals],[Cost savings]]</totalsRow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796AFA-733C-434F-BDDC-2899ECA53AB7}" name="Table_Prescript_Meas" displayName="Table_Prescript_Meas" ref="D3:N98" totalsRowShown="0">
  <autoFilter ref="D3:N98" xr:uid="{1E796AFA-733C-434F-BDDC-2899ECA53AB7}"/>
  <sortState xmlns:xlrd2="http://schemas.microsoft.com/office/spreadsheetml/2017/richdata2" ref="D4:L67">
    <sortCondition ref="D3:D67"/>
  </sortState>
  <tableColumns count="11">
    <tableColumn id="13" xr3:uid="{012E9E51-5028-4922-9691-1FBAD313D544}" name="Sort Order"/>
    <tableColumn id="7" xr3:uid="{AB63D968-5021-493B-BE1F-3A64316ACC31}" name="Type" dataDxfId="54"/>
    <tableColumn id="5" xr3:uid="{F18435E4-A28A-404F-9592-218A633520A0}" name="Measure Number" dataDxfId="53"/>
    <tableColumn id="1" xr3:uid="{A3E2A2E2-AD9F-4EDF-8AD1-B97F6A2E727B}" name="Measure Description"/>
    <tableColumn id="2" xr3:uid="{62C320E2-6C47-4072-836B-0FA25E2EA64A}" name="Incentive - SC" dataDxfId="52"/>
    <tableColumn id="3" xr3:uid="{9829818C-AAD4-47CD-862A-5F923ABB1CAC}" name="Incentive - LC" dataDxfId="51"/>
    <tableColumn id="9" xr3:uid="{F1CBB0A4-D17C-4094-BF25-D4F91CAACFF1}" name="Average Tons" dataDxfId="50"/>
    <tableColumn id="4" xr3:uid="{B3C7B82F-2C2A-4B14-952B-B59A9EAADE36}" name="Units"/>
    <tableColumn id="10" xr3:uid="{C8C6E27F-E414-402B-93BF-418D93F7AE06}" name="Deemed kWh Savings" dataDxfId="49">
      <calculatedColumnFormula>VLOOKUP('Input A-C &amp; Heat Pump Measures'!$E$3,References!$R$5:$T$15,2,FALSE)</calculatedColumnFormula>
    </tableColumn>
    <tableColumn id="8" xr3:uid="{3641EB83-A3B7-48F3-85CD-C934D13930A5}" name="Deemed kW Savings" dataDxfId="48">
      <calculatedColumnFormula>VLOOKUP('Input A-C &amp; Heat Pump Measures'!$E$3,References!$R$5:$T$15,3,FALSE)</calculatedColumnFormula>
    </tableColumn>
    <tableColumn id="6" xr3:uid="{38E6EACF-9D92-4464-93CB-A4109D911BE6}" name="Hybrid Lookup"/>
  </tableColumns>
  <tableStyleInfo name="Lookup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3F43150-BB1D-49F2-B060-6A5BF0371595}" name="Table_Programs_Rates" displayName="Table_Programs_Rates" ref="X3:Y5" totalsRowShown="0">
  <autoFilter ref="X3:Y5" xr:uid="{13F43150-BB1D-49F2-B060-6A5BF0371595}"/>
  <tableColumns count="2">
    <tableColumn id="1" xr3:uid="{3BF8EA89-AC12-46F5-99CC-41C83E731F21}" name="List_Programs" dataDxfId="47"/>
    <tableColumn id="2" xr3:uid="{488C031A-DF45-4211-A4B9-CE139C7ED760}" name="Custom Incentive Rate" dataDxfId="46"/>
  </tableColumns>
  <tableStyleInfo name="Lookup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563531E-FBF8-4AB3-A38F-7060C6F74F42}" name="Table_Measure_Caps" displayName="Table_Measure_Caps" ref="A2:J5" totalsRowCount="1" headerRowDxfId="45">
  <autoFilter ref="A2:J4" xr:uid="{A563531E-FBF8-4AB3-A38F-7060C6F74F42}"/>
  <tableColumns count="10">
    <tableColumn id="1" xr3:uid="{2FC0691E-AA41-4B72-B587-A8266560EB57}" name="Worksheet" totalsRowLabel="Total"/>
    <tableColumn id="10" xr3:uid="{A9369F91-9D6F-4877-91DA-479A193A41D3}" name="Measure Type" dataDxfId="44">
      <calculatedColumnFormula>'Review the Summary'!B23</calculatedColumnFormula>
    </tableColumn>
    <tableColumn id="2" xr3:uid="{D83E28AC-8A76-4C16-B98B-2F373B5D0392}" name="Estimated Raw Incentive Total" totalsRowFunction="custom" dataDxfId="43" totalsRowDxfId="42">
      <totalsRowFormula>MIN(Value_Project_CAP,SUBTOTAL(109,Table_Measure_Caps[Estimated Raw Incentive Total]))</totalsRowFormula>
    </tableColumn>
    <tableColumn id="3" xr3:uid="{A6A92779-0E26-4488-9339-91277CD00D3C}" name="Energy Savings Total (kWh)" totalsRowFunction="sum" dataDxfId="41" totalsRowDxfId="40"/>
    <tableColumn id="4" xr3:uid="{A75B0FC7-F4C9-4E23-905D-A7F086D7E388}" name="Demand Reduction Total (kW)" totalsRowFunction="sum" dataDxfId="39" totalsRowDxfId="38"/>
    <tableColumn id="5" xr3:uid="{F9FA9204-4436-47C3-AA70-EC693EF4524F}" name="Cost Savings Total" totalsRowFunction="sum" dataDxfId="37" totalsRowDxfId="36"/>
    <tableColumn id="6" xr3:uid="{A131607F-447F-4B40-BE76-6650AAE820EE}" name="Gross Measure Cost Total" totalsRowFunction="sum" dataDxfId="35" totalsRowDxfId="34"/>
    <tableColumn id="7" xr3:uid="{0C6C6173-2706-4EAD-B4A7-49D90713FBE0}" name="Net Measure Cost Total" totalsRowFunction="sum" dataDxfId="33" totalsRowDxfId="32"/>
    <tableColumn id="8" xr3:uid="{3572CC4A-960F-4F3C-B657-B59E0880F64C}" name="Raw ItoC Ratio" totalsRowFunction="custom" dataDxfId="31" totalsRowDxfId="30" dataCellStyle="Percent">
      <calculatedColumnFormula>Table_Measure_Caps[[#This Row],[Estimated Raw Incentive Total]]/Table_Measure_Caps[[#This Row],[Gross Measure Cost Total]]</calculatedColumnFormula>
      <totalsRowFormula>Table_Measure_Caps[[#Totals],[Estimated Raw Incentive Total]]/Table_Measure_Caps[[#Totals],[Gross Measure Cost Total]]</totalsRowFormula>
    </tableColumn>
    <tableColumn id="9" xr3:uid="{B184E87D-28C0-4282-AD79-16BC9E7ED8DB}" name="Capped Incentive" totalsRowFunction="sum" dataDxfId="29" totalsRowDxfId="28">
      <calculatedColumnFormula>Table_Measure_Caps[[#This Row],[Estimated Raw Incentive Total]]*MIN(Table_Measure_Caps[[#Totals],[Estimated Raw Incentive Total]], Table_Measure_Caps[[#Totals],[Gross Measure Cost Total]], Value_Project_CAP)/Table_Measure_Caps[[#Totals],[Estimated Raw Incentive Total]]</calculatedColumnFormula>
    </tableColumn>
  </tableColumns>
  <tableStyleInfo name="Lookup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8FEFB1C-75A0-4708-8542-C9EFD91E1D56}" name="Table_Bonus_Caps" displayName="Table_Bonus_Caps" ref="L2:O3" totalsRowShown="0">
  <autoFilter ref="L2:O3" xr:uid="{38FEFB1C-75A0-4708-8542-C9EFD91E1D56}"/>
  <tableColumns count="4">
    <tableColumn id="1" xr3:uid="{6D6B2771-B606-4F00-9DD9-22B5477D9AF6}" name="Bonus Rate" dataDxfId="27"/>
    <tableColumn id="2" xr3:uid="{C33A9D64-1008-475E-A872-2D8F666A9B33}" name="Raw Incentive Total" dataDxfId="26"/>
    <tableColumn id="3" xr3:uid="{B530129D-6CA1-490C-A4CC-5B847BFF5C7F}" name="Uncapped Bonus" dataDxfId="25"/>
    <tableColumn id="4" xr3:uid="{84BE2AB8-EAE8-4601-B451-E59BE06594F1}" name="Final Bonus" dataDxfId="24"/>
  </tableColumns>
  <tableStyleInfo name="Lookup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B59AF07-6C3E-4916-BF28-FE5F8675061D}" name="Table_Contacts" displayName="Table_Contacts" ref="A3:R8" totalsRowShown="0">
  <autoFilter ref="A3:R8" xr:uid="{9B59AF07-6C3E-4916-BF28-FE5F8675061D}"/>
  <tableColumns count="18">
    <tableColumn id="1" xr3:uid="{0AD828B3-B818-42BE-B582-D1A564AF04EC}" name="Entity" dataDxfId="23"/>
    <tableColumn id="2" xr3:uid="{B3E0AB1E-3696-46A2-AAF0-DF096D5BA61B}" name="Business Name"/>
    <tableColumn id="3" xr3:uid="{CCCDE659-D2D4-4D6C-A6A6-EEF747F692CB}" name="Contact Name"/>
    <tableColumn id="4" xr3:uid="{3790D546-CB25-4CB4-9C72-19426A1C8017}" name="Street"/>
    <tableColumn id="5" xr3:uid="{BF512088-76E8-4B2D-9273-DE6DEF8D4456}" name="City"/>
    <tableColumn id="6" xr3:uid="{D09BB5C1-08E9-4D11-9D9B-899BEF01F28A}" name="State"/>
    <tableColumn id="7" xr3:uid="{0155B42F-8311-447A-B9BD-D98CDD372347}" name="Zip"/>
    <tableColumn id="8" xr3:uid="{6609A3FB-EFC0-4142-ABA7-782EDD5C64D2}" name="Phone"/>
    <tableColumn id="9" xr3:uid="{74C926AD-BD78-425D-8A7F-9C69757885C3}" name="Email"/>
    <tableColumn id="10" xr3:uid="{480D5B77-BF79-49FA-BE6C-91D3D2D42717}" name="Classification"/>
    <tableColumn id="11" xr3:uid="{5A96515C-D517-4DC7-A490-898B012E235E}" name="PFI?"/>
    <tableColumn id="12" xr3:uid="{0576638A-AF03-45DF-9E48-8E01827CF164}" name="DBE?"/>
    <tableColumn id="13" xr3:uid="{D23DB36B-EDA9-4803-828A-455192F4F856}" name="Registered TA?"/>
    <tableColumn id="14" xr3:uid="{1B2A8FAA-F170-4AE1-8084-6BA2FE463294}" name="Project Role"/>
    <tableColumn id="15" xr3:uid="{AF3F8029-43C9-4724-B855-B507891B3611}" name="Attention To" dataDxfId="22">
      <calculatedColumnFormula>'Fill in the Application'!F30</calculatedColumnFormula>
    </tableColumn>
    <tableColumn id="16" xr3:uid="{7CA4F0D1-7754-471C-8DEB-CAEB6649B745}" name="Check Payable To" dataDxfId="21">
      <calculatedColumnFormula>'Fill in the Application'!F31</calculatedColumnFormula>
    </tableColumn>
    <tableColumn id="17" xr3:uid="{772C63A5-044F-47D7-89C5-9E60AFFC552A}" name="Federal Tax ID Number" dataDxfId="20">
      <calculatedColumnFormula>'Fill in the Application'!F32</calculatedColumnFormula>
    </tableColumn>
    <tableColumn id="18" xr3:uid="{F71E6A60-E971-4C2E-96C9-6C8A1944A1FF}" name="Tax Entity" dataDxfId="19">
      <calculatedColumnFormula>'Fill in the Application'!F33</calculatedColumnFormula>
    </tableColumn>
  </tableColumns>
  <tableStyleInfo name="Lookup Table" showFirstColumn="0" showLastColumn="0" showRowStripes="1" showColumnStripes="0"/>
</table>
</file>

<file path=xl/theme/theme1.xml><?xml version="1.0" encoding="utf-8"?>
<a:theme xmlns:a="http://schemas.openxmlformats.org/drawingml/2006/main" name="Office Theme">
  <a:themeElements>
    <a:clrScheme name="Energy Smart Colors">
      <a:dk1>
        <a:sysClr val="windowText" lastClr="000000"/>
      </a:dk1>
      <a:lt1>
        <a:sysClr val="window" lastClr="FFFFFF"/>
      </a:lt1>
      <a:dk2>
        <a:srgbClr val="002D56"/>
      </a:dk2>
      <a:lt2>
        <a:srgbClr val="C0C0C0"/>
      </a:lt2>
      <a:accent1>
        <a:srgbClr val="002D56"/>
      </a:accent1>
      <a:accent2>
        <a:srgbClr val="8DC63F"/>
      </a:accent2>
      <a:accent3>
        <a:srgbClr val="006E51"/>
      </a:accent3>
      <a:accent4>
        <a:srgbClr val="007897"/>
      </a:accent4>
      <a:accent5>
        <a:srgbClr val="B41E83"/>
      </a:accent5>
      <a:accent6>
        <a:srgbClr val="DDDDDD"/>
      </a:accent6>
      <a:hlink>
        <a:srgbClr val="007897"/>
      </a:hlink>
      <a:folHlink>
        <a:srgbClr val="00789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16" dT="2023-06-29T19:36:56.89" personId="{A3E89FC8-9D46-4C6C-B92E-ADD4BB5C8EEA}" id="{8EF07D4B-37BF-4245-9CA3-94EB6DE9529C}">
    <text>SEER2</text>
  </threadedComment>
  <threadedComment ref="N121" dT="2023-06-29T19:40:23.46" personId="{A3E89FC8-9D46-4C6C-B92E-ADD4BB5C8EEA}" id="{62C74FEC-860C-4FD5-BBC1-61E30FA1D7C5}">
    <text>SEER2</text>
  </threadedComment>
  <threadedComment ref="O121" dT="2023-06-29T19:54:05.98" personId="{A3E89FC8-9D46-4C6C-B92E-ADD4BB5C8EEA}" id="{13CE2E3C-D381-46CB-B794-332D929AC969}">
    <text>HSPF2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energysmartnola.info/businesses/term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microsoft.com/office/2019/04/relationships/namedSheetView" Target="../namedSheetViews/namedSheetView1.xml"/><Relationship Id="rId5" Type="http://schemas.openxmlformats.org/officeDocument/2006/relationships/comments" Target="../comments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microsoft.com/office/2019/04/relationships/namedSheetView" Target="../namedSheetViews/namedSheetView2.xml"/><Relationship Id="rId5" Type="http://schemas.openxmlformats.org/officeDocument/2006/relationships/comments" Target="../comments3.xml"/><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7" Type="http://schemas.microsoft.com/office/2017/10/relationships/threadedComment" Target="../threadedComments/threadedComment1.x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65EDB-C0CB-42F0-97E4-A9358CDFD676}">
  <sheetPr>
    <tabColor theme="2"/>
  </sheetPr>
  <dimension ref="B1:E35"/>
  <sheetViews>
    <sheetView showGridLines="0" showRowColHeaders="0" tabSelected="1" workbookViewId="0">
      <selection activeCell="B3" sqref="B3:E3"/>
    </sheetView>
  </sheetViews>
  <sheetFormatPr defaultRowHeight="12.75" x14ac:dyDescent="0.2"/>
  <cols>
    <col min="1" max="1" width="1.7109375" style="187" customWidth="1"/>
    <col min="2" max="2" width="14.140625" style="187" customWidth="1"/>
    <col min="3" max="3" width="39" style="187" customWidth="1"/>
    <col min="4" max="4" width="14.140625" style="187" customWidth="1"/>
    <col min="5" max="5" width="39" style="187" customWidth="1"/>
    <col min="6" max="16384" width="9.140625" style="187"/>
  </cols>
  <sheetData>
    <row r="1" spans="2:5" ht="69.75" customHeight="1" x14ac:dyDescent="0.2"/>
    <row r="2" spans="2:5" ht="42.75" customHeight="1" x14ac:dyDescent="0.2">
      <c r="B2" s="270" t="s">
        <v>0</v>
      </c>
      <c r="C2" s="270"/>
      <c r="D2" s="270"/>
      <c r="E2" s="270"/>
    </row>
    <row r="3" spans="2:5" ht="75.75" customHeight="1" x14ac:dyDescent="0.2">
      <c r="B3" s="272" t="s">
        <v>1</v>
      </c>
      <c r="C3" s="273"/>
      <c r="D3" s="273"/>
      <c r="E3" s="273"/>
    </row>
    <row r="4" spans="2:5" ht="15.75" customHeight="1" x14ac:dyDescent="0.2">
      <c r="B4" s="271" t="s">
        <v>2</v>
      </c>
      <c r="C4" s="271"/>
      <c r="D4" s="271"/>
      <c r="E4" s="271"/>
    </row>
    <row r="5" spans="2:5" ht="33" customHeight="1" x14ac:dyDescent="0.2">
      <c r="B5" s="274" t="s">
        <v>3</v>
      </c>
      <c r="C5" s="275"/>
      <c r="D5" s="275"/>
      <c r="E5" s="276"/>
    </row>
    <row r="6" spans="2:5" ht="33" customHeight="1" x14ac:dyDescent="0.2">
      <c r="B6" s="277"/>
      <c r="C6" s="278"/>
      <c r="D6" s="278"/>
      <c r="E6" s="279"/>
    </row>
    <row r="7" spans="2:5" ht="33" customHeight="1" x14ac:dyDescent="0.2">
      <c r="B7" s="277"/>
      <c r="C7" s="278"/>
      <c r="D7" s="278"/>
      <c r="E7" s="279"/>
    </row>
    <row r="8" spans="2:5" ht="33" customHeight="1" x14ac:dyDescent="0.2">
      <c r="B8" s="280"/>
      <c r="C8" s="273"/>
      <c r="D8" s="273"/>
      <c r="E8" s="281"/>
    </row>
    <row r="9" spans="2:5" ht="12.75" customHeight="1" x14ac:dyDescent="0.2">
      <c r="B9" s="184"/>
      <c r="C9" s="184"/>
    </row>
    <row r="10" spans="2:5" ht="15.75" x14ac:dyDescent="0.2">
      <c r="B10" s="271" t="s">
        <v>4</v>
      </c>
      <c r="C10" s="271"/>
      <c r="D10" s="271"/>
      <c r="E10" s="271"/>
    </row>
    <row r="11" spans="2:5" ht="25.5" customHeight="1" x14ac:dyDescent="0.2">
      <c r="B11" s="193" t="s">
        <v>5</v>
      </c>
      <c r="C11" s="282" t="s">
        <v>526</v>
      </c>
      <c r="D11" s="283"/>
      <c r="E11" s="284"/>
    </row>
    <row r="12" spans="2:5" ht="25.5" customHeight="1" x14ac:dyDescent="0.2">
      <c r="B12" s="188" t="s">
        <v>6</v>
      </c>
      <c r="C12" s="261" t="s">
        <v>7</v>
      </c>
      <c r="D12" s="262"/>
      <c r="E12" s="263"/>
    </row>
    <row r="13" spans="2:5" ht="12.75" customHeight="1" x14ac:dyDescent="0.2"/>
    <row r="14" spans="2:5" ht="15.75" customHeight="1" x14ac:dyDescent="0.25">
      <c r="B14" s="264" t="s">
        <v>8</v>
      </c>
      <c r="C14" s="265"/>
      <c r="D14" s="265"/>
      <c r="E14" s="266"/>
    </row>
    <row r="15" spans="2:5" ht="25.5" customHeight="1" x14ac:dyDescent="0.2">
      <c r="B15" s="189" t="s">
        <v>9</v>
      </c>
      <c r="C15" s="259" t="s">
        <v>10</v>
      </c>
      <c r="D15" s="259"/>
      <c r="E15" s="259"/>
    </row>
    <row r="16" spans="2:5" ht="25.5" customHeight="1" x14ac:dyDescent="0.2">
      <c r="B16" s="190" t="s">
        <v>11</v>
      </c>
      <c r="C16" s="258" t="s">
        <v>12</v>
      </c>
      <c r="D16" s="259"/>
      <c r="E16" s="259"/>
    </row>
    <row r="17" spans="2:5" s="191" customFormat="1" ht="25.5" customHeight="1" x14ac:dyDescent="0.2">
      <c r="B17" s="190" t="s">
        <v>13</v>
      </c>
      <c r="C17" s="267" t="s">
        <v>14</v>
      </c>
      <c r="D17" s="268"/>
      <c r="E17" s="269"/>
    </row>
    <row r="18" spans="2:5" ht="25.5" customHeight="1" x14ac:dyDescent="0.2">
      <c r="B18" s="192" t="s">
        <v>15</v>
      </c>
      <c r="C18" s="258" t="s">
        <v>16</v>
      </c>
      <c r="D18" s="259"/>
      <c r="E18" s="259"/>
    </row>
    <row r="19" spans="2:5" ht="25.5" customHeight="1" x14ac:dyDescent="0.2">
      <c r="B19" s="192" t="s">
        <v>17</v>
      </c>
      <c r="C19" s="258" t="s">
        <v>18</v>
      </c>
      <c r="D19" s="259"/>
      <c r="E19" s="259"/>
    </row>
    <row r="20" spans="2:5" ht="25.5" customHeight="1" x14ac:dyDescent="0.2">
      <c r="B20" s="189" t="s">
        <v>19</v>
      </c>
      <c r="C20" s="259" t="s">
        <v>20</v>
      </c>
      <c r="D20" s="259"/>
      <c r="E20" s="259"/>
    </row>
    <row r="21" spans="2:5" ht="12.75" customHeight="1" x14ac:dyDescent="0.2"/>
    <row r="22" spans="2:5" ht="15.75" customHeight="1" x14ac:dyDescent="0.25">
      <c r="B22" s="264" t="s">
        <v>21</v>
      </c>
      <c r="C22" s="265"/>
      <c r="D22" s="265"/>
      <c r="E22" s="266"/>
    </row>
    <row r="23" spans="2:5" ht="237" customHeight="1" x14ac:dyDescent="0.2">
      <c r="B23" s="260" t="s">
        <v>22</v>
      </c>
      <c r="C23" s="259"/>
      <c r="D23" s="259"/>
      <c r="E23" s="259"/>
    </row>
    <row r="24" spans="2:5" ht="304.5" customHeight="1" x14ac:dyDescent="0.2">
      <c r="B24" s="260" t="s">
        <v>23</v>
      </c>
      <c r="C24" s="259"/>
      <c r="D24" s="259"/>
      <c r="E24" s="259"/>
    </row>
    <row r="25" spans="2:5" ht="51" customHeight="1" x14ac:dyDescent="0.2">
      <c r="B25" s="187" t="s">
        <v>24</v>
      </c>
    </row>
    <row r="26" spans="2:5" x14ac:dyDescent="0.2">
      <c r="B26" s="187" t="str">
        <f>'Fill in the Application'!B42</f>
        <v>Version 2.1</v>
      </c>
    </row>
    <row r="28" spans="2:5" s="191" customFormat="1" ht="108.75" customHeight="1" x14ac:dyDescent="0.2">
      <c r="B28" s="187"/>
      <c r="C28" s="187"/>
      <c r="D28" s="187"/>
      <c r="E28" s="187"/>
    </row>
    <row r="29" spans="2:5" ht="42.75" customHeight="1" x14ac:dyDescent="0.2"/>
    <row r="30" spans="2:5" ht="31.5" customHeight="1" x14ac:dyDescent="0.2"/>
    <row r="31" spans="2:5" ht="42" customHeight="1" x14ac:dyDescent="0.2"/>
    <row r="32" spans="2:5" ht="30" customHeight="1" x14ac:dyDescent="0.2"/>
    <row r="33" ht="132.75" customHeight="1" x14ac:dyDescent="0.2"/>
    <row r="34" ht="31.5" customHeight="1" x14ac:dyDescent="0.2"/>
    <row r="35" ht="42" customHeight="1" x14ac:dyDescent="0.2"/>
  </sheetData>
  <sheetProtection algorithmName="SHA-512" hashValue="iTF6NSV+B8PuXyHQGX+cRib258pBKQeY7g+AHNPnpTHBZz/+4y9c/8FDLX2Lntcmc+tjDCXINrlOUmUzcJ7WxA==" saltValue="VK77rKyCBlrYpZ+q4cfJvQ==" spinCount="100000" sheet="1" objects="1" scenarios="1"/>
  <mergeCells count="17">
    <mergeCell ref="B2:E2"/>
    <mergeCell ref="B4:E4"/>
    <mergeCell ref="B10:E10"/>
    <mergeCell ref="B14:E14"/>
    <mergeCell ref="B3:E3"/>
    <mergeCell ref="B5:E8"/>
    <mergeCell ref="C11:E11"/>
    <mergeCell ref="C19:E19"/>
    <mergeCell ref="B24:E24"/>
    <mergeCell ref="C12:E12"/>
    <mergeCell ref="C16:E16"/>
    <mergeCell ref="B22:E22"/>
    <mergeCell ref="C20:E20"/>
    <mergeCell ref="C15:E15"/>
    <mergeCell ref="C17:E17"/>
    <mergeCell ref="C18:E18"/>
    <mergeCell ref="B23:E23"/>
  </mergeCells>
  <pageMargins left="0.25" right="0.25" top="0.75" bottom="0.75" header="0.3" footer="0.3"/>
  <pageSetup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09ED-3D5E-402C-B5CF-36BC9D5EB55E}">
  <sheetPr>
    <tabColor rgb="FFFF0000"/>
  </sheetPr>
  <dimension ref="A2:O52"/>
  <sheetViews>
    <sheetView zoomScale="98" zoomScaleNormal="98" workbookViewId="0">
      <selection activeCell="B2" sqref="B2"/>
    </sheetView>
  </sheetViews>
  <sheetFormatPr defaultRowHeight="12.75" x14ac:dyDescent="0.2"/>
  <cols>
    <col min="2" max="2" width="18.42578125" bestFit="1" customWidth="1"/>
    <col min="3" max="3" width="19.28515625" bestFit="1" customWidth="1"/>
    <col min="4" max="4" width="27" bestFit="1" customWidth="1"/>
    <col min="5" max="5" width="27" customWidth="1"/>
    <col min="6" max="6" width="25.85546875" bestFit="1" customWidth="1"/>
    <col min="7" max="7" width="33.42578125" bestFit="1" customWidth="1"/>
    <col min="8" max="8" width="33.42578125" customWidth="1"/>
    <col min="9" max="9" width="28.42578125" bestFit="1" customWidth="1"/>
    <col min="10" max="11" width="28.42578125" customWidth="1"/>
    <col min="13" max="13" width="23.5703125" bestFit="1" customWidth="1"/>
    <col min="14" max="14" width="23.5703125" customWidth="1"/>
    <col min="15" max="15" width="12.42578125" bestFit="1" customWidth="1"/>
  </cols>
  <sheetData>
    <row r="2" spans="1:15" ht="15" x14ac:dyDescent="0.25">
      <c r="B2" s="121" t="s">
        <v>441</v>
      </c>
      <c r="C2" s="121" t="s">
        <v>442</v>
      </c>
      <c r="D2" s="121" t="s">
        <v>443</v>
      </c>
      <c r="E2" s="121"/>
      <c r="F2" s="121" t="s">
        <v>444</v>
      </c>
      <c r="G2" s="121" t="s">
        <v>445</v>
      </c>
      <c r="H2" s="121" t="s">
        <v>446</v>
      </c>
      <c r="I2" s="121" t="s">
        <v>447</v>
      </c>
      <c r="J2" s="121" t="s">
        <v>448</v>
      </c>
      <c r="K2" s="121" t="s">
        <v>372</v>
      </c>
      <c r="M2" s="121" t="s">
        <v>449</v>
      </c>
      <c r="N2" s="121" t="s">
        <v>450</v>
      </c>
      <c r="O2" s="121" t="s">
        <v>451</v>
      </c>
    </row>
    <row r="3" spans="1:15" ht="15" x14ac:dyDescent="0.25">
      <c r="A3">
        <v>1</v>
      </c>
      <c r="B3" s="130">
        <f>'Input A-C &amp; Heat Pump Measures'!G5*12000</f>
        <v>0</v>
      </c>
      <c r="C3" s="129">
        <f>'Input A-C &amp; Heat Pump Measures'!L5*'Input A-C &amp; Heat Pump Measures'!N5</f>
        <v>0</v>
      </c>
      <c r="D3" s="129">
        <f>'Input A-C &amp; Heat Pump Measures'!M5*'Input A-C &amp; Heat Pump Measures'!O5</f>
        <v>0</v>
      </c>
      <c r="E3" s="144" t="e">
        <f>(C3-D3)/C3</f>
        <v>#DIV/0!</v>
      </c>
      <c r="F3" s="128" t="e">
        <f>B3/'HVAC Calcs - OLD'!C3</f>
        <v>#DIV/0!</v>
      </c>
      <c r="G3" s="128" t="e">
        <f>B3/'HVAC Calcs - OLD'!D3</f>
        <v>#DIV/0!</v>
      </c>
      <c r="H3" s="127" t="e">
        <f>(1/F3)-(1/G3)</f>
        <v>#DIV/0!</v>
      </c>
      <c r="I3" s="101" t="e">
        <f>VLOOKUP('Input A-C &amp; Heat Pump Measures'!$E$3,References!$L$103:$O$112,2,FALSE)</f>
        <v>#N/A</v>
      </c>
      <c r="J3" s="101" t="e">
        <f>VLOOKUP('Input A-C &amp; Heat Pump Measures'!$E$3,References!$L$103:$O$112,3,FALSE)</f>
        <v>#N/A</v>
      </c>
      <c r="K3" s="101" t="e">
        <f>VLOOKUP('Input A-C &amp; Heat Pump Measures'!$E$3,References!$L$103:$O$112,4,FALSE)</f>
        <v>#N/A</v>
      </c>
      <c r="M3" s="130" t="e">
        <f>(B3/1000)*I3*H3</f>
        <v>#N/A</v>
      </c>
      <c r="N3" s="116" t="e">
        <f>IF('Input A-C &amp; Heat Pump Measures'!$C5&gt;References!$F$12,B3/1000*J3*H3,0)</f>
        <v>#N/A</v>
      </c>
      <c r="O3" s="117" t="e">
        <f>(B3/1000)*H3*K3</f>
        <v>#DIV/0!</v>
      </c>
    </row>
    <row r="4" spans="1:15" ht="15" x14ac:dyDescent="0.25">
      <c r="A4">
        <v>2</v>
      </c>
      <c r="B4" s="130">
        <f>'Input A-C &amp; Heat Pump Measures'!G6*12000</f>
        <v>0</v>
      </c>
      <c r="C4" s="129">
        <f>'Input A-C &amp; Heat Pump Measures'!L6*'Input A-C &amp; Heat Pump Measures'!N6</f>
        <v>0</v>
      </c>
      <c r="D4" s="129">
        <f>'Input A-C &amp; Heat Pump Measures'!M6*'Input A-C &amp; Heat Pump Measures'!O6</f>
        <v>0</v>
      </c>
      <c r="E4" s="144" t="e">
        <f t="shared" ref="E4:E52" si="0">(C4-D4)/C4</f>
        <v>#DIV/0!</v>
      </c>
      <c r="F4" s="128" t="e">
        <f>B4/'HVAC Calcs - OLD'!C4</f>
        <v>#DIV/0!</v>
      </c>
      <c r="G4" s="128" t="e">
        <f>B4/'HVAC Calcs - OLD'!D4</f>
        <v>#DIV/0!</v>
      </c>
      <c r="H4" s="127" t="e">
        <f t="shared" ref="H4:H52" si="1">(1/F4)-(1/G4)</f>
        <v>#DIV/0!</v>
      </c>
      <c r="I4" s="101" t="e">
        <f>VLOOKUP('Input A-C &amp; Heat Pump Measures'!$E$3,References!$L$103:$O$112,2,FALSE)</f>
        <v>#N/A</v>
      </c>
      <c r="J4" s="101" t="e">
        <f>VLOOKUP('Input A-C &amp; Heat Pump Measures'!$E$3,References!$L$103:$O$112,3,FALSE)</f>
        <v>#N/A</v>
      </c>
      <c r="K4" s="101" t="e">
        <f>VLOOKUP('Input A-C &amp; Heat Pump Measures'!$E$3,References!$L$103:$O$112,4,FALSE)</f>
        <v>#N/A</v>
      </c>
      <c r="M4" s="130" t="e">
        <f t="shared" ref="M4:M52" si="2">(B4/1000)*I4*H4</f>
        <v>#N/A</v>
      </c>
      <c r="N4" s="116" t="e">
        <f>IF('Input A-C &amp; Heat Pump Measures'!$C6&gt;References!$F$12,B4/1000*J4*H4,0)</f>
        <v>#N/A</v>
      </c>
      <c r="O4" s="117" t="e">
        <f t="shared" ref="O4:O52" si="3">(B4/1000)*H4*K4</f>
        <v>#DIV/0!</v>
      </c>
    </row>
    <row r="5" spans="1:15" ht="15" x14ac:dyDescent="0.25">
      <c r="A5">
        <v>3</v>
      </c>
      <c r="B5" s="130">
        <f>'Input A-C &amp; Heat Pump Measures'!G7*12000</f>
        <v>0</v>
      </c>
      <c r="C5" s="129">
        <f>'Input A-C &amp; Heat Pump Measures'!L7*'Input A-C &amp; Heat Pump Measures'!N7</f>
        <v>0</v>
      </c>
      <c r="D5" s="129">
        <f>'Input A-C &amp; Heat Pump Measures'!M7*'Input A-C &amp; Heat Pump Measures'!O7</f>
        <v>0</v>
      </c>
      <c r="E5" s="144" t="e">
        <f t="shared" si="0"/>
        <v>#DIV/0!</v>
      </c>
      <c r="F5" s="128" t="e">
        <f>B5/'HVAC Calcs - OLD'!C5</f>
        <v>#DIV/0!</v>
      </c>
      <c r="G5" s="128" t="e">
        <f>B5/'HVAC Calcs - OLD'!D5</f>
        <v>#DIV/0!</v>
      </c>
      <c r="H5" s="127" t="e">
        <f t="shared" si="1"/>
        <v>#DIV/0!</v>
      </c>
      <c r="I5" s="101" t="e">
        <f>VLOOKUP('Input A-C &amp; Heat Pump Measures'!$E$3,References!$L$103:$O$112,2,FALSE)</f>
        <v>#N/A</v>
      </c>
      <c r="J5" s="101" t="e">
        <f>VLOOKUP('Input A-C &amp; Heat Pump Measures'!$E$3,References!$L$103:$O$112,3,FALSE)</f>
        <v>#N/A</v>
      </c>
      <c r="K5" s="101" t="e">
        <f>VLOOKUP('Input A-C &amp; Heat Pump Measures'!$E$3,References!$L$103:$O$112,4,FALSE)</f>
        <v>#N/A</v>
      </c>
      <c r="M5" s="130" t="e">
        <f t="shared" si="2"/>
        <v>#N/A</v>
      </c>
      <c r="N5" s="116" t="e">
        <f>IF('Input A-C &amp; Heat Pump Measures'!$C7&gt;References!$F$12,B5/1000*J5*H5,0)</f>
        <v>#N/A</v>
      </c>
      <c r="O5" s="117" t="e">
        <f t="shared" si="3"/>
        <v>#DIV/0!</v>
      </c>
    </row>
    <row r="6" spans="1:15" ht="15" x14ac:dyDescent="0.25">
      <c r="A6">
        <v>4</v>
      </c>
      <c r="B6" s="130">
        <f>'Input A-C &amp; Heat Pump Measures'!G8*12000</f>
        <v>0</v>
      </c>
      <c r="C6" s="129">
        <f>'Input A-C &amp; Heat Pump Measures'!L8*'Input A-C &amp; Heat Pump Measures'!N8</f>
        <v>0</v>
      </c>
      <c r="D6" s="129">
        <f>'Input A-C &amp; Heat Pump Measures'!M8*'Input A-C &amp; Heat Pump Measures'!O8</f>
        <v>0</v>
      </c>
      <c r="E6" s="144" t="e">
        <f t="shared" si="0"/>
        <v>#DIV/0!</v>
      </c>
      <c r="F6" s="128" t="e">
        <f>B6/'HVAC Calcs - OLD'!C6</f>
        <v>#DIV/0!</v>
      </c>
      <c r="G6" s="128" t="e">
        <f>B6/'HVAC Calcs - OLD'!D6</f>
        <v>#DIV/0!</v>
      </c>
      <c r="H6" s="127" t="e">
        <f t="shared" si="1"/>
        <v>#DIV/0!</v>
      </c>
      <c r="I6" s="101" t="e">
        <f>VLOOKUP('Input A-C &amp; Heat Pump Measures'!$E$3,References!$L$103:$O$112,2,FALSE)</f>
        <v>#N/A</v>
      </c>
      <c r="J6" s="101" t="e">
        <f>VLOOKUP('Input A-C &amp; Heat Pump Measures'!$E$3,References!$L$103:$O$112,3,FALSE)</f>
        <v>#N/A</v>
      </c>
      <c r="K6" s="101" t="e">
        <f>VLOOKUP('Input A-C &amp; Heat Pump Measures'!$E$3,References!$L$103:$O$112,4,FALSE)</f>
        <v>#N/A</v>
      </c>
      <c r="M6" s="130" t="e">
        <f t="shared" si="2"/>
        <v>#N/A</v>
      </c>
      <c r="N6" s="116" t="e">
        <f>IF('Input A-C &amp; Heat Pump Measures'!$C8&gt;References!$F$12,B6/1000*J6*H6,0)</f>
        <v>#N/A</v>
      </c>
      <c r="O6" s="117" t="e">
        <f t="shared" si="3"/>
        <v>#DIV/0!</v>
      </c>
    </row>
    <row r="7" spans="1:15" ht="15" x14ac:dyDescent="0.25">
      <c r="A7">
        <v>5</v>
      </c>
      <c r="B7" s="130">
        <f>'Input A-C &amp; Heat Pump Measures'!G9*12000</f>
        <v>0</v>
      </c>
      <c r="C7" s="129">
        <f>'Input A-C &amp; Heat Pump Measures'!L9*'Input A-C &amp; Heat Pump Measures'!N9</f>
        <v>0</v>
      </c>
      <c r="D7" s="129">
        <f>'Input A-C &amp; Heat Pump Measures'!M9*'Input A-C &amp; Heat Pump Measures'!O9</f>
        <v>0</v>
      </c>
      <c r="E7" s="144" t="e">
        <f t="shared" si="0"/>
        <v>#DIV/0!</v>
      </c>
      <c r="F7" s="128" t="e">
        <f>B7/'HVAC Calcs - OLD'!C7</f>
        <v>#DIV/0!</v>
      </c>
      <c r="G7" s="128" t="e">
        <f>B7/'HVAC Calcs - OLD'!D7</f>
        <v>#DIV/0!</v>
      </c>
      <c r="H7" s="127" t="e">
        <f t="shared" si="1"/>
        <v>#DIV/0!</v>
      </c>
      <c r="I7" s="101" t="e">
        <f>VLOOKUP('Input A-C &amp; Heat Pump Measures'!$E$3,References!$L$103:$O$112,2,FALSE)</f>
        <v>#N/A</v>
      </c>
      <c r="J7" s="101" t="e">
        <f>VLOOKUP('Input A-C &amp; Heat Pump Measures'!$E$3,References!$L$103:$O$112,3,FALSE)</f>
        <v>#N/A</v>
      </c>
      <c r="K7" s="101" t="e">
        <f>VLOOKUP('Input A-C &amp; Heat Pump Measures'!$E$3,References!$L$103:$O$112,4,FALSE)</f>
        <v>#N/A</v>
      </c>
      <c r="M7" s="130" t="e">
        <f t="shared" si="2"/>
        <v>#N/A</v>
      </c>
      <c r="N7" s="116" t="e">
        <f>IF('Input A-C &amp; Heat Pump Measures'!$C9&gt;References!$F$12,B7/1000*J7*H7,0)</f>
        <v>#N/A</v>
      </c>
      <c r="O7" s="117" t="e">
        <f t="shared" si="3"/>
        <v>#DIV/0!</v>
      </c>
    </row>
    <row r="8" spans="1:15" ht="15" x14ac:dyDescent="0.25">
      <c r="A8">
        <v>6</v>
      </c>
      <c r="B8" s="130">
        <f>'Input A-C &amp; Heat Pump Measures'!G10*12000</f>
        <v>0</v>
      </c>
      <c r="C8" s="129">
        <f>'Input A-C &amp; Heat Pump Measures'!L10*'Input A-C &amp; Heat Pump Measures'!N10</f>
        <v>0</v>
      </c>
      <c r="D8" s="129">
        <f>'Input A-C &amp; Heat Pump Measures'!M10*'Input A-C &amp; Heat Pump Measures'!O10</f>
        <v>0</v>
      </c>
      <c r="E8" s="144" t="e">
        <f t="shared" si="0"/>
        <v>#DIV/0!</v>
      </c>
      <c r="F8" s="128" t="e">
        <f>B8/'HVAC Calcs - OLD'!C8</f>
        <v>#DIV/0!</v>
      </c>
      <c r="G8" s="128" t="e">
        <f>B8/'HVAC Calcs - OLD'!D8</f>
        <v>#DIV/0!</v>
      </c>
      <c r="H8" s="127" t="e">
        <f t="shared" si="1"/>
        <v>#DIV/0!</v>
      </c>
      <c r="I8" s="101" t="e">
        <f>VLOOKUP('Input A-C &amp; Heat Pump Measures'!$E$3,References!$L$103:$O$112,2,FALSE)</f>
        <v>#N/A</v>
      </c>
      <c r="J8" s="101" t="e">
        <f>VLOOKUP('Input A-C &amp; Heat Pump Measures'!$E$3,References!$L$103:$O$112,3,FALSE)</f>
        <v>#N/A</v>
      </c>
      <c r="K8" s="101" t="e">
        <f>VLOOKUP('Input A-C &amp; Heat Pump Measures'!$E$3,References!$L$103:$O$112,4,FALSE)</f>
        <v>#N/A</v>
      </c>
      <c r="M8" s="130" t="e">
        <f t="shared" si="2"/>
        <v>#N/A</v>
      </c>
      <c r="N8" s="116" t="e">
        <f>IF('Input A-C &amp; Heat Pump Measures'!$C10&gt;References!$F$12,B8/1000*J8*H8,0)</f>
        <v>#N/A</v>
      </c>
      <c r="O8" s="117" t="e">
        <f t="shared" si="3"/>
        <v>#DIV/0!</v>
      </c>
    </row>
    <row r="9" spans="1:15" ht="15" x14ac:dyDescent="0.25">
      <c r="A9">
        <v>7</v>
      </c>
      <c r="B9" s="130">
        <f>'Input A-C &amp; Heat Pump Measures'!G11*12000</f>
        <v>0</v>
      </c>
      <c r="C9" s="129">
        <f>'Input A-C &amp; Heat Pump Measures'!L11*'Input A-C &amp; Heat Pump Measures'!N11</f>
        <v>0</v>
      </c>
      <c r="D9" s="129">
        <f>'Input A-C &amp; Heat Pump Measures'!M11*'Input A-C &amp; Heat Pump Measures'!O11</f>
        <v>0</v>
      </c>
      <c r="E9" s="144" t="e">
        <f t="shared" si="0"/>
        <v>#DIV/0!</v>
      </c>
      <c r="F9" s="128" t="e">
        <f>B9/'HVAC Calcs - OLD'!C9</f>
        <v>#DIV/0!</v>
      </c>
      <c r="G9" s="128" t="e">
        <f>B9/'HVAC Calcs - OLD'!D9</f>
        <v>#DIV/0!</v>
      </c>
      <c r="H9" s="127" t="e">
        <f t="shared" si="1"/>
        <v>#DIV/0!</v>
      </c>
      <c r="I9" s="101" t="e">
        <f>VLOOKUP('Input A-C &amp; Heat Pump Measures'!$E$3,References!$L$103:$O$112,2,FALSE)</f>
        <v>#N/A</v>
      </c>
      <c r="J9" s="101" t="e">
        <f>VLOOKUP('Input A-C &amp; Heat Pump Measures'!$E$3,References!$L$103:$O$112,3,FALSE)</f>
        <v>#N/A</v>
      </c>
      <c r="K9" s="101" t="e">
        <f>VLOOKUP('Input A-C &amp; Heat Pump Measures'!$E$3,References!$L$103:$O$112,4,FALSE)</f>
        <v>#N/A</v>
      </c>
      <c r="M9" s="130" t="e">
        <f t="shared" si="2"/>
        <v>#N/A</v>
      </c>
      <c r="N9" s="116" t="e">
        <f>IF('Input A-C &amp; Heat Pump Measures'!$C11&gt;References!$F$12,B9/1000*J9*H9,0)</f>
        <v>#N/A</v>
      </c>
      <c r="O9" s="117" t="e">
        <f t="shared" si="3"/>
        <v>#DIV/0!</v>
      </c>
    </row>
    <row r="10" spans="1:15" ht="15" x14ac:dyDescent="0.25">
      <c r="A10">
        <v>8</v>
      </c>
      <c r="B10" s="130">
        <f>'Input A-C &amp; Heat Pump Measures'!G12*12000</f>
        <v>0</v>
      </c>
      <c r="C10" s="129">
        <f>'Input A-C &amp; Heat Pump Measures'!L12*'Input A-C &amp; Heat Pump Measures'!N12</f>
        <v>0</v>
      </c>
      <c r="D10" s="129">
        <f>'Input A-C &amp; Heat Pump Measures'!M12*'Input A-C &amp; Heat Pump Measures'!O12</f>
        <v>0</v>
      </c>
      <c r="E10" s="144" t="e">
        <f t="shared" si="0"/>
        <v>#DIV/0!</v>
      </c>
      <c r="F10" s="128" t="e">
        <f>B10/'HVAC Calcs - OLD'!C10</f>
        <v>#DIV/0!</v>
      </c>
      <c r="G10" s="128" t="e">
        <f>B10/'HVAC Calcs - OLD'!D10</f>
        <v>#DIV/0!</v>
      </c>
      <c r="H10" s="127" t="e">
        <f t="shared" si="1"/>
        <v>#DIV/0!</v>
      </c>
      <c r="I10" s="101" t="e">
        <f>VLOOKUP('Input A-C &amp; Heat Pump Measures'!$E$3,References!$L$103:$O$112,2,FALSE)</f>
        <v>#N/A</v>
      </c>
      <c r="J10" s="101" t="e">
        <f>VLOOKUP('Input A-C &amp; Heat Pump Measures'!$E$3,References!$L$103:$O$112,3,FALSE)</f>
        <v>#N/A</v>
      </c>
      <c r="K10" s="101" t="e">
        <f>VLOOKUP('Input A-C &amp; Heat Pump Measures'!$E$3,References!$L$103:$O$112,4,FALSE)</f>
        <v>#N/A</v>
      </c>
      <c r="M10" s="130" t="e">
        <f t="shared" si="2"/>
        <v>#N/A</v>
      </c>
      <c r="N10" s="116" t="e">
        <f>IF('Input A-C &amp; Heat Pump Measures'!$C12&gt;References!$F$12,B10/1000*J10*H10,0)</f>
        <v>#N/A</v>
      </c>
      <c r="O10" s="117" t="e">
        <f t="shared" si="3"/>
        <v>#DIV/0!</v>
      </c>
    </row>
    <row r="11" spans="1:15" ht="15" x14ac:dyDescent="0.25">
      <c r="A11">
        <v>9</v>
      </c>
      <c r="B11" s="130">
        <f>'Input A-C &amp; Heat Pump Measures'!G13*12000</f>
        <v>0</v>
      </c>
      <c r="C11" s="129">
        <f>'Input A-C &amp; Heat Pump Measures'!L13*'Input A-C &amp; Heat Pump Measures'!N13</f>
        <v>0</v>
      </c>
      <c r="D11" s="129">
        <f>'Input A-C &amp; Heat Pump Measures'!M13*'Input A-C &amp; Heat Pump Measures'!O13</f>
        <v>0</v>
      </c>
      <c r="E11" s="144" t="e">
        <f t="shared" si="0"/>
        <v>#DIV/0!</v>
      </c>
      <c r="F11" s="128" t="e">
        <f>B11/'HVAC Calcs - OLD'!C11</f>
        <v>#DIV/0!</v>
      </c>
      <c r="G11" s="128" t="e">
        <f>B11/'HVAC Calcs - OLD'!D11</f>
        <v>#DIV/0!</v>
      </c>
      <c r="H11" s="127" t="e">
        <f t="shared" si="1"/>
        <v>#DIV/0!</v>
      </c>
      <c r="I11" s="101" t="e">
        <f>VLOOKUP('Input A-C &amp; Heat Pump Measures'!$E$3,References!$L$103:$O$112,2,FALSE)</f>
        <v>#N/A</v>
      </c>
      <c r="J11" s="101" t="e">
        <f>VLOOKUP('Input A-C &amp; Heat Pump Measures'!$E$3,References!$L$103:$O$112,3,FALSE)</f>
        <v>#N/A</v>
      </c>
      <c r="K11" s="101" t="e">
        <f>VLOOKUP('Input A-C &amp; Heat Pump Measures'!$E$3,References!$L$103:$O$112,4,FALSE)</f>
        <v>#N/A</v>
      </c>
      <c r="M11" s="130" t="e">
        <f t="shared" si="2"/>
        <v>#N/A</v>
      </c>
      <c r="N11" s="116" t="e">
        <f>IF('Input A-C &amp; Heat Pump Measures'!$C13&gt;References!$F$12,B11/1000*J11*H11,0)</f>
        <v>#N/A</v>
      </c>
      <c r="O11" s="117" t="e">
        <f t="shared" si="3"/>
        <v>#DIV/0!</v>
      </c>
    </row>
    <row r="12" spans="1:15" ht="15" x14ac:dyDescent="0.25">
      <c r="A12">
        <v>10</v>
      </c>
      <c r="B12" s="130">
        <f>'Input A-C &amp; Heat Pump Measures'!G14*12000</f>
        <v>0</v>
      </c>
      <c r="C12" s="129">
        <f>'Input A-C &amp; Heat Pump Measures'!L14*'Input A-C &amp; Heat Pump Measures'!N14</f>
        <v>0</v>
      </c>
      <c r="D12" s="129">
        <f>'Input A-C &amp; Heat Pump Measures'!M14*'Input A-C &amp; Heat Pump Measures'!O14</f>
        <v>0</v>
      </c>
      <c r="E12" s="144" t="e">
        <f t="shared" si="0"/>
        <v>#DIV/0!</v>
      </c>
      <c r="F12" s="128" t="e">
        <f>B12/'HVAC Calcs - OLD'!C12</f>
        <v>#DIV/0!</v>
      </c>
      <c r="G12" s="128" t="e">
        <f>B12/'HVAC Calcs - OLD'!D12</f>
        <v>#DIV/0!</v>
      </c>
      <c r="H12" s="127" t="e">
        <f t="shared" si="1"/>
        <v>#DIV/0!</v>
      </c>
      <c r="I12" s="101" t="e">
        <f>VLOOKUP('Input A-C &amp; Heat Pump Measures'!$E$3,References!$L$103:$O$112,2,FALSE)</f>
        <v>#N/A</v>
      </c>
      <c r="J12" s="101" t="e">
        <f>VLOOKUP('Input A-C &amp; Heat Pump Measures'!$E$3,References!$L$103:$O$112,3,FALSE)</f>
        <v>#N/A</v>
      </c>
      <c r="K12" s="101" t="e">
        <f>VLOOKUP('Input A-C &amp; Heat Pump Measures'!$E$3,References!$L$103:$O$112,4,FALSE)</f>
        <v>#N/A</v>
      </c>
      <c r="M12" s="130" t="e">
        <f t="shared" si="2"/>
        <v>#N/A</v>
      </c>
      <c r="N12" s="116" t="e">
        <f>IF('Input A-C &amp; Heat Pump Measures'!$C14&gt;References!$F$12,B12/1000*J12*H12,0)</f>
        <v>#N/A</v>
      </c>
      <c r="O12" s="117" t="e">
        <f t="shared" si="3"/>
        <v>#DIV/0!</v>
      </c>
    </row>
    <row r="13" spans="1:15" ht="15" x14ac:dyDescent="0.25">
      <c r="A13">
        <v>11</v>
      </c>
      <c r="B13" s="130">
        <f>'Input A-C &amp; Heat Pump Measures'!G15*12000</f>
        <v>0</v>
      </c>
      <c r="C13" s="129">
        <f>'Input A-C &amp; Heat Pump Measures'!L15*'Input A-C &amp; Heat Pump Measures'!N15</f>
        <v>0</v>
      </c>
      <c r="D13" s="129">
        <f>'Input A-C &amp; Heat Pump Measures'!M15*'Input A-C &amp; Heat Pump Measures'!O15</f>
        <v>0</v>
      </c>
      <c r="E13" s="144" t="e">
        <f t="shared" si="0"/>
        <v>#DIV/0!</v>
      </c>
      <c r="F13" s="128" t="e">
        <f>B13/'HVAC Calcs - OLD'!C13</f>
        <v>#DIV/0!</v>
      </c>
      <c r="G13" s="128" t="e">
        <f>B13/'HVAC Calcs - OLD'!D13</f>
        <v>#DIV/0!</v>
      </c>
      <c r="H13" s="127" t="e">
        <f t="shared" si="1"/>
        <v>#DIV/0!</v>
      </c>
      <c r="I13" s="101" t="e">
        <f>VLOOKUP('Input A-C &amp; Heat Pump Measures'!$E$3,References!$L$103:$O$112,2,FALSE)</f>
        <v>#N/A</v>
      </c>
      <c r="J13" s="101" t="e">
        <f>VLOOKUP('Input A-C &amp; Heat Pump Measures'!$E$3,References!$L$103:$O$112,3,FALSE)</f>
        <v>#N/A</v>
      </c>
      <c r="K13" s="101" t="e">
        <f>VLOOKUP('Input A-C &amp; Heat Pump Measures'!$E$3,References!$L$103:$O$112,4,FALSE)</f>
        <v>#N/A</v>
      </c>
      <c r="M13" s="130" t="e">
        <f t="shared" si="2"/>
        <v>#N/A</v>
      </c>
      <c r="N13" s="116" t="e">
        <f>IF('Input A-C &amp; Heat Pump Measures'!$C15&gt;References!$F$12,B13/1000*J13*H13,0)</f>
        <v>#N/A</v>
      </c>
      <c r="O13" s="117" t="e">
        <f t="shared" si="3"/>
        <v>#DIV/0!</v>
      </c>
    </row>
    <row r="14" spans="1:15" ht="15" x14ac:dyDescent="0.25">
      <c r="A14">
        <v>12</v>
      </c>
      <c r="B14" s="130">
        <f>'Input A-C &amp; Heat Pump Measures'!G16*12000</f>
        <v>0</v>
      </c>
      <c r="C14" s="129">
        <f>'Input A-C &amp; Heat Pump Measures'!L16*'Input A-C &amp; Heat Pump Measures'!N16</f>
        <v>0</v>
      </c>
      <c r="D14" s="129">
        <f>'Input A-C &amp; Heat Pump Measures'!M16*'Input A-C &amp; Heat Pump Measures'!O16</f>
        <v>0</v>
      </c>
      <c r="E14" s="144" t="e">
        <f t="shared" si="0"/>
        <v>#DIV/0!</v>
      </c>
      <c r="F14" s="128" t="e">
        <f>B14/'HVAC Calcs - OLD'!C14</f>
        <v>#DIV/0!</v>
      </c>
      <c r="G14" s="128" t="e">
        <f>B14/'HVAC Calcs - OLD'!D14</f>
        <v>#DIV/0!</v>
      </c>
      <c r="H14" s="127" t="e">
        <f t="shared" si="1"/>
        <v>#DIV/0!</v>
      </c>
      <c r="I14" s="101" t="e">
        <f>VLOOKUP('Input A-C &amp; Heat Pump Measures'!$E$3,References!$L$103:$O$112,2,FALSE)</f>
        <v>#N/A</v>
      </c>
      <c r="J14" s="101" t="e">
        <f>VLOOKUP('Input A-C &amp; Heat Pump Measures'!$E$3,References!$L$103:$O$112,3,FALSE)</f>
        <v>#N/A</v>
      </c>
      <c r="K14" s="101" t="e">
        <f>VLOOKUP('Input A-C &amp; Heat Pump Measures'!$E$3,References!$L$103:$O$112,4,FALSE)</f>
        <v>#N/A</v>
      </c>
      <c r="M14" s="130" t="e">
        <f t="shared" si="2"/>
        <v>#N/A</v>
      </c>
      <c r="N14" s="116" t="e">
        <f>IF('Input A-C &amp; Heat Pump Measures'!$C16&gt;References!$F$12,B14/1000*J14*H14,0)</f>
        <v>#N/A</v>
      </c>
      <c r="O14" s="117" t="e">
        <f t="shared" si="3"/>
        <v>#DIV/0!</v>
      </c>
    </row>
    <row r="15" spans="1:15" ht="15" x14ac:dyDescent="0.25">
      <c r="A15">
        <v>13</v>
      </c>
      <c r="B15" s="130">
        <f>'Input A-C &amp; Heat Pump Measures'!G17*12000</f>
        <v>0</v>
      </c>
      <c r="C15" s="129">
        <f>'Input A-C &amp; Heat Pump Measures'!L17*'Input A-C &amp; Heat Pump Measures'!N17</f>
        <v>0</v>
      </c>
      <c r="D15" s="129">
        <f>'Input A-C &amp; Heat Pump Measures'!M17*'Input A-C &amp; Heat Pump Measures'!O17</f>
        <v>0</v>
      </c>
      <c r="E15" s="144" t="e">
        <f t="shared" si="0"/>
        <v>#DIV/0!</v>
      </c>
      <c r="F15" s="128" t="e">
        <f>B15/'HVAC Calcs - OLD'!C15</f>
        <v>#DIV/0!</v>
      </c>
      <c r="G15" s="128" t="e">
        <f>B15/'HVAC Calcs - OLD'!D15</f>
        <v>#DIV/0!</v>
      </c>
      <c r="H15" s="127" t="e">
        <f t="shared" si="1"/>
        <v>#DIV/0!</v>
      </c>
      <c r="I15" s="101" t="e">
        <f>VLOOKUP('Input A-C &amp; Heat Pump Measures'!$E$3,References!$L$103:$O$112,2,FALSE)</f>
        <v>#N/A</v>
      </c>
      <c r="J15" s="101" t="e">
        <f>VLOOKUP('Input A-C &amp; Heat Pump Measures'!$E$3,References!$L$103:$O$112,3,FALSE)</f>
        <v>#N/A</v>
      </c>
      <c r="K15" s="101" t="e">
        <f>VLOOKUP('Input A-C &amp; Heat Pump Measures'!$E$3,References!$L$103:$O$112,4,FALSE)</f>
        <v>#N/A</v>
      </c>
      <c r="M15" s="130" t="e">
        <f t="shared" si="2"/>
        <v>#N/A</v>
      </c>
      <c r="N15" s="116" t="e">
        <f>IF('Input A-C &amp; Heat Pump Measures'!$C17&gt;References!$F$12,B15/1000*J15*H15,0)</f>
        <v>#N/A</v>
      </c>
      <c r="O15" s="117" t="e">
        <f t="shared" si="3"/>
        <v>#DIV/0!</v>
      </c>
    </row>
    <row r="16" spans="1:15" ht="15" x14ac:dyDescent="0.25">
      <c r="A16">
        <v>14</v>
      </c>
      <c r="B16" s="130">
        <f>'Input A-C &amp; Heat Pump Measures'!G18*12000</f>
        <v>0</v>
      </c>
      <c r="C16" s="129">
        <f>'Input A-C &amp; Heat Pump Measures'!L18*'Input A-C &amp; Heat Pump Measures'!N18</f>
        <v>0</v>
      </c>
      <c r="D16" s="129">
        <f>'Input A-C &amp; Heat Pump Measures'!M18*'Input A-C &amp; Heat Pump Measures'!O18</f>
        <v>0</v>
      </c>
      <c r="E16" s="144" t="e">
        <f t="shared" si="0"/>
        <v>#DIV/0!</v>
      </c>
      <c r="F16" s="128" t="e">
        <f>B16/'HVAC Calcs - OLD'!C16</f>
        <v>#DIV/0!</v>
      </c>
      <c r="G16" s="128" t="e">
        <f>B16/'HVAC Calcs - OLD'!D16</f>
        <v>#DIV/0!</v>
      </c>
      <c r="H16" s="127" t="e">
        <f t="shared" si="1"/>
        <v>#DIV/0!</v>
      </c>
      <c r="I16" s="101" t="e">
        <f>VLOOKUP('Input A-C &amp; Heat Pump Measures'!$E$3,References!$L$103:$O$112,2,FALSE)</f>
        <v>#N/A</v>
      </c>
      <c r="J16" s="101" t="e">
        <f>VLOOKUP('Input A-C &amp; Heat Pump Measures'!$E$3,References!$L$103:$O$112,3,FALSE)</f>
        <v>#N/A</v>
      </c>
      <c r="K16" s="101" t="e">
        <f>VLOOKUP('Input A-C &amp; Heat Pump Measures'!$E$3,References!$L$103:$O$112,4,FALSE)</f>
        <v>#N/A</v>
      </c>
      <c r="M16" s="130" t="e">
        <f t="shared" si="2"/>
        <v>#N/A</v>
      </c>
      <c r="N16" s="116" t="e">
        <f>IF('Input A-C &amp; Heat Pump Measures'!$C18&gt;References!$F$12,B16/1000*J16*H16,0)</f>
        <v>#N/A</v>
      </c>
      <c r="O16" s="117" t="e">
        <f t="shared" si="3"/>
        <v>#DIV/0!</v>
      </c>
    </row>
    <row r="17" spans="1:15" ht="15" x14ac:dyDescent="0.25">
      <c r="A17">
        <v>15</v>
      </c>
      <c r="B17" s="130">
        <f>'Input A-C &amp; Heat Pump Measures'!G19*12000</f>
        <v>0</v>
      </c>
      <c r="C17" s="129">
        <f>'Input A-C &amp; Heat Pump Measures'!L19*'Input A-C &amp; Heat Pump Measures'!N19</f>
        <v>0</v>
      </c>
      <c r="D17" s="129">
        <f>'Input A-C &amp; Heat Pump Measures'!M19*'Input A-C &amp; Heat Pump Measures'!O19</f>
        <v>0</v>
      </c>
      <c r="E17" s="144" t="e">
        <f t="shared" si="0"/>
        <v>#DIV/0!</v>
      </c>
      <c r="F17" s="128" t="e">
        <f>B17/'HVAC Calcs - OLD'!C17</f>
        <v>#DIV/0!</v>
      </c>
      <c r="G17" s="128" t="e">
        <f>B17/'HVAC Calcs - OLD'!D17</f>
        <v>#DIV/0!</v>
      </c>
      <c r="H17" s="127" t="e">
        <f t="shared" si="1"/>
        <v>#DIV/0!</v>
      </c>
      <c r="I17" s="101" t="e">
        <f>VLOOKUP('Input A-C &amp; Heat Pump Measures'!$E$3,References!$L$103:$O$112,2,FALSE)</f>
        <v>#N/A</v>
      </c>
      <c r="J17" s="101" t="e">
        <f>VLOOKUP('Input A-C &amp; Heat Pump Measures'!$E$3,References!$L$103:$O$112,3,FALSE)</f>
        <v>#N/A</v>
      </c>
      <c r="K17" s="101" t="e">
        <f>VLOOKUP('Input A-C &amp; Heat Pump Measures'!$E$3,References!$L$103:$O$112,4,FALSE)</f>
        <v>#N/A</v>
      </c>
      <c r="M17" s="130" t="e">
        <f t="shared" si="2"/>
        <v>#N/A</v>
      </c>
      <c r="N17" s="116" t="e">
        <f>IF('Input A-C &amp; Heat Pump Measures'!$C19&gt;References!$F$12,B17/1000*J17*H17,0)</f>
        <v>#N/A</v>
      </c>
      <c r="O17" s="117" t="e">
        <f t="shared" si="3"/>
        <v>#DIV/0!</v>
      </c>
    </row>
    <row r="18" spans="1:15" ht="15" x14ac:dyDescent="0.25">
      <c r="A18">
        <v>16</v>
      </c>
      <c r="B18" s="130">
        <f>'Input A-C &amp; Heat Pump Measures'!G20*12000</f>
        <v>0</v>
      </c>
      <c r="C18" s="129">
        <f>'Input A-C &amp; Heat Pump Measures'!L20*'Input A-C &amp; Heat Pump Measures'!N20</f>
        <v>0</v>
      </c>
      <c r="D18" s="129">
        <f>'Input A-C &amp; Heat Pump Measures'!M20*'Input A-C &amp; Heat Pump Measures'!O20</f>
        <v>0</v>
      </c>
      <c r="E18" s="144" t="e">
        <f t="shared" si="0"/>
        <v>#DIV/0!</v>
      </c>
      <c r="F18" s="128" t="e">
        <f>B18/'HVAC Calcs - OLD'!C18</f>
        <v>#DIV/0!</v>
      </c>
      <c r="G18" s="128" t="e">
        <f>B18/'HVAC Calcs - OLD'!D18</f>
        <v>#DIV/0!</v>
      </c>
      <c r="H18" s="127" t="e">
        <f t="shared" si="1"/>
        <v>#DIV/0!</v>
      </c>
      <c r="I18" s="101" t="e">
        <f>VLOOKUP('Input A-C &amp; Heat Pump Measures'!$E$3,References!$L$103:$O$112,2,FALSE)</f>
        <v>#N/A</v>
      </c>
      <c r="J18" s="101" t="e">
        <f>VLOOKUP('Input A-C &amp; Heat Pump Measures'!$E$3,References!$L$103:$O$112,3,FALSE)</f>
        <v>#N/A</v>
      </c>
      <c r="K18" s="101" t="e">
        <f>VLOOKUP('Input A-C &amp; Heat Pump Measures'!$E$3,References!$L$103:$O$112,4,FALSE)</f>
        <v>#N/A</v>
      </c>
      <c r="M18" s="130" t="e">
        <f t="shared" si="2"/>
        <v>#N/A</v>
      </c>
      <c r="N18" s="116" t="e">
        <f>IF('Input A-C &amp; Heat Pump Measures'!$C20&gt;References!$F$12,B18/1000*J18*H18,0)</f>
        <v>#N/A</v>
      </c>
      <c r="O18" s="117" t="e">
        <f t="shared" si="3"/>
        <v>#DIV/0!</v>
      </c>
    </row>
    <row r="19" spans="1:15" ht="15" x14ac:dyDescent="0.25">
      <c r="A19">
        <v>17</v>
      </c>
      <c r="B19" s="130">
        <f>'Input A-C &amp; Heat Pump Measures'!G21*12000</f>
        <v>0</v>
      </c>
      <c r="C19" s="129">
        <f>'Input A-C &amp; Heat Pump Measures'!L21*'Input A-C &amp; Heat Pump Measures'!N21</f>
        <v>0</v>
      </c>
      <c r="D19" s="129">
        <f>'Input A-C &amp; Heat Pump Measures'!M21*'Input A-C &amp; Heat Pump Measures'!O21</f>
        <v>0</v>
      </c>
      <c r="E19" s="144" t="e">
        <f t="shared" si="0"/>
        <v>#DIV/0!</v>
      </c>
      <c r="F19" s="128" t="e">
        <f>B19/'HVAC Calcs - OLD'!C19</f>
        <v>#DIV/0!</v>
      </c>
      <c r="G19" s="128" t="e">
        <f>B19/'HVAC Calcs - OLD'!D19</f>
        <v>#DIV/0!</v>
      </c>
      <c r="H19" s="127" t="e">
        <f t="shared" si="1"/>
        <v>#DIV/0!</v>
      </c>
      <c r="I19" s="101" t="e">
        <f>VLOOKUP('Input A-C &amp; Heat Pump Measures'!$E$3,References!$L$103:$O$112,2,FALSE)</f>
        <v>#N/A</v>
      </c>
      <c r="J19" s="101" t="e">
        <f>VLOOKUP('Input A-C &amp; Heat Pump Measures'!$E$3,References!$L$103:$O$112,3,FALSE)</f>
        <v>#N/A</v>
      </c>
      <c r="K19" s="101" t="e">
        <f>VLOOKUP('Input A-C &amp; Heat Pump Measures'!$E$3,References!$L$103:$O$112,4,FALSE)</f>
        <v>#N/A</v>
      </c>
      <c r="M19" s="130" t="e">
        <f t="shared" si="2"/>
        <v>#N/A</v>
      </c>
      <c r="N19" s="116" t="e">
        <f>IF('Input A-C &amp; Heat Pump Measures'!$C21&gt;References!$F$12,B19/1000*J19*H19,0)</f>
        <v>#N/A</v>
      </c>
      <c r="O19" s="117" t="e">
        <f t="shared" si="3"/>
        <v>#DIV/0!</v>
      </c>
    </row>
    <row r="20" spans="1:15" ht="15" x14ac:dyDescent="0.25">
      <c r="A20">
        <v>18</v>
      </c>
      <c r="B20" s="130">
        <f>'Input A-C &amp; Heat Pump Measures'!G22*12000</f>
        <v>0</v>
      </c>
      <c r="C20" s="129">
        <f>'Input A-C &amp; Heat Pump Measures'!L22*'Input A-C &amp; Heat Pump Measures'!N22</f>
        <v>0</v>
      </c>
      <c r="D20" s="129">
        <f>'Input A-C &amp; Heat Pump Measures'!M22*'Input A-C &amp; Heat Pump Measures'!O22</f>
        <v>0</v>
      </c>
      <c r="E20" s="144" t="e">
        <f t="shared" si="0"/>
        <v>#DIV/0!</v>
      </c>
      <c r="F20" s="128" t="e">
        <f>B20/'HVAC Calcs - OLD'!C20</f>
        <v>#DIV/0!</v>
      </c>
      <c r="G20" s="128" t="e">
        <f>B20/'HVAC Calcs - OLD'!D20</f>
        <v>#DIV/0!</v>
      </c>
      <c r="H20" s="127" t="e">
        <f t="shared" si="1"/>
        <v>#DIV/0!</v>
      </c>
      <c r="I20" s="101" t="e">
        <f>VLOOKUP('Input A-C &amp; Heat Pump Measures'!$E$3,References!$L$103:$O$112,2,FALSE)</f>
        <v>#N/A</v>
      </c>
      <c r="J20" s="101" t="e">
        <f>VLOOKUP('Input A-C &amp; Heat Pump Measures'!$E$3,References!$L$103:$O$112,3,FALSE)</f>
        <v>#N/A</v>
      </c>
      <c r="K20" s="101" t="e">
        <f>VLOOKUP('Input A-C &amp; Heat Pump Measures'!$E$3,References!$L$103:$O$112,4,FALSE)</f>
        <v>#N/A</v>
      </c>
      <c r="M20" s="130" t="e">
        <f t="shared" si="2"/>
        <v>#N/A</v>
      </c>
      <c r="N20" s="116" t="e">
        <f>IF('Input A-C &amp; Heat Pump Measures'!$C22&gt;References!$F$12,B20/1000*J20*H20,0)</f>
        <v>#N/A</v>
      </c>
      <c r="O20" s="117" t="e">
        <f t="shared" si="3"/>
        <v>#DIV/0!</v>
      </c>
    </row>
    <row r="21" spans="1:15" ht="15" x14ac:dyDescent="0.25">
      <c r="A21">
        <v>19</v>
      </c>
      <c r="B21" s="130">
        <f>'Input A-C &amp; Heat Pump Measures'!G23*12000</f>
        <v>0</v>
      </c>
      <c r="C21" s="129">
        <f>'Input A-C &amp; Heat Pump Measures'!L23*'Input A-C &amp; Heat Pump Measures'!N23</f>
        <v>0</v>
      </c>
      <c r="D21" s="129">
        <f>'Input A-C &amp; Heat Pump Measures'!M23*'Input A-C &amp; Heat Pump Measures'!O23</f>
        <v>0</v>
      </c>
      <c r="E21" s="144" t="e">
        <f t="shared" si="0"/>
        <v>#DIV/0!</v>
      </c>
      <c r="F21" s="128" t="e">
        <f>B21/'HVAC Calcs - OLD'!C21</f>
        <v>#DIV/0!</v>
      </c>
      <c r="G21" s="128" t="e">
        <f>B21/'HVAC Calcs - OLD'!D21</f>
        <v>#DIV/0!</v>
      </c>
      <c r="H21" s="127" t="e">
        <f t="shared" si="1"/>
        <v>#DIV/0!</v>
      </c>
      <c r="I21" s="101" t="e">
        <f>VLOOKUP('Input A-C &amp; Heat Pump Measures'!$E$3,References!$L$103:$O$112,2,FALSE)</f>
        <v>#N/A</v>
      </c>
      <c r="J21" s="101" t="e">
        <f>VLOOKUP('Input A-C &amp; Heat Pump Measures'!$E$3,References!$L$103:$O$112,3,FALSE)</f>
        <v>#N/A</v>
      </c>
      <c r="K21" s="101" t="e">
        <f>VLOOKUP('Input A-C &amp; Heat Pump Measures'!$E$3,References!$L$103:$O$112,4,FALSE)</f>
        <v>#N/A</v>
      </c>
      <c r="M21" s="130" t="e">
        <f t="shared" si="2"/>
        <v>#N/A</v>
      </c>
      <c r="N21" s="116" t="e">
        <f>IF('Input A-C &amp; Heat Pump Measures'!$C23&gt;References!$F$12,B21/1000*J21*H21,0)</f>
        <v>#N/A</v>
      </c>
      <c r="O21" s="117" t="e">
        <f t="shared" si="3"/>
        <v>#DIV/0!</v>
      </c>
    </row>
    <row r="22" spans="1:15" ht="15" x14ac:dyDescent="0.25">
      <c r="A22">
        <v>20</v>
      </c>
      <c r="B22" s="130">
        <f>'Input A-C &amp; Heat Pump Measures'!G24*12000</f>
        <v>0</v>
      </c>
      <c r="C22" s="129">
        <f>'Input A-C &amp; Heat Pump Measures'!L24*'Input A-C &amp; Heat Pump Measures'!N24</f>
        <v>0</v>
      </c>
      <c r="D22" s="129">
        <f>'Input A-C &amp; Heat Pump Measures'!M24*'Input A-C &amp; Heat Pump Measures'!O24</f>
        <v>0</v>
      </c>
      <c r="E22" s="144" t="e">
        <f t="shared" si="0"/>
        <v>#DIV/0!</v>
      </c>
      <c r="F22" s="128" t="e">
        <f>B22/'HVAC Calcs - OLD'!C22</f>
        <v>#DIV/0!</v>
      </c>
      <c r="G22" s="128" t="e">
        <f>B22/'HVAC Calcs - OLD'!D22</f>
        <v>#DIV/0!</v>
      </c>
      <c r="H22" s="127" t="e">
        <f t="shared" si="1"/>
        <v>#DIV/0!</v>
      </c>
      <c r="I22" s="101" t="e">
        <f>VLOOKUP('Input A-C &amp; Heat Pump Measures'!$E$3,References!$L$103:$O$112,2,FALSE)</f>
        <v>#N/A</v>
      </c>
      <c r="J22" s="101" t="e">
        <f>VLOOKUP('Input A-C &amp; Heat Pump Measures'!$E$3,References!$L$103:$O$112,3,FALSE)</f>
        <v>#N/A</v>
      </c>
      <c r="K22" s="101" t="e">
        <f>VLOOKUP('Input A-C &amp; Heat Pump Measures'!$E$3,References!$L$103:$O$112,4,FALSE)</f>
        <v>#N/A</v>
      </c>
      <c r="M22" s="130" t="e">
        <f t="shared" si="2"/>
        <v>#N/A</v>
      </c>
      <c r="N22" s="116" t="e">
        <f>IF('Input A-C &amp; Heat Pump Measures'!$C24&gt;References!$F$12,B22/1000*J22*H22,0)</f>
        <v>#N/A</v>
      </c>
      <c r="O22" s="117" t="e">
        <f t="shared" si="3"/>
        <v>#DIV/0!</v>
      </c>
    </row>
    <row r="23" spans="1:15" ht="15" x14ac:dyDescent="0.25">
      <c r="A23">
        <v>21</v>
      </c>
      <c r="B23" s="130">
        <f>'Input A-C &amp; Heat Pump Measures'!G25*12000</f>
        <v>0</v>
      </c>
      <c r="C23" s="129">
        <f>'Input A-C &amp; Heat Pump Measures'!L25*'Input A-C &amp; Heat Pump Measures'!N25</f>
        <v>0</v>
      </c>
      <c r="D23" s="129">
        <f>'Input A-C &amp; Heat Pump Measures'!M25*'Input A-C &amp; Heat Pump Measures'!O25</f>
        <v>0</v>
      </c>
      <c r="E23" s="144" t="e">
        <f t="shared" si="0"/>
        <v>#DIV/0!</v>
      </c>
      <c r="F23" s="128" t="e">
        <f>B23/'HVAC Calcs - OLD'!C23</f>
        <v>#DIV/0!</v>
      </c>
      <c r="G23" s="128" t="e">
        <f>B23/'HVAC Calcs - OLD'!D23</f>
        <v>#DIV/0!</v>
      </c>
      <c r="H23" s="127" t="e">
        <f t="shared" si="1"/>
        <v>#DIV/0!</v>
      </c>
      <c r="I23" s="101" t="e">
        <f>VLOOKUP('Input A-C &amp; Heat Pump Measures'!$E$3,References!$L$103:$O$112,2,FALSE)</f>
        <v>#N/A</v>
      </c>
      <c r="J23" s="101" t="e">
        <f>VLOOKUP('Input A-C &amp; Heat Pump Measures'!$E$3,References!$L$103:$O$112,3,FALSE)</f>
        <v>#N/A</v>
      </c>
      <c r="K23" s="101" t="e">
        <f>VLOOKUP('Input A-C &amp; Heat Pump Measures'!$E$3,References!$L$103:$O$112,4,FALSE)</f>
        <v>#N/A</v>
      </c>
      <c r="M23" s="130" t="e">
        <f t="shared" si="2"/>
        <v>#N/A</v>
      </c>
      <c r="N23" s="116" t="e">
        <f>IF('Input A-C &amp; Heat Pump Measures'!$C25&gt;References!$F$12,B23/1000*J23*H23,0)</f>
        <v>#N/A</v>
      </c>
      <c r="O23" s="117" t="e">
        <f t="shared" si="3"/>
        <v>#DIV/0!</v>
      </c>
    </row>
    <row r="24" spans="1:15" ht="15" x14ac:dyDescent="0.25">
      <c r="A24">
        <v>22</v>
      </c>
      <c r="B24" s="130">
        <f>'Input A-C &amp; Heat Pump Measures'!G26*12000</f>
        <v>0</v>
      </c>
      <c r="C24" s="129">
        <f>'Input A-C &amp; Heat Pump Measures'!L26*'Input A-C &amp; Heat Pump Measures'!N26</f>
        <v>0</v>
      </c>
      <c r="D24" s="129">
        <f>'Input A-C &amp; Heat Pump Measures'!M26*'Input A-C &amp; Heat Pump Measures'!O26</f>
        <v>0</v>
      </c>
      <c r="E24" s="144" t="e">
        <f t="shared" si="0"/>
        <v>#DIV/0!</v>
      </c>
      <c r="F24" s="128" t="e">
        <f>B24/'HVAC Calcs - OLD'!C24</f>
        <v>#DIV/0!</v>
      </c>
      <c r="G24" s="128" t="e">
        <f>B24/'HVAC Calcs - OLD'!D24</f>
        <v>#DIV/0!</v>
      </c>
      <c r="H24" s="127" t="e">
        <f t="shared" si="1"/>
        <v>#DIV/0!</v>
      </c>
      <c r="I24" s="101" t="e">
        <f>VLOOKUP('Input A-C &amp; Heat Pump Measures'!$E$3,References!$L$103:$O$112,2,FALSE)</f>
        <v>#N/A</v>
      </c>
      <c r="J24" s="101" t="e">
        <f>VLOOKUP('Input A-C &amp; Heat Pump Measures'!$E$3,References!$L$103:$O$112,3,FALSE)</f>
        <v>#N/A</v>
      </c>
      <c r="K24" s="101" t="e">
        <f>VLOOKUP('Input A-C &amp; Heat Pump Measures'!$E$3,References!$L$103:$O$112,4,FALSE)</f>
        <v>#N/A</v>
      </c>
      <c r="M24" s="130" t="e">
        <f t="shared" si="2"/>
        <v>#N/A</v>
      </c>
      <c r="N24" s="116" t="e">
        <f>IF('Input A-C &amp; Heat Pump Measures'!$C26&gt;References!$F$12,B24/1000*J24*H24,0)</f>
        <v>#N/A</v>
      </c>
      <c r="O24" s="117" t="e">
        <f t="shared" si="3"/>
        <v>#DIV/0!</v>
      </c>
    </row>
    <row r="25" spans="1:15" ht="15" x14ac:dyDescent="0.25">
      <c r="A25">
        <v>23</v>
      </c>
      <c r="B25" s="130">
        <f>'Input A-C &amp; Heat Pump Measures'!G27*12000</f>
        <v>0</v>
      </c>
      <c r="C25" s="129">
        <f>'Input A-C &amp; Heat Pump Measures'!L27*'Input A-C &amp; Heat Pump Measures'!N27</f>
        <v>0</v>
      </c>
      <c r="D25" s="129">
        <f>'Input A-C &amp; Heat Pump Measures'!M27*'Input A-C &amp; Heat Pump Measures'!O27</f>
        <v>0</v>
      </c>
      <c r="E25" s="144" t="e">
        <f t="shared" si="0"/>
        <v>#DIV/0!</v>
      </c>
      <c r="F25" s="128" t="e">
        <f>B25/'HVAC Calcs - OLD'!C25</f>
        <v>#DIV/0!</v>
      </c>
      <c r="G25" s="128" t="e">
        <f>B25/'HVAC Calcs - OLD'!D25</f>
        <v>#DIV/0!</v>
      </c>
      <c r="H25" s="127" t="e">
        <f t="shared" si="1"/>
        <v>#DIV/0!</v>
      </c>
      <c r="I25" s="101" t="e">
        <f>VLOOKUP('Input A-C &amp; Heat Pump Measures'!$E$3,References!$L$103:$O$112,2,FALSE)</f>
        <v>#N/A</v>
      </c>
      <c r="J25" s="101" t="e">
        <f>VLOOKUP('Input A-C &amp; Heat Pump Measures'!$E$3,References!$L$103:$O$112,3,FALSE)</f>
        <v>#N/A</v>
      </c>
      <c r="K25" s="101" t="e">
        <f>VLOOKUP('Input A-C &amp; Heat Pump Measures'!$E$3,References!$L$103:$O$112,4,FALSE)</f>
        <v>#N/A</v>
      </c>
      <c r="M25" s="130" t="e">
        <f t="shared" si="2"/>
        <v>#N/A</v>
      </c>
      <c r="N25" s="116" t="e">
        <f>IF('Input A-C &amp; Heat Pump Measures'!$C27&gt;References!$F$12,B25/1000*J25*H25,0)</f>
        <v>#N/A</v>
      </c>
      <c r="O25" s="117" t="e">
        <f t="shared" si="3"/>
        <v>#DIV/0!</v>
      </c>
    </row>
    <row r="26" spans="1:15" ht="15" x14ac:dyDescent="0.25">
      <c r="A26">
        <v>24</v>
      </c>
      <c r="B26" s="130">
        <f>'Input A-C &amp; Heat Pump Measures'!G28*12000</f>
        <v>0</v>
      </c>
      <c r="C26" s="129">
        <f>'Input A-C &amp; Heat Pump Measures'!L28*'Input A-C &amp; Heat Pump Measures'!N28</f>
        <v>0</v>
      </c>
      <c r="D26" s="129">
        <f>'Input A-C &amp; Heat Pump Measures'!M28*'Input A-C &amp; Heat Pump Measures'!O28</f>
        <v>0</v>
      </c>
      <c r="E26" s="144" t="e">
        <f t="shared" si="0"/>
        <v>#DIV/0!</v>
      </c>
      <c r="F26" s="128" t="e">
        <f>B26/'HVAC Calcs - OLD'!C26</f>
        <v>#DIV/0!</v>
      </c>
      <c r="G26" s="128" t="e">
        <f>B26/'HVAC Calcs - OLD'!D26</f>
        <v>#DIV/0!</v>
      </c>
      <c r="H26" s="127" t="e">
        <f t="shared" si="1"/>
        <v>#DIV/0!</v>
      </c>
      <c r="I26" s="101" t="e">
        <f>VLOOKUP('Input A-C &amp; Heat Pump Measures'!$E$3,References!$L$103:$O$112,2,FALSE)</f>
        <v>#N/A</v>
      </c>
      <c r="J26" s="101" t="e">
        <f>VLOOKUP('Input A-C &amp; Heat Pump Measures'!$E$3,References!$L$103:$O$112,3,FALSE)</f>
        <v>#N/A</v>
      </c>
      <c r="K26" s="101" t="e">
        <f>VLOOKUP('Input A-C &amp; Heat Pump Measures'!$E$3,References!$L$103:$O$112,4,FALSE)</f>
        <v>#N/A</v>
      </c>
      <c r="M26" s="130" t="e">
        <f t="shared" si="2"/>
        <v>#N/A</v>
      </c>
      <c r="N26" s="116" t="e">
        <f>IF('Input A-C &amp; Heat Pump Measures'!$C28&gt;References!$F$12,B26/1000*J26*H26,0)</f>
        <v>#N/A</v>
      </c>
      <c r="O26" s="117" t="e">
        <f t="shared" si="3"/>
        <v>#DIV/0!</v>
      </c>
    </row>
    <row r="27" spans="1:15" ht="15" x14ac:dyDescent="0.25">
      <c r="A27">
        <v>25</v>
      </c>
      <c r="B27" s="130">
        <f>'Input A-C &amp; Heat Pump Measures'!G29*12000</f>
        <v>0</v>
      </c>
      <c r="C27" s="129">
        <f>'Input A-C &amp; Heat Pump Measures'!L29*'Input A-C &amp; Heat Pump Measures'!N29</f>
        <v>0</v>
      </c>
      <c r="D27" s="129">
        <f>'Input A-C &amp; Heat Pump Measures'!M29*'Input A-C &amp; Heat Pump Measures'!O29</f>
        <v>0</v>
      </c>
      <c r="E27" s="144" t="e">
        <f t="shared" si="0"/>
        <v>#DIV/0!</v>
      </c>
      <c r="F27" s="128" t="e">
        <f>B27/'HVAC Calcs - OLD'!C27</f>
        <v>#DIV/0!</v>
      </c>
      <c r="G27" s="128" t="e">
        <f>B27/'HVAC Calcs - OLD'!D27</f>
        <v>#DIV/0!</v>
      </c>
      <c r="H27" s="127" t="e">
        <f t="shared" si="1"/>
        <v>#DIV/0!</v>
      </c>
      <c r="I27" s="101" t="e">
        <f>VLOOKUP('Input A-C &amp; Heat Pump Measures'!$E$3,References!$L$103:$O$112,2,FALSE)</f>
        <v>#N/A</v>
      </c>
      <c r="J27" s="101" t="e">
        <f>VLOOKUP('Input A-C &amp; Heat Pump Measures'!$E$3,References!$L$103:$O$112,3,FALSE)</f>
        <v>#N/A</v>
      </c>
      <c r="K27" s="101" t="e">
        <f>VLOOKUP('Input A-C &amp; Heat Pump Measures'!$E$3,References!$L$103:$O$112,4,FALSE)</f>
        <v>#N/A</v>
      </c>
      <c r="M27" s="130" t="e">
        <f t="shared" si="2"/>
        <v>#N/A</v>
      </c>
      <c r="N27" s="116" t="e">
        <f>IF('Input A-C &amp; Heat Pump Measures'!$C29&gt;References!$F$12,B27/1000*J27*H27,0)</f>
        <v>#N/A</v>
      </c>
      <c r="O27" s="117" t="e">
        <f t="shared" si="3"/>
        <v>#DIV/0!</v>
      </c>
    </row>
    <row r="28" spans="1:15" ht="15" x14ac:dyDescent="0.25">
      <c r="A28">
        <v>26</v>
      </c>
      <c r="B28" s="130">
        <f>'Input A-C &amp; Heat Pump Measures'!G30*12000</f>
        <v>0</v>
      </c>
      <c r="C28" s="129">
        <f>'Input A-C &amp; Heat Pump Measures'!L30*'Input A-C &amp; Heat Pump Measures'!N30</f>
        <v>0</v>
      </c>
      <c r="D28" s="129">
        <f>'Input A-C &amp; Heat Pump Measures'!M30*'Input A-C &amp; Heat Pump Measures'!O30</f>
        <v>0</v>
      </c>
      <c r="E28" s="144" t="e">
        <f t="shared" si="0"/>
        <v>#DIV/0!</v>
      </c>
      <c r="F28" s="128" t="e">
        <f>B28/'HVAC Calcs - OLD'!C28</f>
        <v>#DIV/0!</v>
      </c>
      <c r="G28" s="128" t="e">
        <f>B28/'HVAC Calcs - OLD'!D28</f>
        <v>#DIV/0!</v>
      </c>
      <c r="H28" s="127" t="e">
        <f t="shared" si="1"/>
        <v>#DIV/0!</v>
      </c>
      <c r="I28" s="101" t="e">
        <f>VLOOKUP('Input A-C &amp; Heat Pump Measures'!$E$3,References!$L$103:$O$112,2,FALSE)</f>
        <v>#N/A</v>
      </c>
      <c r="J28" s="101" t="e">
        <f>VLOOKUP('Input A-C &amp; Heat Pump Measures'!$E$3,References!$L$103:$O$112,3,FALSE)</f>
        <v>#N/A</v>
      </c>
      <c r="K28" s="101" t="e">
        <f>VLOOKUP('Input A-C &amp; Heat Pump Measures'!$E$3,References!$L$103:$O$112,4,FALSE)</f>
        <v>#N/A</v>
      </c>
      <c r="M28" s="130" t="e">
        <f t="shared" si="2"/>
        <v>#N/A</v>
      </c>
      <c r="N28" s="116" t="e">
        <f>IF('Input A-C &amp; Heat Pump Measures'!$C30&gt;References!$F$12,B28/1000*J28*H28,0)</f>
        <v>#N/A</v>
      </c>
      <c r="O28" s="117" t="e">
        <f t="shared" si="3"/>
        <v>#DIV/0!</v>
      </c>
    </row>
    <row r="29" spans="1:15" ht="15" x14ac:dyDescent="0.25">
      <c r="A29">
        <v>27</v>
      </c>
      <c r="B29" s="130">
        <f>'Input A-C &amp; Heat Pump Measures'!G31*12000</f>
        <v>0</v>
      </c>
      <c r="C29" s="129">
        <f>'Input A-C &amp; Heat Pump Measures'!L31*'Input A-C &amp; Heat Pump Measures'!N31</f>
        <v>0</v>
      </c>
      <c r="D29" s="129">
        <f>'Input A-C &amp; Heat Pump Measures'!M31*'Input A-C &amp; Heat Pump Measures'!O31</f>
        <v>0</v>
      </c>
      <c r="E29" s="144" t="e">
        <f t="shared" si="0"/>
        <v>#DIV/0!</v>
      </c>
      <c r="F29" s="128" t="e">
        <f>B29/'HVAC Calcs - OLD'!C29</f>
        <v>#DIV/0!</v>
      </c>
      <c r="G29" s="128" t="e">
        <f>B29/'HVAC Calcs - OLD'!D29</f>
        <v>#DIV/0!</v>
      </c>
      <c r="H29" s="127" t="e">
        <f t="shared" si="1"/>
        <v>#DIV/0!</v>
      </c>
      <c r="I29" s="101" t="e">
        <f>VLOOKUP('Input A-C &amp; Heat Pump Measures'!$E$3,References!$L$103:$O$112,2,FALSE)</f>
        <v>#N/A</v>
      </c>
      <c r="J29" s="101" t="e">
        <f>VLOOKUP('Input A-C &amp; Heat Pump Measures'!$E$3,References!$L$103:$O$112,3,FALSE)</f>
        <v>#N/A</v>
      </c>
      <c r="K29" s="101" t="e">
        <f>VLOOKUP('Input A-C &amp; Heat Pump Measures'!$E$3,References!$L$103:$O$112,4,FALSE)</f>
        <v>#N/A</v>
      </c>
      <c r="M29" s="130" t="e">
        <f t="shared" si="2"/>
        <v>#N/A</v>
      </c>
      <c r="N29" s="116" t="e">
        <f>IF('Input A-C &amp; Heat Pump Measures'!$C31&gt;References!$F$12,B29/1000*J29*H29,0)</f>
        <v>#N/A</v>
      </c>
      <c r="O29" s="117" t="e">
        <f t="shared" si="3"/>
        <v>#DIV/0!</v>
      </c>
    </row>
    <row r="30" spans="1:15" ht="15" x14ac:dyDescent="0.25">
      <c r="A30">
        <v>28</v>
      </c>
      <c r="B30" s="130">
        <f>'Input A-C &amp; Heat Pump Measures'!G32*12000</f>
        <v>0</v>
      </c>
      <c r="C30" s="129">
        <f>'Input A-C &amp; Heat Pump Measures'!L32*'Input A-C &amp; Heat Pump Measures'!N32</f>
        <v>0</v>
      </c>
      <c r="D30" s="129">
        <f>'Input A-C &amp; Heat Pump Measures'!M32*'Input A-C &amp; Heat Pump Measures'!O32</f>
        <v>0</v>
      </c>
      <c r="E30" s="144" t="e">
        <f t="shared" si="0"/>
        <v>#DIV/0!</v>
      </c>
      <c r="F30" s="128" t="e">
        <f>B30/'HVAC Calcs - OLD'!C30</f>
        <v>#DIV/0!</v>
      </c>
      <c r="G30" s="128" t="e">
        <f>B30/'HVAC Calcs - OLD'!D30</f>
        <v>#DIV/0!</v>
      </c>
      <c r="H30" s="127" t="e">
        <f t="shared" si="1"/>
        <v>#DIV/0!</v>
      </c>
      <c r="I30" s="101" t="e">
        <f>VLOOKUP('Input A-C &amp; Heat Pump Measures'!$E$3,References!$L$103:$O$112,2,FALSE)</f>
        <v>#N/A</v>
      </c>
      <c r="J30" s="101" t="e">
        <f>VLOOKUP('Input A-C &amp; Heat Pump Measures'!$E$3,References!$L$103:$O$112,3,FALSE)</f>
        <v>#N/A</v>
      </c>
      <c r="K30" s="101" t="e">
        <f>VLOOKUP('Input A-C &amp; Heat Pump Measures'!$E$3,References!$L$103:$O$112,4,FALSE)</f>
        <v>#N/A</v>
      </c>
      <c r="M30" s="130" t="e">
        <f t="shared" si="2"/>
        <v>#N/A</v>
      </c>
      <c r="N30" s="116" t="e">
        <f>IF('Input A-C &amp; Heat Pump Measures'!$C32&gt;References!$F$12,B30/1000*J30*H30,0)</f>
        <v>#N/A</v>
      </c>
      <c r="O30" s="117" t="e">
        <f t="shared" si="3"/>
        <v>#DIV/0!</v>
      </c>
    </row>
    <row r="31" spans="1:15" ht="15" x14ac:dyDescent="0.25">
      <c r="A31">
        <v>29</v>
      </c>
      <c r="B31" s="130">
        <f>'Input A-C &amp; Heat Pump Measures'!G33*12000</f>
        <v>0</v>
      </c>
      <c r="C31" s="129">
        <f>'Input A-C &amp; Heat Pump Measures'!L33*'Input A-C &amp; Heat Pump Measures'!N33</f>
        <v>0</v>
      </c>
      <c r="D31" s="129">
        <f>'Input A-C &amp; Heat Pump Measures'!M33*'Input A-C &amp; Heat Pump Measures'!O33</f>
        <v>0</v>
      </c>
      <c r="E31" s="144" t="e">
        <f t="shared" si="0"/>
        <v>#DIV/0!</v>
      </c>
      <c r="F31" s="128" t="e">
        <f>B31/'HVAC Calcs - OLD'!C31</f>
        <v>#DIV/0!</v>
      </c>
      <c r="G31" s="128" t="e">
        <f>B31/'HVAC Calcs - OLD'!D31</f>
        <v>#DIV/0!</v>
      </c>
      <c r="H31" s="127" t="e">
        <f t="shared" si="1"/>
        <v>#DIV/0!</v>
      </c>
      <c r="I31" s="101" t="e">
        <f>VLOOKUP('Input A-C &amp; Heat Pump Measures'!$E$3,References!$L$103:$O$112,2,FALSE)</f>
        <v>#N/A</v>
      </c>
      <c r="J31" s="101" t="e">
        <f>VLOOKUP('Input A-C &amp; Heat Pump Measures'!$E$3,References!$L$103:$O$112,3,FALSE)</f>
        <v>#N/A</v>
      </c>
      <c r="K31" s="101" t="e">
        <f>VLOOKUP('Input A-C &amp; Heat Pump Measures'!$E$3,References!$L$103:$O$112,4,FALSE)</f>
        <v>#N/A</v>
      </c>
      <c r="M31" s="130" t="e">
        <f t="shared" si="2"/>
        <v>#N/A</v>
      </c>
      <c r="N31" s="116" t="e">
        <f>IF('Input A-C &amp; Heat Pump Measures'!$C33&gt;References!$F$12,B31/1000*J31*H31,0)</f>
        <v>#N/A</v>
      </c>
      <c r="O31" s="117" t="e">
        <f t="shared" si="3"/>
        <v>#DIV/0!</v>
      </c>
    </row>
    <row r="32" spans="1:15" ht="15" x14ac:dyDescent="0.25">
      <c r="A32">
        <v>30</v>
      </c>
      <c r="B32" s="130">
        <f>'Input A-C &amp; Heat Pump Measures'!G34*12000</f>
        <v>0</v>
      </c>
      <c r="C32" s="129">
        <f>'Input A-C &amp; Heat Pump Measures'!L34*'Input A-C &amp; Heat Pump Measures'!N34</f>
        <v>0</v>
      </c>
      <c r="D32" s="129">
        <f>'Input A-C &amp; Heat Pump Measures'!M34*'Input A-C &amp; Heat Pump Measures'!O34</f>
        <v>0</v>
      </c>
      <c r="E32" s="144" t="e">
        <f t="shared" si="0"/>
        <v>#DIV/0!</v>
      </c>
      <c r="F32" s="128" t="e">
        <f>B32/'HVAC Calcs - OLD'!C32</f>
        <v>#DIV/0!</v>
      </c>
      <c r="G32" s="128" t="e">
        <f>B32/'HVAC Calcs - OLD'!D32</f>
        <v>#DIV/0!</v>
      </c>
      <c r="H32" s="127" t="e">
        <f t="shared" si="1"/>
        <v>#DIV/0!</v>
      </c>
      <c r="I32" s="101" t="e">
        <f>VLOOKUP('Input A-C &amp; Heat Pump Measures'!$E$3,References!$L$103:$O$112,2,FALSE)</f>
        <v>#N/A</v>
      </c>
      <c r="J32" s="101" t="e">
        <f>VLOOKUP('Input A-C &amp; Heat Pump Measures'!$E$3,References!$L$103:$O$112,3,FALSE)</f>
        <v>#N/A</v>
      </c>
      <c r="K32" s="101" t="e">
        <f>VLOOKUP('Input A-C &amp; Heat Pump Measures'!$E$3,References!$L$103:$O$112,4,FALSE)</f>
        <v>#N/A</v>
      </c>
      <c r="M32" s="130" t="e">
        <f t="shared" si="2"/>
        <v>#N/A</v>
      </c>
      <c r="N32" s="116" t="e">
        <f>IF('Input A-C &amp; Heat Pump Measures'!$C34&gt;References!$F$12,B32/1000*J32*H32,0)</f>
        <v>#N/A</v>
      </c>
      <c r="O32" s="117" t="e">
        <f t="shared" si="3"/>
        <v>#DIV/0!</v>
      </c>
    </row>
    <row r="33" spans="1:15" ht="15" x14ac:dyDescent="0.25">
      <c r="A33">
        <v>31</v>
      </c>
      <c r="B33" s="130">
        <f>'Input A-C &amp; Heat Pump Measures'!G35*12000</f>
        <v>0</v>
      </c>
      <c r="C33" s="129">
        <f>'Input A-C &amp; Heat Pump Measures'!L35*'Input A-C &amp; Heat Pump Measures'!N35</f>
        <v>0</v>
      </c>
      <c r="D33" s="129">
        <f>'Input A-C &amp; Heat Pump Measures'!M35*'Input A-C &amp; Heat Pump Measures'!O35</f>
        <v>0</v>
      </c>
      <c r="E33" s="144" t="e">
        <f t="shared" si="0"/>
        <v>#DIV/0!</v>
      </c>
      <c r="F33" s="128" t="e">
        <f>B33/'HVAC Calcs - OLD'!C33</f>
        <v>#DIV/0!</v>
      </c>
      <c r="G33" s="128" t="e">
        <f>B33/'HVAC Calcs - OLD'!D33</f>
        <v>#DIV/0!</v>
      </c>
      <c r="H33" s="127" t="e">
        <f t="shared" si="1"/>
        <v>#DIV/0!</v>
      </c>
      <c r="I33" s="101" t="e">
        <f>VLOOKUP('Input A-C &amp; Heat Pump Measures'!$E$3,References!$L$103:$O$112,2,FALSE)</f>
        <v>#N/A</v>
      </c>
      <c r="J33" s="101" t="e">
        <f>VLOOKUP('Input A-C &amp; Heat Pump Measures'!$E$3,References!$L$103:$O$112,3,FALSE)</f>
        <v>#N/A</v>
      </c>
      <c r="K33" s="101" t="e">
        <f>VLOOKUP('Input A-C &amp; Heat Pump Measures'!$E$3,References!$L$103:$O$112,4,FALSE)</f>
        <v>#N/A</v>
      </c>
      <c r="M33" s="130" t="e">
        <f t="shared" si="2"/>
        <v>#N/A</v>
      </c>
      <c r="N33" s="116" t="e">
        <f>IF('Input A-C &amp; Heat Pump Measures'!$C35&gt;References!$F$12,B33/1000*J33*H33,0)</f>
        <v>#N/A</v>
      </c>
      <c r="O33" s="117" t="e">
        <f t="shared" si="3"/>
        <v>#DIV/0!</v>
      </c>
    </row>
    <row r="34" spans="1:15" ht="15" x14ac:dyDescent="0.25">
      <c r="A34">
        <v>32</v>
      </c>
      <c r="B34" s="130">
        <f>'Input A-C &amp; Heat Pump Measures'!G36*12000</f>
        <v>0</v>
      </c>
      <c r="C34" s="129">
        <f>'Input A-C &amp; Heat Pump Measures'!L36*'Input A-C &amp; Heat Pump Measures'!N36</f>
        <v>0</v>
      </c>
      <c r="D34" s="129">
        <f>'Input A-C &amp; Heat Pump Measures'!M36*'Input A-C &amp; Heat Pump Measures'!O36</f>
        <v>0</v>
      </c>
      <c r="E34" s="144" t="e">
        <f t="shared" si="0"/>
        <v>#DIV/0!</v>
      </c>
      <c r="F34" s="128" t="e">
        <f>B34/'HVAC Calcs - OLD'!C34</f>
        <v>#DIV/0!</v>
      </c>
      <c r="G34" s="128" t="e">
        <f>B34/'HVAC Calcs - OLD'!D34</f>
        <v>#DIV/0!</v>
      </c>
      <c r="H34" s="127" t="e">
        <f t="shared" si="1"/>
        <v>#DIV/0!</v>
      </c>
      <c r="I34" s="101" t="e">
        <f>VLOOKUP('Input A-C &amp; Heat Pump Measures'!$E$3,References!$L$103:$O$112,2,FALSE)</f>
        <v>#N/A</v>
      </c>
      <c r="J34" s="101" t="e">
        <f>VLOOKUP('Input A-C &amp; Heat Pump Measures'!$E$3,References!$L$103:$O$112,3,FALSE)</f>
        <v>#N/A</v>
      </c>
      <c r="K34" s="101" t="e">
        <f>VLOOKUP('Input A-C &amp; Heat Pump Measures'!$E$3,References!$L$103:$O$112,4,FALSE)</f>
        <v>#N/A</v>
      </c>
      <c r="M34" s="130" t="e">
        <f t="shared" si="2"/>
        <v>#N/A</v>
      </c>
      <c r="N34" s="116" t="e">
        <f>IF('Input A-C &amp; Heat Pump Measures'!$C36&gt;References!$F$12,B34/1000*J34*H34,0)</f>
        <v>#N/A</v>
      </c>
      <c r="O34" s="117" t="e">
        <f t="shared" si="3"/>
        <v>#DIV/0!</v>
      </c>
    </row>
    <row r="35" spans="1:15" ht="15" x14ac:dyDescent="0.25">
      <c r="A35">
        <v>33</v>
      </c>
      <c r="B35" s="130">
        <f>'Input A-C &amp; Heat Pump Measures'!G37*12000</f>
        <v>0</v>
      </c>
      <c r="C35" s="129">
        <f>'Input A-C &amp; Heat Pump Measures'!L37*'Input A-C &amp; Heat Pump Measures'!N37</f>
        <v>0</v>
      </c>
      <c r="D35" s="129">
        <f>'Input A-C &amp; Heat Pump Measures'!M37*'Input A-C &amp; Heat Pump Measures'!O37</f>
        <v>0</v>
      </c>
      <c r="E35" s="144" t="e">
        <f t="shared" si="0"/>
        <v>#DIV/0!</v>
      </c>
      <c r="F35" s="128" t="e">
        <f>B35/'HVAC Calcs - OLD'!C35</f>
        <v>#DIV/0!</v>
      </c>
      <c r="G35" s="128" t="e">
        <f>B35/'HVAC Calcs - OLD'!D35</f>
        <v>#DIV/0!</v>
      </c>
      <c r="H35" s="127" t="e">
        <f t="shared" si="1"/>
        <v>#DIV/0!</v>
      </c>
      <c r="I35" s="101" t="e">
        <f>VLOOKUP('Input A-C &amp; Heat Pump Measures'!$E$3,References!$L$103:$O$112,2,FALSE)</f>
        <v>#N/A</v>
      </c>
      <c r="J35" s="101" t="e">
        <f>VLOOKUP('Input A-C &amp; Heat Pump Measures'!$E$3,References!$L$103:$O$112,3,FALSE)</f>
        <v>#N/A</v>
      </c>
      <c r="K35" s="101" t="e">
        <f>VLOOKUP('Input A-C &amp; Heat Pump Measures'!$E$3,References!$L$103:$O$112,4,FALSE)</f>
        <v>#N/A</v>
      </c>
      <c r="M35" s="130" t="e">
        <f t="shared" si="2"/>
        <v>#N/A</v>
      </c>
      <c r="N35" s="116" t="e">
        <f>IF('Input A-C &amp; Heat Pump Measures'!$C37&gt;References!$F$12,B35/1000*J35*H35,0)</f>
        <v>#N/A</v>
      </c>
      <c r="O35" s="117" t="e">
        <f t="shared" si="3"/>
        <v>#DIV/0!</v>
      </c>
    </row>
    <row r="36" spans="1:15" ht="15" x14ac:dyDescent="0.25">
      <c r="A36">
        <v>34</v>
      </c>
      <c r="B36" s="130">
        <f>'Input A-C &amp; Heat Pump Measures'!G38*12000</f>
        <v>0</v>
      </c>
      <c r="C36" s="129">
        <f>'Input A-C &amp; Heat Pump Measures'!L38*'Input A-C &amp; Heat Pump Measures'!N38</f>
        <v>0</v>
      </c>
      <c r="D36" s="129">
        <f>'Input A-C &amp; Heat Pump Measures'!M38*'Input A-C &amp; Heat Pump Measures'!O38</f>
        <v>0</v>
      </c>
      <c r="E36" s="144" t="e">
        <f t="shared" si="0"/>
        <v>#DIV/0!</v>
      </c>
      <c r="F36" s="128" t="e">
        <f>B36/'HVAC Calcs - OLD'!C36</f>
        <v>#DIV/0!</v>
      </c>
      <c r="G36" s="128" t="e">
        <f>B36/'HVAC Calcs - OLD'!D36</f>
        <v>#DIV/0!</v>
      </c>
      <c r="H36" s="127" t="e">
        <f t="shared" si="1"/>
        <v>#DIV/0!</v>
      </c>
      <c r="I36" s="101" t="e">
        <f>VLOOKUP('Input A-C &amp; Heat Pump Measures'!$E$3,References!$L$103:$O$112,2,FALSE)</f>
        <v>#N/A</v>
      </c>
      <c r="J36" s="101" t="e">
        <f>VLOOKUP('Input A-C &amp; Heat Pump Measures'!$E$3,References!$L$103:$O$112,3,FALSE)</f>
        <v>#N/A</v>
      </c>
      <c r="K36" s="101" t="e">
        <f>VLOOKUP('Input A-C &amp; Heat Pump Measures'!$E$3,References!$L$103:$O$112,4,FALSE)</f>
        <v>#N/A</v>
      </c>
      <c r="M36" s="130" t="e">
        <f t="shared" si="2"/>
        <v>#N/A</v>
      </c>
      <c r="N36" s="116" t="e">
        <f>IF('Input A-C &amp; Heat Pump Measures'!$C38&gt;References!$F$12,B36/1000*J36*H36,0)</f>
        <v>#N/A</v>
      </c>
      <c r="O36" s="117" t="e">
        <f t="shared" si="3"/>
        <v>#DIV/0!</v>
      </c>
    </row>
    <row r="37" spans="1:15" ht="15" x14ac:dyDescent="0.25">
      <c r="A37">
        <v>35</v>
      </c>
      <c r="B37" s="130">
        <f>'Input A-C &amp; Heat Pump Measures'!G39*12000</f>
        <v>0</v>
      </c>
      <c r="C37" s="129">
        <f>'Input A-C &amp; Heat Pump Measures'!L39*'Input A-C &amp; Heat Pump Measures'!N39</f>
        <v>0</v>
      </c>
      <c r="D37" s="129">
        <f>'Input A-C &amp; Heat Pump Measures'!M39*'Input A-C &amp; Heat Pump Measures'!O39</f>
        <v>0</v>
      </c>
      <c r="E37" s="144" t="e">
        <f t="shared" si="0"/>
        <v>#DIV/0!</v>
      </c>
      <c r="F37" s="128" t="e">
        <f>B37/'HVAC Calcs - OLD'!C37</f>
        <v>#DIV/0!</v>
      </c>
      <c r="G37" s="128" t="e">
        <f>B37/'HVAC Calcs - OLD'!D37</f>
        <v>#DIV/0!</v>
      </c>
      <c r="H37" s="127" t="e">
        <f t="shared" si="1"/>
        <v>#DIV/0!</v>
      </c>
      <c r="I37" s="101" t="e">
        <f>VLOOKUP('Input A-C &amp; Heat Pump Measures'!$E$3,References!$L$103:$O$112,2,FALSE)</f>
        <v>#N/A</v>
      </c>
      <c r="J37" s="101" t="e">
        <f>VLOOKUP('Input A-C &amp; Heat Pump Measures'!$E$3,References!$L$103:$O$112,3,FALSE)</f>
        <v>#N/A</v>
      </c>
      <c r="K37" s="101" t="e">
        <f>VLOOKUP('Input A-C &amp; Heat Pump Measures'!$E$3,References!$L$103:$O$112,4,FALSE)</f>
        <v>#N/A</v>
      </c>
      <c r="M37" s="130" t="e">
        <f t="shared" si="2"/>
        <v>#N/A</v>
      </c>
      <c r="N37" s="116" t="e">
        <f>IF('Input A-C &amp; Heat Pump Measures'!$C39&gt;References!$F$12,B37/1000*J37*H37,0)</f>
        <v>#N/A</v>
      </c>
      <c r="O37" s="117" t="e">
        <f t="shared" si="3"/>
        <v>#DIV/0!</v>
      </c>
    </row>
    <row r="38" spans="1:15" ht="15" x14ac:dyDescent="0.25">
      <c r="A38">
        <v>36</v>
      </c>
      <c r="B38" s="130">
        <f>'Input A-C &amp; Heat Pump Measures'!G40*12000</f>
        <v>0</v>
      </c>
      <c r="C38" s="129">
        <f>'Input A-C &amp; Heat Pump Measures'!L40*'Input A-C &amp; Heat Pump Measures'!N40</f>
        <v>0</v>
      </c>
      <c r="D38" s="129">
        <f>'Input A-C &amp; Heat Pump Measures'!M40*'Input A-C &amp; Heat Pump Measures'!O40</f>
        <v>0</v>
      </c>
      <c r="E38" s="144" t="e">
        <f t="shared" si="0"/>
        <v>#DIV/0!</v>
      </c>
      <c r="F38" s="128" t="e">
        <f>B38/'HVAC Calcs - OLD'!C38</f>
        <v>#DIV/0!</v>
      </c>
      <c r="G38" s="128" t="e">
        <f>B38/'HVAC Calcs - OLD'!D38</f>
        <v>#DIV/0!</v>
      </c>
      <c r="H38" s="127" t="e">
        <f t="shared" si="1"/>
        <v>#DIV/0!</v>
      </c>
      <c r="I38" s="101" t="e">
        <f>VLOOKUP('Input A-C &amp; Heat Pump Measures'!$E$3,References!$L$103:$O$112,2,FALSE)</f>
        <v>#N/A</v>
      </c>
      <c r="J38" s="101" t="e">
        <f>VLOOKUP('Input A-C &amp; Heat Pump Measures'!$E$3,References!$L$103:$O$112,3,FALSE)</f>
        <v>#N/A</v>
      </c>
      <c r="K38" s="101" t="e">
        <f>VLOOKUP('Input A-C &amp; Heat Pump Measures'!$E$3,References!$L$103:$O$112,4,FALSE)</f>
        <v>#N/A</v>
      </c>
      <c r="M38" s="130" t="e">
        <f t="shared" si="2"/>
        <v>#N/A</v>
      </c>
      <c r="N38" s="116" t="e">
        <f>IF('Input A-C &amp; Heat Pump Measures'!$C40&gt;References!$F$12,B38/1000*J38*H38,0)</f>
        <v>#N/A</v>
      </c>
      <c r="O38" s="117" t="e">
        <f t="shared" si="3"/>
        <v>#DIV/0!</v>
      </c>
    </row>
    <row r="39" spans="1:15" ht="15" x14ac:dyDescent="0.25">
      <c r="A39">
        <v>37</v>
      </c>
      <c r="B39" s="130">
        <f>'Input A-C &amp; Heat Pump Measures'!G41*12000</f>
        <v>0</v>
      </c>
      <c r="C39" s="129">
        <f>'Input A-C &amp; Heat Pump Measures'!L41*'Input A-C &amp; Heat Pump Measures'!N41</f>
        <v>0</v>
      </c>
      <c r="D39" s="129">
        <f>'Input A-C &amp; Heat Pump Measures'!M41*'Input A-C &amp; Heat Pump Measures'!O41</f>
        <v>0</v>
      </c>
      <c r="E39" s="144" t="e">
        <f t="shared" si="0"/>
        <v>#DIV/0!</v>
      </c>
      <c r="F39" s="128" t="e">
        <f>B39/'HVAC Calcs - OLD'!C39</f>
        <v>#DIV/0!</v>
      </c>
      <c r="G39" s="128" t="e">
        <f>B39/'HVAC Calcs - OLD'!D39</f>
        <v>#DIV/0!</v>
      </c>
      <c r="H39" s="127" t="e">
        <f t="shared" si="1"/>
        <v>#DIV/0!</v>
      </c>
      <c r="I39" s="101" t="e">
        <f>VLOOKUP('Input A-C &amp; Heat Pump Measures'!$E$3,References!$L$103:$O$112,2,FALSE)</f>
        <v>#N/A</v>
      </c>
      <c r="J39" s="101" t="e">
        <f>VLOOKUP('Input A-C &amp; Heat Pump Measures'!$E$3,References!$L$103:$O$112,3,FALSE)</f>
        <v>#N/A</v>
      </c>
      <c r="K39" s="101" t="e">
        <f>VLOOKUP('Input A-C &amp; Heat Pump Measures'!$E$3,References!$L$103:$O$112,4,FALSE)</f>
        <v>#N/A</v>
      </c>
      <c r="M39" s="130" t="e">
        <f t="shared" si="2"/>
        <v>#N/A</v>
      </c>
      <c r="N39" s="116" t="e">
        <f>IF('Input A-C &amp; Heat Pump Measures'!$C41&gt;References!$F$12,B39/1000*J39*H39,0)</f>
        <v>#N/A</v>
      </c>
      <c r="O39" s="117" t="e">
        <f t="shared" si="3"/>
        <v>#DIV/0!</v>
      </c>
    </row>
    <row r="40" spans="1:15" ht="15" x14ac:dyDescent="0.25">
      <c r="A40">
        <v>38</v>
      </c>
      <c r="B40" s="130">
        <f>'Input A-C &amp; Heat Pump Measures'!G42*12000</f>
        <v>0</v>
      </c>
      <c r="C40" s="129">
        <f>'Input A-C &amp; Heat Pump Measures'!L42*'Input A-C &amp; Heat Pump Measures'!N42</f>
        <v>0</v>
      </c>
      <c r="D40" s="129">
        <f>'Input A-C &amp; Heat Pump Measures'!M42*'Input A-C &amp; Heat Pump Measures'!O42</f>
        <v>0</v>
      </c>
      <c r="E40" s="144" t="e">
        <f t="shared" si="0"/>
        <v>#DIV/0!</v>
      </c>
      <c r="F40" s="128" t="e">
        <f>B40/'HVAC Calcs - OLD'!C40</f>
        <v>#DIV/0!</v>
      </c>
      <c r="G40" s="128" t="e">
        <f>B40/'HVAC Calcs - OLD'!D40</f>
        <v>#DIV/0!</v>
      </c>
      <c r="H40" s="127" t="e">
        <f t="shared" si="1"/>
        <v>#DIV/0!</v>
      </c>
      <c r="I40" s="101" t="e">
        <f>VLOOKUP('Input A-C &amp; Heat Pump Measures'!$E$3,References!$L$103:$O$112,2,FALSE)</f>
        <v>#N/A</v>
      </c>
      <c r="J40" s="101" t="e">
        <f>VLOOKUP('Input A-C &amp; Heat Pump Measures'!$E$3,References!$L$103:$O$112,3,FALSE)</f>
        <v>#N/A</v>
      </c>
      <c r="K40" s="101" t="e">
        <f>VLOOKUP('Input A-C &amp; Heat Pump Measures'!$E$3,References!$L$103:$O$112,4,FALSE)</f>
        <v>#N/A</v>
      </c>
      <c r="M40" s="130" t="e">
        <f t="shared" si="2"/>
        <v>#N/A</v>
      </c>
      <c r="N40" s="116" t="e">
        <f>IF('Input A-C &amp; Heat Pump Measures'!$C42&gt;References!$F$12,B40/1000*J40*H40,0)</f>
        <v>#N/A</v>
      </c>
      <c r="O40" s="117" t="e">
        <f t="shared" si="3"/>
        <v>#DIV/0!</v>
      </c>
    </row>
    <row r="41" spans="1:15" ht="15" x14ac:dyDescent="0.25">
      <c r="A41">
        <v>39</v>
      </c>
      <c r="B41" s="130">
        <f>'Input A-C &amp; Heat Pump Measures'!G43*12000</f>
        <v>0</v>
      </c>
      <c r="C41" s="129">
        <f>'Input A-C &amp; Heat Pump Measures'!L43*'Input A-C &amp; Heat Pump Measures'!N43</f>
        <v>0</v>
      </c>
      <c r="D41" s="129">
        <f>'Input A-C &amp; Heat Pump Measures'!M43*'Input A-C &amp; Heat Pump Measures'!O43</f>
        <v>0</v>
      </c>
      <c r="E41" s="144" t="e">
        <f t="shared" si="0"/>
        <v>#DIV/0!</v>
      </c>
      <c r="F41" s="128" t="e">
        <f>B41/'HVAC Calcs - OLD'!C41</f>
        <v>#DIV/0!</v>
      </c>
      <c r="G41" s="128" t="e">
        <f>B41/'HVAC Calcs - OLD'!D41</f>
        <v>#DIV/0!</v>
      </c>
      <c r="H41" s="127" t="e">
        <f t="shared" si="1"/>
        <v>#DIV/0!</v>
      </c>
      <c r="I41" s="101" t="e">
        <f>VLOOKUP('Input A-C &amp; Heat Pump Measures'!$E$3,References!$L$103:$O$112,2,FALSE)</f>
        <v>#N/A</v>
      </c>
      <c r="J41" s="101" t="e">
        <f>VLOOKUP('Input A-C &amp; Heat Pump Measures'!$E$3,References!$L$103:$O$112,3,FALSE)</f>
        <v>#N/A</v>
      </c>
      <c r="K41" s="101" t="e">
        <f>VLOOKUP('Input A-C &amp; Heat Pump Measures'!$E$3,References!$L$103:$O$112,4,FALSE)</f>
        <v>#N/A</v>
      </c>
      <c r="M41" s="130" t="e">
        <f t="shared" si="2"/>
        <v>#N/A</v>
      </c>
      <c r="N41" s="116" t="e">
        <f>IF('Input A-C &amp; Heat Pump Measures'!$C43&gt;References!$F$12,B41/1000*J41*H41,0)</f>
        <v>#N/A</v>
      </c>
      <c r="O41" s="117" t="e">
        <f t="shared" si="3"/>
        <v>#DIV/0!</v>
      </c>
    </row>
    <row r="42" spans="1:15" ht="15" x14ac:dyDescent="0.25">
      <c r="A42">
        <v>40</v>
      </c>
      <c r="B42" s="130">
        <f>'Input A-C &amp; Heat Pump Measures'!G44*12000</f>
        <v>0</v>
      </c>
      <c r="C42" s="129">
        <f>'Input A-C &amp; Heat Pump Measures'!L44*'Input A-C &amp; Heat Pump Measures'!N44</f>
        <v>0</v>
      </c>
      <c r="D42" s="129">
        <f>'Input A-C &amp; Heat Pump Measures'!M44*'Input A-C &amp; Heat Pump Measures'!O44</f>
        <v>0</v>
      </c>
      <c r="E42" s="144" t="e">
        <f t="shared" si="0"/>
        <v>#DIV/0!</v>
      </c>
      <c r="F42" s="128" t="e">
        <f>B42/'HVAC Calcs - OLD'!C42</f>
        <v>#DIV/0!</v>
      </c>
      <c r="G42" s="128" t="e">
        <f>B42/'HVAC Calcs - OLD'!D42</f>
        <v>#DIV/0!</v>
      </c>
      <c r="H42" s="127" t="e">
        <f t="shared" si="1"/>
        <v>#DIV/0!</v>
      </c>
      <c r="I42" s="101" t="e">
        <f>VLOOKUP('Input A-C &amp; Heat Pump Measures'!$E$3,References!$L$103:$O$112,2,FALSE)</f>
        <v>#N/A</v>
      </c>
      <c r="J42" s="101" t="e">
        <f>VLOOKUP('Input A-C &amp; Heat Pump Measures'!$E$3,References!$L$103:$O$112,3,FALSE)</f>
        <v>#N/A</v>
      </c>
      <c r="K42" s="101" t="e">
        <f>VLOOKUP('Input A-C &amp; Heat Pump Measures'!$E$3,References!$L$103:$O$112,4,FALSE)</f>
        <v>#N/A</v>
      </c>
      <c r="M42" s="130" t="e">
        <f t="shared" si="2"/>
        <v>#N/A</v>
      </c>
      <c r="N42" s="116" t="e">
        <f>IF('Input A-C &amp; Heat Pump Measures'!$C44&gt;References!$F$12,B42/1000*J42*H42,0)</f>
        <v>#N/A</v>
      </c>
      <c r="O42" s="117" t="e">
        <f t="shared" si="3"/>
        <v>#DIV/0!</v>
      </c>
    </row>
    <row r="43" spans="1:15" ht="15" x14ac:dyDescent="0.25">
      <c r="A43">
        <v>41</v>
      </c>
      <c r="B43" s="130">
        <f>'Input A-C &amp; Heat Pump Measures'!G45*12000</f>
        <v>0</v>
      </c>
      <c r="C43" s="129">
        <f>'Input A-C &amp; Heat Pump Measures'!L45*'Input A-C &amp; Heat Pump Measures'!N45</f>
        <v>0</v>
      </c>
      <c r="D43" s="129">
        <f>'Input A-C &amp; Heat Pump Measures'!M45*'Input A-C &amp; Heat Pump Measures'!O45</f>
        <v>0</v>
      </c>
      <c r="E43" s="144" t="e">
        <f t="shared" si="0"/>
        <v>#DIV/0!</v>
      </c>
      <c r="F43" s="128" t="e">
        <f>B43/'HVAC Calcs - OLD'!C43</f>
        <v>#DIV/0!</v>
      </c>
      <c r="G43" s="128" t="e">
        <f>B43/'HVAC Calcs - OLD'!D43</f>
        <v>#DIV/0!</v>
      </c>
      <c r="H43" s="127" t="e">
        <f t="shared" si="1"/>
        <v>#DIV/0!</v>
      </c>
      <c r="I43" s="101" t="e">
        <f>VLOOKUP('Input A-C &amp; Heat Pump Measures'!$E$3,References!$L$103:$O$112,2,FALSE)</f>
        <v>#N/A</v>
      </c>
      <c r="J43" s="101" t="e">
        <f>VLOOKUP('Input A-C &amp; Heat Pump Measures'!$E$3,References!$L$103:$O$112,3,FALSE)</f>
        <v>#N/A</v>
      </c>
      <c r="K43" s="101" t="e">
        <f>VLOOKUP('Input A-C &amp; Heat Pump Measures'!$E$3,References!$L$103:$O$112,4,FALSE)</f>
        <v>#N/A</v>
      </c>
      <c r="M43" s="130" t="e">
        <f t="shared" si="2"/>
        <v>#N/A</v>
      </c>
      <c r="N43" s="116" t="e">
        <f>IF('Input A-C &amp; Heat Pump Measures'!$C45&gt;References!$F$12,B43/1000*J43*H43,0)</f>
        <v>#N/A</v>
      </c>
      <c r="O43" s="117" t="e">
        <f t="shared" si="3"/>
        <v>#DIV/0!</v>
      </c>
    </row>
    <row r="44" spans="1:15" ht="15" x14ac:dyDescent="0.25">
      <c r="A44">
        <v>42</v>
      </c>
      <c r="B44" s="130">
        <f>'Input A-C &amp; Heat Pump Measures'!G46*12000</f>
        <v>0</v>
      </c>
      <c r="C44" s="129">
        <f>'Input A-C &amp; Heat Pump Measures'!L46*'Input A-C &amp; Heat Pump Measures'!N46</f>
        <v>0</v>
      </c>
      <c r="D44" s="129">
        <f>'Input A-C &amp; Heat Pump Measures'!M46*'Input A-C &amp; Heat Pump Measures'!O46</f>
        <v>0</v>
      </c>
      <c r="E44" s="144" t="e">
        <f t="shared" si="0"/>
        <v>#DIV/0!</v>
      </c>
      <c r="F44" s="128" t="e">
        <f>B44/'HVAC Calcs - OLD'!C44</f>
        <v>#DIV/0!</v>
      </c>
      <c r="G44" s="128" t="e">
        <f>B44/'HVAC Calcs - OLD'!D44</f>
        <v>#DIV/0!</v>
      </c>
      <c r="H44" s="127" t="e">
        <f t="shared" si="1"/>
        <v>#DIV/0!</v>
      </c>
      <c r="I44" s="101" t="e">
        <f>VLOOKUP('Input A-C &amp; Heat Pump Measures'!$E$3,References!$L$103:$O$112,2,FALSE)</f>
        <v>#N/A</v>
      </c>
      <c r="J44" s="101" t="e">
        <f>VLOOKUP('Input A-C &amp; Heat Pump Measures'!$E$3,References!$L$103:$O$112,3,FALSE)</f>
        <v>#N/A</v>
      </c>
      <c r="K44" s="101" t="e">
        <f>VLOOKUP('Input A-C &amp; Heat Pump Measures'!$E$3,References!$L$103:$O$112,4,FALSE)</f>
        <v>#N/A</v>
      </c>
      <c r="M44" s="130" t="e">
        <f t="shared" si="2"/>
        <v>#N/A</v>
      </c>
      <c r="N44" s="116" t="e">
        <f>IF('Input A-C &amp; Heat Pump Measures'!$C46&gt;References!$F$12,B44/1000*J44*H44,0)</f>
        <v>#N/A</v>
      </c>
      <c r="O44" s="117" t="e">
        <f t="shared" si="3"/>
        <v>#DIV/0!</v>
      </c>
    </row>
    <row r="45" spans="1:15" ht="15" x14ac:dyDescent="0.25">
      <c r="A45">
        <v>43</v>
      </c>
      <c r="B45" s="130">
        <f>'Input A-C &amp; Heat Pump Measures'!G47*12000</f>
        <v>0</v>
      </c>
      <c r="C45" s="129">
        <f>'Input A-C &amp; Heat Pump Measures'!L47*'Input A-C &amp; Heat Pump Measures'!N47</f>
        <v>0</v>
      </c>
      <c r="D45" s="129">
        <f>'Input A-C &amp; Heat Pump Measures'!M47*'Input A-C &amp; Heat Pump Measures'!O47</f>
        <v>0</v>
      </c>
      <c r="E45" s="144" t="e">
        <f t="shared" si="0"/>
        <v>#DIV/0!</v>
      </c>
      <c r="F45" s="128" t="e">
        <f>B45/'HVAC Calcs - OLD'!C45</f>
        <v>#DIV/0!</v>
      </c>
      <c r="G45" s="128" t="e">
        <f>B45/'HVAC Calcs - OLD'!D45</f>
        <v>#DIV/0!</v>
      </c>
      <c r="H45" s="127" t="e">
        <f t="shared" si="1"/>
        <v>#DIV/0!</v>
      </c>
      <c r="I45" s="101" t="e">
        <f>VLOOKUP('Input A-C &amp; Heat Pump Measures'!$E$3,References!$L$103:$O$112,2,FALSE)</f>
        <v>#N/A</v>
      </c>
      <c r="J45" s="101" t="e">
        <f>VLOOKUP('Input A-C &amp; Heat Pump Measures'!$E$3,References!$L$103:$O$112,3,FALSE)</f>
        <v>#N/A</v>
      </c>
      <c r="K45" s="101" t="e">
        <f>VLOOKUP('Input A-C &amp; Heat Pump Measures'!$E$3,References!$L$103:$O$112,4,FALSE)</f>
        <v>#N/A</v>
      </c>
      <c r="M45" s="130" t="e">
        <f t="shared" si="2"/>
        <v>#N/A</v>
      </c>
      <c r="N45" s="116" t="e">
        <f>IF('Input A-C &amp; Heat Pump Measures'!$C47&gt;References!$F$12,B45/1000*J45*H45,0)</f>
        <v>#N/A</v>
      </c>
      <c r="O45" s="117" t="e">
        <f t="shared" si="3"/>
        <v>#DIV/0!</v>
      </c>
    </row>
    <row r="46" spans="1:15" ht="15" x14ac:dyDescent="0.25">
      <c r="A46">
        <v>44</v>
      </c>
      <c r="B46" s="130">
        <f>'Input A-C &amp; Heat Pump Measures'!G48*12000</f>
        <v>0</v>
      </c>
      <c r="C46" s="129">
        <f>'Input A-C &amp; Heat Pump Measures'!L48*'Input A-C &amp; Heat Pump Measures'!N48</f>
        <v>0</v>
      </c>
      <c r="D46" s="129">
        <f>'Input A-C &amp; Heat Pump Measures'!M48*'Input A-C &amp; Heat Pump Measures'!O48</f>
        <v>0</v>
      </c>
      <c r="E46" s="144" t="e">
        <f t="shared" si="0"/>
        <v>#DIV/0!</v>
      </c>
      <c r="F46" s="128" t="e">
        <f>B46/'HVAC Calcs - OLD'!C46</f>
        <v>#DIV/0!</v>
      </c>
      <c r="G46" s="128" t="e">
        <f>B46/'HVAC Calcs - OLD'!D46</f>
        <v>#DIV/0!</v>
      </c>
      <c r="H46" s="127" t="e">
        <f t="shared" si="1"/>
        <v>#DIV/0!</v>
      </c>
      <c r="I46" s="101" t="e">
        <f>VLOOKUP('Input A-C &amp; Heat Pump Measures'!$E$3,References!$L$103:$O$112,2,FALSE)</f>
        <v>#N/A</v>
      </c>
      <c r="J46" s="101" t="e">
        <f>VLOOKUP('Input A-C &amp; Heat Pump Measures'!$E$3,References!$L$103:$O$112,3,FALSE)</f>
        <v>#N/A</v>
      </c>
      <c r="K46" s="101" t="e">
        <f>VLOOKUP('Input A-C &amp; Heat Pump Measures'!$E$3,References!$L$103:$O$112,4,FALSE)</f>
        <v>#N/A</v>
      </c>
      <c r="M46" s="130" t="e">
        <f t="shared" si="2"/>
        <v>#N/A</v>
      </c>
      <c r="N46" s="116" t="e">
        <f>IF('Input A-C &amp; Heat Pump Measures'!$C48&gt;References!$F$12,B46/1000*J46*H46,0)</f>
        <v>#N/A</v>
      </c>
      <c r="O46" s="117" t="e">
        <f t="shared" si="3"/>
        <v>#DIV/0!</v>
      </c>
    </row>
    <row r="47" spans="1:15" ht="15" x14ac:dyDescent="0.25">
      <c r="A47">
        <v>45</v>
      </c>
      <c r="B47" s="130">
        <f>'Input A-C &amp; Heat Pump Measures'!G49*12000</f>
        <v>0</v>
      </c>
      <c r="C47" s="129">
        <f>'Input A-C &amp; Heat Pump Measures'!L49*'Input A-C &amp; Heat Pump Measures'!N49</f>
        <v>0</v>
      </c>
      <c r="D47" s="129">
        <f>'Input A-C &amp; Heat Pump Measures'!M49*'Input A-C &amp; Heat Pump Measures'!O49</f>
        <v>0</v>
      </c>
      <c r="E47" s="144" t="e">
        <f t="shared" si="0"/>
        <v>#DIV/0!</v>
      </c>
      <c r="F47" s="128" t="e">
        <f>B47/'HVAC Calcs - OLD'!C47</f>
        <v>#DIV/0!</v>
      </c>
      <c r="G47" s="128" t="e">
        <f>B47/'HVAC Calcs - OLD'!D47</f>
        <v>#DIV/0!</v>
      </c>
      <c r="H47" s="127" t="e">
        <f t="shared" si="1"/>
        <v>#DIV/0!</v>
      </c>
      <c r="I47" s="101" t="e">
        <f>VLOOKUP('Input A-C &amp; Heat Pump Measures'!$E$3,References!$L$103:$O$112,2,FALSE)</f>
        <v>#N/A</v>
      </c>
      <c r="J47" s="101" t="e">
        <f>VLOOKUP('Input A-C &amp; Heat Pump Measures'!$E$3,References!$L$103:$O$112,3,FALSE)</f>
        <v>#N/A</v>
      </c>
      <c r="K47" s="101" t="e">
        <f>VLOOKUP('Input A-C &amp; Heat Pump Measures'!$E$3,References!$L$103:$O$112,4,FALSE)</f>
        <v>#N/A</v>
      </c>
      <c r="M47" s="130" t="e">
        <f t="shared" si="2"/>
        <v>#N/A</v>
      </c>
      <c r="N47" s="116" t="e">
        <f>IF('Input A-C &amp; Heat Pump Measures'!$C49&gt;References!$F$12,B47/1000*J47*H47,0)</f>
        <v>#N/A</v>
      </c>
      <c r="O47" s="117" t="e">
        <f t="shared" si="3"/>
        <v>#DIV/0!</v>
      </c>
    </row>
    <row r="48" spans="1:15" ht="15" x14ac:dyDescent="0.25">
      <c r="A48">
        <v>46</v>
      </c>
      <c r="B48" s="130">
        <f>'Input A-C &amp; Heat Pump Measures'!G50*12000</f>
        <v>0</v>
      </c>
      <c r="C48" s="129">
        <f>'Input A-C &amp; Heat Pump Measures'!L50*'Input A-C &amp; Heat Pump Measures'!N50</f>
        <v>0</v>
      </c>
      <c r="D48" s="129">
        <f>'Input A-C &amp; Heat Pump Measures'!M50*'Input A-C &amp; Heat Pump Measures'!O50</f>
        <v>0</v>
      </c>
      <c r="E48" s="144" t="e">
        <f t="shared" si="0"/>
        <v>#DIV/0!</v>
      </c>
      <c r="F48" s="128" t="e">
        <f>B48/'HVAC Calcs - OLD'!C48</f>
        <v>#DIV/0!</v>
      </c>
      <c r="G48" s="128" t="e">
        <f>B48/'HVAC Calcs - OLD'!D48</f>
        <v>#DIV/0!</v>
      </c>
      <c r="H48" s="127" t="e">
        <f t="shared" si="1"/>
        <v>#DIV/0!</v>
      </c>
      <c r="I48" s="101" t="e">
        <f>VLOOKUP('Input A-C &amp; Heat Pump Measures'!$E$3,References!$L$103:$O$112,2,FALSE)</f>
        <v>#N/A</v>
      </c>
      <c r="J48" s="101" t="e">
        <f>VLOOKUP('Input A-C &amp; Heat Pump Measures'!$E$3,References!$L$103:$O$112,3,FALSE)</f>
        <v>#N/A</v>
      </c>
      <c r="K48" s="101" t="e">
        <f>VLOOKUP('Input A-C &amp; Heat Pump Measures'!$E$3,References!$L$103:$O$112,4,FALSE)</f>
        <v>#N/A</v>
      </c>
      <c r="M48" s="130" t="e">
        <f t="shared" si="2"/>
        <v>#N/A</v>
      </c>
      <c r="N48" s="116" t="e">
        <f>IF('Input A-C &amp; Heat Pump Measures'!$C50&gt;References!$F$12,B48/1000*J48*H48,0)</f>
        <v>#N/A</v>
      </c>
      <c r="O48" s="117" t="e">
        <f t="shared" si="3"/>
        <v>#DIV/0!</v>
      </c>
    </row>
    <row r="49" spans="1:15" ht="15" x14ac:dyDescent="0.25">
      <c r="A49">
        <v>47</v>
      </c>
      <c r="B49" s="130">
        <f>'Input A-C &amp; Heat Pump Measures'!G51*12000</f>
        <v>0</v>
      </c>
      <c r="C49" s="129">
        <f>'Input A-C &amp; Heat Pump Measures'!L51*'Input A-C &amp; Heat Pump Measures'!N51</f>
        <v>0</v>
      </c>
      <c r="D49" s="129">
        <f>'Input A-C &amp; Heat Pump Measures'!M51*'Input A-C &amp; Heat Pump Measures'!O51</f>
        <v>0</v>
      </c>
      <c r="E49" s="144" t="e">
        <f t="shared" si="0"/>
        <v>#DIV/0!</v>
      </c>
      <c r="F49" s="128" t="e">
        <f>B49/'HVAC Calcs - OLD'!C49</f>
        <v>#DIV/0!</v>
      </c>
      <c r="G49" s="128" t="e">
        <f>B49/'HVAC Calcs - OLD'!D49</f>
        <v>#DIV/0!</v>
      </c>
      <c r="H49" s="127" t="e">
        <f t="shared" si="1"/>
        <v>#DIV/0!</v>
      </c>
      <c r="I49" s="101" t="e">
        <f>VLOOKUP('Input A-C &amp; Heat Pump Measures'!$E$3,References!$L$103:$O$112,2,FALSE)</f>
        <v>#N/A</v>
      </c>
      <c r="J49" s="101" t="e">
        <f>VLOOKUP('Input A-C &amp; Heat Pump Measures'!$E$3,References!$L$103:$O$112,3,FALSE)</f>
        <v>#N/A</v>
      </c>
      <c r="K49" s="101" t="e">
        <f>VLOOKUP('Input A-C &amp; Heat Pump Measures'!$E$3,References!$L$103:$O$112,4,FALSE)</f>
        <v>#N/A</v>
      </c>
      <c r="M49" s="130" t="e">
        <f t="shared" si="2"/>
        <v>#N/A</v>
      </c>
      <c r="N49" s="116" t="e">
        <f>IF('Input A-C &amp; Heat Pump Measures'!$C51&gt;References!$F$12,B49/1000*J49*H49,0)</f>
        <v>#N/A</v>
      </c>
      <c r="O49" s="117" t="e">
        <f t="shared" si="3"/>
        <v>#DIV/0!</v>
      </c>
    </row>
    <row r="50" spans="1:15" ht="15" x14ac:dyDescent="0.25">
      <c r="A50">
        <v>48</v>
      </c>
      <c r="B50" s="130">
        <f>'Input A-C &amp; Heat Pump Measures'!G52*12000</f>
        <v>0</v>
      </c>
      <c r="C50" s="129">
        <f>'Input A-C &amp; Heat Pump Measures'!L52*'Input A-C &amp; Heat Pump Measures'!N52</f>
        <v>0</v>
      </c>
      <c r="D50" s="129">
        <f>'Input A-C &amp; Heat Pump Measures'!M52*'Input A-C &amp; Heat Pump Measures'!O52</f>
        <v>0</v>
      </c>
      <c r="E50" s="144" t="e">
        <f t="shared" si="0"/>
        <v>#DIV/0!</v>
      </c>
      <c r="F50" s="128" t="e">
        <f>B50/'HVAC Calcs - OLD'!C50</f>
        <v>#DIV/0!</v>
      </c>
      <c r="G50" s="128" t="e">
        <f>B50/'HVAC Calcs - OLD'!D50</f>
        <v>#DIV/0!</v>
      </c>
      <c r="H50" s="127" t="e">
        <f t="shared" si="1"/>
        <v>#DIV/0!</v>
      </c>
      <c r="I50" s="101" t="e">
        <f>VLOOKUP('Input A-C &amp; Heat Pump Measures'!$E$3,References!$L$103:$O$112,2,FALSE)</f>
        <v>#N/A</v>
      </c>
      <c r="J50" s="101" t="e">
        <f>VLOOKUP('Input A-C &amp; Heat Pump Measures'!$E$3,References!$L$103:$O$112,3,FALSE)</f>
        <v>#N/A</v>
      </c>
      <c r="K50" s="101" t="e">
        <f>VLOOKUP('Input A-C &amp; Heat Pump Measures'!$E$3,References!$L$103:$O$112,4,FALSE)</f>
        <v>#N/A</v>
      </c>
      <c r="M50" s="130" t="e">
        <f t="shared" si="2"/>
        <v>#N/A</v>
      </c>
      <c r="N50" s="116" t="e">
        <f>IF('Input A-C &amp; Heat Pump Measures'!$C52&gt;References!$F$12,B50/1000*J50*H50,0)</f>
        <v>#N/A</v>
      </c>
      <c r="O50" s="117" t="e">
        <f t="shared" si="3"/>
        <v>#DIV/0!</v>
      </c>
    </row>
    <row r="51" spans="1:15" ht="15" x14ac:dyDescent="0.25">
      <c r="A51">
        <v>49</v>
      </c>
      <c r="B51" s="130">
        <f>'Input A-C &amp; Heat Pump Measures'!G53*12000</f>
        <v>0</v>
      </c>
      <c r="C51" s="129">
        <f>'Input A-C &amp; Heat Pump Measures'!L53*'Input A-C &amp; Heat Pump Measures'!N53</f>
        <v>0</v>
      </c>
      <c r="D51" s="129">
        <f>'Input A-C &amp; Heat Pump Measures'!M53*'Input A-C &amp; Heat Pump Measures'!O53</f>
        <v>0</v>
      </c>
      <c r="E51" s="144" t="e">
        <f t="shared" si="0"/>
        <v>#DIV/0!</v>
      </c>
      <c r="F51" s="128" t="e">
        <f>B51/'HVAC Calcs - OLD'!C51</f>
        <v>#DIV/0!</v>
      </c>
      <c r="G51" s="128" t="e">
        <f>B51/'HVAC Calcs - OLD'!D51</f>
        <v>#DIV/0!</v>
      </c>
      <c r="H51" s="127" t="e">
        <f t="shared" si="1"/>
        <v>#DIV/0!</v>
      </c>
      <c r="I51" s="101" t="e">
        <f>VLOOKUP('Input A-C &amp; Heat Pump Measures'!$E$3,References!$L$103:$O$112,2,FALSE)</f>
        <v>#N/A</v>
      </c>
      <c r="J51" s="101" t="e">
        <f>VLOOKUP('Input A-C &amp; Heat Pump Measures'!$E$3,References!$L$103:$O$112,3,FALSE)</f>
        <v>#N/A</v>
      </c>
      <c r="K51" s="101" t="e">
        <f>VLOOKUP('Input A-C &amp; Heat Pump Measures'!$E$3,References!$L$103:$O$112,4,FALSE)</f>
        <v>#N/A</v>
      </c>
      <c r="M51" s="130" t="e">
        <f t="shared" si="2"/>
        <v>#N/A</v>
      </c>
      <c r="N51" s="116" t="e">
        <f>IF('Input A-C &amp; Heat Pump Measures'!$C53&gt;References!$F$12,B51/1000*J51*H51,0)</f>
        <v>#N/A</v>
      </c>
      <c r="O51" s="117" t="e">
        <f t="shared" si="3"/>
        <v>#DIV/0!</v>
      </c>
    </row>
    <row r="52" spans="1:15" ht="15" x14ac:dyDescent="0.25">
      <c r="A52">
        <v>50</v>
      </c>
      <c r="B52" s="130">
        <f>'Input A-C &amp; Heat Pump Measures'!G54*12000</f>
        <v>0</v>
      </c>
      <c r="C52" s="129">
        <f>'Input A-C &amp; Heat Pump Measures'!L54*'Input A-C &amp; Heat Pump Measures'!N54</f>
        <v>0</v>
      </c>
      <c r="D52" s="129">
        <f>'Input A-C &amp; Heat Pump Measures'!M54*'Input A-C &amp; Heat Pump Measures'!O54</f>
        <v>0</v>
      </c>
      <c r="E52" s="144" t="e">
        <f t="shared" si="0"/>
        <v>#DIV/0!</v>
      </c>
      <c r="F52" s="128" t="e">
        <f>B52/'HVAC Calcs - OLD'!C52</f>
        <v>#DIV/0!</v>
      </c>
      <c r="G52" s="128" t="e">
        <f>B52/'HVAC Calcs - OLD'!D52</f>
        <v>#DIV/0!</v>
      </c>
      <c r="H52" s="127" t="e">
        <f t="shared" si="1"/>
        <v>#DIV/0!</v>
      </c>
      <c r="I52" s="101" t="e">
        <f>VLOOKUP('Input A-C &amp; Heat Pump Measures'!$E$3,References!$L$103:$O$112,2,FALSE)</f>
        <v>#N/A</v>
      </c>
      <c r="J52" s="101" t="e">
        <f>VLOOKUP('Input A-C &amp; Heat Pump Measures'!$E$3,References!$L$103:$O$112,3,FALSE)</f>
        <v>#N/A</v>
      </c>
      <c r="K52" s="101" t="e">
        <f>VLOOKUP('Input A-C &amp; Heat Pump Measures'!$E$3,References!$L$103:$O$112,4,FALSE)</f>
        <v>#N/A</v>
      </c>
      <c r="M52" s="130" t="e">
        <f t="shared" si="2"/>
        <v>#N/A</v>
      </c>
      <c r="N52" s="116" t="e">
        <f>IF('Input A-C &amp; Heat Pump Measures'!$C54&gt;References!$F$12,B52/1000*J52*H52,0)</f>
        <v>#N/A</v>
      </c>
      <c r="O52" s="117" t="e">
        <f t="shared" si="3"/>
        <v>#DIV/0!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43AF-B3CC-4D4A-8040-5F839DF34AFA}">
  <sheetPr>
    <tabColor rgb="FFFF0000"/>
  </sheetPr>
  <dimension ref="A1:O12"/>
  <sheetViews>
    <sheetView workbookViewId="0">
      <selection activeCell="J5" sqref="J5"/>
    </sheetView>
  </sheetViews>
  <sheetFormatPr defaultRowHeight="12.75" x14ac:dyDescent="0.2"/>
  <cols>
    <col min="1" max="1" width="15.42578125" bestFit="1" customWidth="1"/>
    <col min="2" max="2" width="27.140625" bestFit="1" customWidth="1"/>
    <col min="3" max="3" width="18.5703125" customWidth="1"/>
    <col min="4" max="4" width="19.5703125" customWidth="1"/>
    <col min="5" max="5" width="22.140625" customWidth="1"/>
    <col min="6" max="6" width="12.5703125" customWidth="1"/>
    <col min="7" max="7" width="18.5703125" customWidth="1"/>
    <col min="8" max="8" width="17.28515625" customWidth="1"/>
    <col min="9" max="9" width="11.85546875" customWidth="1"/>
    <col min="12" max="12" width="12" bestFit="1" customWidth="1"/>
    <col min="13" max="13" width="18.5703125" bestFit="1" customWidth="1"/>
    <col min="14" max="14" width="16.28515625" bestFit="1" customWidth="1"/>
    <col min="15" max="15" width="12" bestFit="1" customWidth="1"/>
  </cols>
  <sheetData>
    <row r="1" spans="1:15" ht="14.25" thickTop="1" thickBot="1" x14ac:dyDescent="0.25">
      <c r="A1" s="342" t="s">
        <v>452</v>
      </c>
      <c r="B1" s="342"/>
      <c r="L1" s="342" t="s">
        <v>453</v>
      </c>
      <c r="M1" s="342"/>
    </row>
    <row r="2" spans="1:15" s="6" customFormat="1" ht="26.25" thickTop="1" x14ac:dyDescent="0.2">
      <c r="A2" s="50" t="s">
        <v>454</v>
      </c>
      <c r="B2" s="50" t="s">
        <v>455</v>
      </c>
      <c r="C2" s="50" t="s">
        <v>456</v>
      </c>
      <c r="D2" s="50" t="s">
        <v>457</v>
      </c>
      <c r="E2" s="50" t="s">
        <v>458</v>
      </c>
      <c r="F2" s="50" t="s">
        <v>459</v>
      </c>
      <c r="G2" s="50" t="s">
        <v>460</v>
      </c>
      <c r="H2" s="50" t="s">
        <v>461</v>
      </c>
      <c r="I2" s="50" t="s">
        <v>462</v>
      </c>
      <c r="J2" s="50" t="s">
        <v>463</v>
      </c>
      <c r="L2" t="s">
        <v>464</v>
      </c>
      <c r="M2" t="s">
        <v>465</v>
      </c>
      <c r="N2" t="s">
        <v>466</v>
      </c>
      <c r="O2" t="s">
        <v>467</v>
      </c>
    </row>
    <row r="3" spans="1:15" x14ac:dyDescent="0.2">
      <c r="A3" t="s">
        <v>206</v>
      </c>
      <c r="B3" t="s">
        <v>468</v>
      </c>
      <c r="C3" s="98">
        <f>'Input A-C &amp; Heat Pump Measures'!R3</f>
        <v>0</v>
      </c>
      <c r="D3" s="96">
        <f>'Input A-C &amp; Heat Pump Measures'!S3</f>
        <v>0</v>
      </c>
      <c r="E3" s="97">
        <f>'Input A-C &amp; Heat Pump Measures'!T3</f>
        <v>0</v>
      </c>
      <c r="F3" s="98">
        <f>'Input A-C &amp; Heat Pump Measures'!U3</f>
        <v>0</v>
      </c>
      <c r="G3" s="98">
        <f>'Input A-C &amp; Heat Pump Measures'!V3</f>
        <v>0</v>
      </c>
      <c r="H3" s="98">
        <f>'Input A-C &amp; Heat Pump Measures'!W3</f>
        <v>0</v>
      </c>
      <c r="I3" s="52" t="e">
        <f>Table_Measure_Caps[[#This Row],[Estimated Raw Incentive Total]]/Table_Measure_Caps[[#This Row],[Gross Measure Cost Total]]</f>
        <v>#DIV/0!</v>
      </c>
      <c r="J3" s="51" t="e">
        <f>Table_Measure_Caps[[#This Row],[Estimated Raw Incentive Total]]*MIN(Table_Measure_Caps[[#Totals],[Estimated Raw Incentive Total]], Table_Measure_Caps[[#Totals],[Gross Measure Cost Total]], Value_Project_CAP)/Table_Measure_Caps[[#Totals],[Estimated Raw Incentive Total]]</f>
        <v>#DIV/0!</v>
      </c>
      <c r="K3" s="51"/>
      <c r="L3" s="64"/>
      <c r="M3" s="27"/>
      <c r="N3" s="27"/>
      <c r="O3" s="27"/>
    </row>
    <row r="4" spans="1:15" x14ac:dyDescent="0.2">
      <c r="A4" t="s">
        <v>206</v>
      </c>
      <c r="B4" t="s">
        <v>469</v>
      </c>
      <c r="C4" s="98">
        <f>'Input Chiller Measures'!N4</f>
        <v>0</v>
      </c>
      <c r="D4" s="98">
        <f>'Input Chiller Measures'!O4</f>
        <v>0</v>
      </c>
      <c r="E4" s="98">
        <f>'Input Chiller Measures'!P4</f>
        <v>0</v>
      </c>
      <c r="F4" s="98">
        <f>'Input Chiller Measures'!Q4</f>
        <v>0</v>
      </c>
      <c r="G4" s="98">
        <f>'Input Chiller Measures'!R4</f>
        <v>0</v>
      </c>
      <c r="H4" s="98">
        <f>'Input Chiller Measures'!S4</f>
        <v>0</v>
      </c>
      <c r="I4" s="52" t="e">
        <f>Table_Measure_Caps[[#This Row],[Estimated Raw Incentive Total]]/Table_Measure_Caps[[#This Row],[Gross Measure Cost Total]]</f>
        <v>#DIV/0!</v>
      </c>
      <c r="J4" s="51" t="e">
        <f>Table_Measure_Caps[[#This Row],[Estimated Raw Incentive Total]]*MIN(Table_Measure_Caps[[#Totals],[Estimated Raw Incentive Total]], Table_Measure_Caps[[#Totals],[Gross Measure Cost Total]], Value_Project_CAP)/Table_Measure_Caps[[#Totals],[Estimated Raw Incentive Total]]</f>
        <v>#DIV/0!</v>
      </c>
      <c r="K4" s="51"/>
    </row>
    <row r="5" spans="1:15" x14ac:dyDescent="0.2">
      <c r="A5" t="s">
        <v>145</v>
      </c>
      <c r="C5" s="98">
        <f>MIN(Value_Project_CAP,SUBTOTAL(109,Table_Measure_Caps[Estimated Raw Incentive Total]))</f>
        <v>0</v>
      </c>
      <c r="D5" s="96">
        <f>SUBTOTAL(109,Table_Measure_Caps[Energy Savings Total (kWh)])</f>
        <v>0</v>
      </c>
      <c r="E5" s="97">
        <f>SUBTOTAL(109,Table_Measure_Caps[Demand Reduction Total (kW)])</f>
        <v>0</v>
      </c>
      <c r="F5" s="98">
        <f>SUBTOTAL(109,Table_Measure_Caps[Cost Savings Total])</f>
        <v>0</v>
      </c>
      <c r="G5" s="98">
        <f>SUBTOTAL(109,Table_Measure_Caps[Gross Measure Cost Total])</f>
        <v>0</v>
      </c>
      <c r="H5" s="98">
        <f>SUBTOTAL(109,Table_Measure_Caps[Net Measure Cost Total])</f>
        <v>0</v>
      </c>
      <c r="I5" s="99" t="e">
        <f>Table_Measure_Caps[[#Totals],[Estimated Raw Incentive Total]]/Table_Measure_Caps[[#Totals],[Gross Measure Cost Total]]</f>
        <v>#DIV/0!</v>
      </c>
      <c r="J5" s="51" t="e">
        <f>SUBTOTAL(109,Table_Measure_Caps[Capped Incentive])</f>
        <v>#DIV/0!</v>
      </c>
    </row>
    <row r="9" spans="1:15" x14ac:dyDescent="0.2">
      <c r="G9" s="27"/>
      <c r="H9" s="27"/>
    </row>
    <row r="12" spans="1:15" x14ac:dyDescent="0.2">
      <c r="E12" s="27"/>
    </row>
  </sheetData>
  <mergeCells count="2">
    <mergeCell ref="A1:B1"/>
    <mergeCell ref="L1:M1"/>
  </mergeCells>
  <pageMargins left="0.7" right="0.7" top="0.75" bottom="0.75" header="0.3" footer="0.3"/>
  <tableParts count="2">
    <tablePart r:id="rId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8186-6E06-47F7-B2BF-1C7EA5417126}">
  <sheetPr codeName="Sheet7">
    <tabColor rgb="FFFF0000"/>
  </sheetPr>
  <dimension ref="A1:E27"/>
  <sheetViews>
    <sheetView workbookViewId="0">
      <selection activeCell="B1" sqref="B1"/>
    </sheetView>
  </sheetViews>
  <sheetFormatPr defaultRowHeight="12.75" x14ac:dyDescent="0.2"/>
  <cols>
    <col min="1" max="1" width="54.140625" customWidth="1"/>
    <col min="2" max="2" width="34.42578125" style="3" customWidth="1"/>
    <col min="3" max="3" width="29.140625" style="3" customWidth="1"/>
    <col min="4" max="4" width="11.28515625" customWidth="1"/>
    <col min="6" max="6" width="22.28515625" bestFit="1" customWidth="1"/>
    <col min="7" max="7" width="7" bestFit="1" customWidth="1"/>
  </cols>
  <sheetData>
    <row r="1" spans="1:5" ht="15" x14ac:dyDescent="0.25">
      <c r="A1" s="5" t="s">
        <v>470</v>
      </c>
      <c r="B1" s="12"/>
      <c r="E1" s="11" t="s">
        <v>471</v>
      </c>
    </row>
    <row r="2" spans="1:5" ht="15" x14ac:dyDescent="0.25">
      <c r="A2" s="5" t="s">
        <v>472</v>
      </c>
      <c r="B2" s="13"/>
      <c r="E2" s="11"/>
    </row>
    <row r="3" spans="1:5" ht="15" x14ac:dyDescent="0.25">
      <c r="A3" s="5" t="s">
        <v>473</v>
      </c>
      <c r="B3" s="124" t="str">
        <f>IFERROR(Table16[[#Totals],[Energy savings (kWh)]]/Input_Usage,"")</f>
        <v/>
      </c>
      <c r="E3" s="11"/>
    </row>
    <row r="5" spans="1:5" x14ac:dyDescent="0.2">
      <c r="A5" t="s">
        <v>474</v>
      </c>
      <c r="B5" s="2" t="s">
        <v>475</v>
      </c>
      <c r="C5" s="2" t="s">
        <v>476</v>
      </c>
    </row>
    <row r="6" spans="1:5" x14ac:dyDescent="0.2">
      <c r="A6" s="15" t="s">
        <v>477</v>
      </c>
      <c r="B6" s="10"/>
      <c r="C6" s="10"/>
    </row>
    <row r="7" spans="1:5" x14ac:dyDescent="0.2">
      <c r="A7" s="15" t="s">
        <v>478</v>
      </c>
      <c r="B7" s="10"/>
      <c r="C7" s="10"/>
    </row>
    <row r="8" spans="1:5" x14ac:dyDescent="0.2">
      <c r="A8" s="15" t="s">
        <v>479</v>
      </c>
      <c r="B8" s="10"/>
      <c r="C8" s="10"/>
    </row>
    <row r="9" spans="1:5" x14ac:dyDescent="0.2">
      <c r="A9" s="15" t="s">
        <v>480</v>
      </c>
      <c r="B9" s="14"/>
      <c r="C9" s="14"/>
    </row>
    <row r="10" spans="1:5" x14ac:dyDescent="0.2">
      <c r="A10" s="15" t="s">
        <v>481</v>
      </c>
      <c r="B10" s="14"/>
      <c r="C10" s="14"/>
    </row>
    <row r="11" spans="1:5" x14ac:dyDescent="0.2">
      <c r="A11" s="15" t="s">
        <v>482</v>
      </c>
      <c r="B11" s="14"/>
      <c r="C11" s="14"/>
    </row>
    <row r="12" spans="1:5" x14ac:dyDescent="0.2">
      <c r="A12" s="15" t="s">
        <v>483</v>
      </c>
      <c r="B12" s="14"/>
      <c r="C12" s="14"/>
    </row>
    <row r="13" spans="1:5" x14ac:dyDescent="0.2">
      <c r="A13" s="15" t="s">
        <v>484</v>
      </c>
      <c r="B13" s="14"/>
      <c r="C13" s="14"/>
    </row>
    <row r="14" spans="1:5" x14ac:dyDescent="0.2">
      <c r="A14" s="15" t="s">
        <v>485</v>
      </c>
      <c r="B14" s="14"/>
      <c r="C14" s="14"/>
    </row>
    <row r="15" spans="1:5" x14ac:dyDescent="0.2">
      <c r="A15" s="15" t="s">
        <v>486</v>
      </c>
      <c r="B15" s="14"/>
      <c r="C15" s="14"/>
    </row>
    <row r="16" spans="1:5" x14ac:dyDescent="0.2">
      <c r="A16" s="3"/>
      <c r="B16" s="18"/>
      <c r="C16" s="18"/>
    </row>
    <row r="17" spans="1:4" ht="15" x14ac:dyDescent="0.2">
      <c r="A17" s="19" t="s">
        <v>487</v>
      </c>
      <c r="B17" s="19" t="s">
        <v>488</v>
      </c>
      <c r="C17" s="20" t="s">
        <v>489</v>
      </c>
      <c r="D17" s="20" t="s">
        <v>145</v>
      </c>
    </row>
    <row r="18" spans="1:4" x14ac:dyDescent="0.2">
      <c r="A18" s="17" t="s">
        <v>490</v>
      </c>
      <c r="B18" s="21" t="e">
        <f>SUM('Review the Summary'!E23,'Review the Summary'!E24)</f>
        <v>#DIV/0!</v>
      </c>
      <c r="C18" s="21"/>
      <c r="D18" s="21" t="e">
        <f>SUM(B18:C18)</f>
        <v>#DIV/0!</v>
      </c>
    </row>
    <row r="19" spans="1:4" x14ac:dyDescent="0.2">
      <c r="A19" s="17" t="s">
        <v>491</v>
      </c>
      <c r="B19" s="21">
        <f>SUM('Review the Summary'!D23,'Review the Summary'!D24)</f>
        <v>0</v>
      </c>
      <c r="C19" s="21"/>
      <c r="D19" s="21">
        <f>SUM(B19:C19)</f>
        <v>0</v>
      </c>
    </row>
    <row r="20" spans="1:4" x14ac:dyDescent="0.2">
      <c r="A20" s="4" t="s">
        <v>492</v>
      </c>
      <c r="B20" s="16" t="e">
        <f>B$18/Value_Project_CAP</f>
        <v>#DIV/0!</v>
      </c>
      <c r="C20" s="16"/>
      <c r="D20" s="16" t="e">
        <f>D$18/Value_Project_CAP</f>
        <v>#DIV/0!</v>
      </c>
    </row>
    <row r="21" spans="1:4" x14ac:dyDescent="0.2">
      <c r="A21" s="17" t="s">
        <v>493</v>
      </c>
      <c r="B21" s="16" t="e">
        <f>B$18/B$19</f>
        <v>#DIV/0!</v>
      </c>
      <c r="C21" s="16"/>
      <c r="D21" s="16" t="e">
        <f>D$18/D$19</f>
        <v>#DIV/0!</v>
      </c>
    </row>
    <row r="23" spans="1:4" ht="15" x14ac:dyDescent="0.2">
      <c r="A23" s="19" t="s">
        <v>494</v>
      </c>
      <c r="B23" s="19" t="s">
        <v>488</v>
      </c>
    </row>
    <row r="24" spans="1:4" x14ac:dyDescent="0.2">
      <c r="A24" s="17" t="s">
        <v>495</v>
      </c>
      <c r="B24" s="21" t="b">
        <f>Table16[[#Totals],[Energy savings (kWh)]]=SUM('APTracks Export Data'!$G$3:$G$102)</f>
        <v>1</v>
      </c>
    </row>
    <row r="25" spans="1:4" x14ac:dyDescent="0.2">
      <c r="A25" s="17" t="s">
        <v>496</v>
      </c>
      <c r="B25" s="21" t="e">
        <f>Table15[[#Totals],[Estimated Incentive]]=SUM('APTracks Export Data'!I:I)</f>
        <v>#DIV/0!</v>
      </c>
    </row>
    <row r="26" spans="1:4" x14ac:dyDescent="0.2">
      <c r="A26" s="4" t="s">
        <v>497</v>
      </c>
      <c r="B26" s="16" t="b">
        <f>Table15[[#Totals],[Gross project cost]]=SUM('APTracks Export Data'!$J$3:$J$102)</f>
        <v>1</v>
      </c>
    </row>
    <row r="27" spans="1:4" x14ac:dyDescent="0.2">
      <c r="A27" s="4" t="s">
        <v>498</v>
      </c>
      <c r="B27" s="16"/>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AF85-49F4-4830-81E4-A9D43357CDC9}">
  <sheetPr>
    <tabColor rgb="FFFF0000"/>
  </sheetPr>
  <dimension ref="A1:R8"/>
  <sheetViews>
    <sheetView workbookViewId="0">
      <selection activeCell="A2" sqref="A2"/>
    </sheetView>
  </sheetViews>
  <sheetFormatPr defaultRowHeight="12.75" x14ac:dyDescent="0.2"/>
  <cols>
    <col min="1" max="1" width="18.28515625" bestFit="1" customWidth="1"/>
    <col min="2" max="2" width="15" bestFit="1" customWidth="1"/>
    <col min="3" max="3" width="14.42578125" bestFit="1" customWidth="1"/>
    <col min="4" max="4" width="13.5703125" bestFit="1" customWidth="1"/>
    <col min="5" max="5" width="8" bestFit="1" customWidth="1"/>
    <col min="6" max="6" width="7.42578125" bestFit="1" customWidth="1"/>
    <col min="7" max="7" width="10.5703125" bestFit="1" customWidth="1"/>
    <col min="8" max="8" width="13.28515625" bestFit="1" customWidth="1"/>
    <col min="9" max="9" width="22.7109375" bestFit="1" customWidth="1"/>
    <col min="10" max="10" width="13.140625" bestFit="1" customWidth="1"/>
    <col min="11" max="11" width="6.42578125" bestFit="1" customWidth="1"/>
    <col min="12" max="12" width="7.140625" bestFit="1" customWidth="1"/>
    <col min="13" max="13" width="15" bestFit="1" customWidth="1"/>
    <col min="14" max="14" width="12.7109375" bestFit="1" customWidth="1"/>
  </cols>
  <sheetData>
    <row r="1" spans="1:18" ht="13.5" thickBot="1" x14ac:dyDescent="0.25"/>
    <row r="2" spans="1:18" ht="14.25" thickTop="1" thickBot="1" x14ac:dyDescent="0.25">
      <c r="A2" s="44" t="s">
        <v>499</v>
      </c>
    </row>
    <row r="3" spans="1:18" ht="13.5" thickTop="1" x14ac:dyDescent="0.2">
      <c r="A3" t="s">
        <v>500</v>
      </c>
      <c r="B3" t="s">
        <v>161</v>
      </c>
      <c r="C3" t="s">
        <v>501</v>
      </c>
      <c r="D3" t="s">
        <v>502</v>
      </c>
      <c r="E3" t="s">
        <v>32</v>
      </c>
      <c r="F3" t="s">
        <v>33</v>
      </c>
      <c r="G3" t="s">
        <v>503</v>
      </c>
      <c r="H3" t="s">
        <v>504</v>
      </c>
      <c r="I3" t="s">
        <v>505</v>
      </c>
      <c r="J3" t="s">
        <v>506</v>
      </c>
      <c r="K3" t="s">
        <v>507</v>
      </c>
      <c r="L3" t="s">
        <v>508</v>
      </c>
      <c r="M3" t="s">
        <v>509</v>
      </c>
      <c r="N3" t="s">
        <v>510</v>
      </c>
      <c r="O3" t="s">
        <v>166</v>
      </c>
      <c r="P3" t="s">
        <v>511</v>
      </c>
      <c r="Q3" t="s">
        <v>168</v>
      </c>
      <c r="R3" t="s">
        <v>169</v>
      </c>
    </row>
    <row r="4" spans="1:18" x14ac:dyDescent="0.2">
      <c r="A4" s="48" t="s">
        <v>139</v>
      </c>
      <c r="B4">
        <f>'Fill in the Application'!$C$5</f>
        <v>0</v>
      </c>
      <c r="C4">
        <f>'Fill in the Application'!$C$6</f>
        <v>0</v>
      </c>
      <c r="D4">
        <f>'Fill in the Application'!$C$7</f>
        <v>0</v>
      </c>
      <c r="E4">
        <f>'Fill in the Application'!$C$8</f>
        <v>0</v>
      </c>
      <c r="F4">
        <f>'Fill in the Application'!$C$9</f>
        <v>0</v>
      </c>
      <c r="G4">
        <f>'Fill in the Application'!$C$10</f>
        <v>0</v>
      </c>
      <c r="H4">
        <f>'Fill in the Application'!$C$11</f>
        <v>0</v>
      </c>
      <c r="I4">
        <f>'Fill in the Application'!$C$12</f>
        <v>0</v>
      </c>
      <c r="J4">
        <f>'Fill in the Application'!$C$13</f>
        <v>0</v>
      </c>
      <c r="K4">
        <f>'Fill in the Application'!$C$14</f>
        <v>0</v>
      </c>
      <c r="L4">
        <f>'Fill in the Application'!$C$15</f>
        <v>0</v>
      </c>
      <c r="M4" t="s">
        <v>512</v>
      </c>
      <c r="N4" t="str">
        <f>Table_Contacts[[#This Row],[Entity]]</f>
        <v>Customer</v>
      </c>
      <c r="O4" t="s">
        <v>512</v>
      </c>
      <c r="P4" t="s">
        <v>512</v>
      </c>
      <c r="Q4" t="s">
        <v>512</v>
      </c>
      <c r="R4" t="s">
        <v>512</v>
      </c>
    </row>
    <row r="5" spans="1:18" x14ac:dyDescent="0.2">
      <c r="A5" s="48" t="s">
        <v>237</v>
      </c>
      <c r="B5">
        <f>'Fill in the Application'!$C$17</f>
        <v>0</v>
      </c>
      <c r="C5">
        <f>'Fill in the Application'!$C$18</f>
        <v>0</v>
      </c>
      <c r="D5">
        <f>'Fill in the Application'!$C$19</f>
        <v>0</v>
      </c>
      <c r="E5">
        <f>'Fill in the Application'!$C$20</f>
        <v>0</v>
      </c>
      <c r="F5">
        <f>'Fill in the Application'!$C$21</f>
        <v>0</v>
      </c>
      <c r="G5">
        <f>'Fill in the Application'!$C$22</f>
        <v>0</v>
      </c>
      <c r="H5">
        <f>'Fill in the Application'!$C$23</f>
        <v>0</v>
      </c>
      <c r="I5">
        <f>'Fill in the Application'!$C$24</f>
        <v>0</v>
      </c>
      <c r="J5" t="s">
        <v>512</v>
      </c>
      <c r="K5" t="s">
        <v>512</v>
      </c>
      <c r="L5" t="s">
        <v>512</v>
      </c>
      <c r="M5">
        <f>'Fill in the Application'!$C$25</f>
        <v>0</v>
      </c>
      <c r="N5" t="str">
        <f>Table_Contacts[[#This Row],[Entity]]</f>
        <v>Trade Ally/Contractor</v>
      </c>
      <c r="O5" t="s">
        <v>512</v>
      </c>
      <c r="P5" t="s">
        <v>512</v>
      </c>
      <c r="Q5" t="s">
        <v>512</v>
      </c>
      <c r="R5" t="s">
        <v>512</v>
      </c>
    </row>
    <row r="6" spans="1:18" x14ac:dyDescent="0.2">
      <c r="A6" s="48" t="s">
        <v>249</v>
      </c>
      <c r="B6">
        <f>'Fill in the Application'!$C$27</f>
        <v>0</v>
      </c>
      <c r="C6">
        <f>'Fill in the Application'!$C$28</f>
        <v>0</v>
      </c>
      <c r="D6">
        <f>'Fill in the Application'!$C$29</f>
        <v>0</v>
      </c>
      <c r="E6">
        <f>'Fill in the Application'!$C$30</f>
        <v>0</v>
      </c>
      <c r="F6">
        <f>'Fill in the Application'!$C$31</f>
        <v>0</v>
      </c>
      <c r="G6">
        <f>'Fill in the Application'!$C$32</f>
        <v>0</v>
      </c>
      <c r="H6">
        <f>'Fill in the Application'!$C$33</f>
        <v>0</v>
      </c>
      <c r="I6">
        <f>'Fill in the Application'!$C$34</f>
        <v>0</v>
      </c>
      <c r="J6" t="s">
        <v>512</v>
      </c>
      <c r="K6" t="s">
        <v>512</v>
      </c>
      <c r="L6" t="s">
        <v>512</v>
      </c>
      <c r="M6" t="s">
        <v>512</v>
      </c>
      <c r="N6">
        <f>'Fill in the Application'!$C$35</f>
        <v>0</v>
      </c>
      <c r="O6" t="s">
        <v>512</v>
      </c>
      <c r="P6" t="s">
        <v>512</v>
      </c>
      <c r="Q6" t="s">
        <v>512</v>
      </c>
      <c r="R6" t="s">
        <v>512</v>
      </c>
    </row>
    <row r="7" spans="1:18" x14ac:dyDescent="0.2">
      <c r="A7" s="48" t="s">
        <v>260</v>
      </c>
      <c r="B7">
        <f>'Fill in the Application'!$F$15</f>
        <v>0</v>
      </c>
      <c r="C7">
        <f>'Fill in the Application'!$F$16</f>
        <v>0</v>
      </c>
      <c r="D7">
        <f>'Fill in the Application'!$F$17</f>
        <v>0</v>
      </c>
      <c r="E7">
        <f>'Fill in the Application'!$F$18</f>
        <v>0</v>
      </c>
      <c r="F7">
        <f>'Fill in the Application'!$F$19</f>
        <v>0</v>
      </c>
      <c r="G7">
        <f>'Fill in the Application'!$F$20</f>
        <v>0</v>
      </c>
      <c r="H7">
        <f>'Fill in the Application'!$F$21</f>
        <v>0</v>
      </c>
      <c r="I7">
        <f>'Fill in the Application'!$F$22</f>
        <v>0</v>
      </c>
      <c r="J7" t="s">
        <v>512</v>
      </c>
      <c r="K7" t="s">
        <v>512</v>
      </c>
      <c r="L7" t="s">
        <v>512</v>
      </c>
      <c r="M7" t="s">
        <v>512</v>
      </c>
      <c r="N7" t="str">
        <f>Table_Contacts[[#This Row],[Entity]]</f>
        <v>Job Site</v>
      </c>
      <c r="O7" t="s">
        <v>512</v>
      </c>
      <c r="P7" t="s">
        <v>512</v>
      </c>
      <c r="Q7" t="s">
        <v>512</v>
      </c>
      <c r="R7" t="s">
        <v>512</v>
      </c>
    </row>
    <row r="8" spans="1:18" x14ac:dyDescent="0.2">
      <c r="A8" s="48" t="s">
        <v>513</v>
      </c>
      <c r="B8" t="e">
        <f>INDEX(Table_Contacts[Business Name], MATCH('Fill in the Application'!$C$37, Table_Contacts[Entity], 0))</f>
        <v>#N/A</v>
      </c>
      <c r="C8" t="e">
        <f>INDEX(Table_Contacts[Contact Name], MATCH('Fill in the Application'!$C$37, Table_Contacts[Entity], 0))</f>
        <v>#N/A</v>
      </c>
      <c r="D8" t="e">
        <f>INDEX(Table_Contacts[Street], MATCH('Fill in the Application'!$C$37, Table_Contacts[Entity], 0))</f>
        <v>#N/A</v>
      </c>
      <c r="E8" t="e">
        <f>INDEX(Table_Contacts[City], MATCH('Fill in the Application'!$C$37, Table_Contacts[Entity], 0))</f>
        <v>#N/A</v>
      </c>
      <c r="F8" t="e">
        <f>INDEX(Table_Contacts[State], MATCH('Fill in the Application'!$C$37, Table_Contacts[Entity], 0))</f>
        <v>#N/A</v>
      </c>
      <c r="G8" t="e">
        <f>INDEX(Table_Contacts[Zip], MATCH('Fill in the Application'!$C$37, Table_Contacts[Entity], 0))</f>
        <v>#N/A</v>
      </c>
      <c r="H8" t="e">
        <f>INDEX(Table_Contacts[Phone], MATCH('Fill in the Application'!$C$37, Table_Contacts[Entity], 0))</f>
        <v>#N/A</v>
      </c>
      <c r="I8" t="e">
        <f>INDEX(Table_Contacts[Email], MATCH('Fill in the Application'!$C$37, Table_Contacts[Entity], 0))</f>
        <v>#N/A</v>
      </c>
      <c r="J8" t="e">
        <f>INDEX(Table_Contacts[Classification], MATCH('Fill in the Application'!$C$37, Table_Contacts[Entity], 0))</f>
        <v>#N/A</v>
      </c>
      <c r="K8" t="s">
        <v>512</v>
      </c>
      <c r="L8" t="s">
        <v>512</v>
      </c>
      <c r="M8" t="s">
        <v>512</v>
      </c>
      <c r="N8" t="s">
        <v>512</v>
      </c>
      <c r="O8">
        <f>'Fill in the Application'!F34</f>
        <v>0</v>
      </c>
      <c r="P8">
        <f>'Fill in the Application'!F35</f>
        <v>0</v>
      </c>
      <c r="Q8">
        <f>'Fill in the Application'!F36</f>
        <v>0</v>
      </c>
      <c r="R8">
        <f>'Fill in the Application'!F37</f>
        <v>0</v>
      </c>
    </row>
  </sheetData>
  <pageMargins left="0.7" right="0.7" top="0.75" bottom="0.75" header="0.3" footer="0.3"/>
  <pageSetup orientation="portrait" horizontalDpi="0" verticalDpi="0" r:id="rId1"/>
  <ignoredErrors>
    <ignoredError sqref="O4:R7" calculatedColumn="1"/>
    <ignoredError sqref="N6" formula="1"/>
  </ignoredError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99DA-3079-4798-A831-80E5996DF33A}">
  <sheetPr codeName="Sheet10">
    <tabColor rgb="FFFF0000"/>
  </sheetPr>
  <dimension ref="A1:M212"/>
  <sheetViews>
    <sheetView workbookViewId="0">
      <selection activeCell="A2" sqref="A2"/>
    </sheetView>
  </sheetViews>
  <sheetFormatPr defaultColWidth="9.140625" defaultRowHeight="12.75" x14ac:dyDescent="0.2"/>
  <cols>
    <col min="1" max="1" width="13.42578125" customWidth="1"/>
    <col min="2" max="2" width="17.140625" customWidth="1"/>
    <col min="3" max="3" width="16.85546875" customWidth="1"/>
    <col min="4" max="4" width="18.7109375" customWidth="1"/>
    <col min="5" max="5" width="17.5703125" customWidth="1"/>
    <col min="6" max="6" width="8.7109375" customWidth="1"/>
    <col min="7" max="7" width="14.28515625" customWidth="1"/>
    <col min="8" max="8" width="13.140625" customWidth="1"/>
    <col min="9" max="9" width="17.140625" style="35" customWidth="1"/>
    <col min="10" max="10" width="13" customWidth="1"/>
    <col min="11" max="11" width="19.28515625" customWidth="1"/>
    <col min="12" max="12" width="56" customWidth="1"/>
    <col min="13" max="13" width="12.28515625" style="35" customWidth="1"/>
  </cols>
  <sheetData>
    <row r="1" spans="1:13" ht="45" x14ac:dyDescent="0.25">
      <c r="A1" s="57" t="s">
        <v>514</v>
      </c>
      <c r="B1" s="58" t="s">
        <v>515</v>
      </c>
      <c r="C1" s="58" t="s">
        <v>516</v>
      </c>
      <c r="D1" s="58" t="s">
        <v>179</v>
      </c>
      <c r="E1" s="58" t="s">
        <v>517</v>
      </c>
      <c r="F1" s="58" t="s">
        <v>184</v>
      </c>
      <c r="G1" s="59" t="s">
        <v>518</v>
      </c>
      <c r="H1" s="58" t="s">
        <v>451</v>
      </c>
      <c r="I1" s="60" t="s">
        <v>490</v>
      </c>
      <c r="J1" s="58" t="s">
        <v>519</v>
      </c>
      <c r="K1" s="58" t="s">
        <v>520</v>
      </c>
      <c r="L1" s="61" t="s">
        <v>180</v>
      </c>
      <c r="M1" s="60" t="s">
        <v>521</v>
      </c>
    </row>
    <row r="2" spans="1:13" x14ac:dyDescent="0.2">
      <c r="A2" s="31"/>
      <c r="B2" s="30"/>
      <c r="C2" s="30"/>
      <c r="D2" s="30"/>
      <c r="E2" s="30"/>
      <c r="F2" s="30"/>
      <c r="G2" s="30"/>
      <c r="H2" s="90"/>
      <c r="I2" s="36"/>
      <c r="J2" s="30"/>
      <c r="K2" s="32"/>
      <c r="L2" s="55"/>
      <c r="M2" s="33"/>
    </row>
    <row r="3" spans="1:13" x14ac:dyDescent="0.2">
      <c r="A3" s="8" t="s">
        <v>206</v>
      </c>
      <c r="B3" s="7">
        <f t="shared" ref="B3:B104" si="0">Input_ProjectNumber</f>
        <v>0</v>
      </c>
      <c r="C3" s="7">
        <f>'Input A-C &amp; Heat Pump Measures'!B5</f>
        <v>1</v>
      </c>
      <c r="D3" s="7" t="str">
        <f>'Input A-C &amp; Heat Pump Measures'!C5</f>
        <v/>
      </c>
      <c r="E3" s="7" t="str">
        <f>'Input A-C &amp; Heat Pump Measures'!F5</f>
        <v/>
      </c>
      <c r="F3" s="7" t="str">
        <f>IF(ISNUMBER($D3)=TRUE,'Input A-C &amp; Heat Pump Measures'!G5,"")</f>
        <v/>
      </c>
      <c r="G3" s="7" t="str">
        <f>IF(ISNUMBER($D3)=TRUE,'Input A-C &amp; Heat Pump Measures'!S5,"")</f>
        <v/>
      </c>
      <c r="H3" s="91" t="str">
        <f>IF(ISNUMBER($D3)=TRUE,'Input A-C &amp; Heat Pump Measures'!T5,"")</f>
        <v/>
      </c>
      <c r="I3" s="37" t="str">
        <f>IFERROR(M3*MIN(Table_Measure_Caps[[#Totals],[Estimated Raw Incentive Total]], Table_Measure_Caps[[#Totals],[Gross Measure Cost Total]], Value_Project_CAP)/Table_Measure_Caps[[#Totals],[Estimated Raw Incentive Total]], "")</f>
        <v/>
      </c>
      <c r="J3" s="7" t="str">
        <f>IF(ISNUMBER($D3)=TRUE,'Input A-C &amp; Heat Pump Measures'!P5,"")</f>
        <v/>
      </c>
      <c r="K3" s="22" t="str">
        <f t="shared" ref="K3:K65" si="1">Value_Application_Version</f>
        <v>Version 2.1</v>
      </c>
      <c r="L3" s="56" t="str">
        <f>IF(ISNUMBER($D3)=TRUE,'Input A-C &amp; Heat Pump Measures'!E5,"")</f>
        <v/>
      </c>
      <c r="M3" s="34" t="str">
        <f>'Input A-C &amp; Heat Pump Measures'!R5</f>
        <v/>
      </c>
    </row>
    <row r="4" spans="1:13" x14ac:dyDescent="0.2">
      <c r="A4" s="8" t="s">
        <v>206</v>
      </c>
      <c r="B4" s="7">
        <f t="shared" si="0"/>
        <v>0</v>
      </c>
      <c r="C4" s="7">
        <f>'Input A-C &amp; Heat Pump Measures'!B6</f>
        <v>2</v>
      </c>
      <c r="D4" s="7" t="str">
        <f>'Input A-C &amp; Heat Pump Measures'!C6</f>
        <v/>
      </c>
      <c r="E4" s="7" t="str">
        <f>'Input A-C &amp; Heat Pump Measures'!F6</f>
        <v/>
      </c>
      <c r="F4" s="7" t="str">
        <f>IF(ISNUMBER($D4)=TRUE,'Input A-C &amp; Heat Pump Measures'!G6,"")</f>
        <v/>
      </c>
      <c r="G4" s="7" t="str">
        <f>IF(ISNUMBER($D4)=TRUE,'Input A-C &amp; Heat Pump Measures'!S6,"")</f>
        <v/>
      </c>
      <c r="H4" s="91" t="str">
        <f>IF(ISNUMBER($D4)=TRUE,'Input A-C &amp; Heat Pump Measures'!T6,"")</f>
        <v/>
      </c>
      <c r="I4" s="37" t="str">
        <f>IFERROR(M4*MIN(Table_Measure_Caps[[#Totals],[Estimated Raw Incentive Total]], Table_Measure_Caps[[#Totals],[Gross Measure Cost Total]], Value_Project_CAP)/Table_Measure_Caps[[#Totals],[Estimated Raw Incentive Total]], "")</f>
        <v/>
      </c>
      <c r="J4" s="7" t="str">
        <f>IF(ISNUMBER($D4)=TRUE,'Input A-C &amp; Heat Pump Measures'!P6,"")</f>
        <v/>
      </c>
      <c r="K4" s="22" t="str">
        <f t="shared" si="1"/>
        <v>Version 2.1</v>
      </c>
      <c r="L4" s="56" t="str">
        <f>IF(ISNUMBER($D4)=TRUE,'Input A-C &amp; Heat Pump Measures'!E6,"")</f>
        <v/>
      </c>
      <c r="M4" s="34" t="str">
        <f>'Input A-C &amp; Heat Pump Measures'!R6</f>
        <v/>
      </c>
    </row>
    <row r="5" spans="1:13" x14ac:dyDescent="0.2">
      <c r="A5" s="8" t="s">
        <v>206</v>
      </c>
      <c r="B5" s="7">
        <f t="shared" si="0"/>
        <v>0</v>
      </c>
      <c r="C5" s="7">
        <f>'Input A-C &amp; Heat Pump Measures'!B7</f>
        <v>3</v>
      </c>
      <c r="D5" s="7" t="str">
        <f>'Input A-C &amp; Heat Pump Measures'!C7</f>
        <v/>
      </c>
      <c r="E5" s="7" t="str">
        <f>'Input A-C &amp; Heat Pump Measures'!F7</f>
        <v/>
      </c>
      <c r="F5" s="7" t="str">
        <f>IF(ISNUMBER($D5)=TRUE,'Input A-C &amp; Heat Pump Measures'!G7,"")</f>
        <v/>
      </c>
      <c r="G5" s="7" t="str">
        <f>IF(ISNUMBER($D5)=TRUE,'Input A-C &amp; Heat Pump Measures'!S7,"")</f>
        <v/>
      </c>
      <c r="H5" s="91" t="str">
        <f>IF(ISNUMBER($D5)=TRUE,'Input A-C &amp; Heat Pump Measures'!T7,"")</f>
        <v/>
      </c>
      <c r="I5" s="37" t="str">
        <f>IFERROR(M5*MIN(Table_Measure_Caps[[#Totals],[Estimated Raw Incentive Total]], Table_Measure_Caps[[#Totals],[Gross Measure Cost Total]], Value_Project_CAP)/Table_Measure_Caps[[#Totals],[Estimated Raw Incentive Total]], "")</f>
        <v/>
      </c>
      <c r="J5" s="7" t="str">
        <f>IF(ISNUMBER($D5)=TRUE,'Input A-C &amp; Heat Pump Measures'!P7,"")</f>
        <v/>
      </c>
      <c r="K5" s="22" t="str">
        <f t="shared" si="1"/>
        <v>Version 2.1</v>
      </c>
      <c r="L5" s="56" t="str">
        <f>IF(ISNUMBER($D5)=TRUE,'Input A-C &amp; Heat Pump Measures'!E7,"")</f>
        <v/>
      </c>
      <c r="M5" s="34" t="str">
        <f>'Input A-C &amp; Heat Pump Measures'!R7</f>
        <v/>
      </c>
    </row>
    <row r="6" spans="1:13" x14ac:dyDescent="0.2">
      <c r="A6" s="8" t="s">
        <v>206</v>
      </c>
      <c r="B6" s="7">
        <f t="shared" si="0"/>
        <v>0</v>
      </c>
      <c r="C6" s="7">
        <f>'Input A-C &amp; Heat Pump Measures'!B8</f>
        <v>4</v>
      </c>
      <c r="D6" s="7" t="str">
        <f>'Input A-C &amp; Heat Pump Measures'!C8</f>
        <v/>
      </c>
      <c r="E6" s="7" t="str">
        <f>'Input A-C &amp; Heat Pump Measures'!F8</f>
        <v/>
      </c>
      <c r="F6" s="7" t="str">
        <f>IF(ISNUMBER($D6)=TRUE,'Input A-C &amp; Heat Pump Measures'!G8,"")</f>
        <v/>
      </c>
      <c r="G6" s="7" t="str">
        <f>IF(ISNUMBER($D6)=TRUE,'Input A-C &amp; Heat Pump Measures'!S8,"")</f>
        <v/>
      </c>
      <c r="H6" s="91" t="str">
        <f>IF(ISNUMBER($D6)=TRUE,'Input A-C &amp; Heat Pump Measures'!T8,"")</f>
        <v/>
      </c>
      <c r="I6" s="37" t="str">
        <f>IFERROR(M6*MIN(Table_Measure_Caps[[#Totals],[Estimated Raw Incentive Total]], Table_Measure_Caps[[#Totals],[Gross Measure Cost Total]], Value_Project_CAP)/Table_Measure_Caps[[#Totals],[Estimated Raw Incentive Total]], "")</f>
        <v/>
      </c>
      <c r="J6" s="7" t="str">
        <f>IF(ISNUMBER($D6)=TRUE,'Input A-C &amp; Heat Pump Measures'!P8,"")</f>
        <v/>
      </c>
      <c r="K6" s="22" t="str">
        <f t="shared" si="1"/>
        <v>Version 2.1</v>
      </c>
      <c r="L6" s="56" t="str">
        <f>IF(ISNUMBER($D6)=TRUE,'Input A-C &amp; Heat Pump Measures'!E8,"")</f>
        <v/>
      </c>
      <c r="M6" s="34" t="str">
        <f>'Input A-C &amp; Heat Pump Measures'!R8</f>
        <v/>
      </c>
    </row>
    <row r="7" spans="1:13" x14ac:dyDescent="0.2">
      <c r="A7" s="8" t="s">
        <v>206</v>
      </c>
      <c r="B7" s="7">
        <f t="shared" si="0"/>
        <v>0</v>
      </c>
      <c r="C7" s="7">
        <f>'Input A-C &amp; Heat Pump Measures'!B9</f>
        <v>5</v>
      </c>
      <c r="D7" s="7" t="str">
        <f>'Input A-C &amp; Heat Pump Measures'!C9</f>
        <v/>
      </c>
      <c r="E7" s="7" t="str">
        <f>'Input A-C &amp; Heat Pump Measures'!F9</f>
        <v/>
      </c>
      <c r="F7" s="7" t="str">
        <f>IF(ISNUMBER($D7)=TRUE,'Input A-C &amp; Heat Pump Measures'!G9,"")</f>
        <v/>
      </c>
      <c r="G7" s="7" t="str">
        <f>IF(ISNUMBER($D7)=TRUE,'Input A-C &amp; Heat Pump Measures'!S9,"")</f>
        <v/>
      </c>
      <c r="H7" s="91" t="str">
        <f>IF(ISNUMBER($D7)=TRUE,'Input A-C &amp; Heat Pump Measures'!T9,"")</f>
        <v/>
      </c>
      <c r="I7" s="37" t="str">
        <f>IFERROR(M7*MIN(Table_Measure_Caps[[#Totals],[Estimated Raw Incentive Total]], Table_Measure_Caps[[#Totals],[Gross Measure Cost Total]], Value_Project_CAP)/Table_Measure_Caps[[#Totals],[Estimated Raw Incentive Total]], "")</f>
        <v/>
      </c>
      <c r="J7" s="7" t="str">
        <f>IF(ISNUMBER($D7)=TRUE,'Input A-C &amp; Heat Pump Measures'!P9,"")</f>
        <v/>
      </c>
      <c r="K7" s="22" t="str">
        <f t="shared" si="1"/>
        <v>Version 2.1</v>
      </c>
      <c r="L7" s="56" t="str">
        <f>IF(ISNUMBER($D7)=TRUE,'Input A-C &amp; Heat Pump Measures'!E9,"")</f>
        <v/>
      </c>
      <c r="M7" s="34" t="str">
        <f>'Input A-C &amp; Heat Pump Measures'!R9</f>
        <v/>
      </c>
    </row>
    <row r="8" spans="1:13" x14ac:dyDescent="0.2">
      <c r="A8" s="8" t="s">
        <v>206</v>
      </c>
      <c r="B8" s="7">
        <f t="shared" si="0"/>
        <v>0</v>
      </c>
      <c r="C8" s="7">
        <f>'Input A-C &amp; Heat Pump Measures'!B10</f>
        <v>6</v>
      </c>
      <c r="D8" s="7" t="str">
        <f>'Input A-C &amp; Heat Pump Measures'!C10</f>
        <v/>
      </c>
      <c r="E8" s="7" t="str">
        <f>'Input A-C &amp; Heat Pump Measures'!F10</f>
        <v/>
      </c>
      <c r="F8" s="7" t="str">
        <f>IF(ISNUMBER($D8)=TRUE,'Input A-C &amp; Heat Pump Measures'!G10,"")</f>
        <v/>
      </c>
      <c r="G8" s="7" t="str">
        <f>IF(ISNUMBER($D8)=TRUE,'Input A-C &amp; Heat Pump Measures'!S10,"")</f>
        <v/>
      </c>
      <c r="H8" s="91" t="str">
        <f>IF(ISNUMBER($D8)=TRUE,'Input A-C &amp; Heat Pump Measures'!T10,"")</f>
        <v/>
      </c>
      <c r="I8" s="37" t="str">
        <f>IFERROR(M8*MIN(Table_Measure_Caps[[#Totals],[Estimated Raw Incentive Total]], Table_Measure_Caps[[#Totals],[Gross Measure Cost Total]], Value_Project_CAP)/Table_Measure_Caps[[#Totals],[Estimated Raw Incentive Total]], "")</f>
        <v/>
      </c>
      <c r="J8" s="7" t="str">
        <f>IF(ISNUMBER($D8)=TRUE,'Input A-C &amp; Heat Pump Measures'!P10,"")</f>
        <v/>
      </c>
      <c r="K8" s="22" t="str">
        <f t="shared" si="1"/>
        <v>Version 2.1</v>
      </c>
      <c r="L8" s="56" t="str">
        <f>IF(ISNUMBER($D8)=TRUE,'Input A-C &amp; Heat Pump Measures'!E10,"")</f>
        <v/>
      </c>
      <c r="M8" s="34" t="str">
        <f>'Input A-C &amp; Heat Pump Measures'!R10</f>
        <v/>
      </c>
    </row>
    <row r="9" spans="1:13" x14ac:dyDescent="0.2">
      <c r="A9" s="8" t="s">
        <v>206</v>
      </c>
      <c r="B9" s="7">
        <f t="shared" si="0"/>
        <v>0</v>
      </c>
      <c r="C9" s="7">
        <f>'Input A-C &amp; Heat Pump Measures'!B11</f>
        <v>7</v>
      </c>
      <c r="D9" s="7" t="str">
        <f>'Input A-C &amp; Heat Pump Measures'!C11</f>
        <v/>
      </c>
      <c r="E9" s="7" t="str">
        <f>'Input A-C &amp; Heat Pump Measures'!F11</f>
        <v/>
      </c>
      <c r="F9" s="7" t="str">
        <f>IF(ISNUMBER($D9)=TRUE,'Input A-C &amp; Heat Pump Measures'!G11,"")</f>
        <v/>
      </c>
      <c r="G9" s="7" t="str">
        <f>IF(ISNUMBER($D9)=TRUE,'Input A-C &amp; Heat Pump Measures'!S11,"")</f>
        <v/>
      </c>
      <c r="H9" s="91" t="str">
        <f>IF(ISNUMBER($D9)=TRUE,'Input A-C &amp; Heat Pump Measures'!T11,"")</f>
        <v/>
      </c>
      <c r="I9" s="37" t="str">
        <f>IFERROR(M9*MIN(Table_Measure_Caps[[#Totals],[Estimated Raw Incentive Total]], Table_Measure_Caps[[#Totals],[Gross Measure Cost Total]], Value_Project_CAP)/Table_Measure_Caps[[#Totals],[Estimated Raw Incentive Total]], "")</f>
        <v/>
      </c>
      <c r="J9" s="7" t="str">
        <f>IF(ISNUMBER($D9)=TRUE,'Input A-C &amp; Heat Pump Measures'!P11,"")</f>
        <v/>
      </c>
      <c r="K9" s="22" t="str">
        <f t="shared" si="1"/>
        <v>Version 2.1</v>
      </c>
      <c r="L9" s="56" t="str">
        <f>IF(ISNUMBER($D9)=TRUE,'Input A-C &amp; Heat Pump Measures'!E11,"")</f>
        <v/>
      </c>
      <c r="M9" s="34" t="str">
        <f>'Input A-C &amp; Heat Pump Measures'!R11</f>
        <v/>
      </c>
    </row>
    <row r="10" spans="1:13" x14ac:dyDescent="0.2">
      <c r="A10" s="8" t="s">
        <v>206</v>
      </c>
      <c r="B10" s="7">
        <f t="shared" si="0"/>
        <v>0</v>
      </c>
      <c r="C10" s="7">
        <f>'Input A-C &amp; Heat Pump Measures'!B12</f>
        <v>8</v>
      </c>
      <c r="D10" s="7" t="str">
        <f>'Input A-C &amp; Heat Pump Measures'!C12</f>
        <v/>
      </c>
      <c r="E10" s="7" t="str">
        <f>'Input A-C &amp; Heat Pump Measures'!F12</f>
        <v/>
      </c>
      <c r="F10" s="7" t="str">
        <f>IF(ISNUMBER($D10)=TRUE,'Input A-C &amp; Heat Pump Measures'!G12,"")</f>
        <v/>
      </c>
      <c r="G10" s="7" t="str">
        <f>IF(ISNUMBER($D10)=TRUE,'Input A-C &amp; Heat Pump Measures'!S12,"")</f>
        <v/>
      </c>
      <c r="H10" s="91" t="str">
        <f>IF(ISNUMBER($D10)=TRUE,'Input A-C &amp; Heat Pump Measures'!T12,"")</f>
        <v/>
      </c>
      <c r="I10" s="37" t="str">
        <f>IFERROR(M10*MIN(Table_Measure_Caps[[#Totals],[Estimated Raw Incentive Total]], Table_Measure_Caps[[#Totals],[Gross Measure Cost Total]], Value_Project_CAP)/Table_Measure_Caps[[#Totals],[Estimated Raw Incentive Total]], "")</f>
        <v/>
      </c>
      <c r="J10" s="7" t="str">
        <f>IF(ISNUMBER($D10)=TRUE,'Input A-C &amp; Heat Pump Measures'!P12,"")</f>
        <v/>
      </c>
      <c r="K10" s="22" t="str">
        <f t="shared" si="1"/>
        <v>Version 2.1</v>
      </c>
      <c r="L10" s="56" t="str">
        <f>IF(ISNUMBER($D10)=TRUE,'Input A-C &amp; Heat Pump Measures'!E12,"")</f>
        <v/>
      </c>
      <c r="M10" s="34" t="str">
        <f>'Input A-C &amp; Heat Pump Measures'!R12</f>
        <v/>
      </c>
    </row>
    <row r="11" spans="1:13" x14ac:dyDescent="0.2">
      <c r="A11" s="8" t="s">
        <v>206</v>
      </c>
      <c r="B11" s="7">
        <f t="shared" si="0"/>
        <v>0</v>
      </c>
      <c r="C11" s="7">
        <f>'Input A-C &amp; Heat Pump Measures'!B13</f>
        <v>9</v>
      </c>
      <c r="D11" s="7" t="str">
        <f>'Input A-C &amp; Heat Pump Measures'!C13</f>
        <v/>
      </c>
      <c r="E11" s="7" t="str">
        <f>'Input A-C &amp; Heat Pump Measures'!F13</f>
        <v/>
      </c>
      <c r="F11" s="7" t="str">
        <f>IF(ISNUMBER($D11)=TRUE,'Input A-C &amp; Heat Pump Measures'!G13,"")</f>
        <v/>
      </c>
      <c r="G11" s="7" t="str">
        <f>IF(ISNUMBER($D11)=TRUE,'Input A-C &amp; Heat Pump Measures'!S13,"")</f>
        <v/>
      </c>
      <c r="H11" s="91" t="str">
        <f>IF(ISNUMBER($D11)=TRUE,'Input A-C &amp; Heat Pump Measures'!T13,"")</f>
        <v/>
      </c>
      <c r="I11" s="37" t="str">
        <f>IFERROR(M11*MIN(Table_Measure_Caps[[#Totals],[Estimated Raw Incentive Total]], Table_Measure_Caps[[#Totals],[Gross Measure Cost Total]], Value_Project_CAP)/Table_Measure_Caps[[#Totals],[Estimated Raw Incentive Total]], "")</f>
        <v/>
      </c>
      <c r="J11" s="7" t="str">
        <f>IF(ISNUMBER($D11)=TRUE,'Input A-C &amp; Heat Pump Measures'!P13,"")</f>
        <v/>
      </c>
      <c r="K11" s="22" t="str">
        <f t="shared" si="1"/>
        <v>Version 2.1</v>
      </c>
      <c r="L11" s="56" t="str">
        <f>IF(ISNUMBER($D11)=TRUE,'Input A-C &amp; Heat Pump Measures'!E13,"")</f>
        <v/>
      </c>
      <c r="M11" s="34" t="str">
        <f>'Input A-C &amp; Heat Pump Measures'!R13</f>
        <v/>
      </c>
    </row>
    <row r="12" spans="1:13" x14ac:dyDescent="0.2">
      <c r="A12" s="8" t="s">
        <v>206</v>
      </c>
      <c r="B12" s="7">
        <f t="shared" si="0"/>
        <v>0</v>
      </c>
      <c r="C12" s="7">
        <f>'Input A-C &amp; Heat Pump Measures'!B14</f>
        <v>10</v>
      </c>
      <c r="D12" s="7" t="str">
        <f>'Input A-C &amp; Heat Pump Measures'!C14</f>
        <v/>
      </c>
      <c r="E12" s="7" t="str">
        <f>'Input A-C &amp; Heat Pump Measures'!F14</f>
        <v/>
      </c>
      <c r="F12" s="7" t="str">
        <f>IF(ISNUMBER($D12)=TRUE,'Input A-C &amp; Heat Pump Measures'!G14,"")</f>
        <v/>
      </c>
      <c r="G12" s="7" t="str">
        <f>IF(ISNUMBER($D12)=TRUE,'Input A-C &amp; Heat Pump Measures'!S14,"")</f>
        <v/>
      </c>
      <c r="H12" s="91" t="str">
        <f>IF(ISNUMBER($D12)=TRUE,'Input A-C &amp; Heat Pump Measures'!T14,"")</f>
        <v/>
      </c>
      <c r="I12" s="37" t="str">
        <f>IFERROR(M12*MIN(Table_Measure_Caps[[#Totals],[Estimated Raw Incentive Total]], Table_Measure_Caps[[#Totals],[Gross Measure Cost Total]], Value_Project_CAP)/Table_Measure_Caps[[#Totals],[Estimated Raw Incentive Total]], "")</f>
        <v/>
      </c>
      <c r="J12" s="7" t="str">
        <f>IF(ISNUMBER($D12)=TRUE,'Input A-C &amp; Heat Pump Measures'!P14,"")</f>
        <v/>
      </c>
      <c r="K12" s="22" t="str">
        <f t="shared" si="1"/>
        <v>Version 2.1</v>
      </c>
      <c r="L12" s="56" t="str">
        <f>IF(ISNUMBER($D12)=TRUE,'Input A-C &amp; Heat Pump Measures'!E14,"")</f>
        <v/>
      </c>
      <c r="M12" s="34" t="str">
        <f>'Input A-C &amp; Heat Pump Measures'!R14</f>
        <v/>
      </c>
    </row>
    <row r="13" spans="1:13" x14ac:dyDescent="0.2">
      <c r="A13" s="8" t="s">
        <v>206</v>
      </c>
      <c r="B13" s="7">
        <f t="shared" si="0"/>
        <v>0</v>
      </c>
      <c r="C13" s="7">
        <f>'Input A-C &amp; Heat Pump Measures'!B15</f>
        <v>11</v>
      </c>
      <c r="D13" s="7" t="str">
        <f>'Input A-C &amp; Heat Pump Measures'!C15</f>
        <v/>
      </c>
      <c r="E13" s="7" t="str">
        <f>'Input A-C &amp; Heat Pump Measures'!F15</f>
        <v/>
      </c>
      <c r="F13" s="7" t="str">
        <f>IF(ISNUMBER($D13)=TRUE,'Input A-C &amp; Heat Pump Measures'!G15,"")</f>
        <v/>
      </c>
      <c r="G13" s="7" t="str">
        <f>IF(ISNUMBER($D13)=TRUE,'Input A-C &amp; Heat Pump Measures'!S15,"")</f>
        <v/>
      </c>
      <c r="H13" s="91" t="str">
        <f>IF(ISNUMBER($D13)=TRUE,'Input A-C &amp; Heat Pump Measures'!T15,"")</f>
        <v/>
      </c>
      <c r="I13" s="37" t="str">
        <f>IFERROR(M13*MIN(Table_Measure_Caps[[#Totals],[Estimated Raw Incentive Total]], Table_Measure_Caps[[#Totals],[Gross Measure Cost Total]], Value_Project_CAP)/Table_Measure_Caps[[#Totals],[Estimated Raw Incentive Total]], "")</f>
        <v/>
      </c>
      <c r="J13" s="7" t="str">
        <f>IF(ISNUMBER($D13)=TRUE,'Input A-C &amp; Heat Pump Measures'!P15,"")</f>
        <v/>
      </c>
      <c r="K13" s="22" t="str">
        <f t="shared" si="1"/>
        <v>Version 2.1</v>
      </c>
      <c r="L13" s="56" t="str">
        <f>IF(ISNUMBER($D13)=TRUE,'Input A-C &amp; Heat Pump Measures'!E15,"")</f>
        <v/>
      </c>
      <c r="M13" s="34" t="str">
        <f>'Input A-C &amp; Heat Pump Measures'!R15</f>
        <v/>
      </c>
    </row>
    <row r="14" spans="1:13" x14ac:dyDescent="0.2">
      <c r="A14" s="8" t="s">
        <v>206</v>
      </c>
      <c r="B14" s="7">
        <f t="shared" si="0"/>
        <v>0</v>
      </c>
      <c r="C14" s="7">
        <f>'Input A-C &amp; Heat Pump Measures'!B16</f>
        <v>12</v>
      </c>
      <c r="D14" s="7" t="str">
        <f>'Input A-C &amp; Heat Pump Measures'!C16</f>
        <v/>
      </c>
      <c r="E14" s="7" t="str">
        <f>'Input A-C &amp; Heat Pump Measures'!F16</f>
        <v/>
      </c>
      <c r="F14" s="7" t="str">
        <f>IF(ISNUMBER($D14)=TRUE,'Input A-C &amp; Heat Pump Measures'!G16,"")</f>
        <v/>
      </c>
      <c r="G14" s="7" t="str">
        <f>IF(ISNUMBER($D14)=TRUE,'Input A-C &amp; Heat Pump Measures'!S16,"")</f>
        <v/>
      </c>
      <c r="H14" s="91" t="str">
        <f>IF(ISNUMBER($D14)=TRUE,'Input A-C &amp; Heat Pump Measures'!T16,"")</f>
        <v/>
      </c>
      <c r="I14" s="37" t="str">
        <f>IFERROR(M14*MIN(Table_Measure_Caps[[#Totals],[Estimated Raw Incentive Total]], Table_Measure_Caps[[#Totals],[Gross Measure Cost Total]], Value_Project_CAP)/Table_Measure_Caps[[#Totals],[Estimated Raw Incentive Total]], "")</f>
        <v/>
      </c>
      <c r="J14" s="7" t="str">
        <f>IF(ISNUMBER($D14)=TRUE,'Input A-C &amp; Heat Pump Measures'!P16,"")</f>
        <v/>
      </c>
      <c r="K14" s="22" t="str">
        <f t="shared" si="1"/>
        <v>Version 2.1</v>
      </c>
      <c r="L14" s="56" t="str">
        <f>IF(ISNUMBER($D14)=TRUE,'Input A-C &amp; Heat Pump Measures'!E16,"")</f>
        <v/>
      </c>
      <c r="M14" s="34" t="str">
        <f>'Input A-C &amp; Heat Pump Measures'!R16</f>
        <v/>
      </c>
    </row>
    <row r="15" spans="1:13" x14ac:dyDescent="0.2">
      <c r="A15" s="8" t="s">
        <v>206</v>
      </c>
      <c r="B15" s="7">
        <f t="shared" si="0"/>
        <v>0</v>
      </c>
      <c r="C15" s="7">
        <f>'Input A-C &amp; Heat Pump Measures'!B17</f>
        <v>13</v>
      </c>
      <c r="D15" s="7" t="str">
        <f>'Input A-C &amp; Heat Pump Measures'!C17</f>
        <v/>
      </c>
      <c r="E15" s="7" t="str">
        <f>'Input A-C &amp; Heat Pump Measures'!F17</f>
        <v/>
      </c>
      <c r="F15" s="7" t="str">
        <f>IF(ISNUMBER($D15)=TRUE,'Input A-C &amp; Heat Pump Measures'!G17,"")</f>
        <v/>
      </c>
      <c r="G15" s="7" t="str">
        <f>IF(ISNUMBER($D15)=TRUE,'Input A-C &amp; Heat Pump Measures'!S17,"")</f>
        <v/>
      </c>
      <c r="H15" s="91" t="str">
        <f>IF(ISNUMBER($D15)=TRUE,'Input A-C &amp; Heat Pump Measures'!T17,"")</f>
        <v/>
      </c>
      <c r="I15" s="37" t="str">
        <f>IFERROR(M15*MIN(Table_Measure_Caps[[#Totals],[Estimated Raw Incentive Total]], Table_Measure_Caps[[#Totals],[Gross Measure Cost Total]], Value_Project_CAP)/Table_Measure_Caps[[#Totals],[Estimated Raw Incentive Total]], "")</f>
        <v/>
      </c>
      <c r="J15" s="7" t="str">
        <f>IF(ISNUMBER($D15)=TRUE,'Input A-C &amp; Heat Pump Measures'!P17,"")</f>
        <v/>
      </c>
      <c r="K15" s="22" t="str">
        <f t="shared" si="1"/>
        <v>Version 2.1</v>
      </c>
      <c r="L15" s="56" t="str">
        <f>IF(ISNUMBER($D15)=TRUE,'Input A-C &amp; Heat Pump Measures'!E17,"")</f>
        <v/>
      </c>
      <c r="M15" s="34" t="str">
        <f>'Input A-C &amp; Heat Pump Measures'!R17</f>
        <v/>
      </c>
    </row>
    <row r="16" spans="1:13" x14ac:dyDescent="0.2">
      <c r="A16" s="8" t="s">
        <v>206</v>
      </c>
      <c r="B16" s="7">
        <f t="shared" si="0"/>
        <v>0</v>
      </c>
      <c r="C16" s="7">
        <f>'Input A-C &amp; Heat Pump Measures'!B18</f>
        <v>14</v>
      </c>
      <c r="D16" s="7" t="str">
        <f>'Input A-C &amp; Heat Pump Measures'!C18</f>
        <v/>
      </c>
      <c r="E16" s="7" t="str">
        <f>'Input A-C &amp; Heat Pump Measures'!F18</f>
        <v/>
      </c>
      <c r="F16" s="7" t="str">
        <f>IF(ISNUMBER($D16)=TRUE,'Input A-C &amp; Heat Pump Measures'!G18,"")</f>
        <v/>
      </c>
      <c r="G16" s="7" t="str">
        <f>IF(ISNUMBER($D16)=TRUE,'Input A-C &amp; Heat Pump Measures'!S18,"")</f>
        <v/>
      </c>
      <c r="H16" s="91" t="str">
        <f>IF(ISNUMBER($D16)=TRUE,'Input A-C &amp; Heat Pump Measures'!T18,"")</f>
        <v/>
      </c>
      <c r="I16" s="37" t="str">
        <f>IFERROR(M16*MIN(Table_Measure_Caps[[#Totals],[Estimated Raw Incentive Total]], Table_Measure_Caps[[#Totals],[Gross Measure Cost Total]], Value_Project_CAP)/Table_Measure_Caps[[#Totals],[Estimated Raw Incentive Total]], "")</f>
        <v/>
      </c>
      <c r="J16" s="7" t="str">
        <f>IF(ISNUMBER($D16)=TRUE,'Input A-C &amp; Heat Pump Measures'!P18,"")</f>
        <v/>
      </c>
      <c r="K16" s="22" t="str">
        <f t="shared" si="1"/>
        <v>Version 2.1</v>
      </c>
      <c r="L16" s="56" t="str">
        <f>IF(ISNUMBER($D16)=TRUE,'Input A-C &amp; Heat Pump Measures'!E18,"")</f>
        <v/>
      </c>
      <c r="M16" s="34" t="str">
        <f>'Input A-C &amp; Heat Pump Measures'!R18</f>
        <v/>
      </c>
    </row>
    <row r="17" spans="1:13" x14ac:dyDescent="0.2">
      <c r="A17" s="8" t="s">
        <v>206</v>
      </c>
      <c r="B17" s="7">
        <f t="shared" si="0"/>
        <v>0</v>
      </c>
      <c r="C17" s="7">
        <f>'Input A-C &amp; Heat Pump Measures'!B19</f>
        <v>15</v>
      </c>
      <c r="D17" s="7" t="str">
        <f>'Input A-C &amp; Heat Pump Measures'!C19</f>
        <v/>
      </c>
      <c r="E17" s="7" t="str">
        <f>'Input A-C &amp; Heat Pump Measures'!F19</f>
        <v/>
      </c>
      <c r="F17" s="7" t="str">
        <f>IF(ISNUMBER($D17)=TRUE,'Input A-C &amp; Heat Pump Measures'!G19,"")</f>
        <v/>
      </c>
      <c r="G17" s="7" t="str">
        <f>IF(ISNUMBER($D17)=TRUE,'Input A-C &amp; Heat Pump Measures'!S19,"")</f>
        <v/>
      </c>
      <c r="H17" s="91" t="str">
        <f>IF(ISNUMBER($D17)=TRUE,'Input A-C &amp; Heat Pump Measures'!T19,"")</f>
        <v/>
      </c>
      <c r="I17" s="37" t="str">
        <f>IFERROR(M17*MIN(Table_Measure_Caps[[#Totals],[Estimated Raw Incentive Total]], Table_Measure_Caps[[#Totals],[Gross Measure Cost Total]], Value_Project_CAP)/Table_Measure_Caps[[#Totals],[Estimated Raw Incentive Total]], "")</f>
        <v/>
      </c>
      <c r="J17" s="7" t="str">
        <f>IF(ISNUMBER($D17)=TRUE,'Input A-C &amp; Heat Pump Measures'!P19,"")</f>
        <v/>
      </c>
      <c r="K17" s="22" t="str">
        <f t="shared" si="1"/>
        <v>Version 2.1</v>
      </c>
      <c r="L17" s="56" t="str">
        <f>IF(ISNUMBER($D17)=TRUE,'Input A-C &amp; Heat Pump Measures'!E19,"")</f>
        <v/>
      </c>
      <c r="M17" s="34" t="str">
        <f>'Input A-C &amp; Heat Pump Measures'!R19</f>
        <v/>
      </c>
    </row>
    <row r="18" spans="1:13" x14ac:dyDescent="0.2">
      <c r="A18" s="8" t="s">
        <v>206</v>
      </c>
      <c r="B18" s="7">
        <f t="shared" si="0"/>
        <v>0</v>
      </c>
      <c r="C18" s="7">
        <f>'Input A-C &amp; Heat Pump Measures'!B20</f>
        <v>16</v>
      </c>
      <c r="D18" s="7" t="str">
        <f>'Input A-C &amp; Heat Pump Measures'!C20</f>
        <v/>
      </c>
      <c r="E18" s="7" t="str">
        <f>'Input A-C &amp; Heat Pump Measures'!F20</f>
        <v/>
      </c>
      <c r="F18" s="7" t="str">
        <f>IF(ISNUMBER($D18)=TRUE,'Input A-C &amp; Heat Pump Measures'!G20,"")</f>
        <v/>
      </c>
      <c r="G18" s="7" t="str">
        <f>IF(ISNUMBER($D18)=TRUE,'Input A-C &amp; Heat Pump Measures'!S20,"")</f>
        <v/>
      </c>
      <c r="H18" s="91" t="str">
        <f>IF(ISNUMBER($D18)=TRUE,'Input A-C &amp; Heat Pump Measures'!T20,"")</f>
        <v/>
      </c>
      <c r="I18" s="37" t="str">
        <f>IFERROR(M18*MIN(Table_Measure_Caps[[#Totals],[Estimated Raw Incentive Total]], Table_Measure_Caps[[#Totals],[Gross Measure Cost Total]], Value_Project_CAP)/Table_Measure_Caps[[#Totals],[Estimated Raw Incentive Total]], "")</f>
        <v/>
      </c>
      <c r="J18" s="7" t="str">
        <f>IF(ISNUMBER($D18)=TRUE,'Input A-C &amp; Heat Pump Measures'!P20,"")</f>
        <v/>
      </c>
      <c r="K18" s="22" t="str">
        <f t="shared" si="1"/>
        <v>Version 2.1</v>
      </c>
      <c r="L18" s="56" t="str">
        <f>IF(ISNUMBER($D18)=TRUE,'Input A-C &amp; Heat Pump Measures'!E20,"")</f>
        <v/>
      </c>
      <c r="M18" s="34" t="str">
        <f>'Input A-C &amp; Heat Pump Measures'!R20</f>
        <v/>
      </c>
    </row>
    <row r="19" spans="1:13" x14ac:dyDescent="0.2">
      <c r="A19" s="8" t="s">
        <v>206</v>
      </c>
      <c r="B19" s="7">
        <f t="shared" si="0"/>
        <v>0</v>
      </c>
      <c r="C19" s="7">
        <f>'Input A-C &amp; Heat Pump Measures'!B21</f>
        <v>17</v>
      </c>
      <c r="D19" s="7" t="str">
        <f>'Input A-C &amp; Heat Pump Measures'!C21</f>
        <v/>
      </c>
      <c r="E19" s="7" t="str">
        <f>'Input A-C &amp; Heat Pump Measures'!F21</f>
        <v/>
      </c>
      <c r="F19" s="7" t="str">
        <f>IF(ISNUMBER($D19)=TRUE,'Input A-C &amp; Heat Pump Measures'!G21,"")</f>
        <v/>
      </c>
      <c r="G19" s="7" t="str">
        <f>IF(ISNUMBER($D19)=TRUE,'Input A-C &amp; Heat Pump Measures'!S21,"")</f>
        <v/>
      </c>
      <c r="H19" s="91" t="str">
        <f>IF(ISNUMBER($D19)=TRUE,'Input A-C &amp; Heat Pump Measures'!T21,"")</f>
        <v/>
      </c>
      <c r="I19" s="37" t="str">
        <f>IFERROR(M19*MIN(Table_Measure_Caps[[#Totals],[Estimated Raw Incentive Total]], Table_Measure_Caps[[#Totals],[Gross Measure Cost Total]], Value_Project_CAP)/Table_Measure_Caps[[#Totals],[Estimated Raw Incentive Total]], "")</f>
        <v/>
      </c>
      <c r="J19" s="7" t="str">
        <f>IF(ISNUMBER($D19)=TRUE,'Input A-C &amp; Heat Pump Measures'!P21,"")</f>
        <v/>
      </c>
      <c r="K19" s="22" t="str">
        <f t="shared" si="1"/>
        <v>Version 2.1</v>
      </c>
      <c r="L19" s="56" t="str">
        <f>IF(ISNUMBER($D19)=TRUE,'Input A-C &amp; Heat Pump Measures'!E21,"")</f>
        <v/>
      </c>
      <c r="M19" s="34" t="str">
        <f>'Input A-C &amp; Heat Pump Measures'!R21</f>
        <v/>
      </c>
    </row>
    <row r="20" spans="1:13" x14ac:dyDescent="0.2">
      <c r="A20" s="8" t="s">
        <v>206</v>
      </c>
      <c r="B20" s="7">
        <f t="shared" si="0"/>
        <v>0</v>
      </c>
      <c r="C20" s="7">
        <f>'Input A-C &amp; Heat Pump Measures'!B22</f>
        <v>18</v>
      </c>
      <c r="D20" s="7" t="str">
        <f>'Input A-C &amp; Heat Pump Measures'!C22</f>
        <v/>
      </c>
      <c r="E20" s="7" t="str">
        <f>'Input A-C &amp; Heat Pump Measures'!F22</f>
        <v/>
      </c>
      <c r="F20" s="7" t="str">
        <f>IF(ISNUMBER($D20)=TRUE,'Input A-C &amp; Heat Pump Measures'!G22,"")</f>
        <v/>
      </c>
      <c r="G20" s="7" t="str">
        <f>IF(ISNUMBER($D20)=TRUE,'Input A-C &amp; Heat Pump Measures'!S22,"")</f>
        <v/>
      </c>
      <c r="H20" s="91" t="str">
        <f>IF(ISNUMBER($D20)=TRUE,'Input A-C &amp; Heat Pump Measures'!T22,"")</f>
        <v/>
      </c>
      <c r="I20" s="37" t="str">
        <f>IFERROR(M20*MIN(Table_Measure_Caps[[#Totals],[Estimated Raw Incentive Total]], Table_Measure_Caps[[#Totals],[Gross Measure Cost Total]], Value_Project_CAP)/Table_Measure_Caps[[#Totals],[Estimated Raw Incentive Total]], "")</f>
        <v/>
      </c>
      <c r="J20" s="7" t="str">
        <f>IF(ISNUMBER($D20)=TRUE,'Input A-C &amp; Heat Pump Measures'!P22,"")</f>
        <v/>
      </c>
      <c r="K20" s="22" t="str">
        <f t="shared" si="1"/>
        <v>Version 2.1</v>
      </c>
      <c r="L20" s="56" t="str">
        <f>IF(ISNUMBER($D20)=TRUE,'Input A-C &amp; Heat Pump Measures'!E22,"")</f>
        <v/>
      </c>
      <c r="M20" s="34" t="str">
        <f>'Input A-C &amp; Heat Pump Measures'!R22</f>
        <v/>
      </c>
    </row>
    <row r="21" spans="1:13" x14ac:dyDescent="0.2">
      <c r="A21" s="8" t="s">
        <v>206</v>
      </c>
      <c r="B21" s="7">
        <f t="shared" si="0"/>
        <v>0</v>
      </c>
      <c r="C21" s="7">
        <f>'Input A-C &amp; Heat Pump Measures'!B23</f>
        <v>19</v>
      </c>
      <c r="D21" s="7" t="str">
        <f>'Input A-C &amp; Heat Pump Measures'!C23</f>
        <v/>
      </c>
      <c r="E21" s="7" t="str">
        <f>'Input A-C &amp; Heat Pump Measures'!F23</f>
        <v/>
      </c>
      <c r="F21" s="7" t="str">
        <f>IF(ISNUMBER($D21)=TRUE,'Input A-C &amp; Heat Pump Measures'!G23,"")</f>
        <v/>
      </c>
      <c r="G21" s="7" t="str">
        <f>IF(ISNUMBER($D21)=TRUE,'Input A-C &amp; Heat Pump Measures'!S23,"")</f>
        <v/>
      </c>
      <c r="H21" s="91" t="str">
        <f>IF(ISNUMBER($D21)=TRUE,'Input A-C &amp; Heat Pump Measures'!T23,"")</f>
        <v/>
      </c>
      <c r="I21" s="37" t="str">
        <f>IFERROR(M21*MIN(Table_Measure_Caps[[#Totals],[Estimated Raw Incentive Total]], Table_Measure_Caps[[#Totals],[Gross Measure Cost Total]], Value_Project_CAP)/Table_Measure_Caps[[#Totals],[Estimated Raw Incentive Total]], "")</f>
        <v/>
      </c>
      <c r="J21" s="7" t="str">
        <f>IF(ISNUMBER($D21)=TRUE,'Input A-C &amp; Heat Pump Measures'!P23,"")</f>
        <v/>
      </c>
      <c r="K21" s="22" t="str">
        <f t="shared" si="1"/>
        <v>Version 2.1</v>
      </c>
      <c r="L21" s="56" t="str">
        <f>IF(ISNUMBER($D21)=TRUE,'Input A-C &amp; Heat Pump Measures'!E23,"")</f>
        <v/>
      </c>
      <c r="M21" s="34" t="str">
        <f>'Input A-C &amp; Heat Pump Measures'!R23</f>
        <v/>
      </c>
    </row>
    <row r="22" spans="1:13" x14ac:dyDescent="0.2">
      <c r="A22" s="8" t="s">
        <v>206</v>
      </c>
      <c r="B22" s="7">
        <f t="shared" si="0"/>
        <v>0</v>
      </c>
      <c r="C22" s="7">
        <f>'Input A-C &amp; Heat Pump Measures'!B24</f>
        <v>20</v>
      </c>
      <c r="D22" s="7" t="str">
        <f>'Input A-C &amp; Heat Pump Measures'!C24</f>
        <v/>
      </c>
      <c r="E22" s="7" t="str">
        <f>'Input A-C &amp; Heat Pump Measures'!F24</f>
        <v/>
      </c>
      <c r="F22" s="7" t="str">
        <f>IF(ISNUMBER($D22)=TRUE,'Input A-C &amp; Heat Pump Measures'!G24,"")</f>
        <v/>
      </c>
      <c r="G22" s="7" t="str">
        <f>IF(ISNUMBER($D22)=TRUE,'Input A-C &amp; Heat Pump Measures'!S24,"")</f>
        <v/>
      </c>
      <c r="H22" s="91" t="str">
        <f>IF(ISNUMBER($D22)=TRUE,'Input A-C &amp; Heat Pump Measures'!T24,"")</f>
        <v/>
      </c>
      <c r="I22" s="37" t="str">
        <f>IFERROR(M22*MIN(Table_Measure_Caps[[#Totals],[Estimated Raw Incentive Total]], Table_Measure_Caps[[#Totals],[Gross Measure Cost Total]], Value_Project_CAP)/Table_Measure_Caps[[#Totals],[Estimated Raw Incentive Total]], "")</f>
        <v/>
      </c>
      <c r="J22" s="7" t="str">
        <f>IF(ISNUMBER($D22)=TRUE,'Input A-C &amp; Heat Pump Measures'!P24,"")</f>
        <v/>
      </c>
      <c r="K22" s="22" t="str">
        <f t="shared" si="1"/>
        <v>Version 2.1</v>
      </c>
      <c r="L22" s="56" t="str">
        <f>IF(ISNUMBER($D22)=TRUE,'Input A-C &amp; Heat Pump Measures'!E24,"")</f>
        <v/>
      </c>
      <c r="M22" s="34" t="str">
        <f>'Input A-C &amp; Heat Pump Measures'!R24</f>
        <v/>
      </c>
    </row>
    <row r="23" spans="1:13" x14ac:dyDescent="0.2">
      <c r="A23" s="8" t="s">
        <v>206</v>
      </c>
      <c r="B23" s="7">
        <f t="shared" si="0"/>
        <v>0</v>
      </c>
      <c r="C23" s="7">
        <f>'Input A-C &amp; Heat Pump Measures'!B25</f>
        <v>21</v>
      </c>
      <c r="D23" s="7" t="str">
        <f>'Input A-C &amp; Heat Pump Measures'!C25</f>
        <v/>
      </c>
      <c r="E23" s="7" t="str">
        <f>'Input A-C &amp; Heat Pump Measures'!F25</f>
        <v/>
      </c>
      <c r="F23" s="7" t="str">
        <f>IF(ISNUMBER($D23)=TRUE,'Input A-C &amp; Heat Pump Measures'!G25,"")</f>
        <v/>
      </c>
      <c r="G23" s="7" t="str">
        <f>IF(ISNUMBER($D23)=TRUE,'Input A-C &amp; Heat Pump Measures'!S25,"")</f>
        <v/>
      </c>
      <c r="H23" s="91" t="str">
        <f>IF(ISNUMBER($D23)=TRUE,'Input A-C &amp; Heat Pump Measures'!T25,"")</f>
        <v/>
      </c>
      <c r="I23" s="37" t="str">
        <f>IFERROR(M23*MIN(Table_Measure_Caps[[#Totals],[Estimated Raw Incentive Total]], Table_Measure_Caps[[#Totals],[Gross Measure Cost Total]], Value_Project_CAP)/Table_Measure_Caps[[#Totals],[Estimated Raw Incentive Total]], "")</f>
        <v/>
      </c>
      <c r="J23" s="7" t="str">
        <f>IF(ISNUMBER($D23)=TRUE,'Input A-C &amp; Heat Pump Measures'!P25,"")</f>
        <v/>
      </c>
      <c r="K23" s="22" t="str">
        <f t="shared" si="1"/>
        <v>Version 2.1</v>
      </c>
      <c r="L23" s="56" t="str">
        <f>IF(ISNUMBER($D23)=TRUE,'Input A-C &amp; Heat Pump Measures'!E25,"")</f>
        <v/>
      </c>
      <c r="M23" s="34" t="str">
        <f>'Input A-C &amp; Heat Pump Measures'!R25</f>
        <v/>
      </c>
    </row>
    <row r="24" spans="1:13" x14ac:dyDescent="0.2">
      <c r="A24" s="8" t="s">
        <v>206</v>
      </c>
      <c r="B24" s="7">
        <f t="shared" si="0"/>
        <v>0</v>
      </c>
      <c r="C24" s="7">
        <f>'Input A-C &amp; Heat Pump Measures'!B26</f>
        <v>22</v>
      </c>
      <c r="D24" s="7" t="str">
        <f>'Input A-C &amp; Heat Pump Measures'!C26</f>
        <v/>
      </c>
      <c r="E24" s="7" t="str">
        <f>'Input A-C &amp; Heat Pump Measures'!F26</f>
        <v/>
      </c>
      <c r="F24" s="7" t="str">
        <f>IF(ISNUMBER($D24)=TRUE,'Input A-C &amp; Heat Pump Measures'!G26,"")</f>
        <v/>
      </c>
      <c r="G24" s="7" t="str">
        <f>IF(ISNUMBER($D24)=TRUE,'Input A-C &amp; Heat Pump Measures'!S26,"")</f>
        <v/>
      </c>
      <c r="H24" s="91" t="str">
        <f>IF(ISNUMBER($D24)=TRUE,'Input A-C &amp; Heat Pump Measures'!T26,"")</f>
        <v/>
      </c>
      <c r="I24" s="37" t="str">
        <f>IFERROR(M24*MIN(Table_Measure_Caps[[#Totals],[Estimated Raw Incentive Total]], Table_Measure_Caps[[#Totals],[Gross Measure Cost Total]], Value_Project_CAP)/Table_Measure_Caps[[#Totals],[Estimated Raw Incentive Total]], "")</f>
        <v/>
      </c>
      <c r="J24" s="7" t="str">
        <f>IF(ISNUMBER($D24)=TRUE,'Input A-C &amp; Heat Pump Measures'!P26,"")</f>
        <v/>
      </c>
      <c r="K24" s="22" t="str">
        <f t="shared" si="1"/>
        <v>Version 2.1</v>
      </c>
      <c r="L24" s="56" t="str">
        <f>IF(ISNUMBER($D24)=TRUE,'Input A-C &amp; Heat Pump Measures'!E26,"")</f>
        <v/>
      </c>
      <c r="M24" s="34" t="str">
        <f>'Input A-C &amp; Heat Pump Measures'!R26</f>
        <v/>
      </c>
    </row>
    <row r="25" spans="1:13" x14ac:dyDescent="0.2">
      <c r="A25" s="8" t="s">
        <v>206</v>
      </c>
      <c r="B25" s="7">
        <f t="shared" si="0"/>
        <v>0</v>
      </c>
      <c r="C25" s="7">
        <f>'Input A-C &amp; Heat Pump Measures'!B27</f>
        <v>23</v>
      </c>
      <c r="D25" s="7" t="str">
        <f>'Input A-C &amp; Heat Pump Measures'!C27</f>
        <v/>
      </c>
      <c r="E25" s="7" t="str">
        <f>'Input A-C &amp; Heat Pump Measures'!F27</f>
        <v/>
      </c>
      <c r="F25" s="7" t="str">
        <f>IF(ISNUMBER($D25)=TRUE,'Input A-C &amp; Heat Pump Measures'!G27,"")</f>
        <v/>
      </c>
      <c r="G25" s="7" t="str">
        <f>IF(ISNUMBER($D25)=TRUE,'Input A-C &amp; Heat Pump Measures'!S27,"")</f>
        <v/>
      </c>
      <c r="H25" s="91" t="str">
        <f>IF(ISNUMBER($D25)=TRUE,'Input A-C &amp; Heat Pump Measures'!T27,"")</f>
        <v/>
      </c>
      <c r="I25" s="37" t="str">
        <f>IFERROR(M25*MIN(Table_Measure_Caps[[#Totals],[Estimated Raw Incentive Total]], Table_Measure_Caps[[#Totals],[Gross Measure Cost Total]], Value_Project_CAP)/Table_Measure_Caps[[#Totals],[Estimated Raw Incentive Total]], "")</f>
        <v/>
      </c>
      <c r="J25" s="7" t="str">
        <f>IF(ISNUMBER($D25)=TRUE,'Input A-C &amp; Heat Pump Measures'!P27,"")</f>
        <v/>
      </c>
      <c r="K25" s="22" t="str">
        <f t="shared" si="1"/>
        <v>Version 2.1</v>
      </c>
      <c r="L25" s="56" t="str">
        <f>IF(ISNUMBER($D25)=TRUE,'Input A-C &amp; Heat Pump Measures'!E27,"")</f>
        <v/>
      </c>
      <c r="M25" s="34" t="str">
        <f>'Input A-C &amp; Heat Pump Measures'!R27</f>
        <v/>
      </c>
    </row>
    <row r="26" spans="1:13" x14ac:dyDescent="0.2">
      <c r="A26" s="8" t="s">
        <v>206</v>
      </c>
      <c r="B26" s="7">
        <f t="shared" si="0"/>
        <v>0</v>
      </c>
      <c r="C26" s="7">
        <f>'Input A-C &amp; Heat Pump Measures'!B28</f>
        <v>24</v>
      </c>
      <c r="D26" s="7" t="str">
        <f>'Input A-C &amp; Heat Pump Measures'!C28</f>
        <v/>
      </c>
      <c r="E26" s="7" t="str">
        <f>'Input A-C &amp; Heat Pump Measures'!F28</f>
        <v/>
      </c>
      <c r="F26" s="7" t="str">
        <f>IF(ISNUMBER($D26)=TRUE,'Input A-C &amp; Heat Pump Measures'!G28,"")</f>
        <v/>
      </c>
      <c r="G26" s="7" t="str">
        <f>IF(ISNUMBER($D26)=TRUE,'Input A-C &amp; Heat Pump Measures'!S28,"")</f>
        <v/>
      </c>
      <c r="H26" s="91" t="str">
        <f>IF(ISNUMBER($D26)=TRUE,'Input A-C &amp; Heat Pump Measures'!T28,"")</f>
        <v/>
      </c>
      <c r="I26" s="37" t="str">
        <f>IFERROR(M26*MIN(Table_Measure_Caps[[#Totals],[Estimated Raw Incentive Total]], Table_Measure_Caps[[#Totals],[Gross Measure Cost Total]], Value_Project_CAP)/Table_Measure_Caps[[#Totals],[Estimated Raw Incentive Total]], "")</f>
        <v/>
      </c>
      <c r="J26" s="7" t="str">
        <f>IF(ISNUMBER($D26)=TRUE,'Input A-C &amp; Heat Pump Measures'!P28,"")</f>
        <v/>
      </c>
      <c r="K26" s="22" t="str">
        <f t="shared" si="1"/>
        <v>Version 2.1</v>
      </c>
      <c r="L26" s="56" t="str">
        <f>IF(ISNUMBER($D26)=TRUE,'Input A-C &amp; Heat Pump Measures'!E28,"")</f>
        <v/>
      </c>
      <c r="M26" s="34" t="str">
        <f>'Input A-C &amp; Heat Pump Measures'!R28</f>
        <v/>
      </c>
    </row>
    <row r="27" spans="1:13" x14ac:dyDescent="0.2">
      <c r="A27" s="8" t="s">
        <v>206</v>
      </c>
      <c r="B27" s="7">
        <f t="shared" si="0"/>
        <v>0</v>
      </c>
      <c r="C27" s="7">
        <f>'Input A-C &amp; Heat Pump Measures'!B29</f>
        <v>25</v>
      </c>
      <c r="D27" s="7" t="str">
        <f>'Input A-C &amp; Heat Pump Measures'!C29</f>
        <v/>
      </c>
      <c r="E27" s="7" t="str">
        <f>'Input A-C &amp; Heat Pump Measures'!F29</f>
        <v/>
      </c>
      <c r="F27" s="7" t="str">
        <f>IF(ISNUMBER($D27)=TRUE,'Input A-C &amp; Heat Pump Measures'!G29,"")</f>
        <v/>
      </c>
      <c r="G27" s="7" t="str">
        <f>IF(ISNUMBER($D27)=TRUE,'Input A-C &amp; Heat Pump Measures'!S29,"")</f>
        <v/>
      </c>
      <c r="H27" s="91" t="str">
        <f>IF(ISNUMBER($D27)=TRUE,'Input A-C &amp; Heat Pump Measures'!T29,"")</f>
        <v/>
      </c>
      <c r="I27" s="37" t="str">
        <f>IFERROR(M27*MIN(Table_Measure_Caps[[#Totals],[Estimated Raw Incentive Total]], Table_Measure_Caps[[#Totals],[Gross Measure Cost Total]], Value_Project_CAP)/Table_Measure_Caps[[#Totals],[Estimated Raw Incentive Total]], "")</f>
        <v/>
      </c>
      <c r="J27" s="7" t="str">
        <f>IF(ISNUMBER($D27)=TRUE,'Input A-C &amp; Heat Pump Measures'!P29,"")</f>
        <v/>
      </c>
      <c r="K27" s="22" t="str">
        <f t="shared" si="1"/>
        <v>Version 2.1</v>
      </c>
      <c r="L27" s="56" t="str">
        <f>IF(ISNUMBER($D27)=TRUE,'Input A-C &amp; Heat Pump Measures'!E29,"")</f>
        <v/>
      </c>
      <c r="M27" s="34" t="str">
        <f>'Input A-C &amp; Heat Pump Measures'!R29</f>
        <v/>
      </c>
    </row>
    <row r="28" spans="1:13" x14ac:dyDescent="0.2">
      <c r="A28" s="8" t="s">
        <v>206</v>
      </c>
      <c r="B28" s="7">
        <f t="shared" si="0"/>
        <v>0</v>
      </c>
      <c r="C28" s="7">
        <f>'Input A-C &amp; Heat Pump Measures'!B30</f>
        <v>26</v>
      </c>
      <c r="D28" s="7" t="str">
        <f>'Input A-C &amp; Heat Pump Measures'!C30</f>
        <v/>
      </c>
      <c r="E28" s="7" t="str">
        <f>'Input A-C &amp; Heat Pump Measures'!F30</f>
        <v/>
      </c>
      <c r="F28" s="7" t="str">
        <f>IF(ISNUMBER($D28)=TRUE,'Input A-C &amp; Heat Pump Measures'!G30,"")</f>
        <v/>
      </c>
      <c r="G28" s="7" t="str">
        <f>IF(ISNUMBER($D28)=TRUE,'Input A-C &amp; Heat Pump Measures'!S30,"")</f>
        <v/>
      </c>
      <c r="H28" s="91" t="str">
        <f>IF(ISNUMBER($D28)=TRUE,'Input A-C &amp; Heat Pump Measures'!T30,"")</f>
        <v/>
      </c>
      <c r="I28" s="37" t="str">
        <f>IFERROR(M28*MIN(Table_Measure_Caps[[#Totals],[Estimated Raw Incentive Total]], Table_Measure_Caps[[#Totals],[Gross Measure Cost Total]], Value_Project_CAP)/Table_Measure_Caps[[#Totals],[Estimated Raw Incentive Total]], "")</f>
        <v/>
      </c>
      <c r="J28" s="7" t="str">
        <f>IF(ISNUMBER($D28)=TRUE,'Input A-C &amp; Heat Pump Measures'!P30,"")</f>
        <v/>
      </c>
      <c r="K28" s="22" t="str">
        <f t="shared" si="1"/>
        <v>Version 2.1</v>
      </c>
      <c r="L28" s="56" t="str">
        <f>IF(ISNUMBER($D28)=TRUE,'Input A-C &amp; Heat Pump Measures'!E30,"")</f>
        <v/>
      </c>
      <c r="M28" s="34" t="str">
        <f>'Input A-C &amp; Heat Pump Measures'!R30</f>
        <v/>
      </c>
    </row>
    <row r="29" spans="1:13" x14ac:dyDescent="0.2">
      <c r="A29" s="8" t="s">
        <v>206</v>
      </c>
      <c r="B29" s="7">
        <f t="shared" si="0"/>
        <v>0</v>
      </c>
      <c r="C29" s="7">
        <f>'Input A-C &amp; Heat Pump Measures'!B31</f>
        <v>27</v>
      </c>
      <c r="D29" s="7" t="str">
        <f>'Input A-C &amp; Heat Pump Measures'!C31</f>
        <v/>
      </c>
      <c r="E29" s="7" t="str">
        <f>'Input A-C &amp; Heat Pump Measures'!F31</f>
        <v/>
      </c>
      <c r="F29" s="7" t="str">
        <f>IF(ISNUMBER($D29)=TRUE,'Input A-C &amp; Heat Pump Measures'!G31,"")</f>
        <v/>
      </c>
      <c r="G29" s="7" t="str">
        <f>IF(ISNUMBER($D29)=TRUE,'Input A-C &amp; Heat Pump Measures'!S31,"")</f>
        <v/>
      </c>
      <c r="H29" s="91" t="str">
        <f>IF(ISNUMBER($D29)=TRUE,'Input A-C &amp; Heat Pump Measures'!T31,"")</f>
        <v/>
      </c>
      <c r="I29" s="37" t="str">
        <f>IFERROR(M29*MIN(Table_Measure_Caps[[#Totals],[Estimated Raw Incentive Total]], Table_Measure_Caps[[#Totals],[Gross Measure Cost Total]], Value_Project_CAP)/Table_Measure_Caps[[#Totals],[Estimated Raw Incentive Total]], "")</f>
        <v/>
      </c>
      <c r="J29" s="7" t="str">
        <f>IF(ISNUMBER($D29)=TRUE,'Input A-C &amp; Heat Pump Measures'!P31,"")</f>
        <v/>
      </c>
      <c r="K29" s="22" t="str">
        <f t="shared" si="1"/>
        <v>Version 2.1</v>
      </c>
      <c r="L29" s="56" t="str">
        <f>IF(ISNUMBER($D29)=TRUE,'Input A-C &amp; Heat Pump Measures'!E31,"")</f>
        <v/>
      </c>
      <c r="M29" s="34" t="str">
        <f>'Input A-C &amp; Heat Pump Measures'!R31</f>
        <v/>
      </c>
    </row>
    <row r="30" spans="1:13" x14ac:dyDescent="0.2">
      <c r="A30" s="8" t="s">
        <v>206</v>
      </c>
      <c r="B30" s="7">
        <f t="shared" si="0"/>
        <v>0</v>
      </c>
      <c r="C30" s="7">
        <f>'Input A-C &amp; Heat Pump Measures'!B32</f>
        <v>28</v>
      </c>
      <c r="D30" s="7" t="str">
        <f>'Input A-C &amp; Heat Pump Measures'!C32</f>
        <v/>
      </c>
      <c r="E30" s="7" t="str">
        <f>'Input A-C &amp; Heat Pump Measures'!F32</f>
        <v/>
      </c>
      <c r="F30" s="7" t="str">
        <f>IF(ISNUMBER($D30)=TRUE,'Input A-C &amp; Heat Pump Measures'!G32,"")</f>
        <v/>
      </c>
      <c r="G30" s="7" t="str">
        <f>IF(ISNUMBER($D30)=TRUE,'Input A-C &amp; Heat Pump Measures'!S32,"")</f>
        <v/>
      </c>
      <c r="H30" s="91" t="str">
        <f>IF(ISNUMBER($D30)=TRUE,'Input A-C &amp; Heat Pump Measures'!T32,"")</f>
        <v/>
      </c>
      <c r="I30" s="37" t="str">
        <f>IFERROR(M30*MIN(Table_Measure_Caps[[#Totals],[Estimated Raw Incentive Total]], Table_Measure_Caps[[#Totals],[Gross Measure Cost Total]], Value_Project_CAP)/Table_Measure_Caps[[#Totals],[Estimated Raw Incentive Total]], "")</f>
        <v/>
      </c>
      <c r="J30" s="7" t="str">
        <f>IF(ISNUMBER($D30)=TRUE,'Input A-C &amp; Heat Pump Measures'!P32,"")</f>
        <v/>
      </c>
      <c r="K30" s="22" t="str">
        <f t="shared" si="1"/>
        <v>Version 2.1</v>
      </c>
      <c r="L30" s="56" t="str">
        <f>IF(ISNUMBER($D30)=TRUE,'Input A-C &amp; Heat Pump Measures'!E32,"")</f>
        <v/>
      </c>
      <c r="M30" s="34" t="str">
        <f>'Input A-C &amp; Heat Pump Measures'!R32</f>
        <v/>
      </c>
    </row>
    <row r="31" spans="1:13" x14ac:dyDescent="0.2">
      <c r="A31" s="8" t="s">
        <v>206</v>
      </c>
      <c r="B31" s="7">
        <f t="shared" si="0"/>
        <v>0</v>
      </c>
      <c r="C31" s="7">
        <f>'Input A-C &amp; Heat Pump Measures'!B33</f>
        <v>29</v>
      </c>
      <c r="D31" s="7" t="str">
        <f>'Input A-C &amp; Heat Pump Measures'!C33</f>
        <v/>
      </c>
      <c r="E31" s="7" t="str">
        <f>'Input A-C &amp; Heat Pump Measures'!F33</f>
        <v/>
      </c>
      <c r="F31" s="7" t="str">
        <f>IF(ISNUMBER($D31)=TRUE,'Input A-C &amp; Heat Pump Measures'!G33,"")</f>
        <v/>
      </c>
      <c r="G31" s="7" t="str">
        <f>IF(ISNUMBER($D31)=TRUE,'Input A-C &amp; Heat Pump Measures'!S33,"")</f>
        <v/>
      </c>
      <c r="H31" s="91" t="str">
        <f>IF(ISNUMBER($D31)=TRUE,'Input A-C &amp; Heat Pump Measures'!T33,"")</f>
        <v/>
      </c>
      <c r="I31" s="37" t="str">
        <f>IFERROR(M31*MIN(Table_Measure_Caps[[#Totals],[Estimated Raw Incentive Total]], Table_Measure_Caps[[#Totals],[Gross Measure Cost Total]], Value_Project_CAP)/Table_Measure_Caps[[#Totals],[Estimated Raw Incentive Total]], "")</f>
        <v/>
      </c>
      <c r="J31" s="7" t="str">
        <f>IF(ISNUMBER($D31)=TRUE,'Input A-C &amp; Heat Pump Measures'!P33,"")</f>
        <v/>
      </c>
      <c r="K31" s="22" t="str">
        <f t="shared" si="1"/>
        <v>Version 2.1</v>
      </c>
      <c r="L31" s="56" t="str">
        <f>IF(ISNUMBER($D31)=TRUE,'Input A-C &amp; Heat Pump Measures'!E33,"")</f>
        <v/>
      </c>
      <c r="M31" s="34" t="str">
        <f>'Input A-C &amp; Heat Pump Measures'!R33</f>
        <v/>
      </c>
    </row>
    <row r="32" spans="1:13" x14ac:dyDescent="0.2">
      <c r="A32" s="8" t="s">
        <v>206</v>
      </c>
      <c r="B32" s="7">
        <f t="shared" si="0"/>
        <v>0</v>
      </c>
      <c r="C32" s="7">
        <f>'Input A-C &amp; Heat Pump Measures'!B34</f>
        <v>30</v>
      </c>
      <c r="D32" s="7" t="str">
        <f>'Input A-C &amp; Heat Pump Measures'!C34</f>
        <v/>
      </c>
      <c r="E32" s="7" t="str">
        <f>'Input A-C &amp; Heat Pump Measures'!F34</f>
        <v/>
      </c>
      <c r="F32" s="7" t="str">
        <f>IF(ISNUMBER($D32)=TRUE,'Input A-C &amp; Heat Pump Measures'!G34,"")</f>
        <v/>
      </c>
      <c r="G32" s="7" t="str">
        <f>IF(ISNUMBER($D32)=TRUE,'Input A-C &amp; Heat Pump Measures'!S34,"")</f>
        <v/>
      </c>
      <c r="H32" s="91" t="str">
        <f>IF(ISNUMBER($D32)=TRUE,'Input A-C &amp; Heat Pump Measures'!T34,"")</f>
        <v/>
      </c>
      <c r="I32" s="37" t="str">
        <f>IFERROR(M32*MIN(Table_Measure_Caps[[#Totals],[Estimated Raw Incentive Total]], Table_Measure_Caps[[#Totals],[Gross Measure Cost Total]], Value_Project_CAP)/Table_Measure_Caps[[#Totals],[Estimated Raw Incentive Total]], "")</f>
        <v/>
      </c>
      <c r="J32" s="7" t="str">
        <f>IF(ISNUMBER($D32)=TRUE,'Input A-C &amp; Heat Pump Measures'!P34,"")</f>
        <v/>
      </c>
      <c r="K32" s="22" t="str">
        <f t="shared" si="1"/>
        <v>Version 2.1</v>
      </c>
      <c r="L32" s="56" t="str">
        <f>IF(ISNUMBER($D32)=TRUE,'Input A-C &amp; Heat Pump Measures'!E34,"")</f>
        <v/>
      </c>
      <c r="M32" s="34" t="str">
        <f>'Input A-C &amp; Heat Pump Measures'!R34</f>
        <v/>
      </c>
    </row>
    <row r="33" spans="1:13" x14ac:dyDescent="0.2">
      <c r="A33" s="8" t="s">
        <v>206</v>
      </c>
      <c r="B33" s="7">
        <f t="shared" si="0"/>
        <v>0</v>
      </c>
      <c r="C33" s="7">
        <f>'Input A-C &amp; Heat Pump Measures'!B35</f>
        <v>31</v>
      </c>
      <c r="D33" s="7" t="str">
        <f>'Input A-C &amp; Heat Pump Measures'!C35</f>
        <v/>
      </c>
      <c r="E33" s="7" t="str">
        <f>'Input A-C &amp; Heat Pump Measures'!F35</f>
        <v/>
      </c>
      <c r="F33" s="7" t="str">
        <f>IF(ISNUMBER($D33)=TRUE,'Input A-C &amp; Heat Pump Measures'!G35,"")</f>
        <v/>
      </c>
      <c r="G33" s="7" t="str">
        <f>IF(ISNUMBER($D33)=TRUE,'Input A-C &amp; Heat Pump Measures'!S35,"")</f>
        <v/>
      </c>
      <c r="H33" s="91" t="str">
        <f>IF(ISNUMBER($D33)=TRUE,'Input A-C &amp; Heat Pump Measures'!T35,"")</f>
        <v/>
      </c>
      <c r="I33" s="37" t="str">
        <f>IFERROR(M33*MIN(Table_Measure_Caps[[#Totals],[Estimated Raw Incentive Total]], Table_Measure_Caps[[#Totals],[Gross Measure Cost Total]], Value_Project_CAP)/Table_Measure_Caps[[#Totals],[Estimated Raw Incentive Total]], "")</f>
        <v/>
      </c>
      <c r="J33" s="7" t="str">
        <f>IF(ISNUMBER($D33)=TRUE,'Input A-C &amp; Heat Pump Measures'!P35,"")</f>
        <v/>
      </c>
      <c r="K33" s="22" t="str">
        <f t="shared" si="1"/>
        <v>Version 2.1</v>
      </c>
      <c r="L33" s="56" t="str">
        <f>IF(ISNUMBER($D33)=TRUE,'Input A-C &amp; Heat Pump Measures'!E35,"")</f>
        <v/>
      </c>
      <c r="M33" s="34" t="str">
        <f>'Input A-C &amp; Heat Pump Measures'!R35</f>
        <v/>
      </c>
    </row>
    <row r="34" spans="1:13" x14ac:dyDescent="0.2">
      <c r="A34" s="8" t="s">
        <v>206</v>
      </c>
      <c r="B34" s="7">
        <f t="shared" si="0"/>
        <v>0</v>
      </c>
      <c r="C34" s="7">
        <f>'Input A-C &amp; Heat Pump Measures'!B36</f>
        <v>32</v>
      </c>
      <c r="D34" s="7" t="str">
        <f>'Input A-C &amp; Heat Pump Measures'!C36</f>
        <v/>
      </c>
      <c r="E34" s="7" t="str">
        <f>'Input A-C &amp; Heat Pump Measures'!F36</f>
        <v/>
      </c>
      <c r="F34" s="7" t="str">
        <f>IF(ISNUMBER($D34)=TRUE,'Input A-C &amp; Heat Pump Measures'!G36,"")</f>
        <v/>
      </c>
      <c r="G34" s="7" t="str">
        <f>IF(ISNUMBER($D34)=TRUE,'Input A-C &amp; Heat Pump Measures'!S36,"")</f>
        <v/>
      </c>
      <c r="H34" s="91" t="str">
        <f>IF(ISNUMBER($D34)=TRUE,'Input A-C &amp; Heat Pump Measures'!T36,"")</f>
        <v/>
      </c>
      <c r="I34" s="37" t="str">
        <f>IFERROR(M34*MIN(Table_Measure_Caps[[#Totals],[Estimated Raw Incentive Total]], Table_Measure_Caps[[#Totals],[Gross Measure Cost Total]], Value_Project_CAP)/Table_Measure_Caps[[#Totals],[Estimated Raw Incentive Total]], "")</f>
        <v/>
      </c>
      <c r="J34" s="7" t="str">
        <f>IF(ISNUMBER($D34)=TRUE,'Input A-C &amp; Heat Pump Measures'!P36,"")</f>
        <v/>
      </c>
      <c r="K34" s="22" t="str">
        <f t="shared" si="1"/>
        <v>Version 2.1</v>
      </c>
      <c r="L34" s="56" t="str">
        <f>IF(ISNUMBER($D34)=TRUE,'Input A-C &amp; Heat Pump Measures'!E36,"")</f>
        <v/>
      </c>
      <c r="M34" s="34" t="str">
        <f>'Input A-C &amp; Heat Pump Measures'!R36</f>
        <v/>
      </c>
    </row>
    <row r="35" spans="1:13" x14ac:dyDescent="0.2">
      <c r="A35" s="8" t="s">
        <v>206</v>
      </c>
      <c r="B35" s="7">
        <f t="shared" si="0"/>
        <v>0</v>
      </c>
      <c r="C35" s="7">
        <f>'Input A-C &amp; Heat Pump Measures'!B37</f>
        <v>33</v>
      </c>
      <c r="D35" s="7" t="str">
        <f>'Input A-C &amp; Heat Pump Measures'!C37</f>
        <v/>
      </c>
      <c r="E35" s="7" t="str">
        <f>'Input A-C &amp; Heat Pump Measures'!F37</f>
        <v/>
      </c>
      <c r="F35" s="7" t="str">
        <f>IF(ISNUMBER($D35)=TRUE,'Input A-C &amp; Heat Pump Measures'!G37,"")</f>
        <v/>
      </c>
      <c r="G35" s="7" t="str">
        <f>IF(ISNUMBER($D35)=TRUE,'Input A-C &amp; Heat Pump Measures'!S37,"")</f>
        <v/>
      </c>
      <c r="H35" s="91" t="str">
        <f>IF(ISNUMBER($D35)=TRUE,'Input A-C &amp; Heat Pump Measures'!T37,"")</f>
        <v/>
      </c>
      <c r="I35" s="37" t="str">
        <f>IFERROR(M35*MIN(Table_Measure_Caps[[#Totals],[Estimated Raw Incentive Total]], Table_Measure_Caps[[#Totals],[Gross Measure Cost Total]], Value_Project_CAP)/Table_Measure_Caps[[#Totals],[Estimated Raw Incentive Total]], "")</f>
        <v/>
      </c>
      <c r="J35" s="7" t="str">
        <f>IF(ISNUMBER($D35)=TRUE,'Input A-C &amp; Heat Pump Measures'!P37,"")</f>
        <v/>
      </c>
      <c r="K35" s="22" t="str">
        <f t="shared" si="1"/>
        <v>Version 2.1</v>
      </c>
      <c r="L35" s="56" t="str">
        <f>IF(ISNUMBER($D35)=TRUE,'Input A-C &amp; Heat Pump Measures'!E37,"")</f>
        <v/>
      </c>
      <c r="M35" s="34" t="str">
        <f>'Input A-C &amp; Heat Pump Measures'!R37</f>
        <v/>
      </c>
    </row>
    <row r="36" spans="1:13" x14ac:dyDescent="0.2">
      <c r="A36" s="8" t="s">
        <v>206</v>
      </c>
      <c r="B36" s="7">
        <f t="shared" si="0"/>
        <v>0</v>
      </c>
      <c r="C36" s="7">
        <f>'Input A-C &amp; Heat Pump Measures'!B38</f>
        <v>34</v>
      </c>
      <c r="D36" s="7" t="str">
        <f>'Input A-C &amp; Heat Pump Measures'!C38</f>
        <v/>
      </c>
      <c r="E36" s="7" t="str">
        <f>'Input A-C &amp; Heat Pump Measures'!F38</f>
        <v/>
      </c>
      <c r="F36" s="7" t="str">
        <f>IF(ISNUMBER($D36)=TRUE,'Input A-C &amp; Heat Pump Measures'!G38,"")</f>
        <v/>
      </c>
      <c r="G36" s="7" t="str">
        <f>IF(ISNUMBER($D36)=TRUE,'Input A-C &amp; Heat Pump Measures'!S38,"")</f>
        <v/>
      </c>
      <c r="H36" s="91" t="str">
        <f>IF(ISNUMBER($D36)=TRUE,'Input A-C &amp; Heat Pump Measures'!T38,"")</f>
        <v/>
      </c>
      <c r="I36" s="37" t="str">
        <f>IFERROR(M36*MIN(Table_Measure_Caps[[#Totals],[Estimated Raw Incentive Total]], Table_Measure_Caps[[#Totals],[Gross Measure Cost Total]], Value_Project_CAP)/Table_Measure_Caps[[#Totals],[Estimated Raw Incentive Total]], "")</f>
        <v/>
      </c>
      <c r="J36" s="7" t="str">
        <f>IF(ISNUMBER($D36)=TRUE,'Input A-C &amp; Heat Pump Measures'!P38,"")</f>
        <v/>
      </c>
      <c r="K36" s="22" t="str">
        <f t="shared" si="1"/>
        <v>Version 2.1</v>
      </c>
      <c r="L36" s="56" t="str">
        <f>IF(ISNUMBER($D36)=TRUE,'Input A-C &amp; Heat Pump Measures'!E38,"")</f>
        <v/>
      </c>
      <c r="M36" s="34" t="str">
        <f>'Input A-C &amp; Heat Pump Measures'!R38</f>
        <v/>
      </c>
    </row>
    <row r="37" spans="1:13" x14ac:dyDescent="0.2">
      <c r="A37" s="8" t="s">
        <v>206</v>
      </c>
      <c r="B37" s="7">
        <f t="shared" si="0"/>
        <v>0</v>
      </c>
      <c r="C37" s="7">
        <f>'Input A-C &amp; Heat Pump Measures'!B39</f>
        <v>35</v>
      </c>
      <c r="D37" s="7" t="str">
        <f>'Input A-C &amp; Heat Pump Measures'!C39</f>
        <v/>
      </c>
      <c r="E37" s="7" t="str">
        <f>'Input A-C &amp; Heat Pump Measures'!F39</f>
        <v/>
      </c>
      <c r="F37" s="7" t="str">
        <f>IF(ISNUMBER($D37)=TRUE,'Input A-C &amp; Heat Pump Measures'!G39,"")</f>
        <v/>
      </c>
      <c r="G37" s="7" t="str">
        <f>IF(ISNUMBER($D37)=TRUE,'Input A-C &amp; Heat Pump Measures'!S39,"")</f>
        <v/>
      </c>
      <c r="H37" s="91" t="str">
        <f>IF(ISNUMBER($D37)=TRUE,'Input A-C &amp; Heat Pump Measures'!T39,"")</f>
        <v/>
      </c>
      <c r="I37" s="37" t="str">
        <f>IFERROR(M37*MIN(Table_Measure_Caps[[#Totals],[Estimated Raw Incentive Total]], Table_Measure_Caps[[#Totals],[Gross Measure Cost Total]], Value_Project_CAP)/Table_Measure_Caps[[#Totals],[Estimated Raw Incentive Total]], "")</f>
        <v/>
      </c>
      <c r="J37" s="7" t="str">
        <f>IF(ISNUMBER($D37)=TRUE,'Input A-C &amp; Heat Pump Measures'!P39,"")</f>
        <v/>
      </c>
      <c r="K37" s="22" t="str">
        <f t="shared" si="1"/>
        <v>Version 2.1</v>
      </c>
      <c r="L37" s="56" t="str">
        <f>IF(ISNUMBER($D37)=TRUE,'Input A-C &amp; Heat Pump Measures'!E39,"")</f>
        <v/>
      </c>
      <c r="M37" s="34" t="str">
        <f>'Input A-C &amp; Heat Pump Measures'!R39</f>
        <v/>
      </c>
    </row>
    <row r="38" spans="1:13" x14ac:dyDescent="0.2">
      <c r="A38" s="8" t="s">
        <v>206</v>
      </c>
      <c r="B38" s="7">
        <f t="shared" si="0"/>
        <v>0</v>
      </c>
      <c r="C38" s="7">
        <f>'Input A-C &amp; Heat Pump Measures'!B40</f>
        <v>36</v>
      </c>
      <c r="D38" s="7" t="str">
        <f>'Input A-C &amp; Heat Pump Measures'!C40</f>
        <v/>
      </c>
      <c r="E38" s="7" t="str">
        <f>'Input A-C &amp; Heat Pump Measures'!F40</f>
        <v/>
      </c>
      <c r="F38" s="7" t="str">
        <f>IF(ISNUMBER($D38)=TRUE,'Input A-C &amp; Heat Pump Measures'!G40,"")</f>
        <v/>
      </c>
      <c r="G38" s="7" t="str">
        <f>IF(ISNUMBER($D38)=TRUE,'Input A-C &amp; Heat Pump Measures'!S40,"")</f>
        <v/>
      </c>
      <c r="H38" s="91" t="str">
        <f>IF(ISNUMBER($D38)=TRUE,'Input A-C &amp; Heat Pump Measures'!T40,"")</f>
        <v/>
      </c>
      <c r="I38" s="37" t="str">
        <f>IFERROR(M38*MIN(Table_Measure_Caps[[#Totals],[Estimated Raw Incentive Total]], Table_Measure_Caps[[#Totals],[Gross Measure Cost Total]], Value_Project_CAP)/Table_Measure_Caps[[#Totals],[Estimated Raw Incentive Total]], "")</f>
        <v/>
      </c>
      <c r="J38" s="7" t="str">
        <f>IF(ISNUMBER($D38)=TRUE,'Input A-C &amp; Heat Pump Measures'!P40,"")</f>
        <v/>
      </c>
      <c r="K38" s="22" t="str">
        <f t="shared" si="1"/>
        <v>Version 2.1</v>
      </c>
      <c r="L38" s="56" t="str">
        <f>IF(ISNUMBER($D38)=TRUE,'Input A-C &amp; Heat Pump Measures'!E40,"")</f>
        <v/>
      </c>
      <c r="M38" s="34" t="str">
        <f>'Input A-C &amp; Heat Pump Measures'!R40</f>
        <v/>
      </c>
    </row>
    <row r="39" spans="1:13" x14ac:dyDescent="0.2">
      <c r="A39" s="8" t="s">
        <v>206</v>
      </c>
      <c r="B39" s="7">
        <f t="shared" si="0"/>
        <v>0</v>
      </c>
      <c r="C39" s="7">
        <f>'Input A-C &amp; Heat Pump Measures'!B41</f>
        <v>37</v>
      </c>
      <c r="D39" s="7" t="str">
        <f>'Input A-C &amp; Heat Pump Measures'!C41</f>
        <v/>
      </c>
      <c r="E39" s="7" t="str">
        <f>'Input A-C &amp; Heat Pump Measures'!F41</f>
        <v/>
      </c>
      <c r="F39" s="7" t="str">
        <f>IF(ISNUMBER($D39)=TRUE,'Input A-C &amp; Heat Pump Measures'!G41,"")</f>
        <v/>
      </c>
      <c r="G39" s="7" t="str">
        <f>IF(ISNUMBER($D39)=TRUE,'Input A-C &amp; Heat Pump Measures'!S41,"")</f>
        <v/>
      </c>
      <c r="H39" s="91" t="str">
        <f>IF(ISNUMBER($D39)=TRUE,'Input A-C &amp; Heat Pump Measures'!T41,"")</f>
        <v/>
      </c>
      <c r="I39" s="37" t="str">
        <f>IFERROR(M39*MIN(Table_Measure_Caps[[#Totals],[Estimated Raw Incentive Total]], Table_Measure_Caps[[#Totals],[Gross Measure Cost Total]], Value_Project_CAP)/Table_Measure_Caps[[#Totals],[Estimated Raw Incentive Total]], "")</f>
        <v/>
      </c>
      <c r="J39" s="7" t="str">
        <f>IF(ISNUMBER($D39)=TRUE,'Input A-C &amp; Heat Pump Measures'!P41,"")</f>
        <v/>
      </c>
      <c r="K39" s="22" t="str">
        <f t="shared" si="1"/>
        <v>Version 2.1</v>
      </c>
      <c r="L39" s="56" t="str">
        <f>IF(ISNUMBER($D39)=TRUE,'Input A-C &amp; Heat Pump Measures'!E41,"")</f>
        <v/>
      </c>
      <c r="M39" s="34" t="str">
        <f>'Input A-C &amp; Heat Pump Measures'!R41</f>
        <v/>
      </c>
    </row>
    <row r="40" spans="1:13" x14ac:dyDescent="0.2">
      <c r="A40" s="8" t="s">
        <v>206</v>
      </c>
      <c r="B40" s="7">
        <f t="shared" si="0"/>
        <v>0</v>
      </c>
      <c r="C40" s="7">
        <f>'Input A-C &amp; Heat Pump Measures'!B42</f>
        <v>38</v>
      </c>
      <c r="D40" s="7" t="str">
        <f>'Input A-C &amp; Heat Pump Measures'!C42</f>
        <v/>
      </c>
      <c r="E40" s="7" t="str">
        <f>'Input A-C &amp; Heat Pump Measures'!F42</f>
        <v/>
      </c>
      <c r="F40" s="7" t="str">
        <f>IF(ISNUMBER($D40)=TRUE,'Input A-C &amp; Heat Pump Measures'!G42,"")</f>
        <v/>
      </c>
      <c r="G40" s="7" t="str">
        <f>IF(ISNUMBER($D40)=TRUE,'Input A-C &amp; Heat Pump Measures'!S42,"")</f>
        <v/>
      </c>
      <c r="H40" s="91" t="str">
        <f>IF(ISNUMBER($D40)=TRUE,'Input A-C &amp; Heat Pump Measures'!T42,"")</f>
        <v/>
      </c>
      <c r="I40" s="37" t="str">
        <f>IFERROR(M40*MIN(Table_Measure_Caps[[#Totals],[Estimated Raw Incentive Total]], Table_Measure_Caps[[#Totals],[Gross Measure Cost Total]], Value_Project_CAP)/Table_Measure_Caps[[#Totals],[Estimated Raw Incentive Total]], "")</f>
        <v/>
      </c>
      <c r="J40" s="7" t="str">
        <f>IF(ISNUMBER($D40)=TRUE,'Input A-C &amp; Heat Pump Measures'!P42,"")</f>
        <v/>
      </c>
      <c r="K40" s="22" t="str">
        <f t="shared" si="1"/>
        <v>Version 2.1</v>
      </c>
      <c r="L40" s="56" t="str">
        <f>IF(ISNUMBER($D40)=TRUE,'Input A-C &amp; Heat Pump Measures'!E42,"")</f>
        <v/>
      </c>
      <c r="M40" s="34" t="str">
        <f>'Input A-C &amp; Heat Pump Measures'!R42</f>
        <v/>
      </c>
    </row>
    <row r="41" spans="1:13" x14ac:dyDescent="0.2">
      <c r="A41" s="8" t="s">
        <v>206</v>
      </c>
      <c r="B41" s="7">
        <f t="shared" si="0"/>
        <v>0</v>
      </c>
      <c r="C41" s="7">
        <f>'Input A-C &amp; Heat Pump Measures'!B43</f>
        <v>39</v>
      </c>
      <c r="D41" s="7" t="str">
        <f>'Input A-C &amp; Heat Pump Measures'!C43</f>
        <v/>
      </c>
      <c r="E41" s="7" t="str">
        <f>'Input A-C &amp; Heat Pump Measures'!F43</f>
        <v/>
      </c>
      <c r="F41" s="7" t="str">
        <f>IF(ISNUMBER($D41)=TRUE,'Input A-C &amp; Heat Pump Measures'!G43,"")</f>
        <v/>
      </c>
      <c r="G41" s="7" t="str">
        <f>IF(ISNUMBER($D41)=TRUE,'Input A-C &amp; Heat Pump Measures'!S43,"")</f>
        <v/>
      </c>
      <c r="H41" s="91" t="str">
        <f>IF(ISNUMBER($D41)=TRUE,'Input A-C &amp; Heat Pump Measures'!T43,"")</f>
        <v/>
      </c>
      <c r="I41" s="37" t="str">
        <f>IFERROR(M41*MIN(Table_Measure_Caps[[#Totals],[Estimated Raw Incentive Total]], Table_Measure_Caps[[#Totals],[Gross Measure Cost Total]], Value_Project_CAP)/Table_Measure_Caps[[#Totals],[Estimated Raw Incentive Total]], "")</f>
        <v/>
      </c>
      <c r="J41" s="7" t="str">
        <f>IF(ISNUMBER($D41)=TRUE,'Input A-C &amp; Heat Pump Measures'!P43,"")</f>
        <v/>
      </c>
      <c r="K41" s="22" t="str">
        <f t="shared" si="1"/>
        <v>Version 2.1</v>
      </c>
      <c r="L41" s="56" t="str">
        <f>IF(ISNUMBER($D41)=TRUE,'Input A-C &amp; Heat Pump Measures'!E43,"")</f>
        <v/>
      </c>
      <c r="M41" s="34" t="str">
        <f>'Input A-C &amp; Heat Pump Measures'!R43</f>
        <v/>
      </c>
    </row>
    <row r="42" spans="1:13" x14ac:dyDescent="0.2">
      <c r="A42" s="8" t="s">
        <v>206</v>
      </c>
      <c r="B42" s="7">
        <f t="shared" si="0"/>
        <v>0</v>
      </c>
      <c r="C42" s="7">
        <f>'Input A-C &amp; Heat Pump Measures'!B44</f>
        <v>40</v>
      </c>
      <c r="D42" s="7" t="str">
        <f>'Input A-C &amp; Heat Pump Measures'!C44</f>
        <v/>
      </c>
      <c r="E42" s="7" t="str">
        <f>'Input A-C &amp; Heat Pump Measures'!F44</f>
        <v/>
      </c>
      <c r="F42" s="7" t="str">
        <f>IF(ISNUMBER($D42)=TRUE,'Input A-C &amp; Heat Pump Measures'!G44,"")</f>
        <v/>
      </c>
      <c r="G42" s="7" t="str">
        <f>IF(ISNUMBER($D42)=TRUE,'Input A-C &amp; Heat Pump Measures'!S44,"")</f>
        <v/>
      </c>
      <c r="H42" s="91" t="str">
        <f>IF(ISNUMBER($D42)=TRUE,'Input A-C &amp; Heat Pump Measures'!T44,"")</f>
        <v/>
      </c>
      <c r="I42" s="37" t="str">
        <f>IFERROR(M42*MIN(Table_Measure_Caps[[#Totals],[Estimated Raw Incentive Total]], Table_Measure_Caps[[#Totals],[Gross Measure Cost Total]], Value_Project_CAP)/Table_Measure_Caps[[#Totals],[Estimated Raw Incentive Total]], "")</f>
        <v/>
      </c>
      <c r="J42" s="7" t="str">
        <f>IF(ISNUMBER($D42)=TRUE,'Input A-C &amp; Heat Pump Measures'!P44,"")</f>
        <v/>
      </c>
      <c r="K42" s="22" t="str">
        <f t="shared" si="1"/>
        <v>Version 2.1</v>
      </c>
      <c r="L42" s="56" t="str">
        <f>IF(ISNUMBER($D42)=TRUE,'Input A-C &amp; Heat Pump Measures'!E44,"")</f>
        <v/>
      </c>
      <c r="M42" s="34" t="str">
        <f>'Input A-C &amp; Heat Pump Measures'!R44</f>
        <v/>
      </c>
    </row>
    <row r="43" spans="1:13" x14ac:dyDescent="0.2">
      <c r="A43" s="8" t="s">
        <v>206</v>
      </c>
      <c r="B43" s="7">
        <f t="shared" si="0"/>
        <v>0</v>
      </c>
      <c r="C43" s="7">
        <f>'Input A-C &amp; Heat Pump Measures'!B45</f>
        <v>41</v>
      </c>
      <c r="D43" s="7" t="str">
        <f>'Input A-C &amp; Heat Pump Measures'!C45</f>
        <v/>
      </c>
      <c r="E43" s="7" t="str">
        <f>'Input A-C &amp; Heat Pump Measures'!F45</f>
        <v/>
      </c>
      <c r="F43" s="7" t="str">
        <f>IF(ISNUMBER($D43)=TRUE,'Input A-C &amp; Heat Pump Measures'!G45,"")</f>
        <v/>
      </c>
      <c r="G43" s="7" t="str">
        <f>IF(ISNUMBER($D43)=TRUE,'Input A-C &amp; Heat Pump Measures'!S45,"")</f>
        <v/>
      </c>
      <c r="H43" s="91" t="str">
        <f>IF(ISNUMBER($D43)=TRUE,'Input A-C &amp; Heat Pump Measures'!T45,"")</f>
        <v/>
      </c>
      <c r="I43" s="37" t="str">
        <f>IFERROR(M43*MIN(Table_Measure_Caps[[#Totals],[Estimated Raw Incentive Total]], Table_Measure_Caps[[#Totals],[Gross Measure Cost Total]], Value_Project_CAP)/Table_Measure_Caps[[#Totals],[Estimated Raw Incentive Total]], "")</f>
        <v/>
      </c>
      <c r="J43" s="7" t="str">
        <f>IF(ISNUMBER($D43)=TRUE,'Input A-C &amp; Heat Pump Measures'!P45,"")</f>
        <v/>
      </c>
      <c r="K43" s="22" t="str">
        <f t="shared" si="1"/>
        <v>Version 2.1</v>
      </c>
      <c r="L43" s="56" t="str">
        <f>IF(ISNUMBER($D43)=TRUE,'Input A-C &amp; Heat Pump Measures'!E45,"")</f>
        <v/>
      </c>
      <c r="M43" s="34" t="str">
        <f>'Input A-C &amp; Heat Pump Measures'!R45</f>
        <v/>
      </c>
    </row>
    <row r="44" spans="1:13" x14ac:dyDescent="0.2">
      <c r="A44" s="8" t="s">
        <v>206</v>
      </c>
      <c r="B44" s="7">
        <f t="shared" si="0"/>
        <v>0</v>
      </c>
      <c r="C44" s="7">
        <f>'Input A-C &amp; Heat Pump Measures'!B46</f>
        <v>42</v>
      </c>
      <c r="D44" s="7" t="str">
        <f>'Input A-C &amp; Heat Pump Measures'!C46</f>
        <v/>
      </c>
      <c r="E44" s="7" t="str">
        <f>'Input A-C &amp; Heat Pump Measures'!F46</f>
        <v/>
      </c>
      <c r="F44" s="7" t="str">
        <f>IF(ISNUMBER($D44)=TRUE,'Input A-C &amp; Heat Pump Measures'!G46,"")</f>
        <v/>
      </c>
      <c r="G44" s="7" t="str">
        <f>IF(ISNUMBER($D44)=TRUE,'Input A-C &amp; Heat Pump Measures'!S46,"")</f>
        <v/>
      </c>
      <c r="H44" s="91" t="str">
        <f>IF(ISNUMBER($D44)=TRUE,'Input A-C &amp; Heat Pump Measures'!T46,"")</f>
        <v/>
      </c>
      <c r="I44" s="37" t="str">
        <f>IFERROR(M44*MIN(Table_Measure_Caps[[#Totals],[Estimated Raw Incentive Total]], Table_Measure_Caps[[#Totals],[Gross Measure Cost Total]], Value_Project_CAP)/Table_Measure_Caps[[#Totals],[Estimated Raw Incentive Total]], "")</f>
        <v/>
      </c>
      <c r="J44" s="7" t="str">
        <f>IF(ISNUMBER($D44)=TRUE,'Input A-C &amp; Heat Pump Measures'!P46,"")</f>
        <v/>
      </c>
      <c r="K44" s="22" t="str">
        <f t="shared" si="1"/>
        <v>Version 2.1</v>
      </c>
      <c r="L44" s="56" t="str">
        <f>IF(ISNUMBER($D44)=TRUE,'Input A-C &amp; Heat Pump Measures'!E46,"")</f>
        <v/>
      </c>
      <c r="M44" s="34" t="str">
        <f>'Input A-C &amp; Heat Pump Measures'!R46</f>
        <v/>
      </c>
    </row>
    <row r="45" spans="1:13" x14ac:dyDescent="0.2">
      <c r="A45" s="8" t="s">
        <v>206</v>
      </c>
      <c r="B45" s="7">
        <f t="shared" si="0"/>
        <v>0</v>
      </c>
      <c r="C45" s="7">
        <f>'Input A-C &amp; Heat Pump Measures'!B47</f>
        <v>43</v>
      </c>
      <c r="D45" s="7" t="str">
        <f>'Input A-C &amp; Heat Pump Measures'!C47</f>
        <v/>
      </c>
      <c r="E45" s="7" t="str">
        <f>'Input A-C &amp; Heat Pump Measures'!F47</f>
        <v/>
      </c>
      <c r="F45" s="7" t="str">
        <f>IF(ISNUMBER($D45)=TRUE,'Input A-C &amp; Heat Pump Measures'!G47,"")</f>
        <v/>
      </c>
      <c r="G45" s="7" t="str">
        <f>IF(ISNUMBER($D45)=TRUE,'Input A-C &amp; Heat Pump Measures'!S47,"")</f>
        <v/>
      </c>
      <c r="H45" s="91" t="str">
        <f>IF(ISNUMBER($D45)=TRUE,'Input A-C &amp; Heat Pump Measures'!T47,"")</f>
        <v/>
      </c>
      <c r="I45" s="37" t="str">
        <f>IFERROR(M45*MIN(Table_Measure_Caps[[#Totals],[Estimated Raw Incentive Total]], Table_Measure_Caps[[#Totals],[Gross Measure Cost Total]], Value_Project_CAP)/Table_Measure_Caps[[#Totals],[Estimated Raw Incentive Total]], "")</f>
        <v/>
      </c>
      <c r="J45" s="7" t="str">
        <f>IF(ISNUMBER($D45)=TRUE,'Input A-C &amp; Heat Pump Measures'!P47,"")</f>
        <v/>
      </c>
      <c r="K45" s="22" t="str">
        <f t="shared" si="1"/>
        <v>Version 2.1</v>
      </c>
      <c r="L45" s="56" t="str">
        <f>IF(ISNUMBER($D45)=TRUE,'Input A-C &amp; Heat Pump Measures'!E47,"")</f>
        <v/>
      </c>
      <c r="M45" s="34" t="str">
        <f>'Input A-C &amp; Heat Pump Measures'!R47</f>
        <v/>
      </c>
    </row>
    <row r="46" spans="1:13" x14ac:dyDescent="0.2">
      <c r="A46" s="8" t="s">
        <v>206</v>
      </c>
      <c r="B46" s="7">
        <f t="shared" si="0"/>
        <v>0</v>
      </c>
      <c r="C46" s="7">
        <f>'Input A-C &amp; Heat Pump Measures'!B48</f>
        <v>44</v>
      </c>
      <c r="D46" s="7" t="str">
        <f>'Input A-C &amp; Heat Pump Measures'!C48</f>
        <v/>
      </c>
      <c r="E46" s="7" t="str">
        <f>'Input A-C &amp; Heat Pump Measures'!F48</f>
        <v/>
      </c>
      <c r="F46" s="7" t="str">
        <f>IF(ISNUMBER($D46)=TRUE,'Input A-C &amp; Heat Pump Measures'!G48,"")</f>
        <v/>
      </c>
      <c r="G46" s="7" t="str">
        <f>IF(ISNUMBER($D46)=TRUE,'Input A-C &amp; Heat Pump Measures'!S48,"")</f>
        <v/>
      </c>
      <c r="H46" s="91" t="str">
        <f>IF(ISNUMBER($D46)=TRUE,'Input A-C &amp; Heat Pump Measures'!T48,"")</f>
        <v/>
      </c>
      <c r="I46" s="37" t="str">
        <f>IFERROR(M46*MIN(Table_Measure_Caps[[#Totals],[Estimated Raw Incentive Total]], Table_Measure_Caps[[#Totals],[Gross Measure Cost Total]], Value_Project_CAP)/Table_Measure_Caps[[#Totals],[Estimated Raw Incentive Total]], "")</f>
        <v/>
      </c>
      <c r="J46" s="7" t="str">
        <f>IF(ISNUMBER($D46)=TRUE,'Input A-C &amp; Heat Pump Measures'!P48,"")</f>
        <v/>
      </c>
      <c r="K46" s="22" t="str">
        <f t="shared" si="1"/>
        <v>Version 2.1</v>
      </c>
      <c r="L46" s="56" t="str">
        <f>IF(ISNUMBER($D46)=TRUE,'Input A-C &amp; Heat Pump Measures'!E48,"")</f>
        <v/>
      </c>
      <c r="M46" s="34" t="str">
        <f>'Input A-C &amp; Heat Pump Measures'!R48</f>
        <v/>
      </c>
    </row>
    <row r="47" spans="1:13" x14ac:dyDescent="0.2">
      <c r="A47" s="8" t="s">
        <v>206</v>
      </c>
      <c r="B47" s="7">
        <f t="shared" si="0"/>
        <v>0</v>
      </c>
      <c r="C47" s="7">
        <f>'Input A-C &amp; Heat Pump Measures'!B49</f>
        <v>45</v>
      </c>
      <c r="D47" s="7" t="str">
        <f>'Input A-C &amp; Heat Pump Measures'!C49</f>
        <v/>
      </c>
      <c r="E47" s="7" t="str">
        <f>'Input A-C &amp; Heat Pump Measures'!F49</f>
        <v/>
      </c>
      <c r="F47" s="7" t="str">
        <f>IF(ISNUMBER($D47)=TRUE,'Input A-C &amp; Heat Pump Measures'!G49,"")</f>
        <v/>
      </c>
      <c r="G47" s="7" t="str">
        <f>IF(ISNUMBER($D47)=TRUE,'Input A-C &amp; Heat Pump Measures'!S49,"")</f>
        <v/>
      </c>
      <c r="H47" s="91" t="str">
        <f>IF(ISNUMBER($D47)=TRUE,'Input A-C &amp; Heat Pump Measures'!T49,"")</f>
        <v/>
      </c>
      <c r="I47" s="37" t="str">
        <f>IFERROR(M47*MIN(Table_Measure_Caps[[#Totals],[Estimated Raw Incentive Total]], Table_Measure_Caps[[#Totals],[Gross Measure Cost Total]], Value_Project_CAP)/Table_Measure_Caps[[#Totals],[Estimated Raw Incentive Total]], "")</f>
        <v/>
      </c>
      <c r="J47" s="7" t="str">
        <f>IF(ISNUMBER($D47)=TRUE,'Input A-C &amp; Heat Pump Measures'!P49,"")</f>
        <v/>
      </c>
      <c r="K47" s="22" t="str">
        <f t="shared" si="1"/>
        <v>Version 2.1</v>
      </c>
      <c r="L47" s="56" t="str">
        <f>IF(ISNUMBER($D47)=TRUE,'Input A-C &amp; Heat Pump Measures'!E49,"")</f>
        <v/>
      </c>
      <c r="M47" s="34" t="str">
        <f>'Input A-C &amp; Heat Pump Measures'!R49</f>
        <v/>
      </c>
    </row>
    <row r="48" spans="1:13" x14ac:dyDescent="0.2">
      <c r="A48" s="8" t="s">
        <v>206</v>
      </c>
      <c r="B48" s="7">
        <f t="shared" si="0"/>
        <v>0</v>
      </c>
      <c r="C48" s="7">
        <f>'Input A-C &amp; Heat Pump Measures'!B50</f>
        <v>46</v>
      </c>
      <c r="D48" s="7" t="str">
        <f>'Input A-C &amp; Heat Pump Measures'!C50</f>
        <v/>
      </c>
      <c r="E48" s="7" t="str">
        <f>'Input A-C &amp; Heat Pump Measures'!F50</f>
        <v/>
      </c>
      <c r="F48" s="7" t="str">
        <f>IF(ISNUMBER($D48)=TRUE,'Input A-C &amp; Heat Pump Measures'!G50,"")</f>
        <v/>
      </c>
      <c r="G48" s="7" t="str">
        <f>IF(ISNUMBER($D48)=TRUE,'Input A-C &amp; Heat Pump Measures'!S50,"")</f>
        <v/>
      </c>
      <c r="H48" s="91" t="str">
        <f>IF(ISNUMBER($D48)=TRUE,'Input A-C &amp; Heat Pump Measures'!T50,"")</f>
        <v/>
      </c>
      <c r="I48" s="37" t="str">
        <f>IFERROR(M48*MIN(Table_Measure_Caps[[#Totals],[Estimated Raw Incentive Total]], Table_Measure_Caps[[#Totals],[Gross Measure Cost Total]], Value_Project_CAP)/Table_Measure_Caps[[#Totals],[Estimated Raw Incentive Total]], "")</f>
        <v/>
      </c>
      <c r="J48" s="7" t="str">
        <f>IF(ISNUMBER($D48)=TRUE,'Input A-C &amp; Heat Pump Measures'!P50,"")</f>
        <v/>
      </c>
      <c r="K48" s="22" t="str">
        <f t="shared" si="1"/>
        <v>Version 2.1</v>
      </c>
      <c r="L48" s="56" t="str">
        <f>IF(ISNUMBER($D48)=TRUE,'Input A-C &amp; Heat Pump Measures'!E50,"")</f>
        <v/>
      </c>
      <c r="M48" s="34" t="str">
        <f>'Input A-C &amp; Heat Pump Measures'!R50</f>
        <v/>
      </c>
    </row>
    <row r="49" spans="1:13" x14ac:dyDescent="0.2">
      <c r="A49" s="8" t="s">
        <v>206</v>
      </c>
      <c r="B49" s="7">
        <f t="shared" si="0"/>
        <v>0</v>
      </c>
      <c r="C49" s="7">
        <f>'Input A-C &amp; Heat Pump Measures'!B51</f>
        <v>47</v>
      </c>
      <c r="D49" s="7" t="str">
        <f>'Input A-C &amp; Heat Pump Measures'!C51</f>
        <v/>
      </c>
      <c r="E49" s="7" t="str">
        <f>'Input A-C &amp; Heat Pump Measures'!F51</f>
        <v/>
      </c>
      <c r="F49" s="7" t="str">
        <f>IF(ISNUMBER($D49)=TRUE,'Input A-C &amp; Heat Pump Measures'!G51,"")</f>
        <v/>
      </c>
      <c r="G49" s="7" t="str">
        <f>IF(ISNUMBER($D49)=TRUE,'Input A-C &amp; Heat Pump Measures'!S51,"")</f>
        <v/>
      </c>
      <c r="H49" s="91" t="str">
        <f>IF(ISNUMBER($D49)=TRUE,'Input A-C &amp; Heat Pump Measures'!T51,"")</f>
        <v/>
      </c>
      <c r="I49" s="37" t="str">
        <f>IFERROR(M49*MIN(Table_Measure_Caps[[#Totals],[Estimated Raw Incentive Total]], Table_Measure_Caps[[#Totals],[Gross Measure Cost Total]], Value_Project_CAP)/Table_Measure_Caps[[#Totals],[Estimated Raw Incentive Total]], "")</f>
        <v/>
      </c>
      <c r="J49" s="7" t="str">
        <f>IF(ISNUMBER($D49)=TRUE,'Input A-C &amp; Heat Pump Measures'!P51,"")</f>
        <v/>
      </c>
      <c r="K49" s="22" t="str">
        <f t="shared" si="1"/>
        <v>Version 2.1</v>
      </c>
      <c r="L49" s="56" t="str">
        <f>IF(ISNUMBER($D49)=TRUE,'Input A-C &amp; Heat Pump Measures'!E51,"")</f>
        <v/>
      </c>
      <c r="M49" s="34" t="str">
        <f>'Input A-C &amp; Heat Pump Measures'!R51</f>
        <v/>
      </c>
    </row>
    <row r="50" spans="1:13" x14ac:dyDescent="0.2">
      <c r="A50" s="8" t="s">
        <v>206</v>
      </c>
      <c r="B50" s="7">
        <f t="shared" si="0"/>
        <v>0</v>
      </c>
      <c r="C50" s="7">
        <f>'Input A-C &amp; Heat Pump Measures'!B52</f>
        <v>48</v>
      </c>
      <c r="D50" s="7" t="str">
        <f>'Input A-C &amp; Heat Pump Measures'!C52</f>
        <v/>
      </c>
      <c r="E50" s="7" t="str">
        <f>'Input A-C &amp; Heat Pump Measures'!F52</f>
        <v/>
      </c>
      <c r="F50" s="7" t="str">
        <f>IF(ISNUMBER($D50)=TRUE,'Input A-C &amp; Heat Pump Measures'!G52,"")</f>
        <v/>
      </c>
      <c r="G50" s="7" t="str">
        <f>IF(ISNUMBER($D50)=TRUE,'Input A-C &amp; Heat Pump Measures'!S52,"")</f>
        <v/>
      </c>
      <c r="H50" s="91" t="str">
        <f>IF(ISNUMBER($D50)=TRUE,'Input A-C &amp; Heat Pump Measures'!T52,"")</f>
        <v/>
      </c>
      <c r="I50" s="37" t="str">
        <f>IFERROR(M50*MIN(Table_Measure_Caps[[#Totals],[Estimated Raw Incentive Total]], Table_Measure_Caps[[#Totals],[Gross Measure Cost Total]], Value_Project_CAP)/Table_Measure_Caps[[#Totals],[Estimated Raw Incentive Total]], "")</f>
        <v/>
      </c>
      <c r="J50" s="7" t="str">
        <f>IF(ISNUMBER($D50)=TRUE,'Input A-C &amp; Heat Pump Measures'!P52,"")</f>
        <v/>
      </c>
      <c r="K50" s="22" t="str">
        <f t="shared" si="1"/>
        <v>Version 2.1</v>
      </c>
      <c r="L50" s="56" t="str">
        <f>IF(ISNUMBER($D50)=TRUE,'Input A-C &amp; Heat Pump Measures'!E52,"")</f>
        <v/>
      </c>
      <c r="M50" s="34" t="str">
        <f>'Input A-C &amp; Heat Pump Measures'!R52</f>
        <v/>
      </c>
    </row>
    <row r="51" spans="1:13" x14ac:dyDescent="0.2">
      <c r="A51" s="8" t="s">
        <v>206</v>
      </c>
      <c r="B51" s="7">
        <f t="shared" si="0"/>
        <v>0</v>
      </c>
      <c r="C51" s="7">
        <f>'Input A-C &amp; Heat Pump Measures'!B53</f>
        <v>49</v>
      </c>
      <c r="D51" s="7" t="str">
        <f>'Input A-C &amp; Heat Pump Measures'!C53</f>
        <v/>
      </c>
      <c r="E51" s="7" t="str">
        <f>'Input A-C &amp; Heat Pump Measures'!F53</f>
        <v/>
      </c>
      <c r="F51" s="7" t="str">
        <f>IF(ISNUMBER($D51)=TRUE,'Input A-C &amp; Heat Pump Measures'!G53,"")</f>
        <v/>
      </c>
      <c r="G51" s="7" t="str">
        <f>IF(ISNUMBER($D51)=TRUE,'Input A-C &amp; Heat Pump Measures'!S53,"")</f>
        <v/>
      </c>
      <c r="H51" s="91" t="str">
        <f>IF(ISNUMBER($D51)=TRUE,'Input A-C &amp; Heat Pump Measures'!T53,"")</f>
        <v/>
      </c>
      <c r="I51" s="37" t="str">
        <f>IFERROR(M51*MIN(Table_Measure_Caps[[#Totals],[Estimated Raw Incentive Total]], Table_Measure_Caps[[#Totals],[Gross Measure Cost Total]], Value_Project_CAP)/Table_Measure_Caps[[#Totals],[Estimated Raw Incentive Total]], "")</f>
        <v/>
      </c>
      <c r="J51" s="7" t="str">
        <f>IF(ISNUMBER($D51)=TRUE,'Input A-C &amp; Heat Pump Measures'!P53,"")</f>
        <v/>
      </c>
      <c r="K51" s="22" t="str">
        <f t="shared" si="1"/>
        <v>Version 2.1</v>
      </c>
      <c r="L51" s="56" t="str">
        <f>IF(ISNUMBER($D51)=TRUE,'Input A-C &amp; Heat Pump Measures'!E53,"")</f>
        <v/>
      </c>
      <c r="M51" s="34" t="str">
        <f>'Input A-C &amp; Heat Pump Measures'!R53</f>
        <v/>
      </c>
    </row>
    <row r="52" spans="1:13" x14ac:dyDescent="0.2">
      <c r="A52" s="8" t="s">
        <v>206</v>
      </c>
      <c r="B52" s="7">
        <f t="shared" si="0"/>
        <v>0</v>
      </c>
      <c r="C52" s="7">
        <f>'Input A-C &amp; Heat Pump Measures'!B54</f>
        <v>50</v>
      </c>
      <c r="D52" s="7" t="str">
        <f>'Input A-C &amp; Heat Pump Measures'!C54</f>
        <v/>
      </c>
      <c r="E52" s="7" t="str">
        <f>'Input A-C &amp; Heat Pump Measures'!F54</f>
        <v/>
      </c>
      <c r="F52" s="7" t="str">
        <f>IF(ISNUMBER($D52)=TRUE,'Input A-C &amp; Heat Pump Measures'!G54,"")</f>
        <v/>
      </c>
      <c r="G52" s="7" t="str">
        <f>IF(ISNUMBER($D52)=TRUE,'Input A-C &amp; Heat Pump Measures'!S54,"")</f>
        <v/>
      </c>
      <c r="H52" s="91" t="str">
        <f>IF(ISNUMBER($D52)=TRUE,'Input A-C &amp; Heat Pump Measures'!T54,"")</f>
        <v/>
      </c>
      <c r="I52" s="37" t="str">
        <f>IFERROR(M52*MIN(Table_Measure_Caps[[#Totals],[Estimated Raw Incentive Total]], Table_Measure_Caps[[#Totals],[Gross Measure Cost Total]], Value_Project_CAP)/Table_Measure_Caps[[#Totals],[Estimated Raw Incentive Total]], "")</f>
        <v/>
      </c>
      <c r="J52" s="7" t="str">
        <f>IF(ISNUMBER($D52)=TRUE,'Input A-C &amp; Heat Pump Measures'!P54,"")</f>
        <v/>
      </c>
      <c r="K52" s="22" t="str">
        <f t="shared" si="1"/>
        <v>Version 2.1</v>
      </c>
      <c r="L52" s="56" t="str">
        <f>IF(ISNUMBER($D52)=TRUE,'Input A-C &amp; Heat Pump Measures'!E54,"")</f>
        <v/>
      </c>
      <c r="M52" s="34" t="str">
        <f>'Input A-C &amp; Heat Pump Measures'!R54</f>
        <v/>
      </c>
    </row>
    <row r="53" spans="1:13" x14ac:dyDescent="0.2">
      <c r="A53" s="25" t="s">
        <v>17</v>
      </c>
      <c r="B53" s="23">
        <f t="shared" si="0"/>
        <v>0</v>
      </c>
      <c r="C53" s="23">
        <f>'Input Chiller Measures'!B6</f>
        <v>1</v>
      </c>
      <c r="D53" s="23" t="str">
        <f>'Input Chiller Measures'!C6</f>
        <v/>
      </c>
      <c r="E53" s="23" t="str">
        <f>'Input Chiller Measures'!F6</f>
        <v/>
      </c>
      <c r="F53" s="24">
        <f>'Input Chiller Measures'!G6</f>
        <v>0</v>
      </c>
      <c r="G53" s="24" t="str">
        <f>'Input Chiller Measures'!O6</f>
        <v/>
      </c>
      <c r="H53" s="92" t="str">
        <f>'Input Chiller Measures'!P6</f>
        <v/>
      </c>
      <c r="I53" s="38" t="str">
        <f>IFERROR(M53*MIN(Table_Measure_Caps[[#Totals],[Estimated Raw Incentive Total]], Table_Measure_Caps[[#Totals],[Gross Measure Cost Total]], Value_Project_CAP)/Table_Measure_Caps[[#Totals],[Estimated Raw Incentive Total]], "")</f>
        <v/>
      </c>
      <c r="J53" s="23">
        <f>'Input Chiller Measures'!L6</f>
        <v>0</v>
      </c>
      <c r="K53" s="22" t="str">
        <f t="shared" si="1"/>
        <v>Version 2.1</v>
      </c>
      <c r="L53" s="63" t="str">
        <f>IF(ISNUMBER($D53)=TRUE,'Input Chiller Measures'!E6,"")</f>
        <v/>
      </c>
      <c r="M53" s="62" t="str">
        <f>'Input Chiller Measures'!N6</f>
        <v/>
      </c>
    </row>
    <row r="54" spans="1:13" x14ac:dyDescent="0.2">
      <c r="A54" s="25" t="s">
        <v>17</v>
      </c>
      <c r="B54" s="23">
        <f t="shared" ref="B54:B102" si="2">Input_ProjectNumber</f>
        <v>0</v>
      </c>
      <c r="C54" s="23">
        <f>'Input Chiller Measures'!B7</f>
        <v>2</v>
      </c>
      <c r="D54" s="23" t="str">
        <f>'Input Chiller Measures'!C7</f>
        <v/>
      </c>
      <c r="E54" s="23" t="str">
        <f>'Input Chiller Measures'!F7</f>
        <v/>
      </c>
      <c r="F54" s="24">
        <f>'Input Chiller Measures'!G7</f>
        <v>0</v>
      </c>
      <c r="G54" s="24" t="str">
        <f>'Input Chiller Measures'!O7</f>
        <v/>
      </c>
      <c r="H54" s="92" t="str">
        <f>'Input Chiller Measures'!P7</f>
        <v/>
      </c>
      <c r="I54" s="38" t="str">
        <f>IFERROR(M54*MIN(Table_Measure_Caps[[#Totals],[Estimated Raw Incentive Total]], Table_Measure_Caps[[#Totals],[Gross Measure Cost Total]], Value_Project_CAP)/Table_Measure_Caps[[#Totals],[Estimated Raw Incentive Total]], "")</f>
        <v/>
      </c>
      <c r="J54" s="23">
        <f>'Input Chiller Measures'!L7</f>
        <v>0</v>
      </c>
      <c r="K54" s="22" t="str">
        <f t="shared" si="1"/>
        <v>Version 2.1</v>
      </c>
      <c r="L54" s="63" t="str">
        <f>IF(ISNUMBER($D54)=TRUE,'Input Chiller Measures'!E7,"")</f>
        <v/>
      </c>
      <c r="M54" s="62" t="str">
        <f>'Input Chiller Measures'!N7</f>
        <v/>
      </c>
    </row>
    <row r="55" spans="1:13" x14ac:dyDescent="0.2">
      <c r="A55" s="25" t="s">
        <v>17</v>
      </c>
      <c r="B55" s="23">
        <f t="shared" si="2"/>
        <v>0</v>
      </c>
      <c r="C55" s="23">
        <f>'Input Chiller Measures'!B8</f>
        <v>3</v>
      </c>
      <c r="D55" s="23" t="str">
        <f>'Input Chiller Measures'!C8</f>
        <v/>
      </c>
      <c r="E55" s="23" t="str">
        <f>'Input Chiller Measures'!F8</f>
        <v/>
      </c>
      <c r="F55" s="24">
        <f>'Input Chiller Measures'!G8</f>
        <v>0</v>
      </c>
      <c r="G55" s="24" t="str">
        <f>'Input Chiller Measures'!O8</f>
        <v/>
      </c>
      <c r="H55" s="92" t="str">
        <f>'Input Chiller Measures'!P8</f>
        <v/>
      </c>
      <c r="I55" s="38" t="str">
        <f>IFERROR(M55*MIN(Table_Measure_Caps[[#Totals],[Estimated Raw Incentive Total]], Table_Measure_Caps[[#Totals],[Gross Measure Cost Total]], Value_Project_CAP)/Table_Measure_Caps[[#Totals],[Estimated Raw Incentive Total]], "")</f>
        <v/>
      </c>
      <c r="J55" s="23">
        <f>'Input Chiller Measures'!L8</f>
        <v>0</v>
      </c>
      <c r="K55" s="22" t="str">
        <f t="shared" si="1"/>
        <v>Version 2.1</v>
      </c>
      <c r="L55" s="63" t="str">
        <f>IF(ISNUMBER($D55)=TRUE,'Input Chiller Measures'!E8,"")</f>
        <v/>
      </c>
      <c r="M55" s="62" t="str">
        <f>'Input Chiller Measures'!N8</f>
        <v/>
      </c>
    </row>
    <row r="56" spans="1:13" x14ac:dyDescent="0.2">
      <c r="A56" s="25" t="s">
        <v>17</v>
      </c>
      <c r="B56" s="23">
        <f t="shared" si="2"/>
        <v>0</v>
      </c>
      <c r="C56" s="23">
        <f>'Input Chiller Measures'!B9</f>
        <v>4</v>
      </c>
      <c r="D56" s="23" t="str">
        <f>'Input Chiller Measures'!C9</f>
        <v/>
      </c>
      <c r="E56" s="23" t="str">
        <f>'Input Chiller Measures'!F9</f>
        <v/>
      </c>
      <c r="F56" s="24">
        <f>'Input Chiller Measures'!G9</f>
        <v>0</v>
      </c>
      <c r="G56" s="24" t="str">
        <f>'Input Chiller Measures'!O9</f>
        <v/>
      </c>
      <c r="H56" s="92" t="str">
        <f>'Input Chiller Measures'!P9</f>
        <v/>
      </c>
      <c r="I56" s="38" t="str">
        <f>IFERROR(M56*MIN(Table_Measure_Caps[[#Totals],[Estimated Raw Incentive Total]], Table_Measure_Caps[[#Totals],[Gross Measure Cost Total]], Value_Project_CAP)/Table_Measure_Caps[[#Totals],[Estimated Raw Incentive Total]], "")</f>
        <v/>
      </c>
      <c r="J56" s="23">
        <f>'Input Chiller Measures'!L9</f>
        <v>0</v>
      </c>
      <c r="K56" s="22" t="str">
        <f t="shared" si="1"/>
        <v>Version 2.1</v>
      </c>
      <c r="L56" s="63" t="str">
        <f>IF(ISNUMBER($D56)=TRUE,'Input Chiller Measures'!E9,"")</f>
        <v/>
      </c>
      <c r="M56" s="62" t="str">
        <f>'Input Chiller Measures'!N9</f>
        <v/>
      </c>
    </row>
    <row r="57" spans="1:13" x14ac:dyDescent="0.2">
      <c r="A57" s="25" t="s">
        <v>17</v>
      </c>
      <c r="B57" s="23">
        <f t="shared" si="2"/>
        <v>0</v>
      </c>
      <c r="C57" s="23">
        <f>'Input Chiller Measures'!B10</f>
        <v>5</v>
      </c>
      <c r="D57" s="23" t="str">
        <f>'Input Chiller Measures'!C10</f>
        <v/>
      </c>
      <c r="E57" s="23" t="str">
        <f>'Input Chiller Measures'!F10</f>
        <v/>
      </c>
      <c r="F57" s="24">
        <f>'Input Chiller Measures'!G10</f>
        <v>0</v>
      </c>
      <c r="G57" s="24" t="str">
        <f>'Input Chiller Measures'!O10</f>
        <v/>
      </c>
      <c r="H57" s="92" t="str">
        <f>'Input Chiller Measures'!P10</f>
        <v/>
      </c>
      <c r="I57" s="38" t="str">
        <f>IFERROR(M57*MIN(Table_Measure_Caps[[#Totals],[Estimated Raw Incentive Total]], Table_Measure_Caps[[#Totals],[Gross Measure Cost Total]], Value_Project_CAP)/Table_Measure_Caps[[#Totals],[Estimated Raw Incentive Total]], "")</f>
        <v/>
      </c>
      <c r="J57" s="23">
        <f>'Input Chiller Measures'!L10</f>
        <v>0</v>
      </c>
      <c r="K57" s="22" t="str">
        <f t="shared" si="1"/>
        <v>Version 2.1</v>
      </c>
      <c r="L57" s="63" t="str">
        <f>IF(ISNUMBER($D57)=TRUE,'Input Chiller Measures'!E10,"")</f>
        <v/>
      </c>
      <c r="M57" s="62" t="str">
        <f>'Input Chiller Measures'!N10</f>
        <v/>
      </c>
    </row>
    <row r="58" spans="1:13" x14ac:dyDescent="0.2">
      <c r="A58" s="25" t="s">
        <v>17</v>
      </c>
      <c r="B58" s="23">
        <f t="shared" si="2"/>
        <v>0</v>
      </c>
      <c r="C58" s="23">
        <f>'Input Chiller Measures'!B11</f>
        <v>6</v>
      </c>
      <c r="D58" s="23" t="str">
        <f>'Input Chiller Measures'!C11</f>
        <v/>
      </c>
      <c r="E58" s="23" t="str">
        <f>'Input Chiller Measures'!F11</f>
        <v/>
      </c>
      <c r="F58" s="24">
        <f>'Input Chiller Measures'!G11</f>
        <v>0</v>
      </c>
      <c r="G58" s="24" t="str">
        <f>'Input Chiller Measures'!O11</f>
        <v/>
      </c>
      <c r="H58" s="92" t="str">
        <f>'Input Chiller Measures'!P11</f>
        <v/>
      </c>
      <c r="I58" s="38" t="str">
        <f>IFERROR(M58*MIN(Table_Measure_Caps[[#Totals],[Estimated Raw Incentive Total]], Table_Measure_Caps[[#Totals],[Gross Measure Cost Total]], Value_Project_CAP)/Table_Measure_Caps[[#Totals],[Estimated Raw Incentive Total]], "")</f>
        <v/>
      </c>
      <c r="J58" s="23">
        <f>'Input Chiller Measures'!L11</f>
        <v>0</v>
      </c>
      <c r="K58" s="22" t="str">
        <f t="shared" si="1"/>
        <v>Version 2.1</v>
      </c>
      <c r="L58" s="63" t="str">
        <f>IF(ISNUMBER($D58)=TRUE,'Input Chiller Measures'!E11,"")</f>
        <v/>
      </c>
      <c r="M58" s="62" t="str">
        <f>'Input Chiller Measures'!N11</f>
        <v/>
      </c>
    </row>
    <row r="59" spans="1:13" x14ac:dyDescent="0.2">
      <c r="A59" s="25" t="s">
        <v>17</v>
      </c>
      <c r="B59" s="23">
        <f t="shared" si="2"/>
        <v>0</v>
      </c>
      <c r="C59" s="23">
        <f>'Input Chiller Measures'!B12</f>
        <v>7</v>
      </c>
      <c r="D59" s="23" t="str">
        <f>'Input Chiller Measures'!C12</f>
        <v/>
      </c>
      <c r="E59" s="23" t="str">
        <f>'Input Chiller Measures'!F12</f>
        <v/>
      </c>
      <c r="F59" s="24">
        <f>'Input Chiller Measures'!G12</f>
        <v>0</v>
      </c>
      <c r="G59" s="24" t="str">
        <f>'Input Chiller Measures'!O12</f>
        <v/>
      </c>
      <c r="H59" s="92" t="str">
        <f>'Input Chiller Measures'!P12</f>
        <v/>
      </c>
      <c r="I59" s="38" t="str">
        <f>IFERROR(M59*MIN(Table_Measure_Caps[[#Totals],[Estimated Raw Incentive Total]], Table_Measure_Caps[[#Totals],[Gross Measure Cost Total]], Value_Project_CAP)/Table_Measure_Caps[[#Totals],[Estimated Raw Incentive Total]], "")</f>
        <v/>
      </c>
      <c r="J59" s="23">
        <f>'Input Chiller Measures'!L12</f>
        <v>0</v>
      </c>
      <c r="K59" s="22" t="str">
        <f t="shared" si="1"/>
        <v>Version 2.1</v>
      </c>
      <c r="L59" s="63" t="str">
        <f>IF(ISNUMBER($D59)=TRUE,'Input Chiller Measures'!E12,"")</f>
        <v/>
      </c>
      <c r="M59" s="62" t="str">
        <f>'Input Chiller Measures'!N12</f>
        <v/>
      </c>
    </row>
    <row r="60" spans="1:13" x14ac:dyDescent="0.2">
      <c r="A60" s="25" t="s">
        <v>17</v>
      </c>
      <c r="B60" s="23">
        <f t="shared" si="2"/>
        <v>0</v>
      </c>
      <c r="C60" s="23">
        <f>'Input Chiller Measures'!B13</f>
        <v>8</v>
      </c>
      <c r="D60" s="23" t="str">
        <f>'Input Chiller Measures'!C13</f>
        <v/>
      </c>
      <c r="E60" s="23" t="str">
        <f>'Input Chiller Measures'!F13</f>
        <v/>
      </c>
      <c r="F60" s="24">
        <f>'Input Chiller Measures'!G13</f>
        <v>0</v>
      </c>
      <c r="G60" s="24" t="str">
        <f>'Input Chiller Measures'!O13</f>
        <v/>
      </c>
      <c r="H60" s="92" t="str">
        <f>'Input Chiller Measures'!P13</f>
        <v/>
      </c>
      <c r="I60" s="38" t="str">
        <f>IFERROR(M60*MIN(Table_Measure_Caps[[#Totals],[Estimated Raw Incentive Total]], Table_Measure_Caps[[#Totals],[Gross Measure Cost Total]], Value_Project_CAP)/Table_Measure_Caps[[#Totals],[Estimated Raw Incentive Total]], "")</f>
        <v/>
      </c>
      <c r="J60" s="23">
        <f>'Input Chiller Measures'!L13</f>
        <v>0</v>
      </c>
      <c r="K60" s="22" t="str">
        <f t="shared" si="1"/>
        <v>Version 2.1</v>
      </c>
      <c r="L60" s="63" t="str">
        <f>IF(ISNUMBER($D60)=TRUE,'Input Chiller Measures'!E13,"")</f>
        <v/>
      </c>
      <c r="M60" s="62" t="str">
        <f>'Input Chiller Measures'!N13</f>
        <v/>
      </c>
    </row>
    <row r="61" spans="1:13" x14ac:dyDescent="0.2">
      <c r="A61" s="25" t="s">
        <v>17</v>
      </c>
      <c r="B61" s="23">
        <f t="shared" si="2"/>
        <v>0</v>
      </c>
      <c r="C61" s="23">
        <f>'Input Chiller Measures'!B14</f>
        <v>9</v>
      </c>
      <c r="D61" s="23" t="str">
        <f>'Input Chiller Measures'!C14</f>
        <v/>
      </c>
      <c r="E61" s="23" t="str">
        <f>'Input Chiller Measures'!F14</f>
        <v/>
      </c>
      <c r="F61" s="24">
        <f>'Input Chiller Measures'!G14</f>
        <v>0</v>
      </c>
      <c r="G61" s="24" t="str">
        <f>'Input Chiller Measures'!O14</f>
        <v/>
      </c>
      <c r="H61" s="92" t="str">
        <f>'Input Chiller Measures'!P14</f>
        <v/>
      </c>
      <c r="I61" s="38" t="str">
        <f>IFERROR(M61*MIN(Table_Measure_Caps[[#Totals],[Estimated Raw Incentive Total]], Table_Measure_Caps[[#Totals],[Gross Measure Cost Total]], Value_Project_CAP)/Table_Measure_Caps[[#Totals],[Estimated Raw Incentive Total]], "")</f>
        <v/>
      </c>
      <c r="J61" s="23">
        <f>'Input Chiller Measures'!L14</f>
        <v>0</v>
      </c>
      <c r="K61" s="22" t="str">
        <f t="shared" si="1"/>
        <v>Version 2.1</v>
      </c>
      <c r="L61" s="63" t="str">
        <f>IF(ISNUMBER($D61)=TRUE,'Input Chiller Measures'!E14,"")</f>
        <v/>
      </c>
      <c r="M61" s="62" t="str">
        <f>'Input Chiller Measures'!N14</f>
        <v/>
      </c>
    </row>
    <row r="62" spans="1:13" x14ac:dyDescent="0.2">
      <c r="A62" s="25" t="s">
        <v>17</v>
      </c>
      <c r="B62" s="23">
        <f t="shared" si="2"/>
        <v>0</v>
      </c>
      <c r="C62" s="23">
        <f>'Input Chiller Measures'!B15</f>
        <v>10</v>
      </c>
      <c r="D62" s="23" t="str">
        <f>'Input Chiller Measures'!C15</f>
        <v/>
      </c>
      <c r="E62" s="23" t="str">
        <f>'Input Chiller Measures'!F15</f>
        <v/>
      </c>
      <c r="F62" s="24">
        <f>'Input Chiller Measures'!G15</f>
        <v>0</v>
      </c>
      <c r="G62" s="24" t="str">
        <f>'Input Chiller Measures'!O15</f>
        <v/>
      </c>
      <c r="H62" s="92" t="str">
        <f>'Input Chiller Measures'!P15</f>
        <v/>
      </c>
      <c r="I62" s="38" t="str">
        <f>IFERROR(M62*MIN(Table_Measure_Caps[[#Totals],[Estimated Raw Incentive Total]], Table_Measure_Caps[[#Totals],[Gross Measure Cost Total]], Value_Project_CAP)/Table_Measure_Caps[[#Totals],[Estimated Raw Incentive Total]], "")</f>
        <v/>
      </c>
      <c r="J62" s="23">
        <f>'Input Chiller Measures'!L15</f>
        <v>0</v>
      </c>
      <c r="K62" s="22" t="str">
        <f t="shared" si="1"/>
        <v>Version 2.1</v>
      </c>
      <c r="L62" s="63" t="str">
        <f>IF(ISNUMBER($D62)=TRUE,'Input Chiller Measures'!E15,"")</f>
        <v/>
      </c>
      <c r="M62" s="62" t="str">
        <f>'Input Chiller Measures'!N15</f>
        <v/>
      </c>
    </row>
    <row r="63" spans="1:13" x14ac:dyDescent="0.2">
      <c r="A63" s="25" t="s">
        <v>17</v>
      </c>
      <c r="B63" s="23">
        <f t="shared" si="2"/>
        <v>0</v>
      </c>
      <c r="C63" s="23">
        <f>'Input Chiller Measures'!B16</f>
        <v>11</v>
      </c>
      <c r="D63" s="23" t="str">
        <f>'Input Chiller Measures'!C16</f>
        <v/>
      </c>
      <c r="E63" s="23" t="str">
        <f>'Input Chiller Measures'!F16</f>
        <v/>
      </c>
      <c r="F63" s="24">
        <f>'Input Chiller Measures'!G16</f>
        <v>0</v>
      </c>
      <c r="G63" s="24" t="str">
        <f>'Input Chiller Measures'!O16</f>
        <v/>
      </c>
      <c r="H63" s="92" t="str">
        <f>'Input Chiller Measures'!P16</f>
        <v/>
      </c>
      <c r="I63" s="38" t="str">
        <f>IFERROR(M63*MIN(Table_Measure_Caps[[#Totals],[Estimated Raw Incentive Total]], Table_Measure_Caps[[#Totals],[Gross Measure Cost Total]], Value_Project_CAP)/Table_Measure_Caps[[#Totals],[Estimated Raw Incentive Total]], "")</f>
        <v/>
      </c>
      <c r="J63" s="23">
        <f>'Input Chiller Measures'!L16</f>
        <v>0</v>
      </c>
      <c r="K63" s="22" t="str">
        <f t="shared" si="1"/>
        <v>Version 2.1</v>
      </c>
      <c r="L63" s="63" t="str">
        <f>IF(ISNUMBER($D63)=TRUE,'Input Chiller Measures'!E16,"")</f>
        <v/>
      </c>
      <c r="M63" s="62" t="str">
        <f>'Input Chiller Measures'!N16</f>
        <v/>
      </c>
    </row>
    <row r="64" spans="1:13" x14ac:dyDescent="0.2">
      <c r="A64" s="25" t="s">
        <v>17</v>
      </c>
      <c r="B64" s="23">
        <f t="shared" si="2"/>
        <v>0</v>
      </c>
      <c r="C64" s="23">
        <f>'Input Chiller Measures'!B17</f>
        <v>12</v>
      </c>
      <c r="D64" s="23" t="str">
        <f>'Input Chiller Measures'!C17</f>
        <v/>
      </c>
      <c r="E64" s="23" t="str">
        <f>'Input Chiller Measures'!F17</f>
        <v/>
      </c>
      <c r="F64" s="24">
        <f>'Input Chiller Measures'!G17</f>
        <v>0</v>
      </c>
      <c r="G64" s="24" t="str">
        <f>'Input Chiller Measures'!O17</f>
        <v/>
      </c>
      <c r="H64" s="92" t="str">
        <f>'Input Chiller Measures'!P17</f>
        <v/>
      </c>
      <c r="I64" s="38" t="str">
        <f>IFERROR(M64*MIN(Table_Measure_Caps[[#Totals],[Estimated Raw Incentive Total]], Table_Measure_Caps[[#Totals],[Gross Measure Cost Total]], Value_Project_CAP)/Table_Measure_Caps[[#Totals],[Estimated Raw Incentive Total]], "")</f>
        <v/>
      </c>
      <c r="J64" s="23">
        <f>'Input Chiller Measures'!L17</f>
        <v>0</v>
      </c>
      <c r="K64" s="22" t="str">
        <f t="shared" si="1"/>
        <v>Version 2.1</v>
      </c>
      <c r="L64" s="63" t="str">
        <f>IF(ISNUMBER($D64)=TRUE,'Input Chiller Measures'!E17,"")</f>
        <v/>
      </c>
      <c r="M64" s="62" t="str">
        <f>'Input Chiller Measures'!N17</f>
        <v/>
      </c>
    </row>
    <row r="65" spans="1:13" x14ac:dyDescent="0.2">
      <c r="A65" s="25" t="s">
        <v>17</v>
      </c>
      <c r="B65" s="23">
        <f t="shared" si="2"/>
        <v>0</v>
      </c>
      <c r="C65" s="23">
        <f>'Input Chiller Measures'!B18</f>
        <v>13</v>
      </c>
      <c r="D65" s="23" t="str">
        <f>'Input Chiller Measures'!C18</f>
        <v/>
      </c>
      <c r="E65" s="23" t="str">
        <f>'Input Chiller Measures'!F18</f>
        <v/>
      </c>
      <c r="F65" s="24">
        <f>'Input Chiller Measures'!G18</f>
        <v>0</v>
      </c>
      <c r="G65" s="24" t="str">
        <f>'Input Chiller Measures'!O18</f>
        <v/>
      </c>
      <c r="H65" s="92" t="str">
        <f>'Input Chiller Measures'!P18</f>
        <v/>
      </c>
      <c r="I65" s="38" t="str">
        <f>IFERROR(M65*MIN(Table_Measure_Caps[[#Totals],[Estimated Raw Incentive Total]], Table_Measure_Caps[[#Totals],[Gross Measure Cost Total]], Value_Project_CAP)/Table_Measure_Caps[[#Totals],[Estimated Raw Incentive Total]], "")</f>
        <v/>
      </c>
      <c r="J65" s="23">
        <f>'Input Chiller Measures'!L18</f>
        <v>0</v>
      </c>
      <c r="K65" s="22" t="str">
        <f t="shared" si="1"/>
        <v>Version 2.1</v>
      </c>
      <c r="L65" s="63" t="str">
        <f>IF(ISNUMBER($D65)=TRUE,'Input Chiller Measures'!E18,"")</f>
        <v/>
      </c>
      <c r="M65" s="62" t="str">
        <f>'Input Chiller Measures'!N18</f>
        <v/>
      </c>
    </row>
    <row r="66" spans="1:13" x14ac:dyDescent="0.2">
      <c r="A66" s="25" t="s">
        <v>17</v>
      </c>
      <c r="B66" s="23">
        <f t="shared" si="2"/>
        <v>0</v>
      </c>
      <c r="C66" s="23">
        <f>'Input Chiller Measures'!B19</f>
        <v>14</v>
      </c>
      <c r="D66" s="23" t="str">
        <f>'Input Chiller Measures'!C19</f>
        <v/>
      </c>
      <c r="E66" s="23" t="str">
        <f>'Input Chiller Measures'!F19</f>
        <v/>
      </c>
      <c r="F66" s="24">
        <f>'Input Chiller Measures'!G19</f>
        <v>0</v>
      </c>
      <c r="G66" s="24" t="str">
        <f>'Input Chiller Measures'!O19</f>
        <v/>
      </c>
      <c r="H66" s="92" t="str">
        <f>'Input Chiller Measures'!P19</f>
        <v/>
      </c>
      <c r="I66" s="38" t="str">
        <f>IFERROR(M66*MIN(Table_Measure_Caps[[#Totals],[Estimated Raw Incentive Total]], Table_Measure_Caps[[#Totals],[Gross Measure Cost Total]], Value_Project_CAP)/Table_Measure_Caps[[#Totals],[Estimated Raw Incentive Total]], "")</f>
        <v/>
      </c>
      <c r="J66" s="23">
        <f>'Input Chiller Measures'!L19</f>
        <v>0</v>
      </c>
      <c r="K66" s="22" t="str">
        <f t="shared" ref="K66:K129" si="3">Value_Application_Version</f>
        <v>Version 2.1</v>
      </c>
      <c r="L66" s="63" t="str">
        <f>IF(ISNUMBER($D66)=TRUE,'Input Chiller Measures'!E19,"")</f>
        <v/>
      </c>
      <c r="M66" s="62" t="str">
        <f>'Input Chiller Measures'!N19</f>
        <v/>
      </c>
    </row>
    <row r="67" spans="1:13" x14ac:dyDescent="0.2">
      <c r="A67" s="25" t="s">
        <v>17</v>
      </c>
      <c r="B67" s="23">
        <f t="shared" si="2"/>
        <v>0</v>
      </c>
      <c r="C67" s="23">
        <f>'Input Chiller Measures'!B20</f>
        <v>15</v>
      </c>
      <c r="D67" s="23" t="str">
        <f>'Input Chiller Measures'!C20</f>
        <v/>
      </c>
      <c r="E67" s="23" t="str">
        <f>'Input Chiller Measures'!F20</f>
        <v/>
      </c>
      <c r="F67" s="24">
        <f>'Input Chiller Measures'!G20</f>
        <v>0</v>
      </c>
      <c r="G67" s="24" t="str">
        <f>'Input Chiller Measures'!O20</f>
        <v/>
      </c>
      <c r="H67" s="92" t="str">
        <f>'Input Chiller Measures'!P20</f>
        <v/>
      </c>
      <c r="I67" s="38" t="str">
        <f>IFERROR(M67*MIN(Table_Measure_Caps[[#Totals],[Estimated Raw Incentive Total]], Table_Measure_Caps[[#Totals],[Gross Measure Cost Total]], Value_Project_CAP)/Table_Measure_Caps[[#Totals],[Estimated Raw Incentive Total]], "")</f>
        <v/>
      </c>
      <c r="J67" s="23">
        <f>'Input Chiller Measures'!L20</f>
        <v>0</v>
      </c>
      <c r="K67" s="22" t="str">
        <f t="shared" si="3"/>
        <v>Version 2.1</v>
      </c>
      <c r="L67" s="63" t="str">
        <f>IF(ISNUMBER($D67)=TRUE,'Input Chiller Measures'!E20,"")</f>
        <v/>
      </c>
      <c r="M67" s="62" t="str">
        <f>'Input Chiller Measures'!N20</f>
        <v/>
      </c>
    </row>
    <row r="68" spans="1:13" x14ac:dyDescent="0.2">
      <c r="A68" s="25" t="s">
        <v>17</v>
      </c>
      <c r="B68" s="23">
        <f t="shared" si="2"/>
        <v>0</v>
      </c>
      <c r="C68" s="23">
        <f>'Input Chiller Measures'!B21</f>
        <v>16</v>
      </c>
      <c r="D68" s="23" t="str">
        <f>'Input Chiller Measures'!C21</f>
        <v/>
      </c>
      <c r="E68" s="23" t="str">
        <f>'Input Chiller Measures'!F21</f>
        <v/>
      </c>
      <c r="F68" s="24">
        <f>'Input Chiller Measures'!G21</f>
        <v>0</v>
      </c>
      <c r="G68" s="24" t="str">
        <f>'Input Chiller Measures'!O21</f>
        <v/>
      </c>
      <c r="H68" s="92" t="str">
        <f>'Input Chiller Measures'!P21</f>
        <v/>
      </c>
      <c r="I68" s="38" t="str">
        <f>IFERROR(M68*MIN(Table_Measure_Caps[[#Totals],[Estimated Raw Incentive Total]], Table_Measure_Caps[[#Totals],[Gross Measure Cost Total]], Value_Project_CAP)/Table_Measure_Caps[[#Totals],[Estimated Raw Incentive Total]], "")</f>
        <v/>
      </c>
      <c r="J68" s="23">
        <f>'Input Chiller Measures'!L21</f>
        <v>0</v>
      </c>
      <c r="K68" s="22" t="str">
        <f t="shared" si="3"/>
        <v>Version 2.1</v>
      </c>
      <c r="L68" s="63" t="str">
        <f>IF(ISNUMBER($D68)=TRUE,'Input Chiller Measures'!E21,"")</f>
        <v/>
      </c>
      <c r="M68" s="62" t="str">
        <f>'Input Chiller Measures'!N21</f>
        <v/>
      </c>
    </row>
    <row r="69" spans="1:13" x14ac:dyDescent="0.2">
      <c r="A69" s="25" t="s">
        <v>17</v>
      </c>
      <c r="B69" s="23">
        <f t="shared" si="2"/>
        <v>0</v>
      </c>
      <c r="C69" s="23">
        <f>'Input Chiller Measures'!B22</f>
        <v>17</v>
      </c>
      <c r="D69" s="23" t="str">
        <f>'Input Chiller Measures'!C22</f>
        <v/>
      </c>
      <c r="E69" s="23" t="str">
        <f>'Input Chiller Measures'!F22</f>
        <v/>
      </c>
      <c r="F69" s="24">
        <f>'Input Chiller Measures'!G22</f>
        <v>0</v>
      </c>
      <c r="G69" s="24" t="str">
        <f>'Input Chiller Measures'!O22</f>
        <v/>
      </c>
      <c r="H69" s="92" t="str">
        <f>'Input Chiller Measures'!P22</f>
        <v/>
      </c>
      <c r="I69" s="38" t="str">
        <f>IFERROR(M69*MIN(Table_Measure_Caps[[#Totals],[Estimated Raw Incentive Total]], Table_Measure_Caps[[#Totals],[Gross Measure Cost Total]], Value_Project_CAP)/Table_Measure_Caps[[#Totals],[Estimated Raw Incentive Total]], "")</f>
        <v/>
      </c>
      <c r="J69" s="23">
        <f>'Input Chiller Measures'!L22</f>
        <v>0</v>
      </c>
      <c r="K69" s="22" t="str">
        <f t="shared" si="3"/>
        <v>Version 2.1</v>
      </c>
      <c r="L69" s="63" t="str">
        <f>IF(ISNUMBER($D69)=TRUE,'Input Chiller Measures'!E22,"")</f>
        <v/>
      </c>
      <c r="M69" s="62" t="str">
        <f>'Input Chiller Measures'!N22</f>
        <v/>
      </c>
    </row>
    <row r="70" spans="1:13" x14ac:dyDescent="0.2">
      <c r="A70" s="25" t="s">
        <v>17</v>
      </c>
      <c r="B70" s="23">
        <f t="shared" si="2"/>
        <v>0</v>
      </c>
      <c r="C70" s="23">
        <f>'Input Chiller Measures'!B23</f>
        <v>18</v>
      </c>
      <c r="D70" s="23" t="str">
        <f>'Input Chiller Measures'!C23</f>
        <v/>
      </c>
      <c r="E70" s="23" t="str">
        <f>'Input Chiller Measures'!F23</f>
        <v/>
      </c>
      <c r="F70" s="24">
        <f>'Input Chiller Measures'!G23</f>
        <v>0</v>
      </c>
      <c r="G70" s="24" t="str">
        <f>'Input Chiller Measures'!O23</f>
        <v/>
      </c>
      <c r="H70" s="92" t="str">
        <f>'Input Chiller Measures'!P23</f>
        <v/>
      </c>
      <c r="I70" s="38" t="str">
        <f>IFERROR(M70*MIN(Table_Measure_Caps[[#Totals],[Estimated Raw Incentive Total]], Table_Measure_Caps[[#Totals],[Gross Measure Cost Total]], Value_Project_CAP)/Table_Measure_Caps[[#Totals],[Estimated Raw Incentive Total]], "")</f>
        <v/>
      </c>
      <c r="J70" s="23">
        <f>'Input Chiller Measures'!L23</f>
        <v>0</v>
      </c>
      <c r="K70" s="22" t="str">
        <f t="shared" si="3"/>
        <v>Version 2.1</v>
      </c>
      <c r="L70" s="63" t="str">
        <f>IF(ISNUMBER($D70)=TRUE,'Input Chiller Measures'!E23,"")</f>
        <v/>
      </c>
      <c r="M70" s="62" t="str">
        <f>'Input Chiller Measures'!N23</f>
        <v/>
      </c>
    </row>
    <row r="71" spans="1:13" x14ac:dyDescent="0.2">
      <c r="A71" s="25" t="s">
        <v>17</v>
      </c>
      <c r="B71" s="23">
        <f t="shared" si="2"/>
        <v>0</v>
      </c>
      <c r="C71" s="23">
        <f>'Input Chiller Measures'!B24</f>
        <v>19</v>
      </c>
      <c r="D71" s="23" t="str">
        <f>'Input Chiller Measures'!C24</f>
        <v/>
      </c>
      <c r="E71" s="23" t="str">
        <f>'Input Chiller Measures'!F24</f>
        <v/>
      </c>
      <c r="F71" s="24">
        <f>'Input Chiller Measures'!G24</f>
        <v>0</v>
      </c>
      <c r="G71" s="24" t="str">
        <f>'Input Chiller Measures'!O24</f>
        <v/>
      </c>
      <c r="H71" s="92" t="str">
        <f>'Input Chiller Measures'!P24</f>
        <v/>
      </c>
      <c r="I71" s="38" t="str">
        <f>IFERROR(M71*MIN(Table_Measure_Caps[[#Totals],[Estimated Raw Incentive Total]], Table_Measure_Caps[[#Totals],[Gross Measure Cost Total]], Value_Project_CAP)/Table_Measure_Caps[[#Totals],[Estimated Raw Incentive Total]], "")</f>
        <v/>
      </c>
      <c r="J71" s="23">
        <f>'Input Chiller Measures'!L24</f>
        <v>0</v>
      </c>
      <c r="K71" s="22" t="str">
        <f t="shared" si="3"/>
        <v>Version 2.1</v>
      </c>
      <c r="L71" s="63" t="str">
        <f>IF(ISNUMBER($D71)=TRUE,'Input Chiller Measures'!E24,"")</f>
        <v/>
      </c>
      <c r="M71" s="62" t="str">
        <f>'Input Chiller Measures'!N24</f>
        <v/>
      </c>
    </row>
    <row r="72" spans="1:13" x14ac:dyDescent="0.2">
      <c r="A72" s="25" t="s">
        <v>17</v>
      </c>
      <c r="B72" s="23">
        <f t="shared" si="2"/>
        <v>0</v>
      </c>
      <c r="C72" s="23">
        <f>'Input Chiller Measures'!B25</f>
        <v>20</v>
      </c>
      <c r="D72" s="23" t="str">
        <f>'Input Chiller Measures'!C25</f>
        <v/>
      </c>
      <c r="E72" s="23" t="str">
        <f>'Input Chiller Measures'!F25</f>
        <v/>
      </c>
      <c r="F72" s="24">
        <f>'Input Chiller Measures'!G25</f>
        <v>0</v>
      </c>
      <c r="G72" s="24" t="str">
        <f>'Input Chiller Measures'!O25</f>
        <v/>
      </c>
      <c r="H72" s="92" t="str">
        <f>'Input Chiller Measures'!P25</f>
        <v/>
      </c>
      <c r="I72" s="38" t="str">
        <f>IFERROR(M72*MIN(Table_Measure_Caps[[#Totals],[Estimated Raw Incentive Total]], Table_Measure_Caps[[#Totals],[Gross Measure Cost Total]], Value_Project_CAP)/Table_Measure_Caps[[#Totals],[Estimated Raw Incentive Total]], "")</f>
        <v/>
      </c>
      <c r="J72" s="23">
        <f>'Input Chiller Measures'!L25</f>
        <v>0</v>
      </c>
      <c r="K72" s="22" t="str">
        <f t="shared" si="3"/>
        <v>Version 2.1</v>
      </c>
      <c r="L72" s="63" t="str">
        <f>IF(ISNUMBER($D72)=TRUE,'Input Chiller Measures'!E25,"")</f>
        <v/>
      </c>
      <c r="M72" s="62" t="str">
        <f>'Input Chiller Measures'!N25</f>
        <v/>
      </c>
    </row>
    <row r="73" spans="1:13" x14ac:dyDescent="0.2">
      <c r="A73" s="25" t="s">
        <v>17</v>
      </c>
      <c r="B73" s="23">
        <f t="shared" si="2"/>
        <v>0</v>
      </c>
      <c r="C73" s="23">
        <f>'Input Chiller Measures'!B26</f>
        <v>21</v>
      </c>
      <c r="D73" s="23" t="str">
        <f>'Input Chiller Measures'!C26</f>
        <v/>
      </c>
      <c r="E73" s="23" t="str">
        <f>'Input Chiller Measures'!F26</f>
        <v/>
      </c>
      <c r="F73" s="24">
        <f>'Input Chiller Measures'!G26</f>
        <v>0</v>
      </c>
      <c r="G73" s="24" t="str">
        <f>'Input Chiller Measures'!O26</f>
        <v/>
      </c>
      <c r="H73" s="92" t="str">
        <f>'Input Chiller Measures'!P26</f>
        <v/>
      </c>
      <c r="I73" s="38" t="str">
        <f>IFERROR(M73*MIN(Table_Measure_Caps[[#Totals],[Estimated Raw Incentive Total]], Table_Measure_Caps[[#Totals],[Gross Measure Cost Total]], Value_Project_CAP)/Table_Measure_Caps[[#Totals],[Estimated Raw Incentive Total]], "")</f>
        <v/>
      </c>
      <c r="J73" s="23">
        <f>'Input Chiller Measures'!L26</f>
        <v>0</v>
      </c>
      <c r="K73" s="22" t="str">
        <f t="shared" si="3"/>
        <v>Version 2.1</v>
      </c>
      <c r="L73" s="63" t="str">
        <f>IF(ISNUMBER($D73)=TRUE,'Input Chiller Measures'!E26,"")</f>
        <v/>
      </c>
      <c r="M73" s="62" t="str">
        <f>'Input Chiller Measures'!N26</f>
        <v/>
      </c>
    </row>
    <row r="74" spans="1:13" x14ac:dyDescent="0.2">
      <c r="A74" s="25" t="s">
        <v>17</v>
      </c>
      <c r="B74" s="23">
        <f t="shared" si="2"/>
        <v>0</v>
      </c>
      <c r="C74" s="23">
        <f>'Input Chiller Measures'!B27</f>
        <v>22</v>
      </c>
      <c r="D74" s="23" t="str">
        <f>'Input Chiller Measures'!C27</f>
        <v/>
      </c>
      <c r="E74" s="23" t="str">
        <f>'Input Chiller Measures'!F27</f>
        <v/>
      </c>
      <c r="F74" s="24">
        <f>'Input Chiller Measures'!G27</f>
        <v>0</v>
      </c>
      <c r="G74" s="24" t="str">
        <f>'Input Chiller Measures'!O27</f>
        <v/>
      </c>
      <c r="H74" s="92" t="str">
        <f>'Input Chiller Measures'!P27</f>
        <v/>
      </c>
      <c r="I74" s="38" t="str">
        <f>IFERROR(M74*MIN(Table_Measure_Caps[[#Totals],[Estimated Raw Incentive Total]], Table_Measure_Caps[[#Totals],[Gross Measure Cost Total]], Value_Project_CAP)/Table_Measure_Caps[[#Totals],[Estimated Raw Incentive Total]], "")</f>
        <v/>
      </c>
      <c r="J74" s="23">
        <f>'Input Chiller Measures'!L27</f>
        <v>0</v>
      </c>
      <c r="K74" s="22" t="str">
        <f t="shared" si="3"/>
        <v>Version 2.1</v>
      </c>
      <c r="L74" s="63" t="str">
        <f>IF(ISNUMBER($D74)=TRUE,'Input Chiller Measures'!E27,"")</f>
        <v/>
      </c>
      <c r="M74" s="62" t="str">
        <f>'Input Chiller Measures'!N27</f>
        <v/>
      </c>
    </row>
    <row r="75" spans="1:13" x14ac:dyDescent="0.2">
      <c r="A75" s="25" t="s">
        <v>17</v>
      </c>
      <c r="B75" s="23">
        <f t="shared" si="2"/>
        <v>0</v>
      </c>
      <c r="C75" s="23">
        <f>'Input Chiller Measures'!B28</f>
        <v>23</v>
      </c>
      <c r="D75" s="23" t="str">
        <f>'Input Chiller Measures'!C28</f>
        <v/>
      </c>
      <c r="E75" s="23" t="str">
        <f>'Input Chiller Measures'!F28</f>
        <v/>
      </c>
      <c r="F75" s="24">
        <f>'Input Chiller Measures'!G28</f>
        <v>0</v>
      </c>
      <c r="G75" s="24" t="str">
        <f>'Input Chiller Measures'!O28</f>
        <v/>
      </c>
      <c r="H75" s="92" t="str">
        <f>'Input Chiller Measures'!P28</f>
        <v/>
      </c>
      <c r="I75" s="38" t="str">
        <f>IFERROR(M75*MIN(Table_Measure_Caps[[#Totals],[Estimated Raw Incentive Total]], Table_Measure_Caps[[#Totals],[Gross Measure Cost Total]], Value_Project_CAP)/Table_Measure_Caps[[#Totals],[Estimated Raw Incentive Total]], "")</f>
        <v/>
      </c>
      <c r="J75" s="23">
        <f>'Input Chiller Measures'!L28</f>
        <v>0</v>
      </c>
      <c r="K75" s="22" t="str">
        <f t="shared" si="3"/>
        <v>Version 2.1</v>
      </c>
      <c r="L75" s="63" t="str">
        <f>IF(ISNUMBER($D75)=TRUE,'Input Chiller Measures'!E28,"")</f>
        <v/>
      </c>
      <c r="M75" s="62" t="str">
        <f>'Input Chiller Measures'!N28</f>
        <v/>
      </c>
    </row>
    <row r="76" spans="1:13" x14ac:dyDescent="0.2">
      <c r="A76" s="25" t="s">
        <v>17</v>
      </c>
      <c r="B76" s="23">
        <f t="shared" si="2"/>
        <v>0</v>
      </c>
      <c r="C76" s="23">
        <f>'Input Chiller Measures'!B29</f>
        <v>24</v>
      </c>
      <c r="D76" s="23" t="str">
        <f>'Input Chiller Measures'!C29</f>
        <v/>
      </c>
      <c r="E76" s="23" t="str">
        <f>'Input Chiller Measures'!F29</f>
        <v/>
      </c>
      <c r="F76" s="24">
        <f>'Input Chiller Measures'!G29</f>
        <v>0</v>
      </c>
      <c r="G76" s="24" t="str">
        <f>'Input Chiller Measures'!O29</f>
        <v/>
      </c>
      <c r="H76" s="92" t="str">
        <f>'Input Chiller Measures'!P29</f>
        <v/>
      </c>
      <c r="I76" s="38" t="str">
        <f>IFERROR(M76*MIN(Table_Measure_Caps[[#Totals],[Estimated Raw Incentive Total]], Table_Measure_Caps[[#Totals],[Gross Measure Cost Total]], Value_Project_CAP)/Table_Measure_Caps[[#Totals],[Estimated Raw Incentive Total]], "")</f>
        <v/>
      </c>
      <c r="J76" s="23">
        <f>'Input Chiller Measures'!L29</f>
        <v>0</v>
      </c>
      <c r="K76" s="22" t="str">
        <f t="shared" si="3"/>
        <v>Version 2.1</v>
      </c>
      <c r="L76" s="63" t="str">
        <f>IF(ISNUMBER($D76)=TRUE,'Input Chiller Measures'!E29,"")</f>
        <v/>
      </c>
      <c r="M76" s="62" t="str">
        <f>'Input Chiller Measures'!N29</f>
        <v/>
      </c>
    </row>
    <row r="77" spans="1:13" x14ac:dyDescent="0.2">
      <c r="A77" s="25" t="s">
        <v>17</v>
      </c>
      <c r="B77" s="23">
        <f t="shared" si="2"/>
        <v>0</v>
      </c>
      <c r="C77" s="23">
        <f>'Input Chiller Measures'!B30</f>
        <v>25</v>
      </c>
      <c r="D77" s="23" t="str">
        <f>'Input Chiller Measures'!C30</f>
        <v/>
      </c>
      <c r="E77" s="23" t="str">
        <f>'Input Chiller Measures'!F30</f>
        <v/>
      </c>
      <c r="F77" s="24">
        <f>'Input Chiller Measures'!G30</f>
        <v>0</v>
      </c>
      <c r="G77" s="24" t="str">
        <f>'Input Chiller Measures'!O30</f>
        <v/>
      </c>
      <c r="H77" s="92" t="str">
        <f>'Input Chiller Measures'!P30</f>
        <v/>
      </c>
      <c r="I77" s="38" t="str">
        <f>IFERROR(M77*MIN(Table_Measure_Caps[[#Totals],[Estimated Raw Incentive Total]], Table_Measure_Caps[[#Totals],[Gross Measure Cost Total]], Value_Project_CAP)/Table_Measure_Caps[[#Totals],[Estimated Raw Incentive Total]], "")</f>
        <v/>
      </c>
      <c r="J77" s="23">
        <f>'Input Chiller Measures'!L30</f>
        <v>0</v>
      </c>
      <c r="K77" s="22" t="str">
        <f t="shared" si="3"/>
        <v>Version 2.1</v>
      </c>
      <c r="L77" s="63" t="str">
        <f>IF(ISNUMBER($D77)=TRUE,'Input Chiller Measures'!E30,"")</f>
        <v/>
      </c>
      <c r="M77" s="62" t="str">
        <f>'Input Chiller Measures'!N30</f>
        <v/>
      </c>
    </row>
    <row r="78" spans="1:13" x14ac:dyDescent="0.2">
      <c r="A78" s="25" t="s">
        <v>17</v>
      </c>
      <c r="B78" s="23">
        <f t="shared" si="2"/>
        <v>0</v>
      </c>
      <c r="C78" s="23">
        <f>'Input Chiller Measures'!B31</f>
        <v>26</v>
      </c>
      <c r="D78" s="23" t="str">
        <f>'Input Chiller Measures'!C31</f>
        <v/>
      </c>
      <c r="E78" s="23" t="str">
        <f>'Input Chiller Measures'!F31</f>
        <v/>
      </c>
      <c r="F78" s="24">
        <f>'Input Chiller Measures'!G31</f>
        <v>0</v>
      </c>
      <c r="G78" s="24" t="str">
        <f>'Input Chiller Measures'!O31</f>
        <v/>
      </c>
      <c r="H78" s="92" t="str">
        <f>'Input Chiller Measures'!P31</f>
        <v/>
      </c>
      <c r="I78" s="38" t="str">
        <f>IFERROR(M78*MIN(Table_Measure_Caps[[#Totals],[Estimated Raw Incentive Total]], Table_Measure_Caps[[#Totals],[Gross Measure Cost Total]], Value_Project_CAP)/Table_Measure_Caps[[#Totals],[Estimated Raw Incentive Total]], "")</f>
        <v/>
      </c>
      <c r="J78" s="23">
        <f>'Input Chiller Measures'!L31</f>
        <v>0</v>
      </c>
      <c r="K78" s="22" t="str">
        <f t="shared" si="3"/>
        <v>Version 2.1</v>
      </c>
      <c r="L78" s="63" t="str">
        <f>IF(ISNUMBER($D78)=TRUE,'Input Chiller Measures'!E31,"")</f>
        <v/>
      </c>
      <c r="M78" s="62" t="str">
        <f>'Input Chiller Measures'!N31</f>
        <v/>
      </c>
    </row>
    <row r="79" spans="1:13" x14ac:dyDescent="0.2">
      <c r="A79" s="25" t="s">
        <v>17</v>
      </c>
      <c r="B79" s="23">
        <f t="shared" si="2"/>
        <v>0</v>
      </c>
      <c r="C79" s="23">
        <f>'Input Chiller Measures'!B32</f>
        <v>27</v>
      </c>
      <c r="D79" s="23" t="str">
        <f>'Input Chiller Measures'!C32</f>
        <v/>
      </c>
      <c r="E79" s="23" t="str">
        <f>'Input Chiller Measures'!F32</f>
        <v/>
      </c>
      <c r="F79" s="24">
        <f>'Input Chiller Measures'!G32</f>
        <v>0</v>
      </c>
      <c r="G79" s="24" t="str">
        <f>'Input Chiller Measures'!O32</f>
        <v/>
      </c>
      <c r="H79" s="92" t="str">
        <f>'Input Chiller Measures'!P32</f>
        <v/>
      </c>
      <c r="I79" s="38" t="str">
        <f>IFERROR(M79*MIN(Table_Measure_Caps[[#Totals],[Estimated Raw Incentive Total]], Table_Measure_Caps[[#Totals],[Gross Measure Cost Total]], Value_Project_CAP)/Table_Measure_Caps[[#Totals],[Estimated Raw Incentive Total]], "")</f>
        <v/>
      </c>
      <c r="J79" s="23">
        <f>'Input Chiller Measures'!L32</f>
        <v>0</v>
      </c>
      <c r="K79" s="22" t="str">
        <f t="shared" si="3"/>
        <v>Version 2.1</v>
      </c>
      <c r="L79" s="63" t="str">
        <f>IF(ISNUMBER($D79)=TRUE,'Input Chiller Measures'!E32,"")</f>
        <v/>
      </c>
      <c r="M79" s="62" t="str">
        <f>'Input Chiller Measures'!N32</f>
        <v/>
      </c>
    </row>
    <row r="80" spans="1:13" x14ac:dyDescent="0.2">
      <c r="A80" s="25" t="s">
        <v>17</v>
      </c>
      <c r="B80" s="23">
        <f t="shared" si="2"/>
        <v>0</v>
      </c>
      <c r="C80" s="23">
        <f>'Input Chiller Measures'!B33</f>
        <v>28</v>
      </c>
      <c r="D80" s="23" t="str">
        <f>'Input Chiller Measures'!C33</f>
        <v/>
      </c>
      <c r="E80" s="23" t="str">
        <f>'Input Chiller Measures'!F33</f>
        <v/>
      </c>
      <c r="F80" s="24">
        <f>'Input Chiller Measures'!G33</f>
        <v>0</v>
      </c>
      <c r="G80" s="24" t="str">
        <f>'Input Chiller Measures'!O33</f>
        <v/>
      </c>
      <c r="H80" s="92" t="str">
        <f>'Input Chiller Measures'!P33</f>
        <v/>
      </c>
      <c r="I80" s="38" t="str">
        <f>IFERROR(M80*MIN(Table_Measure_Caps[[#Totals],[Estimated Raw Incentive Total]], Table_Measure_Caps[[#Totals],[Gross Measure Cost Total]], Value_Project_CAP)/Table_Measure_Caps[[#Totals],[Estimated Raw Incentive Total]], "")</f>
        <v/>
      </c>
      <c r="J80" s="23">
        <f>'Input Chiller Measures'!L33</f>
        <v>0</v>
      </c>
      <c r="K80" s="22" t="str">
        <f t="shared" si="3"/>
        <v>Version 2.1</v>
      </c>
      <c r="L80" s="63" t="str">
        <f>IF(ISNUMBER($D80)=TRUE,'Input Chiller Measures'!E33,"")</f>
        <v/>
      </c>
      <c r="M80" s="62" t="str">
        <f>'Input Chiller Measures'!N33</f>
        <v/>
      </c>
    </row>
    <row r="81" spans="1:13" x14ac:dyDescent="0.2">
      <c r="A81" s="25" t="s">
        <v>17</v>
      </c>
      <c r="B81" s="23">
        <f t="shared" si="2"/>
        <v>0</v>
      </c>
      <c r="C81" s="23">
        <f>'Input Chiller Measures'!B34</f>
        <v>29</v>
      </c>
      <c r="D81" s="23" t="str">
        <f>'Input Chiller Measures'!C34</f>
        <v/>
      </c>
      <c r="E81" s="23" t="str">
        <f>'Input Chiller Measures'!F34</f>
        <v/>
      </c>
      <c r="F81" s="24">
        <f>'Input Chiller Measures'!G34</f>
        <v>0</v>
      </c>
      <c r="G81" s="24" t="str">
        <f>'Input Chiller Measures'!O34</f>
        <v/>
      </c>
      <c r="H81" s="92" t="str">
        <f>'Input Chiller Measures'!P34</f>
        <v/>
      </c>
      <c r="I81" s="38" t="str">
        <f>IFERROR(M81*MIN(Table_Measure_Caps[[#Totals],[Estimated Raw Incentive Total]], Table_Measure_Caps[[#Totals],[Gross Measure Cost Total]], Value_Project_CAP)/Table_Measure_Caps[[#Totals],[Estimated Raw Incentive Total]], "")</f>
        <v/>
      </c>
      <c r="J81" s="23">
        <f>'Input Chiller Measures'!L34</f>
        <v>0</v>
      </c>
      <c r="K81" s="22" t="str">
        <f t="shared" si="3"/>
        <v>Version 2.1</v>
      </c>
      <c r="L81" s="63" t="str">
        <f>IF(ISNUMBER($D81)=TRUE,'Input Chiller Measures'!E34,"")</f>
        <v/>
      </c>
      <c r="M81" s="62" t="str">
        <f>'Input Chiller Measures'!N34</f>
        <v/>
      </c>
    </row>
    <row r="82" spans="1:13" x14ac:dyDescent="0.2">
      <c r="A82" s="25" t="s">
        <v>17</v>
      </c>
      <c r="B82" s="23">
        <f t="shared" si="2"/>
        <v>0</v>
      </c>
      <c r="C82" s="23">
        <f>'Input Chiller Measures'!B35</f>
        <v>30</v>
      </c>
      <c r="D82" s="23" t="str">
        <f>'Input Chiller Measures'!C35</f>
        <v/>
      </c>
      <c r="E82" s="23" t="str">
        <f>'Input Chiller Measures'!F35</f>
        <v/>
      </c>
      <c r="F82" s="24">
        <f>'Input Chiller Measures'!G35</f>
        <v>0</v>
      </c>
      <c r="G82" s="24" t="str">
        <f>'Input Chiller Measures'!O35</f>
        <v/>
      </c>
      <c r="H82" s="92" t="str">
        <f>'Input Chiller Measures'!P35</f>
        <v/>
      </c>
      <c r="I82" s="38" t="str">
        <f>IFERROR(M82*MIN(Table_Measure_Caps[[#Totals],[Estimated Raw Incentive Total]], Table_Measure_Caps[[#Totals],[Gross Measure Cost Total]], Value_Project_CAP)/Table_Measure_Caps[[#Totals],[Estimated Raw Incentive Total]], "")</f>
        <v/>
      </c>
      <c r="J82" s="23">
        <f>'Input Chiller Measures'!L35</f>
        <v>0</v>
      </c>
      <c r="K82" s="22" t="str">
        <f t="shared" si="3"/>
        <v>Version 2.1</v>
      </c>
      <c r="L82" s="63" t="str">
        <f>IF(ISNUMBER($D82)=TRUE,'Input Chiller Measures'!E35,"")</f>
        <v/>
      </c>
      <c r="M82" s="62" t="str">
        <f>'Input Chiller Measures'!N35</f>
        <v/>
      </c>
    </row>
    <row r="83" spans="1:13" x14ac:dyDescent="0.2">
      <c r="A83" s="25" t="s">
        <v>17</v>
      </c>
      <c r="B83" s="23">
        <f t="shared" si="2"/>
        <v>0</v>
      </c>
      <c r="C83" s="23">
        <f>'Input Chiller Measures'!B36</f>
        <v>31</v>
      </c>
      <c r="D83" s="23" t="str">
        <f>'Input Chiller Measures'!C36</f>
        <v/>
      </c>
      <c r="E83" s="23" t="str">
        <f>'Input Chiller Measures'!F36</f>
        <v/>
      </c>
      <c r="F83" s="24">
        <f>'Input Chiller Measures'!G36</f>
        <v>0</v>
      </c>
      <c r="G83" s="24" t="str">
        <f>'Input Chiller Measures'!O36</f>
        <v/>
      </c>
      <c r="H83" s="92" t="str">
        <f>'Input Chiller Measures'!P36</f>
        <v/>
      </c>
      <c r="I83" s="38" t="str">
        <f>IFERROR(M83*MIN(Table_Measure_Caps[[#Totals],[Estimated Raw Incentive Total]], Table_Measure_Caps[[#Totals],[Gross Measure Cost Total]], Value_Project_CAP)/Table_Measure_Caps[[#Totals],[Estimated Raw Incentive Total]], "")</f>
        <v/>
      </c>
      <c r="J83" s="23">
        <f>'Input Chiller Measures'!L36</f>
        <v>0</v>
      </c>
      <c r="K83" s="22" t="str">
        <f t="shared" si="3"/>
        <v>Version 2.1</v>
      </c>
      <c r="L83" s="63" t="str">
        <f>IF(ISNUMBER($D83)=TRUE,'Input Chiller Measures'!E36,"")</f>
        <v/>
      </c>
      <c r="M83" s="62" t="str">
        <f>'Input Chiller Measures'!N36</f>
        <v/>
      </c>
    </row>
    <row r="84" spans="1:13" x14ac:dyDescent="0.2">
      <c r="A84" s="25" t="s">
        <v>17</v>
      </c>
      <c r="B84" s="23">
        <f t="shared" si="2"/>
        <v>0</v>
      </c>
      <c r="C84" s="23">
        <f>'Input Chiller Measures'!B37</f>
        <v>32</v>
      </c>
      <c r="D84" s="23" t="str">
        <f>'Input Chiller Measures'!C37</f>
        <v/>
      </c>
      <c r="E84" s="23" t="str">
        <f>'Input Chiller Measures'!F37</f>
        <v/>
      </c>
      <c r="F84" s="24">
        <f>'Input Chiller Measures'!G37</f>
        <v>0</v>
      </c>
      <c r="G84" s="24" t="str">
        <f>'Input Chiller Measures'!O37</f>
        <v/>
      </c>
      <c r="H84" s="92" t="str">
        <f>'Input Chiller Measures'!P37</f>
        <v/>
      </c>
      <c r="I84" s="38" t="str">
        <f>IFERROR(M84*MIN(Table_Measure_Caps[[#Totals],[Estimated Raw Incentive Total]], Table_Measure_Caps[[#Totals],[Gross Measure Cost Total]], Value_Project_CAP)/Table_Measure_Caps[[#Totals],[Estimated Raw Incentive Total]], "")</f>
        <v/>
      </c>
      <c r="J84" s="23">
        <f>'Input Chiller Measures'!L37</f>
        <v>0</v>
      </c>
      <c r="K84" s="22" t="str">
        <f t="shared" si="3"/>
        <v>Version 2.1</v>
      </c>
      <c r="L84" s="63" t="str">
        <f>IF(ISNUMBER($D84)=TRUE,'Input Chiller Measures'!E37,"")</f>
        <v/>
      </c>
      <c r="M84" s="62" t="str">
        <f>'Input Chiller Measures'!N37</f>
        <v/>
      </c>
    </row>
    <row r="85" spans="1:13" x14ac:dyDescent="0.2">
      <c r="A85" s="25" t="s">
        <v>17</v>
      </c>
      <c r="B85" s="23">
        <f t="shared" si="2"/>
        <v>0</v>
      </c>
      <c r="C85" s="23">
        <f>'Input Chiller Measures'!B38</f>
        <v>33</v>
      </c>
      <c r="D85" s="23" t="str">
        <f>'Input Chiller Measures'!C38</f>
        <v/>
      </c>
      <c r="E85" s="23" t="str">
        <f>'Input Chiller Measures'!F38</f>
        <v/>
      </c>
      <c r="F85" s="24">
        <f>'Input Chiller Measures'!G38</f>
        <v>0</v>
      </c>
      <c r="G85" s="24" t="str">
        <f>'Input Chiller Measures'!O38</f>
        <v/>
      </c>
      <c r="H85" s="92" t="str">
        <f>'Input Chiller Measures'!P38</f>
        <v/>
      </c>
      <c r="I85" s="38" t="str">
        <f>IFERROR(M85*MIN(Table_Measure_Caps[[#Totals],[Estimated Raw Incentive Total]], Table_Measure_Caps[[#Totals],[Gross Measure Cost Total]], Value_Project_CAP)/Table_Measure_Caps[[#Totals],[Estimated Raw Incentive Total]], "")</f>
        <v/>
      </c>
      <c r="J85" s="23">
        <f>'Input Chiller Measures'!L38</f>
        <v>0</v>
      </c>
      <c r="K85" s="22" t="str">
        <f t="shared" si="3"/>
        <v>Version 2.1</v>
      </c>
      <c r="L85" s="63" t="str">
        <f>IF(ISNUMBER($D85)=TRUE,'Input Chiller Measures'!E38,"")</f>
        <v/>
      </c>
      <c r="M85" s="62" t="str">
        <f>'Input Chiller Measures'!N38</f>
        <v/>
      </c>
    </row>
    <row r="86" spans="1:13" x14ac:dyDescent="0.2">
      <c r="A86" s="25" t="s">
        <v>17</v>
      </c>
      <c r="B86" s="23">
        <f t="shared" si="2"/>
        <v>0</v>
      </c>
      <c r="C86" s="23">
        <f>'Input Chiller Measures'!B39</f>
        <v>34</v>
      </c>
      <c r="D86" s="23" t="str">
        <f>'Input Chiller Measures'!C39</f>
        <v/>
      </c>
      <c r="E86" s="23" t="str">
        <f>'Input Chiller Measures'!F39</f>
        <v/>
      </c>
      <c r="F86" s="24">
        <f>'Input Chiller Measures'!G39</f>
        <v>0</v>
      </c>
      <c r="G86" s="24" t="str">
        <f>'Input Chiller Measures'!O39</f>
        <v/>
      </c>
      <c r="H86" s="92" t="str">
        <f>'Input Chiller Measures'!P39</f>
        <v/>
      </c>
      <c r="I86" s="38" t="str">
        <f>IFERROR(M86*MIN(Table_Measure_Caps[[#Totals],[Estimated Raw Incentive Total]], Table_Measure_Caps[[#Totals],[Gross Measure Cost Total]], Value_Project_CAP)/Table_Measure_Caps[[#Totals],[Estimated Raw Incentive Total]], "")</f>
        <v/>
      </c>
      <c r="J86" s="23">
        <f>'Input Chiller Measures'!L39</f>
        <v>0</v>
      </c>
      <c r="K86" s="22" t="str">
        <f t="shared" si="3"/>
        <v>Version 2.1</v>
      </c>
      <c r="L86" s="63" t="str">
        <f>IF(ISNUMBER($D86)=TRUE,'Input Chiller Measures'!E39,"")</f>
        <v/>
      </c>
      <c r="M86" s="62" t="str">
        <f>'Input Chiller Measures'!N39</f>
        <v/>
      </c>
    </row>
    <row r="87" spans="1:13" x14ac:dyDescent="0.2">
      <c r="A87" s="25" t="s">
        <v>17</v>
      </c>
      <c r="B87" s="23">
        <f t="shared" si="2"/>
        <v>0</v>
      </c>
      <c r="C87" s="23">
        <f>'Input Chiller Measures'!B40</f>
        <v>35</v>
      </c>
      <c r="D87" s="23" t="str">
        <f>'Input Chiller Measures'!C40</f>
        <v/>
      </c>
      <c r="E87" s="23" t="str">
        <f>'Input Chiller Measures'!F40</f>
        <v/>
      </c>
      <c r="F87" s="24">
        <f>'Input Chiller Measures'!G40</f>
        <v>0</v>
      </c>
      <c r="G87" s="24" t="str">
        <f>'Input Chiller Measures'!O40</f>
        <v/>
      </c>
      <c r="H87" s="92" t="str">
        <f>'Input Chiller Measures'!P40</f>
        <v/>
      </c>
      <c r="I87" s="38" t="str">
        <f>IFERROR(M87*MIN(Table_Measure_Caps[[#Totals],[Estimated Raw Incentive Total]], Table_Measure_Caps[[#Totals],[Gross Measure Cost Total]], Value_Project_CAP)/Table_Measure_Caps[[#Totals],[Estimated Raw Incentive Total]], "")</f>
        <v/>
      </c>
      <c r="J87" s="23">
        <f>'Input Chiller Measures'!L40</f>
        <v>0</v>
      </c>
      <c r="K87" s="22" t="str">
        <f t="shared" si="3"/>
        <v>Version 2.1</v>
      </c>
      <c r="L87" s="63" t="str">
        <f>IF(ISNUMBER($D87)=TRUE,'Input Chiller Measures'!E40,"")</f>
        <v/>
      </c>
      <c r="M87" s="62" t="str">
        <f>'Input Chiller Measures'!N40</f>
        <v/>
      </c>
    </row>
    <row r="88" spans="1:13" x14ac:dyDescent="0.2">
      <c r="A88" s="25" t="s">
        <v>17</v>
      </c>
      <c r="B88" s="23">
        <f t="shared" si="2"/>
        <v>0</v>
      </c>
      <c r="C88" s="23">
        <f>'Input Chiller Measures'!B41</f>
        <v>36</v>
      </c>
      <c r="D88" s="23" t="str">
        <f>'Input Chiller Measures'!C41</f>
        <v/>
      </c>
      <c r="E88" s="23" t="str">
        <f>'Input Chiller Measures'!F41</f>
        <v/>
      </c>
      <c r="F88" s="24">
        <f>'Input Chiller Measures'!G41</f>
        <v>0</v>
      </c>
      <c r="G88" s="24" t="str">
        <f>'Input Chiller Measures'!O41</f>
        <v/>
      </c>
      <c r="H88" s="92" t="str">
        <f>'Input Chiller Measures'!P41</f>
        <v/>
      </c>
      <c r="I88" s="38" t="str">
        <f>IFERROR(M88*MIN(Table_Measure_Caps[[#Totals],[Estimated Raw Incentive Total]], Table_Measure_Caps[[#Totals],[Gross Measure Cost Total]], Value_Project_CAP)/Table_Measure_Caps[[#Totals],[Estimated Raw Incentive Total]], "")</f>
        <v/>
      </c>
      <c r="J88" s="23">
        <f>'Input Chiller Measures'!L41</f>
        <v>0</v>
      </c>
      <c r="K88" s="22" t="str">
        <f t="shared" si="3"/>
        <v>Version 2.1</v>
      </c>
      <c r="L88" s="63" t="str">
        <f>IF(ISNUMBER($D88)=TRUE,'Input Chiller Measures'!E41,"")</f>
        <v/>
      </c>
      <c r="M88" s="62" t="str">
        <f>'Input Chiller Measures'!N41</f>
        <v/>
      </c>
    </row>
    <row r="89" spans="1:13" x14ac:dyDescent="0.2">
      <c r="A89" s="25" t="s">
        <v>17</v>
      </c>
      <c r="B89" s="23">
        <f t="shared" si="2"/>
        <v>0</v>
      </c>
      <c r="C89" s="23">
        <f>'Input Chiller Measures'!B42</f>
        <v>37</v>
      </c>
      <c r="D89" s="23" t="str">
        <f>'Input Chiller Measures'!C42</f>
        <v/>
      </c>
      <c r="E89" s="23" t="str">
        <f>'Input Chiller Measures'!F42</f>
        <v/>
      </c>
      <c r="F89" s="24">
        <f>'Input Chiller Measures'!G42</f>
        <v>0</v>
      </c>
      <c r="G89" s="24" t="str">
        <f>'Input Chiller Measures'!O42</f>
        <v/>
      </c>
      <c r="H89" s="92" t="str">
        <f>'Input Chiller Measures'!P42</f>
        <v/>
      </c>
      <c r="I89" s="38" t="str">
        <f>IFERROR(M89*MIN(Table_Measure_Caps[[#Totals],[Estimated Raw Incentive Total]], Table_Measure_Caps[[#Totals],[Gross Measure Cost Total]], Value_Project_CAP)/Table_Measure_Caps[[#Totals],[Estimated Raw Incentive Total]], "")</f>
        <v/>
      </c>
      <c r="J89" s="23">
        <f>'Input Chiller Measures'!L42</f>
        <v>0</v>
      </c>
      <c r="K89" s="22" t="str">
        <f t="shared" si="3"/>
        <v>Version 2.1</v>
      </c>
      <c r="L89" s="63" t="str">
        <f>IF(ISNUMBER($D89)=TRUE,'Input Chiller Measures'!E42,"")</f>
        <v/>
      </c>
      <c r="M89" s="62" t="str">
        <f>'Input Chiller Measures'!N42</f>
        <v/>
      </c>
    </row>
    <row r="90" spans="1:13" x14ac:dyDescent="0.2">
      <c r="A90" s="25" t="s">
        <v>17</v>
      </c>
      <c r="B90" s="23">
        <f t="shared" si="2"/>
        <v>0</v>
      </c>
      <c r="C90" s="23">
        <f>'Input Chiller Measures'!B43</f>
        <v>38</v>
      </c>
      <c r="D90" s="23" t="str">
        <f>'Input Chiller Measures'!C43</f>
        <v/>
      </c>
      <c r="E90" s="23" t="str">
        <f>'Input Chiller Measures'!F43</f>
        <v/>
      </c>
      <c r="F90" s="24">
        <f>'Input Chiller Measures'!G43</f>
        <v>0</v>
      </c>
      <c r="G90" s="24" t="str">
        <f>'Input Chiller Measures'!O43</f>
        <v/>
      </c>
      <c r="H90" s="92" t="str">
        <f>'Input Chiller Measures'!P43</f>
        <v/>
      </c>
      <c r="I90" s="38" t="str">
        <f>IFERROR(M90*MIN(Table_Measure_Caps[[#Totals],[Estimated Raw Incentive Total]], Table_Measure_Caps[[#Totals],[Gross Measure Cost Total]], Value_Project_CAP)/Table_Measure_Caps[[#Totals],[Estimated Raw Incentive Total]], "")</f>
        <v/>
      </c>
      <c r="J90" s="23">
        <f>'Input Chiller Measures'!L43</f>
        <v>0</v>
      </c>
      <c r="K90" s="22" t="str">
        <f t="shared" si="3"/>
        <v>Version 2.1</v>
      </c>
      <c r="L90" s="63" t="str">
        <f>IF(ISNUMBER($D90)=TRUE,'Input Chiller Measures'!E43,"")</f>
        <v/>
      </c>
      <c r="M90" s="62" t="str">
        <f>'Input Chiller Measures'!N43</f>
        <v/>
      </c>
    </row>
    <row r="91" spans="1:13" x14ac:dyDescent="0.2">
      <c r="A91" s="25" t="s">
        <v>17</v>
      </c>
      <c r="B91" s="23">
        <f t="shared" si="2"/>
        <v>0</v>
      </c>
      <c r="C91" s="23">
        <f>'Input Chiller Measures'!B44</f>
        <v>39</v>
      </c>
      <c r="D91" s="23" t="str">
        <f>'Input Chiller Measures'!C44</f>
        <v/>
      </c>
      <c r="E91" s="23" t="str">
        <f>'Input Chiller Measures'!F44</f>
        <v/>
      </c>
      <c r="F91" s="24">
        <f>'Input Chiller Measures'!G44</f>
        <v>0</v>
      </c>
      <c r="G91" s="24" t="str">
        <f>'Input Chiller Measures'!O44</f>
        <v/>
      </c>
      <c r="H91" s="92" t="str">
        <f>'Input Chiller Measures'!P44</f>
        <v/>
      </c>
      <c r="I91" s="38" t="str">
        <f>IFERROR(M91*MIN(Table_Measure_Caps[[#Totals],[Estimated Raw Incentive Total]], Table_Measure_Caps[[#Totals],[Gross Measure Cost Total]], Value_Project_CAP)/Table_Measure_Caps[[#Totals],[Estimated Raw Incentive Total]], "")</f>
        <v/>
      </c>
      <c r="J91" s="23">
        <f>'Input Chiller Measures'!L44</f>
        <v>0</v>
      </c>
      <c r="K91" s="22" t="str">
        <f t="shared" si="3"/>
        <v>Version 2.1</v>
      </c>
      <c r="L91" s="63" t="str">
        <f>IF(ISNUMBER($D91)=TRUE,'Input Chiller Measures'!E44,"")</f>
        <v/>
      </c>
      <c r="M91" s="62" t="str">
        <f>'Input Chiller Measures'!N44</f>
        <v/>
      </c>
    </row>
    <row r="92" spans="1:13" x14ac:dyDescent="0.2">
      <c r="A92" s="25" t="s">
        <v>17</v>
      </c>
      <c r="B92" s="23">
        <f t="shared" si="2"/>
        <v>0</v>
      </c>
      <c r="C92" s="23">
        <f>'Input Chiller Measures'!B45</f>
        <v>40</v>
      </c>
      <c r="D92" s="23" t="str">
        <f>'Input Chiller Measures'!C45</f>
        <v/>
      </c>
      <c r="E92" s="23" t="str">
        <f>'Input Chiller Measures'!F45</f>
        <v/>
      </c>
      <c r="F92" s="24">
        <f>'Input Chiller Measures'!G45</f>
        <v>0</v>
      </c>
      <c r="G92" s="24" t="str">
        <f>'Input Chiller Measures'!O45</f>
        <v/>
      </c>
      <c r="H92" s="92" t="str">
        <f>'Input Chiller Measures'!P45</f>
        <v/>
      </c>
      <c r="I92" s="38" t="str">
        <f>IFERROR(M92*MIN(Table_Measure_Caps[[#Totals],[Estimated Raw Incentive Total]], Table_Measure_Caps[[#Totals],[Gross Measure Cost Total]], Value_Project_CAP)/Table_Measure_Caps[[#Totals],[Estimated Raw Incentive Total]], "")</f>
        <v/>
      </c>
      <c r="J92" s="23">
        <f>'Input Chiller Measures'!L45</f>
        <v>0</v>
      </c>
      <c r="K92" s="22" t="str">
        <f t="shared" si="3"/>
        <v>Version 2.1</v>
      </c>
      <c r="L92" s="63" t="str">
        <f>IF(ISNUMBER($D92)=TRUE,'Input Chiller Measures'!E45,"")</f>
        <v/>
      </c>
      <c r="M92" s="62" t="str">
        <f>'Input Chiller Measures'!N45</f>
        <v/>
      </c>
    </row>
    <row r="93" spans="1:13" x14ac:dyDescent="0.2">
      <c r="A93" s="25" t="s">
        <v>17</v>
      </c>
      <c r="B93" s="23">
        <f t="shared" si="2"/>
        <v>0</v>
      </c>
      <c r="C93" s="23">
        <f>'Input Chiller Measures'!B46</f>
        <v>41</v>
      </c>
      <c r="D93" s="23" t="str">
        <f>'Input Chiller Measures'!C46</f>
        <v/>
      </c>
      <c r="E93" s="23" t="str">
        <f>'Input Chiller Measures'!F46</f>
        <v/>
      </c>
      <c r="F93" s="24">
        <f>'Input Chiller Measures'!G46</f>
        <v>0</v>
      </c>
      <c r="G93" s="24" t="str">
        <f>'Input Chiller Measures'!O46</f>
        <v/>
      </c>
      <c r="H93" s="92" t="str">
        <f>'Input Chiller Measures'!P46</f>
        <v/>
      </c>
      <c r="I93" s="38" t="str">
        <f>IFERROR(M93*MIN(Table_Measure_Caps[[#Totals],[Estimated Raw Incentive Total]], Table_Measure_Caps[[#Totals],[Gross Measure Cost Total]], Value_Project_CAP)/Table_Measure_Caps[[#Totals],[Estimated Raw Incentive Total]], "")</f>
        <v/>
      </c>
      <c r="J93" s="23">
        <f>'Input Chiller Measures'!L46</f>
        <v>0</v>
      </c>
      <c r="K93" s="22" t="str">
        <f t="shared" si="3"/>
        <v>Version 2.1</v>
      </c>
      <c r="L93" s="63" t="str">
        <f>IF(ISNUMBER($D93)=TRUE,'Input Chiller Measures'!E46,"")</f>
        <v/>
      </c>
      <c r="M93" s="62" t="str">
        <f>'Input Chiller Measures'!N46</f>
        <v/>
      </c>
    </row>
    <row r="94" spans="1:13" x14ac:dyDescent="0.2">
      <c r="A94" s="25" t="s">
        <v>17</v>
      </c>
      <c r="B94" s="23">
        <f t="shared" si="2"/>
        <v>0</v>
      </c>
      <c r="C94" s="23">
        <f>'Input Chiller Measures'!B47</f>
        <v>42</v>
      </c>
      <c r="D94" s="23" t="str">
        <f>'Input Chiller Measures'!C47</f>
        <v/>
      </c>
      <c r="E94" s="23" t="str">
        <f>'Input Chiller Measures'!F47</f>
        <v/>
      </c>
      <c r="F94" s="24">
        <f>'Input Chiller Measures'!G47</f>
        <v>0</v>
      </c>
      <c r="G94" s="24" t="str">
        <f>'Input Chiller Measures'!O47</f>
        <v/>
      </c>
      <c r="H94" s="92" t="str">
        <f>'Input Chiller Measures'!P47</f>
        <v/>
      </c>
      <c r="I94" s="38" t="str">
        <f>IFERROR(M94*MIN(Table_Measure_Caps[[#Totals],[Estimated Raw Incentive Total]], Table_Measure_Caps[[#Totals],[Gross Measure Cost Total]], Value_Project_CAP)/Table_Measure_Caps[[#Totals],[Estimated Raw Incentive Total]], "")</f>
        <v/>
      </c>
      <c r="J94" s="23">
        <f>'Input Chiller Measures'!L47</f>
        <v>0</v>
      </c>
      <c r="K94" s="22" t="str">
        <f t="shared" si="3"/>
        <v>Version 2.1</v>
      </c>
      <c r="L94" s="63" t="str">
        <f>IF(ISNUMBER($D94)=TRUE,'Input Chiller Measures'!E47,"")</f>
        <v/>
      </c>
      <c r="M94" s="62" t="str">
        <f>'Input Chiller Measures'!N47</f>
        <v/>
      </c>
    </row>
    <row r="95" spans="1:13" x14ac:dyDescent="0.2">
      <c r="A95" s="25" t="s">
        <v>17</v>
      </c>
      <c r="B95" s="23">
        <f t="shared" si="2"/>
        <v>0</v>
      </c>
      <c r="C95" s="23">
        <f>'Input Chiller Measures'!B48</f>
        <v>43</v>
      </c>
      <c r="D95" s="23" t="str">
        <f>'Input Chiller Measures'!C48</f>
        <v/>
      </c>
      <c r="E95" s="23" t="str">
        <f>'Input Chiller Measures'!F48</f>
        <v/>
      </c>
      <c r="F95" s="24">
        <f>'Input Chiller Measures'!G48</f>
        <v>0</v>
      </c>
      <c r="G95" s="24" t="str">
        <f>'Input Chiller Measures'!O48</f>
        <v/>
      </c>
      <c r="H95" s="92" t="str">
        <f>'Input Chiller Measures'!P48</f>
        <v/>
      </c>
      <c r="I95" s="38" t="str">
        <f>IFERROR(M95*MIN(Table_Measure_Caps[[#Totals],[Estimated Raw Incentive Total]], Table_Measure_Caps[[#Totals],[Gross Measure Cost Total]], Value_Project_CAP)/Table_Measure_Caps[[#Totals],[Estimated Raw Incentive Total]], "")</f>
        <v/>
      </c>
      <c r="J95" s="23">
        <f>'Input Chiller Measures'!L48</f>
        <v>0</v>
      </c>
      <c r="K95" s="22" t="str">
        <f t="shared" si="3"/>
        <v>Version 2.1</v>
      </c>
      <c r="L95" s="63" t="str">
        <f>IF(ISNUMBER($D95)=TRUE,'Input Chiller Measures'!E48,"")</f>
        <v/>
      </c>
      <c r="M95" s="62" t="str">
        <f>'Input Chiller Measures'!N48</f>
        <v/>
      </c>
    </row>
    <row r="96" spans="1:13" x14ac:dyDescent="0.2">
      <c r="A96" s="25" t="s">
        <v>17</v>
      </c>
      <c r="B96" s="23">
        <f t="shared" si="2"/>
        <v>0</v>
      </c>
      <c r="C96" s="23">
        <f>'Input Chiller Measures'!B49</f>
        <v>44</v>
      </c>
      <c r="D96" s="23" t="str">
        <f>'Input Chiller Measures'!C49</f>
        <v/>
      </c>
      <c r="E96" s="23" t="str">
        <f>'Input Chiller Measures'!F49</f>
        <v/>
      </c>
      <c r="F96" s="24">
        <f>'Input Chiller Measures'!G49</f>
        <v>0</v>
      </c>
      <c r="G96" s="24" t="str">
        <f>'Input Chiller Measures'!O49</f>
        <v/>
      </c>
      <c r="H96" s="92" t="str">
        <f>'Input Chiller Measures'!P49</f>
        <v/>
      </c>
      <c r="I96" s="38" t="str">
        <f>IFERROR(M96*MIN(Table_Measure_Caps[[#Totals],[Estimated Raw Incentive Total]], Table_Measure_Caps[[#Totals],[Gross Measure Cost Total]], Value_Project_CAP)/Table_Measure_Caps[[#Totals],[Estimated Raw Incentive Total]], "")</f>
        <v/>
      </c>
      <c r="J96" s="23">
        <f>'Input Chiller Measures'!L49</f>
        <v>0</v>
      </c>
      <c r="K96" s="22" t="str">
        <f t="shared" si="3"/>
        <v>Version 2.1</v>
      </c>
      <c r="L96" s="63" t="str">
        <f>IF(ISNUMBER($D96)=TRUE,'Input Chiller Measures'!E49,"")</f>
        <v/>
      </c>
      <c r="M96" s="62" t="str">
        <f>'Input Chiller Measures'!N49</f>
        <v/>
      </c>
    </row>
    <row r="97" spans="1:13" x14ac:dyDescent="0.2">
      <c r="A97" s="25" t="s">
        <v>17</v>
      </c>
      <c r="B97" s="23">
        <f t="shared" si="2"/>
        <v>0</v>
      </c>
      <c r="C97" s="23">
        <f>'Input Chiller Measures'!B50</f>
        <v>45</v>
      </c>
      <c r="D97" s="23" t="str">
        <f>'Input Chiller Measures'!C50</f>
        <v/>
      </c>
      <c r="E97" s="23" t="str">
        <f>'Input Chiller Measures'!F50</f>
        <v/>
      </c>
      <c r="F97" s="24">
        <f>'Input Chiller Measures'!G50</f>
        <v>0</v>
      </c>
      <c r="G97" s="24" t="str">
        <f>'Input Chiller Measures'!O50</f>
        <v/>
      </c>
      <c r="H97" s="92" t="str">
        <f>'Input Chiller Measures'!P50</f>
        <v/>
      </c>
      <c r="I97" s="38" t="str">
        <f>IFERROR(M97*MIN(Table_Measure_Caps[[#Totals],[Estimated Raw Incentive Total]], Table_Measure_Caps[[#Totals],[Gross Measure Cost Total]], Value_Project_CAP)/Table_Measure_Caps[[#Totals],[Estimated Raw Incentive Total]], "")</f>
        <v/>
      </c>
      <c r="J97" s="23">
        <f>'Input Chiller Measures'!L50</f>
        <v>0</v>
      </c>
      <c r="K97" s="22" t="str">
        <f t="shared" si="3"/>
        <v>Version 2.1</v>
      </c>
      <c r="L97" s="63" t="str">
        <f>IF(ISNUMBER($D97)=TRUE,'Input Chiller Measures'!E50,"")</f>
        <v/>
      </c>
      <c r="M97" s="62" t="str">
        <f>'Input Chiller Measures'!N50</f>
        <v/>
      </c>
    </row>
    <row r="98" spans="1:13" x14ac:dyDescent="0.2">
      <c r="A98" s="25" t="s">
        <v>17</v>
      </c>
      <c r="B98" s="23">
        <f t="shared" si="2"/>
        <v>0</v>
      </c>
      <c r="C98" s="23">
        <f>'Input Chiller Measures'!B51</f>
        <v>46</v>
      </c>
      <c r="D98" s="23" t="str">
        <f>'Input Chiller Measures'!C51</f>
        <v/>
      </c>
      <c r="E98" s="23" t="str">
        <f>'Input Chiller Measures'!F51</f>
        <v/>
      </c>
      <c r="F98" s="24">
        <f>'Input Chiller Measures'!G51</f>
        <v>0</v>
      </c>
      <c r="G98" s="24" t="str">
        <f>'Input Chiller Measures'!O51</f>
        <v/>
      </c>
      <c r="H98" s="92" t="str">
        <f>'Input Chiller Measures'!P51</f>
        <v/>
      </c>
      <c r="I98" s="38" t="str">
        <f>IFERROR(M98*MIN(Table_Measure_Caps[[#Totals],[Estimated Raw Incentive Total]], Table_Measure_Caps[[#Totals],[Gross Measure Cost Total]], Value_Project_CAP)/Table_Measure_Caps[[#Totals],[Estimated Raw Incentive Total]], "")</f>
        <v/>
      </c>
      <c r="J98" s="23">
        <f>'Input Chiller Measures'!L51</f>
        <v>0</v>
      </c>
      <c r="K98" s="22" t="str">
        <f t="shared" si="3"/>
        <v>Version 2.1</v>
      </c>
      <c r="L98" s="63" t="str">
        <f>IF(ISNUMBER($D98)=TRUE,'Input Chiller Measures'!E51,"")</f>
        <v/>
      </c>
      <c r="M98" s="62" t="str">
        <f>'Input Chiller Measures'!N51</f>
        <v/>
      </c>
    </row>
    <row r="99" spans="1:13" x14ac:dyDescent="0.2">
      <c r="A99" s="25" t="s">
        <v>17</v>
      </c>
      <c r="B99" s="23">
        <f t="shared" si="2"/>
        <v>0</v>
      </c>
      <c r="C99" s="23">
        <f>'Input Chiller Measures'!B52</f>
        <v>47</v>
      </c>
      <c r="D99" s="23" t="str">
        <f>'Input Chiller Measures'!C52</f>
        <v/>
      </c>
      <c r="E99" s="23" t="str">
        <f>'Input Chiller Measures'!F52</f>
        <v/>
      </c>
      <c r="F99" s="24">
        <f>'Input Chiller Measures'!G52</f>
        <v>0</v>
      </c>
      <c r="G99" s="24" t="str">
        <f>'Input Chiller Measures'!O52</f>
        <v/>
      </c>
      <c r="H99" s="92" t="str">
        <f>'Input Chiller Measures'!P52</f>
        <v/>
      </c>
      <c r="I99" s="38" t="str">
        <f>IFERROR(M99*MIN(Table_Measure_Caps[[#Totals],[Estimated Raw Incentive Total]], Table_Measure_Caps[[#Totals],[Gross Measure Cost Total]], Value_Project_CAP)/Table_Measure_Caps[[#Totals],[Estimated Raw Incentive Total]], "")</f>
        <v/>
      </c>
      <c r="J99" s="23">
        <f>'Input Chiller Measures'!L52</f>
        <v>0</v>
      </c>
      <c r="K99" s="22" t="str">
        <f t="shared" si="3"/>
        <v>Version 2.1</v>
      </c>
      <c r="L99" s="63" t="str">
        <f>IF(ISNUMBER($D99)=TRUE,'Input Chiller Measures'!E52,"")</f>
        <v/>
      </c>
      <c r="M99" s="62" t="str">
        <f>'Input Chiller Measures'!N52</f>
        <v/>
      </c>
    </row>
    <row r="100" spans="1:13" x14ac:dyDescent="0.2">
      <c r="A100" s="25" t="s">
        <v>17</v>
      </c>
      <c r="B100" s="23">
        <f t="shared" si="2"/>
        <v>0</v>
      </c>
      <c r="C100" s="23">
        <f>'Input Chiller Measures'!B53</f>
        <v>48</v>
      </c>
      <c r="D100" s="23" t="str">
        <f>'Input Chiller Measures'!C53</f>
        <v/>
      </c>
      <c r="E100" s="23" t="str">
        <f>'Input Chiller Measures'!F53</f>
        <v/>
      </c>
      <c r="F100" s="24">
        <f>'Input Chiller Measures'!G53</f>
        <v>0</v>
      </c>
      <c r="G100" s="24" t="str">
        <f>'Input Chiller Measures'!O53</f>
        <v/>
      </c>
      <c r="H100" s="92" t="str">
        <f>'Input Chiller Measures'!P53</f>
        <v/>
      </c>
      <c r="I100" s="38" t="str">
        <f>IFERROR(M100*MIN(Table_Measure_Caps[[#Totals],[Estimated Raw Incentive Total]], Table_Measure_Caps[[#Totals],[Gross Measure Cost Total]], Value_Project_CAP)/Table_Measure_Caps[[#Totals],[Estimated Raw Incentive Total]], "")</f>
        <v/>
      </c>
      <c r="J100" s="23">
        <f>'Input Chiller Measures'!L53</f>
        <v>0</v>
      </c>
      <c r="K100" s="22" t="str">
        <f t="shared" si="3"/>
        <v>Version 2.1</v>
      </c>
      <c r="L100" s="63" t="str">
        <f>IF(ISNUMBER($D100)=TRUE,'Input Chiller Measures'!E53,"")</f>
        <v/>
      </c>
      <c r="M100" s="62" t="str">
        <f>'Input Chiller Measures'!N53</f>
        <v/>
      </c>
    </row>
    <row r="101" spans="1:13" x14ac:dyDescent="0.2">
      <c r="A101" s="25" t="s">
        <v>17</v>
      </c>
      <c r="B101" s="23">
        <f t="shared" si="2"/>
        <v>0</v>
      </c>
      <c r="C101" s="23">
        <f>'Input Chiller Measures'!B54</f>
        <v>49</v>
      </c>
      <c r="D101" s="23" t="str">
        <f>'Input Chiller Measures'!C54</f>
        <v/>
      </c>
      <c r="E101" s="23" t="str">
        <f>'Input Chiller Measures'!F54</f>
        <v/>
      </c>
      <c r="F101" s="24">
        <f>'Input Chiller Measures'!G54</f>
        <v>0</v>
      </c>
      <c r="G101" s="24" t="str">
        <f>'Input Chiller Measures'!O54</f>
        <v/>
      </c>
      <c r="H101" s="92" t="str">
        <f>'Input Chiller Measures'!P54</f>
        <v/>
      </c>
      <c r="I101" s="38" t="str">
        <f>IFERROR(M101*MIN(Table_Measure_Caps[[#Totals],[Estimated Raw Incentive Total]], Table_Measure_Caps[[#Totals],[Gross Measure Cost Total]], Value_Project_CAP)/Table_Measure_Caps[[#Totals],[Estimated Raw Incentive Total]], "")</f>
        <v/>
      </c>
      <c r="J101" s="23">
        <f>'Input Chiller Measures'!L54</f>
        <v>0</v>
      </c>
      <c r="K101" s="22" t="str">
        <f t="shared" si="3"/>
        <v>Version 2.1</v>
      </c>
      <c r="L101" s="63" t="str">
        <f>IF(ISNUMBER($D101)=TRUE,'Input Chiller Measures'!E54,"")</f>
        <v/>
      </c>
      <c r="M101" s="62" t="str">
        <f>'Input Chiller Measures'!N54</f>
        <v/>
      </c>
    </row>
    <row r="102" spans="1:13" x14ac:dyDescent="0.2">
      <c r="A102" s="25" t="s">
        <v>17</v>
      </c>
      <c r="B102" s="23">
        <f t="shared" si="2"/>
        <v>0</v>
      </c>
      <c r="C102" s="23">
        <f>'Input Chiller Measures'!B55</f>
        <v>50</v>
      </c>
      <c r="D102" s="23" t="str">
        <f>'Input Chiller Measures'!C55</f>
        <v/>
      </c>
      <c r="E102" s="23" t="str">
        <f>'Input Chiller Measures'!F55</f>
        <v/>
      </c>
      <c r="F102" s="24">
        <f>'Input Chiller Measures'!G55</f>
        <v>0</v>
      </c>
      <c r="G102" s="24" t="str">
        <f>'Input Chiller Measures'!O55</f>
        <v/>
      </c>
      <c r="H102" s="92" t="str">
        <f>'Input Chiller Measures'!P55</f>
        <v/>
      </c>
      <c r="I102" s="38" t="str">
        <f>IFERROR(M102*MIN(Table_Measure_Caps[[#Totals],[Estimated Raw Incentive Total]], Table_Measure_Caps[[#Totals],[Gross Measure Cost Total]], Value_Project_CAP)/Table_Measure_Caps[[#Totals],[Estimated Raw Incentive Total]], "")</f>
        <v/>
      </c>
      <c r="J102" s="23">
        <f>'Input Chiller Measures'!L55</f>
        <v>0</v>
      </c>
      <c r="K102" s="22" t="str">
        <f t="shared" si="3"/>
        <v>Version 2.1</v>
      </c>
      <c r="L102" s="63" t="str">
        <f>IF(ISNUMBER($D102)=TRUE,'Input Chiller Measures'!E55,"")</f>
        <v/>
      </c>
      <c r="M102" s="62" t="str">
        <f>'Input Chiller Measures'!N55</f>
        <v/>
      </c>
    </row>
    <row r="103" spans="1:13" hidden="1" x14ac:dyDescent="0.2">
      <c r="A103" s="8" t="s">
        <v>522</v>
      </c>
      <c r="B103" s="7">
        <f t="shared" si="0"/>
        <v>0</v>
      </c>
      <c r="C103" s="7" t="e">
        <f>#REF!</f>
        <v>#REF!</v>
      </c>
      <c r="D103" s="7" t="e">
        <f>#REF!</f>
        <v>#REF!</v>
      </c>
      <c r="E103" s="7" t="s">
        <v>523</v>
      </c>
      <c r="F103" s="9">
        <f>1</f>
        <v>1</v>
      </c>
      <c r="G103" s="9" t="e">
        <f>#REF!</f>
        <v>#REF!</v>
      </c>
      <c r="H103" s="91" t="e">
        <f>#REF!</f>
        <v>#REF!</v>
      </c>
      <c r="I103" s="37" t="str">
        <f>IFERROR(M103*MIN(Table_Measure_Caps[[#Totals],[Estimated Raw Incentive Total]], Table_Measure_Caps[[#Totals],[Gross Measure Cost Total]], Value_Project_CAP)/Table_Measure_Caps[[#Totals],[Estimated Raw Incentive Total]], "")</f>
        <v/>
      </c>
      <c r="J103" s="7" t="e">
        <f>#REF!</f>
        <v>#REF!</v>
      </c>
      <c r="K103" s="22" t="str">
        <f t="shared" si="3"/>
        <v>Version 2.1</v>
      </c>
      <c r="L103" s="56" t="e">
        <f>#REF!</f>
        <v>#REF!</v>
      </c>
      <c r="M103" s="34" t="e">
        <f>#REF!</f>
        <v>#REF!</v>
      </c>
    </row>
    <row r="104" spans="1:13" hidden="1" x14ac:dyDescent="0.2">
      <c r="A104" s="8" t="s">
        <v>522</v>
      </c>
      <c r="B104" s="7">
        <f t="shared" si="0"/>
        <v>0</v>
      </c>
      <c r="C104" s="7" t="e">
        <f>#REF!</f>
        <v>#REF!</v>
      </c>
      <c r="D104" s="7" t="e">
        <f>#REF!</f>
        <v>#REF!</v>
      </c>
      <c r="E104" s="7" t="s">
        <v>523</v>
      </c>
      <c r="F104" s="9">
        <f>1</f>
        <v>1</v>
      </c>
      <c r="G104" s="9" t="e">
        <f>#REF!</f>
        <v>#REF!</v>
      </c>
      <c r="H104" s="91" t="e">
        <f>#REF!</f>
        <v>#REF!</v>
      </c>
      <c r="I104" s="37" t="str">
        <f>IFERROR(M104*MIN(Table_Measure_Caps[[#Totals],[Estimated Raw Incentive Total]], Table_Measure_Caps[[#Totals],[Gross Measure Cost Total]], Value_Project_CAP)/Table_Measure_Caps[[#Totals],[Estimated Raw Incentive Total]], "")</f>
        <v/>
      </c>
      <c r="J104" s="7" t="e">
        <f>#REF!</f>
        <v>#REF!</v>
      </c>
      <c r="K104" s="22" t="str">
        <f t="shared" si="3"/>
        <v>Version 2.1</v>
      </c>
      <c r="L104" s="56" t="e">
        <f>#REF!</f>
        <v>#REF!</v>
      </c>
      <c r="M104" s="34" t="e">
        <f>#REF!</f>
        <v>#REF!</v>
      </c>
    </row>
    <row r="105" spans="1:13" hidden="1" x14ac:dyDescent="0.2">
      <c r="A105" s="8" t="s">
        <v>522</v>
      </c>
      <c r="B105" s="7">
        <f t="shared" ref="B105:B132" si="4">Input_ProjectNumber</f>
        <v>0</v>
      </c>
      <c r="C105" s="7" t="e">
        <f>#REF!</f>
        <v>#REF!</v>
      </c>
      <c r="D105" s="7" t="e">
        <f>#REF!</f>
        <v>#REF!</v>
      </c>
      <c r="E105" s="7" t="s">
        <v>523</v>
      </c>
      <c r="F105" s="9">
        <f>1</f>
        <v>1</v>
      </c>
      <c r="G105" s="9" t="e">
        <f>#REF!</f>
        <v>#REF!</v>
      </c>
      <c r="H105" s="91" t="e">
        <f>#REF!</f>
        <v>#REF!</v>
      </c>
      <c r="I105" s="37" t="str">
        <f>IFERROR(M105*MIN(Table_Measure_Caps[[#Totals],[Estimated Raw Incentive Total]], Table_Measure_Caps[[#Totals],[Gross Measure Cost Total]], Value_Project_CAP)/Table_Measure_Caps[[#Totals],[Estimated Raw Incentive Total]], "")</f>
        <v/>
      </c>
      <c r="J105" s="7" t="e">
        <f>#REF!</f>
        <v>#REF!</v>
      </c>
      <c r="K105" s="22" t="str">
        <f t="shared" si="3"/>
        <v>Version 2.1</v>
      </c>
      <c r="L105" s="56" t="e">
        <f>#REF!</f>
        <v>#REF!</v>
      </c>
      <c r="M105" s="34" t="e">
        <f>#REF!</f>
        <v>#REF!</v>
      </c>
    </row>
    <row r="106" spans="1:13" hidden="1" x14ac:dyDescent="0.2">
      <c r="A106" s="8" t="s">
        <v>522</v>
      </c>
      <c r="B106" s="7">
        <f t="shared" si="4"/>
        <v>0</v>
      </c>
      <c r="C106" s="7" t="e">
        <f>#REF!</f>
        <v>#REF!</v>
      </c>
      <c r="D106" s="7" t="e">
        <f>#REF!</f>
        <v>#REF!</v>
      </c>
      <c r="E106" s="7" t="s">
        <v>523</v>
      </c>
      <c r="F106" s="9">
        <f>1</f>
        <v>1</v>
      </c>
      <c r="G106" s="9" t="e">
        <f>#REF!</f>
        <v>#REF!</v>
      </c>
      <c r="H106" s="91" t="e">
        <f>#REF!</f>
        <v>#REF!</v>
      </c>
      <c r="I106" s="37" t="str">
        <f>IFERROR(M106*MIN(Table_Measure_Caps[[#Totals],[Estimated Raw Incentive Total]], Table_Measure_Caps[[#Totals],[Gross Measure Cost Total]], Value_Project_CAP)/Table_Measure_Caps[[#Totals],[Estimated Raw Incentive Total]], "")</f>
        <v/>
      </c>
      <c r="J106" s="7" t="e">
        <f>#REF!</f>
        <v>#REF!</v>
      </c>
      <c r="K106" s="22" t="str">
        <f t="shared" si="3"/>
        <v>Version 2.1</v>
      </c>
      <c r="L106" s="56" t="e">
        <f>#REF!</f>
        <v>#REF!</v>
      </c>
      <c r="M106" s="34" t="e">
        <f>#REF!</f>
        <v>#REF!</v>
      </c>
    </row>
    <row r="107" spans="1:13" hidden="1" x14ac:dyDescent="0.2">
      <c r="A107" s="8" t="s">
        <v>522</v>
      </c>
      <c r="B107" s="7">
        <f t="shared" si="4"/>
        <v>0</v>
      </c>
      <c r="C107" s="7" t="e">
        <f>#REF!</f>
        <v>#REF!</v>
      </c>
      <c r="D107" s="7" t="e">
        <f>#REF!</f>
        <v>#REF!</v>
      </c>
      <c r="E107" s="7" t="s">
        <v>523</v>
      </c>
      <c r="F107" s="9">
        <f>1</f>
        <v>1</v>
      </c>
      <c r="G107" s="9" t="e">
        <f>#REF!</f>
        <v>#REF!</v>
      </c>
      <c r="H107" s="91" t="e">
        <f>#REF!</f>
        <v>#REF!</v>
      </c>
      <c r="I107" s="37" t="str">
        <f>IFERROR(M107*MIN(Table_Measure_Caps[[#Totals],[Estimated Raw Incentive Total]], Table_Measure_Caps[[#Totals],[Gross Measure Cost Total]], Value_Project_CAP)/Table_Measure_Caps[[#Totals],[Estimated Raw Incentive Total]], "")</f>
        <v/>
      </c>
      <c r="J107" s="7" t="e">
        <f>#REF!</f>
        <v>#REF!</v>
      </c>
      <c r="K107" s="22" t="str">
        <f t="shared" si="3"/>
        <v>Version 2.1</v>
      </c>
      <c r="L107" s="56" t="e">
        <f>#REF!</f>
        <v>#REF!</v>
      </c>
      <c r="M107" s="34" t="e">
        <f>#REF!</f>
        <v>#REF!</v>
      </c>
    </row>
    <row r="108" spans="1:13" hidden="1" x14ac:dyDescent="0.2">
      <c r="A108" s="8" t="s">
        <v>522</v>
      </c>
      <c r="B108" s="7">
        <f t="shared" si="4"/>
        <v>0</v>
      </c>
      <c r="C108" s="7" t="e">
        <f>#REF!</f>
        <v>#REF!</v>
      </c>
      <c r="D108" s="7" t="e">
        <f>#REF!</f>
        <v>#REF!</v>
      </c>
      <c r="E108" s="7" t="s">
        <v>523</v>
      </c>
      <c r="F108" s="9">
        <f>1</f>
        <v>1</v>
      </c>
      <c r="G108" s="9" t="e">
        <f>#REF!</f>
        <v>#REF!</v>
      </c>
      <c r="H108" s="91" t="e">
        <f>#REF!</f>
        <v>#REF!</v>
      </c>
      <c r="I108" s="37" t="str">
        <f>IFERROR(M108*MIN(Table_Measure_Caps[[#Totals],[Estimated Raw Incentive Total]], Table_Measure_Caps[[#Totals],[Gross Measure Cost Total]], Value_Project_CAP)/Table_Measure_Caps[[#Totals],[Estimated Raw Incentive Total]], "")</f>
        <v/>
      </c>
      <c r="J108" s="7" t="e">
        <f>#REF!</f>
        <v>#REF!</v>
      </c>
      <c r="K108" s="22" t="str">
        <f t="shared" si="3"/>
        <v>Version 2.1</v>
      </c>
      <c r="L108" s="56" t="e">
        <f>#REF!</f>
        <v>#REF!</v>
      </c>
      <c r="M108" s="34" t="e">
        <f>#REF!</f>
        <v>#REF!</v>
      </c>
    </row>
    <row r="109" spans="1:13" hidden="1" x14ac:dyDescent="0.2">
      <c r="A109" s="8" t="s">
        <v>522</v>
      </c>
      <c r="B109" s="7">
        <f t="shared" si="4"/>
        <v>0</v>
      </c>
      <c r="C109" s="7" t="e">
        <f>#REF!</f>
        <v>#REF!</v>
      </c>
      <c r="D109" s="7" t="e">
        <f>#REF!</f>
        <v>#REF!</v>
      </c>
      <c r="E109" s="7" t="s">
        <v>523</v>
      </c>
      <c r="F109" s="9">
        <f>1</f>
        <v>1</v>
      </c>
      <c r="G109" s="9" t="e">
        <f>#REF!</f>
        <v>#REF!</v>
      </c>
      <c r="H109" s="91" t="e">
        <f>#REF!</f>
        <v>#REF!</v>
      </c>
      <c r="I109" s="37" t="str">
        <f>IFERROR(M109*MIN(Table_Measure_Caps[[#Totals],[Estimated Raw Incentive Total]], Table_Measure_Caps[[#Totals],[Gross Measure Cost Total]], Value_Project_CAP)/Table_Measure_Caps[[#Totals],[Estimated Raw Incentive Total]], "")</f>
        <v/>
      </c>
      <c r="J109" s="7" t="e">
        <f>#REF!</f>
        <v>#REF!</v>
      </c>
      <c r="K109" s="22" t="str">
        <f t="shared" si="3"/>
        <v>Version 2.1</v>
      </c>
      <c r="L109" s="56" t="e">
        <f>#REF!</f>
        <v>#REF!</v>
      </c>
      <c r="M109" s="34" t="e">
        <f>#REF!</f>
        <v>#REF!</v>
      </c>
    </row>
    <row r="110" spans="1:13" hidden="1" x14ac:dyDescent="0.2">
      <c r="A110" s="8" t="s">
        <v>522</v>
      </c>
      <c r="B110" s="7">
        <f t="shared" si="4"/>
        <v>0</v>
      </c>
      <c r="C110" s="7" t="e">
        <f>#REF!</f>
        <v>#REF!</v>
      </c>
      <c r="D110" s="7" t="e">
        <f>#REF!</f>
        <v>#REF!</v>
      </c>
      <c r="E110" s="7" t="s">
        <v>523</v>
      </c>
      <c r="F110" s="9">
        <f>1</f>
        <v>1</v>
      </c>
      <c r="G110" s="9" t="e">
        <f>#REF!</f>
        <v>#REF!</v>
      </c>
      <c r="H110" s="91" t="e">
        <f>#REF!</f>
        <v>#REF!</v>
      </c>
      <c r="I110" s="37" t="str">
        <f>IFERROR(M110*MIN(Table_Measure_Caps[[#Totals],[Estimated Raw Incentive Total]], Table_Measure_Caps[[#Totals],[Gross Measure Cost Total]], Value_Project_CAP)/Table_Measure_Caps[[#Totals],[Estimated Raw Incentive Total]], "")</f>
        <v/>
      </c>
      <c r="J110" s="7" t="e">
        <f>#REF!</f>
        <v>#REF!</v>
      </c>
      <c r="K110" s="22" t="str">
        <f t="shared" si="3"/>
        <v>Version 2.1</v>
      </c>
      <c r="L110" s="56" t="e">
        <f>#REF!</f>
        <v>#REF!</v>
      </c>
      <c r="M110" s="34" t="e">
        <f>#REF!</f>
        <v>#REF!</v>
      </c>
    </row>
    <row r="111" spans="1:13" hidden="1" x14ac:dyDescent="0.2">
      <c r="A111" s="8" t="s">
        <v>522</v>
      </c>
      <c r="B111" s="7">
        <f t="shared" si="4"/>
        <v>0</v>
      </c>
      <c r="C111" s="7" t="e">
        <f>#REF!</f>
        <v>#REF!</v>
      </c>
      <c r="D111" s="7" t="e">
        <f>#REF!</f>
        <v>#REF!</v>
      </c>
      <c r="E111" s="7" t="s">
        <v>523</v>
      </c>
      <c r="F111" s="9">
        <f>1</f>
        <v>1</v>
      </c>
      <c r="G111" s="9" t="e">
        <f>#REF!</f>
        <v>#REF!</v>
      </c>
      <c r="H111" s="91" t="e">
        <f>#REF!</f>
        <v>#REF!</v>
      </c>
      <c r="I111" s="37" t="str">
        <f>IFERROR(M111*MIN(Table_Measure_Caps[[#Totals],[Estimated Raw Incentive Total]], Table_Measure_Caps[[#Totals],[Gross Measure Cost Total]], Value_Project_CAP)/Table_Measure_Caps[[#Totals],[Estimated Raw Incentive Total]], "")</f>
        <v/>
      </c>
      <c r="J111" s="7" t="e">
        <f>#REF!</f>
        <v>#REF!</v>
      </c>
      <c r="K111" s="22" t="str">
        <f t="shared" si="3"/>
        <v>Version 2.1</v>
      </c>
      <c r="L111" s="56" t="e">
        <f>#REF!</f>
        <v>#REF!</v>
      </c>
      <c r="M111" s="34" t="e">
        <f>#REF!</f>
        <v>#REF!</v>
      </c>
    </row>
    <row r="112" spans="1:13" hidden="1" x14ac:dyDescent="0.2">
      <c r="A112" s="8" t="s">
        <v>522</v>
      </c>
      <c r="B112" s="7">
        <f t="shared" si="4"/>
        <v>0</v>
      </c>
      <c r="C112" s="7" t="e">
        <f>#REF!</f>
        <v>#REF!</v>
      </c>
      <c r="D112" s="7" t="e">
        <f>#REF!</f>
        <v>#REF!</v>
      </c>
      <c r="E112" s="7" t="s">
        <v>523</v>
      </c>
      <c r="F112" s="9">
        <f>1</f>
        <v>1</v>
      </c>
      <c r="G112" s="9" t="e">
        <f>#REF!</f>
        <v>#REF!</v>
      </c>
      <c r="H112" s="91" t="e">
        <f>#REF!</f>
        <v>#REF!</v>
      </c>
      <c r="I112" s="37" t="str">
        <f>IFERROR(M112*MIN(Table_Measure_Caps[[#Totals],[Estimated Raw Incentive Total]], Table_Measure_Caps[[#Totals],[Gross Measure Cost Total]], Value_Project_CAP)/Table_Measure_Caps[[#Totals],[Estimated Raw Incentive Total]], "")</f>
        <v/>
      </c>
      <c r="J112" s="7" t="e">
        <f>#REF!</f>
        <v>#REF!</v>
      </c>
      <c r="K112" s="22" t="str">
        <f t="shared" si="3"/>
        <v>Version 2.1</v>
      </c>
      <c r="L112" s="56" t="e">
        <f>#REF!</f>
        <v>#REF!</v>
      </c>
      <c r="M112" s="34" t="e">
        <f>#REF!</f>
        <v>#REF!</v>
      </c>
    </row>
    <row r="113" spans="1:13" hidden="1" x14ac:dyDescent="0.2">
      <c r="A113" s="8" t="s">
        <v>522</v>
      </c>
      <c r="B113" s="7">
        <f t="shared" si="4"/>
        <v>0</v>
      </c>
      <c r="C113" s="7" t="e">
        <f>#REF!</f>
        <v>#REF!</v>
      </c>
      <c r="D113" s="7" t="e">
        <f>#REF!</f>
        <v>#REF!</v>
      </c>
      <c r="E113" s="7" t="s">
        <v>523</v>
      </c>
      <c r="F113" s="9">
        <f>1</f>
        <v>1</v>
      </c>
      <c r="G113" s="9" t="e">
        <f>#REF!</f>
        <v>#REF!</v>
      </c>
      <c r="H113" s="91" t="e">
        <f>#REF!</f>
        <v>#REF!</v>
      </c>
      <c r="I113" s="37" t="str">
        <f>IFERROR(M113*MIN(Table_Measure_Caps[[#Totals],[Estimated Raw Incentive Total]], Table_Measure_Caps[[#Totals],[Gross Measure Cost Total]], Value_Project_CAP)/Table_Measure_Caps[[#Totals],[Estimated Raw Incentive Total]], "")</f>
        <v/>
      </c>
      <c r="J113" s="7" t="e">
        <f>#REF!</f>
        <v>#REF!</v>
      </c>
      <c r="K113" s="22" t="str">
        <f t="shared" si="3"/>
        <v>Version 2.1</v>
      </c>
      <c r="L113" s="56" t="e">
        <f>#REF!</f>
        <v>#REF!</v>
      </c>
      <c r="M113" s="34" t="e">
        <f>#REF!</f>
        <v>#REF!</v>
      </c>
    </row>
    <row r="114" spans="1:13" hidden="1" x14ac:dyDescent="0.2">
      <c r="A114" s="8" t="s">
        <v>522</v>
      </c>
      <c r="B114" s="7">
        <f t="shared" si="4"/>
        <v>0</v>
      </c>
      <c r="C114" s="7" t="e">
        <f>#REF!</f>
        <v>#REF!</v>
      </c>
      <c r="D114" s="7" t="e">
        <f>#REF!</f>
        <v>#REF!</v>
      </c>
      <c r="E114" s="7" t="s">
        <v>523</v>
      </c>
      <c r="F114" s="9">
        <f>1</f>
        <v>1</v>
      </c>
      <c r="G114" s="9" t="e">
        <f>#REF!</f>
        <v>#REF!</v>
      </c>
      <c r="H114" s="91" t="e">
        <f>#REF!</f>
        <v>#REF!</v>
      </c>
      <c r="I114" s="37" t="str">
        <f>IFERROR(M114*MIN(Table_Measure_Caps[[#Totals],[Estimated Raw Incentive Total]], Table_Measure_Caps[[#Totals],[Gross Measure Cost Total]], Value_Project_CAP)/Table_Measure_Caps[[#Totals],[Estimated Raw Incentive Total]], "")</f>
        <v/>
      </c>
      <c r="J114" s="7" t="e">
        <f>#REF!</f>
        <v>#REF!</v>
      </c>
      <c r="K114" s="22" t="str">
        <f t="shared" si="3"/>
        <v>Version 2.1</v>
      </c>
      <c r="L114" s="56" t="e">
        <f>#REF!</f>
        <v>#REF!</v>
      </c>
      <c r="M114" s="34" t="e">
        <f>#REF!</f>
        <v>#REF!</v>
      </c>
    </row>
    <row r="115" spans="1:13" hidden="1" x14ac:dyDescent="0.2">
      <c r="A115" s="8" t="s">
        <v>522</v>
      </c>
      <c r="B115" s="7">
        <f t="shared" si="4"/>
        <v>0</v>
      </c>
      <c r="C115" s="7" t="e">
        <f>#REF!</f>
        <v>#REF!</v>
      </c>
      <c r="D115" s="7" t="e">
        <f>#REF!</f>
        <v>#REF!</v>
      </c>
      <c r="E115" s="7" t="s">
        <v>523</v>
      </c>
      <c r="F115" s="9">
        <f>1</f>
        <v>1</v>
      </c>
      <c r="G115" s="9" t="e">
        <f>#REF!</f>
        <v>#REF!</v>
      </c>
      <c r="H115" s="91" t="e">
        <f>#REF!</f>
        <v>#REF!</v>
      </c>
      <c r="I115" s="37" t="str">
        <f>IFERROR(M115*MIN(Table_Measure_Caps[[#Totals],[Estimated Raw Incentive Total]], Table_Measure_Caps[[#Totals],[Gross Measure Cost Total]], Value_Project_CAP)/Table_Measure_Caps[[#Totals],[Estimated Raw Incentive Total]], "")</f>
        <v/>
      </c>
      <c r="J115" s="7" t="e">
        <f>#REF!</f>
        <v>#REF!</v>
      </c>
      <c r="K115" s="22" t="str">
        <f t="shared" si="3"/>
        <v>Version 2.1</v>
      </c>
      <c r="L115" s="56" t="e">
        <f>#REF!</f>
        <v>#REF!</v>
      </c>
      <c r="M115" s="34" t="e">
        <f>#REF!</f>
        <v>#REF!</v>
      </c>
    </row>
    <row r="116" spans="1:13" hidden="1" x14ac:dyDescent="0.2">
      <c r="A116" s="8" t="s">
        <v>522</v>
      </c>
      <c r="B116" s="7">
        <f t="shared" si="4"/>
        <v>0</v>
      </c>
      <c r="C116" s="7" t="e">
        <f>#REF!</f>
        <v>#REF!</v>
      </c>
      <c r="D116" s="7" t="e">
        <f>#REF!</f>
        <v>#REF!</v>
      </c>
      <c r="E116" s="7" t="s">
        <v>523</v>
      </c>
      <c r="F116" s="9">
        <f>1</f>
        <v>1</v>
      </c>
      <c r="G116" s="9" t="e">
        <f>#REF!</f>
        <v>#REF!</v>
      </c>
      <c r="H116" s="91" t="e">
        <f>#REF!</f>
        <v>#REF!</v>
      </c>
      <c r="I116" s="37" t="str">
        <f>IFERROR(M116*MIN(Table_Measure_Caps[[#Totals],[Estimated Raw Incentive Total]], Table_Measure_Caps[[#Totals],[Gross Measure Cost Total]], Value_Project_CAP)/Table_Measure_Caps[[#Totals],[Estimated Raw Incentive Total]], "")</f>
        <v/>
      </c>
      <c r="J116" s="7" t="e">
        <f>#REF!</f>
        <v>#REF!</v>
      </c>
      <c r="K116" s="22" t="str">
        <f t="shared" si="3"/>
        <v>Version 2.1</v>
      </c>
      <c r="L116" s="56" t="e">
        <f>#REF!</f>
        <v>#REF!</v>
      </c>
      <c r="M116" s="34" t="e">
        <f>#REF!</f>
        <v>#REF!</v>
      </c>
    </row>
    <row r="117" spans="1:13" hidden="1" x14ac:dyDescent="0.2">
      <c r="A117" s="8" t="s">
        <v>522</v>
      </c>
      <c r="B117" s="7">
        <f t="shared" si="4"/>
        <v>0</v>
      </c>
      <c r="C117" s="7" t="e">
        <f>#REF!</f>
        <v>#REF!</v>
      </c>
      <c r="D117" s="7" t="e">
        <f>#REF!</f>
        <v>#REF!</v>
      </c>
      <c r="E117" s="7" t="s">
        <v>523</v>
      </c>
      <c r="F117" s="9">
        <f>1</f>
        <v>1</v>
      </c>
      <c r="G117" s="9" t="e">
        <f>#REF!</f>
        <v>#REF!</v>
      </c>
      <c r="H117" s="91" t="e">
        <f>#REF!</f>
        <v>#REF!</v>
      </c>
      <c r="I117" s="37" t="str">
        <f>IFERROR(M117*MIN(Table_Measure_Caps[[#Totals],[Estimated Raw Incentive Total]], Table_Measure_Caps[[#Totals],[Gross Measure Cost Total]], Value_Project_CAP)/Table_Measure_Caps[[#Totals],[Estimated Raw Incentive Total]], "")</f>
        <v/>
      </c>
      <c r="J117" s="7" t="e">
        <f>#REF!</f>
        <v>#REF!</v>
      </c>
      <c r="K117" s="22" t="str">
        <f t="shared" si="3"/>
        <v>Version 2.1</v>
      </c>
      <c r="L117" s="56" t="e">
        <f>#REF!</f>
        <v>#REF!</v>
      </c>
      <c r="M117" s="34" t="e">
        <f>#REF!</f>
        <v>#REF!</v>
      </c>
    </row>
    <row r="118" spans="1:13" hidden="1" x14ac:dyDescent="0.2">
      <c r="A118" s="8" t="s">
        <v>522</v>
      </c>
      <c r="B118" s="7">
        <f t="shared" si="4"/>
        <v>0</v>
      </c>
      <c r="C118" s="7" t="e">
        <f>#REF!</f>
        <v>#REF!</v>
      </c>
      <c r="D118" s="7" t="e">
        <f>#REF!</f>
        <v>#REF!</v>
      </c>
      <c r="E118" s="7" t="s">
        <v>523</v>
      </c>
      <c r="F118" s="9">
        <f>1</f>
        <v>1</v>
      </c>
      <c r="G118" s="9" t="e">
        <f>#REF!</f>
        <v>#REF!</v>
      </c>
      <c r="H118" s="91" t="e">
        <f>#REF!</f>
        <v>#REF!</v>
      </c>
      <c r="I118" s="37" t="str">
        <f>IFERROR(M118*MIN(Table_Measure_Caps[[#Totals],[Estimated Raw Incentive Total]], Table_Measure_Caps[[#Totals],[Gross Measure Cost Total]], Value_Project_CAP)/Table_Measure_Caps[[#Totals],[Estimated Raw Incentive Total]], "")</f>
        <v/>
      </c>
      <c r="J118" s="7" t="e">
        <f>#REF!</f>
        <v>#REF!</v>
      </c>
      <c r="K118" s="22" t="str">
        <f t="shared" si="3"/>
        <v>Version 2.1</v>
      </c>
      <c r="L118" s="56" t="e">
        <f>#REF!</f>
        <v>#REF!</v>
      </c>
      <c r="M118" s="34" t="e">
        <f>#REF!</f>
        <v>#REF!</v>
      </c>
    </row>
    <row r="119" spans="1:13" hidden="1" x14ac:dyDescent="0.2">
      <c r="A119" s="8" t="s">
        <v>522</v>
      </c>
      <c r="B119" s="7">
        <f t="shared" si="4"/>
        <v>0</v>
      </c>
      <c r="C119" s="7" t="e">
        <f>#REF!</f>
        <v>#REF!</v>
      </c>
      <c r="D119" s="7" t="e">
        <f>#REF!</f>
        <v>#REF!</v>
      </c>
      <c r="E119" s="7" t="s">
        <v>523</v>
      </c>
      <c r="F119" s="9">
        <f>1</f>
        <v>1</v>
      </c>
      <c r="G119" s="9" t="e">
        <f>#REF!</f>
        <v>#REF!</v>
      </c>
      <c r="H119" s="91" t="e">
        <f>#REF!</f>
        <v>#REF!</v>
      </c>
      <c r="I119" s="37" t="str">
        <f>IFERROR(M119*MIN(Table_Measure_Caps[[#Totals],[Estimated Raw Incentive Total]], Table_Measure_Caps[[#Totals],[Gross Measure Cost Total]], Value_Project_CAP)/Table_Measure_Caps[[#Totals],[Estimated Raw Incentive Total]], "")</f>
        <v/>
      </c>
      <c r="J119" s="7" t="e">
        <f>#REF!</f>
        <v>#REF!</v>
      </c>
      <c r="K119" s="22" t="str">
        <f t="shared" si="3"/>
        <v>Version 2.1</v>
      </c>
      <c r="L119" s="56" t="e">
        <f>#REF!</f>
        <v>#REF!</v>
      </c>
      <c r="M119" s="34" t="e">
        <f>#REF!</f>
        <v>#REF!</v>
      </c>
    </row>
    <row r="120" spans="1:13" hidden="1" x14ac:dyDescent="0.2">
      <c r="A120" s="8" t="s">
        <v>522</v>
      </c>
      <c r="B120" s="7">
        <f t="shared" si="4"/>
        <v>0</v>
      </c>
      <c r="C120" s="7" t="e">
        <f>#REF!</f>
        <v>#REF!</v>
      </c>
      <c r="D120" s="7" t="e">
        <f>#REF!</f>
        <v>#REF!</v>
      </c>
      <c r="E120" s="7" t="s">
        <v>523</v>
      </c>
      <c r="F120" s="9">
        <f>1</f>
        <v>1</v>
      </c>
      <c r="G120" s="9" t="e">
        <f>#REF!</f>
        <v>#REF!</v>
      </c>
      <c r="H120" s="91" t="e">
        <f>#REF!</f>
        <v>#REF!</v>
      </c>
      <c r="I120" s="37" t="str">
        <f>IFERROR(M120*MIN(Table_Measure_Caps[[#Totals],[Estimated Raw Incentive Total]], Table_Measure_Caps[[#Totals],[Gross Measure Cost Total]], Value_Project_CAP)/Table_Measure_Caps[[#Totals],[Estimated Raw Incentive Total]], "")</f>
        <v/>
      </c>
      <c r="J120" s="7" t="e">
        <f>#REF!</f>
        <v>#REF!</v>
      </c>
      <c r="K120" s="22" t="str">
        <f t="shared" si="3"/>
        <v>Version 2.1</v>
      </c>
      <c r="L120" s="56" t="e">
        <f>#REF!</f>
        <v>#REF!</v>
      </c>
      <c r="M120" s="34" t="e">
        <f>#REF!</f>
        <v>#REF!</v>
      </c>
    </row>
    <row r="121" spans="1:13" hidden="1" x14ac:dyDescent="0.2">
      <c r="A121" s="8" t="s">
        <v>522</v>
      </c>
      <c r="B121" s="7">
        <f t="shared" si="4"/>
        <v>0</v>
      </c>
      <c r="C121" s="7" t="e">
        <f>#REF!</f>
        <v>#REF!</v>
      </c>
      <c r="D121" s="7" t="e">
        <f>#REF!</f>
        <v>#REF!</v>
      </c>
      <c r="E121" s="7" t="s">
        <v>523</v>
      </c>
      <c r="F121" s="9">
        <f>1</f>
        <v>1</v>
      </c>
      <c r="G121" s="9" t="e">
        <f>#REF!</f>
        <v>#REF!</v>
      </c>
      <c r="H121" s="91" t="e">
        <f>#REF!</f>
        <v>#REF!</v>
      </c>
      <c r="I121" s="37" t="str">
        <f>IFERROR(M121*MIN(Table_Measure_Caps[[#Totals],[Estimated Raw Incentive Total]], Table_Measure_Caps[[#Totals],[Gross Measure Cost Total]], Value_Project_CAP)/Table_Measure_Caps[[#Totals],[Estimated Raw Incentive Total]], "")</f>
        <v/>
      </c>
      <c r="J121" s="7" t="e">
        <f>#REF!</f>
        <v>#REF!</v>
      </c>
      <c r="K121" s="22" t="str">
        <f t="shared" si="3"/>
        <v>Version 2.1</v>
      </c>
      <c r="L121" s="56" t="e">
        <f>#REF!</f>
        <v>#REF!</v>
      </c>
      <c r="M121" s="34" t="e">
        <f>#REF!</f>
        <v>#REF!</v>
      </c>
    </row>
    <row r="122" spans="1:13" hidden="1" x14ac:dyDescent="0.2">
      <c r="A122" s="8" t="s">
        <v>522</v>
      </c>
      <c r="B122" s="7">
        <f t="shared" si="4"/>
        <v>0</v>
      </c>
      <c r="C122" s="7" t="e">
        <f>#REF!</f>
        <v>#REF!</v>
      </c>
      <c r="D122" s="7" t="e">
        <f>#REF!</f>
        <v>#REF!</v>
      </c>
      <c r="E122" s="7" t="s">
        <v>523</v>
      </c>
      <c r="F122" s="9">
        <f>1</f>
        <v>1</v>
      </c>
      <c r="G122" s="9" t="e">
        <f>#REF!</f>
        <v>#REF!</v>
      </c>
      <c r="H122" s="91" t="e">
        <f>#REF!</f>
        <v>#REF!</v>
      </c>
      <c r="I122" s="37" t="str">
        <f>IFERROR(M122*MIN(Table_Measure_Caps[[#Totals],[Estimated Raw Incentive Total]], Table_Measure_Caps[[#Totals],[Gross Measure Cost Total]], Value_Project_CAP)/Table_Measure_Caps[[#Totals],[Estimated Raw Incentive Total]], "")</f>
        <v/>
      </c>
      <c r="J122" s="7" t="e">
        <f>#REF!</f>
        <v>#REF!</v>
      </c>
      <c r="K122" s="22" t="str">
        <f t="shared" si="3"/>
        <v>Version 2.1</v>
      </c>
      <c r="L122" s="56" t="e">
        <f>#REF!</f>
        <v>#REF!</v>
      </c>
      <c r="M122" s="34" t="e">
        <f>#REF!</f>
        <v>#REF!</v>
      </c>
    </row>
    <row r="123" spans="1:13" hidden="1" x14ac:dyDescent="0.2">
      <c r="A123" s="8" t="s">
        <v>522</v>
      </c>
      <c r="B123" s="7">
        <f t="shared" si="4"/>
        <v>0</v>
      </c>
      <c r="C123" s="7" t="e">
        <f>#REF!</f>
        <v>#REF!</v>
      </c>
      <c r="D123" s="7" t="e">
        <f>#REF!</f>
        <v>#REF!</v>
      </c>
      <c r="E123" s="7" t="s">
        <v>523</v>
      </c>
      <c r="F123" s="9">
        <f>1</f>
        <v>1</v>
      </c>
      <c r="G123" s="9" t="e">
        <f>#REF!</f>
        <v>#REF!</v>
      </c>
      <c r="H123" s="91" t="e">
        <f>#REF!</f>
        <v>#REF!</v>
      </c>
      <c r="I123" s="37" t="str">
        <f>IFERROR(M123*MIN(Table_Measure_Caps[[#Totals],[Estimated Raw Incentive Total]], Table_Measure_Caps[[#Totals],[Gross Measure Cost Total]], Value_Project_CAP)/Table_Measure_Caps[[#Totals],[Estimated Raw Incentive Total]], "")</f>
        <v/>
      </c>
      <c r="J123" s="7" t="e">
        <f>#REF!</f>
        <v>#REF!</v>
      </c>
      <c r="K123" s="22" t="str">
        <f t="shared" si="3"/>
        <v>Version 2.1</v>
      </c>
      <c r="L123" s="56" t="e">
        <f>#REF!</f>
        <v>#REF!</v>
      </c>
      <c r="M123" s="34" t="e">
        <f>#REF!</f>
        <v>#REF!</v>
      </c>
    </row>
    <row r="124" spans="1:13" hidden="1" x14ac:dyDescent="0.2">
      <c r="A124" s="8" t="s">
        <v>522</v>
      </c>
      <c r="B124" s="7">
        <f t="shared" si="4"/>
        <v>0</v>
      </c>
      <c r="C124" s="7" t="e">
        <f>#REF!</f>
        <v>#REF!</v>
      </c>
      <c r="D124" s="7" t="e">
        <f>#REF!</f>
        <v>#REF!</v>
      </c>
      <c r="E124" s="7" t="s">
        <v>523</v>
      </c>
      <c r="F124" s="9">
        <f>1</f>
        <v>1</v>
      </c>
      <c r="G124" s="9" t="e">
        <f>#REF!</f>
        <v>#REF!</v>
      </c>
      <c r="H124" s="91" t="e">
        <f>#REF!</f>
        <v>#REF!</v>
      </c>
      <c r="I124" s="37" t="str">
        <f>IFERROR(M124*MIN(Table_Measure_Caps[[#Totals],[Estimated Raw Incentive Total]], Table_Measure_Caps[[#Totals],[Gross Measure Cost Total]], Value_Project_CAP)/Table_Measure_Caps[[#Totals],[Estimated Raw Incentive Total]], "")</f>
        <v/>
      </c>
      <c r="J124" s="7" t="e">
        <f>#REF!</f>
        <v>#REF!</v>
      </c>
      <c r="K124" s="22" t="str">
        <f t="shared" si="3"/>
        <v>Version 2.1</v>
      </c>
      <c r="L124" s="56" t="e">
        <f>#REF!</f>
        <v>#REF!</v>
      </c>
      <c r="M124" s="34" t="e">
        <f>#REF!</f>
        <v>#REF!</v>
      </c>
    </row>
    <row r="125" spans="1:13" hidden="1" x14ac:dyDescent="0.2">
      <c r="A125" s="8" t="s">
        <v>522</v>
      </c>
      <c r="B125" s="7">
        <f t="shared" si="4"/>
        <v>0</v>
      </c>
      <c r="C125" s="7" t="e">
        <f>#REF!</f>
        <v>#REF!</v>
      </c>
      <c r="D125" s="7" t="e">
        <f>#REF!</f>
        <v>#REF!</v>
      </c>
      <c r="E125" s="7" t="s">
        <v>523</v>
      </c>
      <c r="F125" s="9">
        <f>1</f>
        <v>1</v>
      </c>
      <c r="G125" s="9" t="e">
        <f>#REF!</f>
        <v>#REF!</v>
      </c>
      <c r="H125" s="91" t="e">
        <f>#REF!</f>
        <v>#REF!</v>
      </c>
      <c r="I125" s="37" t="str">
        <f>IFERROR(M125*MIN(Table_Measure_Caps[[#Totals],[Estimated Raw Incentive Total]], Table_Measure_Caps[[#Totals],[Gross Measure Cost Total]], Value_Project_CAP)/Table_Measure_Caps[[#Totals],[Estimated Raw Incentive Total]], "")</f>
        <v/>
      </c>
      <c r="J125" s="7" t="e">
        <f>#REF!</f>
        <v>#REF!</v>
      </c>
      <c r="K125" s="22" t="str">
        <f t="shared" si="3"/>
        <v>Version 2.1</v>
      </c>
      <c r="L125" s="56" t="e">
        <f>#REF!</f>
        <v>#REF!</v>
      </c>
      <c r="M125" s="34" t="e">
        <f>#REF!</f>
        <v>#REF!</v>
      </c>
    </row>
    <row r="126" spans="1:13" hidden="1" x14ac:dyDescent="0.2">
      <c r="A126" s="8" t="s">
        <v>522</v>
      </c>
      <c r="B126" s="7">
        <f t="shared" si="4"/>
        <v>0</v>
      </c>
      <c r="C126" s="7" t="e">
        <f>#REF!</f>
        <v>#REF!</v>
      </c>
      <c r="D126" s="7" t="e">
        <f>#REF!</f>
        <v>#REF!</v>
      </c>
      <c r="E126" s="7" t="s">
        <v>523</v>
      </c>
      <c r="F126" s="9">
        <f>1</f>
        <v>1</v>
      </c>
      <c r="G126" s="9" t="e">
        <f>#REF!</f>
        <v>#REF!</v>
      </c>
      <c r="H126" s="91" t="e">
        <f>#REF!</f>
        <v>#REF!</v>
      </c>
      <c r="I126" s="37" t="str">
        <f>IFERROR(M126*MIN(Table_Measure_Caps[[#Totals],[Estimated Raw Incentive Total]], Table_Measure_Caps[[#Totals],[Gross Measure Cost Total]], Value_Project_CAP)/Table_Measure_Caps[[#Totals],[Estimated Raw Incentive Total]], "")</f>
        <v/>
      </c>
      <c r="J126" s="7" t="e">
        <f>#REF!</f>
        <v>#REF!</v>
      </c>
      <c r="K126" s="22" t="str">
        <f t="shared" si="3"/>
        <v>Version 2.1</v>
      </c>
      <c r="L126" s="56" t="e">
        <f>#REF!</f>
        <v>#REF!</v>
      </c>
      <c r="M126" s="34" t="e">
        <f>#REF!</f>
        <v>#REF!</v>
      </c>
    </row>
    <row r="127" spans="1:13" hidden="1" x14ac:dyDescent="0.2">
      <c r="A127" s="8" t="s">
        <v>522</v>
      </c>
      <c r="B127" s="7">
        <f t="shared" si="4"/>
        <v>0</v>
      </c>
      <c r="C127" s="7" t="e">
        <f>#REF!</f>
        <v>#REF!</v>
      </c>
      <c r="D127" s="7" t="e">
        <f>#REF!</f>
        <v>#REF!</v>
      </c>
      <c r="E127" s="7" t="s">
        <v>523</v>
      </c>
      <c r="F127" s="9">
        <f>1</f>
        <v>1</v>
      </c>
      <c r="G127" s="9" t="e">
        <f>#REF!</f>
        <v>#REF!</v>
      </c>
      <c r="H127" s="91" t="e">
        <f>#REF!</f>
        <v>#REF!</v>
      </c>
      <c r="I127" s="37" t="str">
        <f>IFERROR(M127*MIN(Table_Measure_Caps[[#Totals],[Estimated Raw Incentive Total]], Table_Measure_Caps[[#Totals],[Gross Measure Cost Total]], Value_Project_CAP)/Table_Measure_Caps[[#Totals],[Estimated Raw Incentive Total]], "")</f>
        <v/>
      </c>
      <c r="J127" s="7" t="e">
        <f>#REF!</f>
        <v>#REF!</v>
      </c>
      <c r="K127" s="22" t="str">
        <f t="shared" si="3"/>
        <v>Version 2.1</v>
      </c>
      <c r="L127" s="56" t="e">
        <f>#REF!</f>
        <v>#REF!</v>
      </c>
      <c r="M127" s="34" t="e">
        <f>#REF!</f>
        <v>#REF!</v>
      </c>
    </row>
    <row r="128" spans="1:13" hidden="1" x14ac:dyDescent="0.2">
      <c r="A128" s="8" t="s">
        <v>522</v>
      </c>
      <c r="B128" s="7">
        <f t="shared" si="4"/>
        <v>0</v>
      </c>
      <c r="C128" s="7" t="e">
        <f>#REF!</f>
        <v>#REF!</v>
      </c>
      <c r="D128" s="7" t="e">
        <f>#REF!</f>
        <v>#REF!</v>
      </c>
      <c r="E128" s="7" t="s">
        <v>523</v>
      </c>
      <c r="F128" s="9">
        <f>1</f>
        <v>1</v>
      </c>
      <c r="G128" s="9" t="e">
        <f>#REF!</f>
        <v>#REF!</v>
      </c>
      <c r="H128" s="91" t="e">
        <f>#REF!</f>
        <v>#REF!</v>
      </c>
      <c r="I128" s="37" t="str">
        <f>IFERROR(M128*MIN(Table_Measure_Caps[[#Totals],[Estimated Raw Incentive Total]], Table_Measure_Caps[[#Totals],[Gross Measure Cost Total]], Value_Project_CAP)/Table_Measure_Caps[[#Totals],[Estimated Raw Incentive Total]], "")</f>
        <v/>
      </c>
      <c r="J128" s="7" t="e">
        <f>#REF!</f>
        <v>#REF!</v>
      </c>
      <c r="K128" s="22" t="str">
        <f t="shared" si="3"/>
        <v>Version 2.1</v>
      </c>
      <c r="L128" s="56" t="e">
        <f>#REF!</f>
        <v>#REF!</v>
      </c>
      <c r="M128" s="34" t="e">
        <f>#REF!</f>
        <v>#REF!</v>
      </c>
    </row>
    <row r="129" spans="1:13" hidden="1" x14ac:dyDescent="0.2">
      <c r="A129" s="8" t="s">
        <v>522</v>
      </c>
      <c r="B129" s="7">
        <f t="shared" si="4"/>
        <v>0</v>
      </c>
      <c r="C129" s="7" t="e">
        <f>#REF!</f>
        <v>#REF!</v>
      </c>
      <c r="D129" s="7" t="e">
        <f>#REF!</f>
        <v>#REF!</v>
      </c>
      <c r="E129" s="7" t="s">
        <v>523</v>
      </c>
      <c r="F129" s="9">
        <f>1</f>
        <v>1</v>
      </c>
      <c r="G129" s="9" t="e">
        <f>#REF!</f>
        <v>#REF!</v>
      </c>
      <c r="H129" s="91" t="e">
        <f>#REF!</f>
        <v>#REF!</v>
      </c>
      <c r="I129" s="37" t="str">
        <f>IFERROR(M129*MIN(Table_Measure_Caps[[#Totals],[Estimated Raw Incentive Total]], Table_Measure_Caps[[#Totals],[Gross Measure Cost Total]], Value_Project_CAP)/Table_Measure_Caps[[#Totals],[Estimated Raw Incentive Total]], "")</f>
        <v/>
      </c>
      <c r="J129" s="7" t="e">
        <f>#REF!</f>
        <v>#REF!</v>
      </c>
      <c r="K129" s="22" t="str">
        <f t="shared" si="3"/>
        <v>Version 2.1</v>
      </c>
      <c r="L129" s="56" t="e">
        <f>#REF!</f>
        <v>#REF!</v>
      </c>
      <c r="M129" s="34" t="e">
        <f>#REF!</f>
        <v>#REF!</v>
      </c>
    </row>
    <row r="130" spans="1:13" hidden="1" x14ac:dyDescent="0.2">
      <c r="A130" s="8" t="s">
        <v>522</v>
      </c>
      <c r="B130" s="7">
        <f t="shared" si="4"/>
        <v>0</v>
      </c>
      <c r="C130" s="7" t="e">
        <f>#REF!</f>
        <v>#REF!</v>
      </c>
      <c r="D130" s="7" t="e">
        <f>#REF!</f>
        <v>#REF!</v>
      </c>
      <c r="E130" s="7" t="s">
        <v>523</v>
      </c>
      <c r="F130" s="9">
        <f>1</f>
        <v>1</v>
      </c>
      <c r="G130" s="9" t="e">
        <f>#REF!</f>
        <v>#REF!</v>
      </c>
      <c r="H130" s="91" t="e">
        <f>#REF!</f>
        <v>#REF!</v>
      </c>
      <c r="I130" s="37" t="str">
        <f>IFERROR(M130*MIN(Table_Measure_Caps[[#Totals],[Estimated Raw Incentive Total]], Table_Measure_Caps[[#Totals],[Gross Measure Cost Total]], Value_Project_CAP)/Table_Measure_Caps[[#Totals],[Estimated Raw Incentive Total]], "")</f>
        <v/>
      </c>
      <c r="J130" s="7" t="e">
        <f>#REF!</f>
        <v>#REF!</v>
      </c>
      <c r="K130" s="22" t="str">
        <f t="shared" ref="K130:K193" si="5">Value_Application_Version</f>
        <v>Version 2.1</v>
      </c>
      <c r="L130" s="56" t="e">
        <f>#REF!</f>
        <v>#REF!</v>
      </c>
      <c r="M130" s="34" t="e">
        <f>#REF!</f>
        <v>#REF!</v>
      </c>
    </row>
    <row r="131" spans="1:13" hidden="1" x14ac:dyDescent="0.2">
      <c r="A131" s="8" t="s">
        <v>522</v>
      </c>
      <c r="B131" s="7">
        <f t="shared" si="4"/>
        <v>0</v>
      </c>
      <c r="C131" s="7" t="e">
        <f>#REF!</f>
        <v>#REF!</v>
      </c>
      <c r="D131" s="7" t="e">
        <f>#REF!</f>
        <v>#REF!</v>
      </c>
      <c r="E131" s="7" t="s">
        <v>523</v>
      </c>
      <c r="F131" s="9">
        <f>1</f>
        <v>1</v>
      </c>
      <c r="G131" s="9" t="e">
        <f>#REF!</f>
        <v>#REF!</v>
      </c>
      <c r="H131" s="91" t="e">
        <f>#REF!</f>
        <v>#REF!</v>
      </c>
      <c r="I131" s="37" t="str">
        <f>IFERROR(M131*MIN(Table_Measure_Caps[[#Totals],[Estimated Raw Incentive Total]], Table_Measure_Caps[[#Totals],[Gross Measure Cost Total]], Value_Project_CAP)/Table_Measure_Caps[[#Totals],[Estimated Raw Incentive Total]], "")</f>
        <v/>
      </c>
      <c r="J131" s="7" t="e">
        <f>#REF!</f>
        <v>#REF!</v>
      </c>
      <c r="K131" s="22" t="str">
        <f t="shared" si="5"/>
        <v>Version 2.1</v>
      </c>
      <c r="L131" s="56" t="e">
        <f>#REF!</f>
        <v>#REF!</v>
      </c>
      <c r="M131" s="34" t="e">
        <f>#REF!</f>
        <v>#REF!</v>
      </c>
    </row>
    <row r="132" spans="1:13" hidden="1" x14ac:dyDescent="0.2">
      <c r="A132" s="8" t="s">
        <v>522</v>
      </c>
      <c r="B132" s="7">
        <f t="shared" si="4"/>
        <v>0</v>
      </c>
      <c r="C132" s="7" t="e">
        <f>#REF!</f>
        <v>#REF!</v>
      </c>
      <c r="D132" s="7" t="e">
        <f>#REF!</f>
        <v>#REF!</v>
      </c>
      <c r="E132" s="7" t="s">
        <v>523</v>
      </c>
      <c r="F132" s="9">
        <f>1</f>
        <v>1</v>
      </c>
      <c r="G132" s="9" t="e">
        <f>#REF!</f>
        <v>#REF!</v>
      </c>
      <c r="H132" s="91" t="e">
        <f>#REF!</f>
        <v>#REF!</v>
      </c>
      <c r="I132" s="37" t="str">
        <f>IFERROR(M132*MIN(Table_Measure_Caps[[#Totals],[Estimated Raw Incentive Total]], Table_Measure_Caps[[#Totals],[Gross Measure Cost Total]], Value_Project_CAP)/Table_Measure_Caps[[#Totals],[Estimated Raw Incentive Total]], "")</f>
        <v/>
      </c>
      <c r="J132" s="7" t="e">
        <f>#REF!</f>
        <v>#REF!</v>
      </c>
      <c r="K132" s="22" t="str">
        <f t="shared" si="5"/>
        <v>Version 2.1</v>
      </c>
      <c r="L132" s="56" t="e">
        <f>#REF!</f>
        <v>#REF!</v>
      </c>
      <c r="M132" s="34" t="e">
        <f>#REF!</f>
        <v>#REF!</v>
      </c>
    </row>
    <row r="133" spans="1:13" hidden="1" x14ac:dyDescent="0.2">
      <c r="A133" s="68" t="s">
        <v>524</v>
      </c>
      <c r="B133" s="69">
        <f t="shared" ref="B133:B164" si="6">Input_ProjectNumber</f>
        <v>0</v>
      </c>
      <c r="C133" s="69">
        <v>1</v>
      </c>
      <c r="D133" s="69" t="e">
        <f>#REF!</f>
        <v>#REF!</v>
      </c>
      <c r="E133" s="69" t="e">
        <f>#REF!</f>
        <v>#REF!</v>
      </c>
      <c r="F133" s="69" t="e">
        <f>#REF!</f>
        <v>#REF!</v>
      </c>
      <c r="G133" s="70" t="e">
        <f>#REF!</f>
        <v>#REF!</v>
      </c>
      <c r="H133" s="93" t="e">
        <f>#REF!</f>
        <v>#REF!</v>
      </c>
      <c r="I133" s="72" t="str">
        <f>IFERROR(M133*MIN(Table_Measure_Caps[[#Totals],[Estimated Raw Incentive Total]], Table_Measure_Caps[[#Totals],[Gross Measure Cost Total]], Value_Project_CAP)/Table_Measure_Caps[[#Totals],[Estimated Raw Incentive Total]], "")</f>
        <v/>
      </c>
      <c r="J133" s="69" t="e">
        <f>#REF!</f>
        <v>#REF!</v>
      </c>
      <c r="K133" s="73" t="str">
        <f t="shared" si="5"/>
        <v>Version 2.1</v>
      </c>
      <c r="L133" s="74" t="e">
        <f>#REF!</f>
        <v>#REF!</v>
      </c>
      <c r="M133" s="71" t="e">
        <f>#REF!</f>
        <v>#REF!</v>
      </c>
    </row>
    <row r="134" spans="1:13" hidden="1" x14ac:dyDescent="0.2">
      <c r="A134" s="68" t="s">
        <v>524</v>
      </c>
      <c r="B134" s="75">
        <f t="shared" si="6"/>
        <v>0</v>
      </c>
      <c r="C134" s="75">
        <v>2</v>
      </c>
      <c r="D134" s="69" t="e">
        <f>#REF!</f>
        <v>#REF!</v>
      </c>
      <c r="E134" s="69" t="e">
        <f>#REF!</f>
        <v>#REF!</v>
      </c>
      <c r="F134" s="69" t="e">
        <f>#REF!</f>
        <v>#REF!</v>
      </c>
      <c r="G134" s="70" t="e">
        <f>#REF!</f>
        <v>#REF!</v>
      </c>
      <c r="H134" s="93" t="e">
        <f>#REF!</f>
        <v>#REF!</v>
      </c>
      <c r="I134" s="72" t="str">
        <f>IFERROR(M134*MIN(Table_Measure_Caps[[#Totals],[Estimated Raw Incentive Total]], Table_Measure_Caps[[#Totals],[Gross Measure Cost Total]], Value_Project_CAP)/Table_Measure_Caps[[#Totals],[Estimated Raw Incentive Total]], "")</f>
        <v/>
      </c>
      <c r="J134" s="69" t="e">
        <f>#REF!</f>
        <v>#REF!</v>
      </c>
      <c r="K134" s="73" t="str">
        <f t="shared" si="5"/>
        <v>Version 2.1</v>
      </c>
      <c r="L134" s="74" t="e">
        <f>#REF!</f>
        <v>#REF!</v>
      </c>
      <c r="M134" s="71" t="e">
        <f>#REF!</f>
        <v>#REF!</v>
      </c>
    </row>
    <row r="135" spans="1:13" hidden="1" x14ac:dyDescent="0.2">
      <c r="A135" s="68" t="s">
        <v>524</v>
      </c>
      <c r="B135" s="69">
        <f t="shared" si="6"/>
        <v>0</v>
      </c>
      <c r="C135" s="69">
        <v>3</v>
      </c>
      <c r="D135" s="69" t="e">
        <f>#REF!</f>
        <v>#REF!</v>
      </c>
      <c r="E135" s="69" t="e">
        <f>#REF!</f>
        <v>#REF!</v>
      </c>
      <c r="F135" s="69" t="e">
        <f>#REF!</f>
        <v>#REF!</v>
      </c>
      <c r="G135" s="70" t="e">
        <f>#REF!</f>
        <v>#REF!</v>
      </c>
      <c r="H135" s="93" t="e">
        <f>#REF!</f>
        <v>#REF!</v>
      </c>
      <c r="I135" s="72" t="str">
        <f>IFERROR(M135*MIN(Table_Measure_Caps[[#Totals],[Estimated Raw Incentive Total]], Table_Measure_Caps[[#Totals],[Gross Measure Cost Total]], Value_Project_CAP)/Table_Measure_Caps[[#Totals],[Estimated Raw Incentive Total]], "")</f>
        <v/>
      </c>
      <c r="J135" s="69" t="e">
        <f>#REF!</f>
        <v>#REF!</v>
      </c>
      <c r="K135" s="73" t="str">
        <f t="shared" si="5"/>
        <v>Version 2.1</v>
      </c>
      <c r="L135" s="74" t="e">
        <f>#REF!</f>
        <v>#REF!</v>
      </c>
      <c r="M135" s="71" t="e">
        <f>#REF!</f>
        <v>#REF!</v>
      </c>
    </row>
    <row r="136" spans="1:13" hidden="1" x14ac:dyDescent="0.2">
      <c r="A136" s="68" t="s">
        <v>524</v>
      </c>
      <c r="B136" s="75">
        <f t="shared" si="6"/>
        <v>0</v>
      </c>
      <c r="C136" s="75">
        <v>4</v>
      </c>
      <c r="D136" s="69" t="e">
        <f>#REF!</f>
        <v>#REF!</v>
      </c>
      <c r="E136" s="69" t="e">
        <f>#REF!</f>
        <v>#REF!</v>
      </c>
      <c r="F136" s="69" t="e">
        <f>#REF!</f>
        <v>#REF!</v>
      </c>
      <c r="G136" s="70" t="e">
        <f>#REF!</f>
        <v>#REF!</v>
      </c>
      <c r="H136" s="93" t="e">
        <f>#REF!</f>
        <v>#REF!</v>
      </c>
      <c r="I136" s="72" t="str">
        <f>IFERROR(M136*MIN(Table_Measure_Caps[[#Totals],[Estimated Raw Incentive Total]], Table_Measure_Caps[[#Totals],[Gross Measure Cost Total]], Value_Project_CAP)/Table_Measure_Caps[[#Totals],[Estimated Raw Incentive Total]], "")</f>
        <v/>
      </c>
      <c r="J136" s="69" t="e">
        <f>#REF!</f>
        <v>#REF!</v>
      </c>
      <c r="K136" s="73" t="str">
        <f t="shared" si="5"/>
        <v>Version 2.1</v>
      </c>
      <c r="L136" s="74" t="e">
        <f>#REF!</f>
        <v>#REF!</v>
      </c>
      <c r="M136" s="71" t="e">
        <f>#REF!</f>
        <v>#REF!</v>
      </c>
    </row>
    <row r="137" spans="1:13" hidden="1" x14ac:dyDescent="0.2">
      <c r="A137" s="68" t="s">
        <v>524</v>
      </c>
      <c r="B137" s="69">
        <f t="shared" si="6"/>
        <v>0</v>
      </c>
      <c r="C137" s="69">
        <v>5</v>
      </c>
      <c r="D137" s="69" t="e">
        <f>#REF!</f>
        <v>#REF!</v>
      </c>
      <c r="E137" s="69" t="e">
        <f>#REF!</f>
        <v>#REF!</v>
      </c>
      <c r="F137" s="69" t="e">
        <f>#REF!</f>
        <v>#REF!</v>
      </c>
      <c r="G137" s="70" t="e">
        <f>#REF!</f>
        <v>#REF!</v>
      </c>
      <c r="H137" s="93" t="e">
        <f>#REF!</f>
        <v>#REF!</v>
      </c>
      <c r="I137" s="72" t="str">
        <f>IFERROR(M137*MIN(Table_Measure_Caps[[#Totals],[Estimated Raw Incentive Total]], Table_Measure_Caps[[#Totals],[Gross Measure Cost Total]], Value_Project_CAP)/Table_Measure_Caps[[#Totals],[Estimated Raw Incentive Total]], "")</f>
        <v/>
      </c>
      <c r="J137" s="69" t="e">
        <f>#REF!</f>
        <v>#REF!</v>
      </c>
      <c r="K137" s="73" t="str">
        <f t="shared" si="5"/>
        <v>Version 2.1</v>
      </c>
      <c r="L137" s="74" t="e">
        <f>#REF!</f>
        <v>#REF!</v>
      </c>
      <c r="M137" s="71" t="e">
        <f>#REF!</f>
        <v>#REF!</v>
      </c>
    </row>
    <row r="138" spans="1:13" hidden="1" x14ac:dyDescent="0.2">
      <c r="A138" s="68" t="s">
        <v>524</v>
      </c>
      <c r="B138" s="75">
        <f t="shared" si="6"/>
        <v>0</v>
      </c>
      <c r="C138" s="75">
        <v>6</v>
      </c>
      <c r="D138" s="69" t="e">
        <f>#REF!</f>
        <v>#REF!</v>
      </c>
      <c r="E138" s="69" t="e">
        <f>#REF!</f>
        <v>#REF!</v>
      </c>
      <c r="F138" s="69" t="e">
        <f>#REF!</f>
        <v>#REF!</v>
      </c>
      <c r="G138" s="70" t="e">
        <f>#REF!</f>
        <v>#REF!</v>
      </c>
      <c r="H138" s="93" t="e">
        <f>#REF!</f>
        <v>#REF!</v>
      </c>
      <c r="I138" s="72" t="str">
        <f>IFERROR(M138*MIN(Table_Measure_Caps[[#Totals],[Estimated Raw Incentive Total]], Table_Measure_Caps[[#Totals],[Gross Measure Cost Total]], Value_Project_CAP)/Table_Measure_Caps[[#Totals],[Estimated Raw Incentive Total]], "")</f>
        <v/>
      </c>
      <c r="J138" s="69" t="e">
        <f>#REF!</f>
        <v>#REF!</v>
      </c>
      <c r="K138" s="73" t="str">
        <f t="shared" si="5"/>
        <v>Version 2.1</v>
      </c>
      <c r="L138" s="74" t="e">
        <f>#REF!</f>
        <v>#REF!</v>
      </c>
      <c r="M138" s="71" t="e">
        <f>#REF!</f>
        <v>#REF!</v>
      </c>
    </row>
    <row r="139" spans="1:13" hidden="1" x14ac:dyDescent="0.2">
      <c r="A139" s="68" t="s">
        <v>524</v>
      </c>
      <c r="B139" s="69">
        <f t="shared" si="6"/>
        <v>0</v>
      </c>
      <c r="C139" s="69">
        <v>7</v>
      </c>
      <c r="D139" s="69" t="e">
        <f>#REF!</f>
        <v>#REF!</v>
      </c>
      <c r="E139" s="69" t="e">
        <f>#REF!</f>
        <v>#REF!</v>
      </c>
      <c r="F139" s="69" t="e">
        <f>#REF!</f>
        <v>#REF!</v>
      </c>
      <c r="G139" s="70" t="e">
        <f>#REF!</f>
        <v>#REF!</v>
      </c>
      <c r="H139" s="93" t="e">
        <f>#REF!</f>
        <v>#REF!</v>
      </c>
      <c r="I139" s="72" t="str">
        <f>IFERROR(M139*MIN(Table_Measure_Caps[[#Totals],[Estimated Raw Incentive Total]], Table_Measure_Caps[[#Totals],[Gross Measure Cost Total]], Value_Project_CAP)/Table_Measure_Caps[[#Totals],[Estimated Raw Incentive Total]], "")</f>
        <v/>
      </c>
      <c r="J139" s="69" t="e">
        <f>#REF!</f>
        <v>#REF!</v>
      </c>
      <c r="K139" s="73" t="str">
        <f t="shared" si="5"/>
        <v>Version 2.1</v>
      </c>
      <c r="L139" s="74" t="e">
        <f>#REF!</f>
        <v>#REF!</v>
      </c>
      <c r="M139" s="71" t="e">
        <f>#REF!</f>
        <v>#REF!</v>
      </c>
    </row>
    <row r="140" spans="1:13" hidden="1" x14ac:dyDescent="0.2">
      <c r="A140" s="68" t="s">
        <v>524</v>
      </c>
      <c r="B140" s="75">
        <f t="shared" si="6"/>
        <v>0</v>
      </c>
      <c r="C140" s="75">
        <v>8</v>
      </c>
      <c r="D140" s="69" t="e">
        <f>#REF!</f>
        <v>#REF!</v>
      </c>
      <c r="E140" s="69" t="e">
        <f>#REF!</f>
        <v>#REF!</v>
      </c>
      <c r="F140" s="69" t="e">
        <f>#REF!</f>
        <v>#REF!</v>
      </c>
      <c r="G140" s="70" t="e">
        <f>#REF!</f>
        <v>#REF!</v>
      </c>
      <c r="H140" s="93" t="e">
        <f>#REF!</f>
        <v>#REF!</v>
      </c>
      <c r="I140" s="72" t="str">
        <f>IFERROR(M140*MIN(Table_Measure_Caps[[#Totals],[Estimated Raw Incentive Total]], Table_Measure_Caps[[#Totals],[Gross Measure Cost Total]], Value_Project_CAP)/Table_Measure_Caps[[#Totals],[Estimated Raw Incentive Total]], "")</f>
        <v/>
      </c>
      <c r="J140" s="69" t="e">
        <f>#REF!</f>
        <v>#REF!</v>
      </c>
      <c r="K140" s="73" t="str">
        <f t="shared" si="5"/>
        <v>Version 2.1</v>
      </c>
      <c r="L140" s="74" t="e">
        <f>#REF!</f>
        <v>#REF!</v>
      </c>
      <c r="M140" s="71" t="e">
        <f>#REF!</f>
        <v>#REF!</v>
      </c>
    </row>
    <row r="141" spans="1:13" hidden="1" x14ac:dyDescent="0.2">
      <c r="A141" s="68" t="s">
        <v>524</v>
      </c>
      <c r="B141" s="69">
        <f t="shared" si="6"/>
        <v>0</v>
      </c>
      <c r="C141" s="69">
        <v>9</v>
      </c>
      <c r="D141" s="69" t="e">
        <f>#REF!</f>
        <v>#REF!</v>
      </c>
      <c r="E141" s="69" t="e">
        <f>#REF!</f>
        <v>#REF!</v>
      </c>
      <c r="F141" s="69" t="e">
        <f>#REF!</f>
        <v>#REF!</v>
      </c>
      <c r="G141" s="70" t="e">
        <f>#REF!</f>
        <v>#REF!</v>
      </c>
      <c r="H141" s="93" t="e">
        <f>#REF!</f>
        <v>#REF!</v>
      </c>
      <c r="I141" s="72" t="str">
        <f>IFERROR(M141*MIN(Table_Measure_Caps[[#Totals],[Estimated Raw Incentive Total]], Table_Measure_Caps[[#Totals],[Gross Measure Cost Total]], Value_Project_CAP)/Table_Measure_Caps[[#Totals],[Estimated Raw Incentive Total]], "")</f>
        <v/>
      </c>
      <c r="J141" s="69" t="e">
        <f>#REF!</f>
        <v>#REF!</v>
      </c>
      <c r="K141" s="73" t="str">
        <f t="shared" si="5"/>
        <v>Version 2.1</v>
      </c>
      <c r="L141" s="74" t="e">
        <f>#REF!</f>
        <v>#REF!</v>
      </c>
      <c r="M141" s="71" t="e">
        <f>#REF!</f>
        <v>#REF!</v>
      </c>
    </row>
    <row r="142" spans="1:13" hidden="1" x14ac:dyDescent="0.2">
      <c r="A142" s="68" t="s">
        <v>524</v>
      </c>
      <c r="B142" s="75">
        <f t="shared" si="6"/>
        <v>0</v>
      </c>
      <c r="C142" s="75">
        <v>10</v>
      </c>
      <c r="D142" s="69" t="e">
        <f>#REF!</f>
        <v>#REF!</v>
      </c>
      <c r="E142" s="69" t="e">
        <f>#REF!</f>
        <v>#REF!</v>
      </c>
      <c r="F142" s="69" t="e">
        <f>#REF!</f>
        <v>#REF!</v>
      </c>
      <c r="G142" s="70" t="e">
        <f>#REF!</f>
        <v>#REF!</v>
      </c>
      <c r="H142" s="93" t="e">
        <f>#REF!</f>
        <v>#REF!</v>
      </c>
      <c r="I142" s="72" t="str">
        <f>IFERROR(M142*MIN(Table_Measure_Caps[[#Totals],[Estimated Raw Incentive Total]], Table_Measure_Caps[[#Totals],[Gross Measure Cost Total]], Value_Project_CAP)/Table_Measure_Caps[[#Totals],[Estimated Raw Incentive Total]], "")</f>
        <v/>
      </c>
      <c r="J142" s="69" t="e">
        <f>#REF!</f>
        <v>#REF!</v>
      </c>
      <c r="K142" s="73" t="str">
        <f t="shared" si="5"/>
        <v>Version 2.1</v>
      </c>
      <c r="L142" s="74" t="e">
        <f>#REF!</f>
        <v>#REF!</v>
      </c>
      <c r="M142" s="71" t="e">
        <f>#REF!</f>
        <v>#REF!</v>
      </c>
    </row>
    <row r="143" spans="1:13" hidden="1" x14ac:dyDescent="0.2">
      <c r="A143" s="68" t="s">
        <v>524</v>
      </c>
      <c r="B143" s="69">
        <f t="shared" si="6"/>
        <v>0</v>
      </c>
      <c r="C143" s="69">
        <v>11</v>
      </c>
      <c r="D143" s="69" t="e">
        <f>#REF!</f>
        <v>#REF!</v>
      </c>
      <c r="E143" s="69" t="e">
        <f>#REF!</f>
        <v>#REF!</v>
      </c>
      <c r="F143" s="69" t="e">
        <f>#REF!</f>
        <v>#REF!</v>
      </c>
      <c r="G143" s="70" t="e">
        <f>#REF!</f>
        <v>#REF!</v>
      </c>
      <c r="H143" s="93" t="e">
        <f>#REF!</f>
        <v>#REF!</v>
      </c>
      <c r="I143" s="72" t="str">
        <f>IFERROR(M143*MIN(Table_Measure_Caps[[#Totals],[Estimated Raw Incentive Total]], Table_Measure_Caps[[#Totals],[Gross Measure Cost Total]], Value_Project_CAP)/Table_Measure_Caps[[#Totals],[Estimated Raw Incentive Total]], "")</f>
        <v/>
      </c>
      <c r="J143" s="69" t="e">
        <f>#REF!</f>
        <v>#REF!</v>
      </c>
      <c r="K143" s="73" t="str">
        <f t="shared" si="5"/>
        <v>Version 2.1</v>
      </c>
      <c r="L143" s="74" t="e">
        <f>#REF!</f>
        <v>#REF!</v>
      </c>
      <c r="M143" s="71" t="e">
        <f>#REF!</f>
        <v>#REF!</v>
      </c>
    </row>
    <row r="144" spans="1:13" hidden="1" x14ac:dyDescent="0.2">
      <c r="A144" s="68" t="s">
        <v>524</v>
      </c>
      <c r="B144" s="75">
        <f t="shared" si="6"/>
        <v>0</v>
      </c>
      <c r="C144" s="75">
        <v>12</v>
      </c>
      <c r="D144" s="69" t="e">
        <f>#REF!</f>
        <v>#REF!</v>
      </c>
      <c r="E144" s="69" t="e">
        <f>#REF!</f>
        <v>#REF!</v>
      </c>
      <c r="F144" s="69" t="e">
        <f>#REF!</f>
        <v>#REF!</v>
      </c>
      <c r="G144" s="70" t="e">
        <f>#REF!</f>
        <v>#REF!</v>
      </c>
      <c r="H144" s="93" t="e">
        <f>#REF!</f>
        <v>#REF!</v>
      </c>
      <c r="I144" s="72" t="str">
        <f>IFERROR(M144*MIN(Table_Measure_Caps[[#Totals],[Estimated Raw Incentive Total]], Table_Measure_Caps[[#Totals],[Gross Measure Cost Total]], Value_Project_CAP)/Table_Measure_Caps[[#Totals],[Estimated Raw Incentive Total]], "")</f>
        <v/>
      </c>
      <c r="J144" s="69" t="e">
        <f>#REF!</f>
        <v>#REF!</v>
      </c>
      <c r="K144" s="73" t="str">
        <f t="shared" si="5"/>
        <v>Version 2.1</v>
      </c>
      <c r="L144" s="74" t="e">
        <f>#REF!</f>
        <v>#REF!</v>
      </c>
      <c r="M144" s="71" t="e">
        <f>#REF!</f>
        <v>#REF!</v>
      </c>
    </row>
    <row r="145" spans="1:13" hidden="1" x14ac:dyDescent="0.2">
      <c r="A145" s="68" t="s">
        <v>524</v>
      </c>
      <c r="B145" s="69">
        <f t="shared" si="6"/>
        <v>0</v>
      </c>
      <c r="C145" s="69">
        <v>13</v>
      </c>
      <c r="D145" s="69" t="e">
        <f>#REF!</f>
        <v>#REF!</v>
      </c>
      <c r="E145" s="69" t="e">
        <f>#REF!</f>
        <v>#REF!</v>
      </c>
      <c r="F145" s="69" t="e">
        <f>#REF!</f>
        <v>#REF!</v>
      </c>
      <c r="G145" s="70" t="e">
        <f>#REF!</f>
        <v>#REF!</v>
      </c>
      <c r="H145" s="93" t="e">
        <f>#REF!</f>
        <v>#REF!</v>
      </c>
      <c r="I145" s="72" t="str">
        <f>IFERROR(M145*MIN(Table_Measure_Caps[[#Totals],[Estimated Raw Incentive Total]], Table_Measure_Caps[[#Totals],[Gross Measure Cost Total]], Value_Project_CAP)/Table_Measure_Caps[[#Totals],[Estimated Raw Incentive Total]], "")</f>
        <v/>
      </c>
      <c r="J145" s="69" t="e">
        <f>#REF!</f>
        <v>#REF!</v>
      </c>
      <c r="K145" s="73" t="str">
        <f t="shared" si="5"/>
        <v>Version 2.1</v>
      </c>
      <c r="L145" s="74" t="e">
        <f>#REF!</f>
        <v>#REF!</v>
      </c>
      <c r="M145" s="71" t="e">
        <f>#REF!</f>
        <v>#REF!</v>
      </c>
    </row>
    <row r="146" spans="1:13" hidden="1" x14ac:dyDescent="0.2">
      <c r="A146" s="68" t="s">
        <v>524</v>
      </c>
      <c r="B146" s="75">
        <f t="shared" si="6"/>
        <v>0</v>
      </c>
      <c r="C146" s="75">
        <v>14</v>
      </c>
      <c r="D146" s="69" t="e">
        <f>#REF!</f>
        <v>#REF!</v>
      </c>
      <c r="E146" s="69" t="e">
        <f>#REF!</f>
        <v>#REF!</v>
      </c>
      <c r="F146" s="69" t="e">
        <f>#REF!</f>
        <v>#REF!</v>
      </c>
      <c r="G146" s="70" t="e">
        <f>#REF!</f>
        <v>#REF!</v>
      </c>
      <c r="H146" s="93" t="e">
        <f>#REF!</f>
        <v>#REF!</v>
      </c>
      <c r="I146" s="72" t="str">
        <f>IFERROR(M146*MIN(Table_Measure_Caps[[#Totals],[Estimated Raw Incentive Total]], Table_Measure_Caps[[#Totals],[Gross Measure Cost Total]], Value_Project_CAP)/Table_Measure_Caps[[#Totals],[Estimated Raw Incentive Total]], "")</f>
        <v/>
      </c>
      <c r="J146" s="69" t="e">
        <f>#REF!</f>
        <v>#REF!</v>
      </c>
      <c r="K146" s="73" t="str">
        <f t="shared" si="5"/>
        <v>Version 2.1</v>
      </c>
      <c r="L146" s="74" t="e">
        <f>#REF!</f>
        <v>#REF!</v>
      </c>
      <c r="M146" s="71" t="e">
        <f>#REF!</f>
        <v>#REF!</v>
      </c>
    </row>
    <row r="147" spans="1:13" hidden="1" x14ac:dyDescent="0.2">
      <c r="A147" s="68" t="s">
        <v>524</v>
      </c>
      <c r="B147" s="69">
        <f t="shared" si="6"/>
        <v>0</v>
      </c>
      <c r="C147" s="69">
        <v>15</v>
      </c>
      <c r="D147" s="69" t="e">
        <f>#REF!</f>
        <v>#REF!</v>
      </c>
      <c r="E147" s="69" t="e">
        <f>#REF!</f>
        <v>#REF!</v>
      </c>
      <c r="F147" s="69" t="e">
        <f>#REF!</f>
        <v>#REF!</v>
      </c>
      <c r="G147" s="70" t="e">
        <f>#REF!</f>
        <v>#REF!</v>
      </c>
      <c r="H147" s="93" t="e">
        <f>#REF!</f>
        <v>#REF!</v>
      </c>
      <c r="I147" s="72" t="str">
        <f>IFERROR(M147*MIN(Table_Measure_Caps[[#Totals],[Estimated Raw Incentive Total]], Table_Measure_Caps[[#Totals],[Gross Measure Cost Total]], Value_Project_CAP)/Table_Measure_Caps[[#Totals],[Estimated Raw Incentive Total]], "")</f>
        <v/>
      </c>
      <c r="J147" s="69" t="e">
        <f>#REF!</f>
        <v>#REF!</v>
      </c>
      <c r="K147" s="73" t="str">
        <f t="shared" si="5"/>
        <v>Version 2.1</v>
      </c>
      <c r="L147" s="74" t="e">
        <f>#REF!</f>
        <v>#REF!</v>
      </c>
      <c r="M147" s="71" t="e">
        <f>#REF!</f>
        <v>#REF!</v>
      </c>
    </row>
    <row r="148" spans="1:13" hidden="1" x14ac:dyDescent="0.2">
      <c r="A148" s="68" t="s">
        <v>524</v>
      </c>
      <c r="B148" s="75">
        <f t="shared" si="6"/>
        <v>0</v>
      </c>
      <c r="C148" s="75">
        <v>16</v>
      </c>
      <c r="D148" s="69" t="e">
        <f>#REF!</f>
        <v>#REF!</v>
      </c>
      <c r="E148" s="69" t="e">
        <f>#REF!</f>
        <v>#REF!</v>
      </c>
      <c r="F148" s="69" t="e">
        <f>#REF!</f>
        <v>#REF!</v>
      </c>
      <c r="G148" s="70" t="e">
        <f>#REF!</f>
        <v>#REF!</v>
      </c>
      <c r="H148" s="93" t="e">
        <f>#REF!</f>
        <v>#REF!</v>
      </c>
      <c r="I148" s="72" t="str">
        <f>IFERROR(M148*MIN(Table_Measure_Caps[[#Totals],[Estimated Raw Incentive Total]], Table_Measure_Caps[[#Totals],[Gross Measure Cost Total]], Value_Project_CAP)/Table_Measure_Caps[[#Totals],[Estimated Raw Incentive Total]], "")</f>
        <v/>
      </c>
      <c r="J148" s="69" t="e">
        <f>#REF!</f>
        <v>#REF!</v>
      </c>
      <c r="K148" s="73" t="str">
        <f t="shared" si="5"/>
        <v>Version 2.1</v>
      </c>
      <c r="L148" s="74" t="e">
        <f>#REF!</f>
        <v>#REF!</v>
      </c>
      <c r="M148" s="71" t="e">
        <f>#REF!</f>
        <v>#REF!</v>
      </c>
    </row>
    <row r="149" spans="1:13" hidden="1" x14ac:dyDescent="0.2">
      <c r="A149" s="68" t="s">
        <v>524</v>
      </c>
      <c r="B149" s="69">
        <f t="shared" si="6"/>
        <v>0</v>
      </c>
      <c r="C149" s="69">
        <v>17</v>
      </c>
      <c r="D149" s="69" t="e">
        <f>#REF!</f>
        <v>#REF!</v>
      </c>
      <c r="E149" s="69" t="e">
        <f>#REF!</f>
        <v>#REF!</v>
      </c>
      <c r="F149" s="69" t="e">
        <f>#REF!</f>
        <v>#REF!</v>
      </c>
      <c r="G149" s="70" t="e">
        <f>#REF!</f>
        <v>#REF!</v>
      </c>
      <c r="H149" s="93" t="e">
        <f>#REF!</f>
        <v>#REF!</v>
      </c>
      <c r="I149" s="72" t="str">
        <f>IFERROR(M149*MIN(Table_Measure_Caps[[#Totals],[Estimated Raw Incentive Total]], Table_Measure_Caps[[#Totals],[Gross Measure Cost Total]], Value_Project_CAP)/Table_Measure_Caps[[#Totals],[Estimated Raw Incentive Total]], "")</f>
        <v/>
      </c>
      <c r="J149" s="69" t="e">
        <f>#REF!</f>
        <v>#REF!</v>
      </c>
      <c r="K149" s="73" t="str">
        <f t="shared" si="5"/>
        <v>Version 2.1</v>
      </c>
      <c r="L149" s="74" t="e">
        <f>#REF!</f>
        <v>#REF!</v>
      </c>
      <c r="M149" s="71" t="e">
        <f>#REF!</f>
        <v>#REF!</v>
      </c>
    </row>
    <row r="150" spans="1:13" hidden="1" x14ac:dyDescent="0.2">
      <c r="A150" s="68" t="s">
        <v>524</v>
      </c>
      <c r="B150" s="75">
        <f t="shared" si="6"/>
        <v>0</v>
      </c>
      <c r="C150" s="75">
        <v>18</v>
      </c>
      <c r="D150" s="69" t="e">
        <f>#REF!</f>
        <v>#REF!</v>
      </c>
      <c r="E150" s="69" t="e">
        <f>#REF!</f>
        <v>#REF!</v>
      </c>
      <c r="F150" s="69" t="e">
        <f>#REF!</f>
        <v>#REF!</v>
      </c>
      <c r="G150" s="70" t="e">
        <f>#REF!</f>
        <v>#REF!</v>
      </c>
      <c r="H150" s="93" t="e">
        <f>#REF!</f>
        <v>#REF!</v>
      </c>
      <c r="I150" s="72" t="str">
        <f>IFERROR(M150*MIN(Table_Measure_Caps[[#Totals],[Estimated Raw Incentive Total]], Table_Measure_Caps[[#Totals],[Gross Measure Cost Total]], Value_Project_CAP)/Table_Measure_Caps[[#Totals],[Estimated Raw Incentive Total]], "")</f>
        <v/>
      </c>
      <c r="J150" s="69" t="e">
        <f>#REF!</f>
        <v>#REF!</v>
      </c>
      <c r="K150" s="73" t="str">
        <f t="shared" si="5"/>
        <v>Version 2.1</v>
      </c>
      <c r="L150" s="74" t="e">
        <f>#REF!</f>
        <v>#REF!</v>
      </c>
      <c r="M150" s="71" t="e">
        <f>#REF!</f>
        <v>#REF!</v>
      </c>
    </row>
    <row r="151" spans="1:13" hidden="1" x14ac:dyDescent="0.2">
      <c r="A151" s="68" t="s">
        <v>524</v>
      </c>
      <c r="B151" s="69">
        <f t="shared" si="6"/>
        <v>0</v>
      </c>
      <c r="C151" s="69">
        <v>19</v>
      </c>
      <c r="D151" s="69" t="e">
        <f>#REF!</f>
        <v>#REF!</v>
      </c>
      <c r="E151" s="69" t="e">
        <f>#REF!</f>
        <v>#REF!</v>
      </c>
      <c r="F151" s="69" t="e">
        <f>#REF!</f>
        <v>#REF!</v>
      </c>
      <c r="G151" s="70" t="e">
        <f>#REF!</f>
        <v>#REF!</v>
      </c>
      <c r="H151" s="93" t="e">
        <f>#REF!</f>
        <v>#REF!</v>
      </c>
      <c r="I151" s="72" t="str">
        <f>IFERROR(M151*MIN(Table_Measure_Caps[[#Totals],[Estimated Raw Incentive Total]], Table_Measure_Caps[[#Totals],[Gross Measure Cost Total]], Value_Project_CAP)/Table_Measure_Caps[[#Totals],[Estimated Raw Incentive Total]], "")</f>
        <v/>
      </c>
      <c r="J151" s="69" t="e">
        <f>#REF!</f>
        <v>#REF!</v>
      </c>
      <c r="K151" s="73" t="str">
        <f t="shared" si="5"/>
        <v>Version 2.1</v>
      </c>
      <c r="L151" s="74" t="e">
        <f>#REF!</f>
        <v>#REF!</v>
      </c>
      <c r="M151" s="71" t="e">
        <f>#REF!</f>
        <v>#REF!</v>
      </c>
    </row>
    <row r="152" spans="1:13" hidden="1" x14ac:dyDescent="0.2">
      <c r="A152" s="68" t="s">
        <v>524</v>
      </c>
      <c r="B152" s="75">
        <f t="shared" si="6"/>
        <v>0</v>
      </c>
      <c r="C152" s="75">
        <v>20</v>
      </c>
      <c r="D152" s="69" t="e">
        <f>#REF!</f>
        <v>#REF!</v>
      </c>
      <c r="E152" s="69" t="e">
        <f>#REF!</f>
        <v>#REF!</v>
      </c>
      <c r="F152" s="69" t="e">
        <f>#REF!</f>
        <v>#REF!</v>
      </c>
      <c r="G152" s="70" t="e">
        <f>#REF!</f>
        <v>#REF!</v>
      </c>
      <c r="H152" s="93" t="e">
        <f>#REF!</f>
        <v>#REF!</v>
      </c>
      <c r="I152" s="72" t="str">
        <f>IFERROR(M152*MIN(Table_Measure_Caps[[#Totals],[Estimated Raw Incentive Total]], Table_Measure_Caps[[#Totals],[Gross Measure Cost Total]], Value_Project_CAP)/Table_Measure_Caps[[#Totals],[Estimated Raw Incentive Total]], "")</f>
        <v/>
      </c>
      <c r="J152" s="69" t="e">
        <f>#REF!</f>
        <v>#REF!</v>
      </c>
      <c r="K152" s="73" t="str">
        <f t="shared" si="5"/>
        <v>Version 2.1</v>
      </c>
      <c r="L152" s="74" t="e">
        <f>#REF!</f>
        <v>#REF!</v>
      </c>
      <c r="M152" s="71" t="e">
        <f>#REF!</f>
        <v>#REF!</v>
      </c>
    </row>
    <row r="153" spans="1:13" hidden="1" x14ac:dyDescent="0.2">
      <c r="A153" s="68" t="s">
        <v>524</v>
      </c>
      <c r="B153" s="69">
        <f t="shared" si="6"/>
        <v>0</v>
      </c>
      <c r="C153" s="69">
        <v>21</v>
      </c>
      <c r="D153" s="69" t="e">
        <f>#REF!</f>
        <v>#REF!</v>
      </c>
      <c r="E153" s="69" t="e">
        <f>#REF!</f>
        <v>#REF!</v>
      </c>
      <c r="F153" s="69" t="e">
        <f>#REF!</f>
        <v>#REF!</v>
      </c>
      <c r="G153" s="70" t="e">
        <f>#REF!</f>
        <v>#REF!</v>
      </c>
      <c r="H153" s="93" t="e">
        <f>#REF!</f>
        <v>#REF!</v>
      </c>
      <c r="I153" s="72" t="str">
        <f>IFERROR(M153*MIN(Table_Measure_Caps[[#Totals],[Estimated Raw Incentive Total]], Table_Measure_Caps[[#Totals],[Gross Measure Cost Total]], Value_Project_CAP)/Table_Measure_Caps[[#Totals],[Estimated Raw Incentive Total]], "")</f>
        <v/>
      </c>
      <c r="J153" s="69" t="e">
        <f>#REF!</f>
        <v>#REF!</v>
      </c>
      <c r="K153" s="73" t="str">
        <f t="shared" si="5"/>
        <v>Version 2.1</v>
      </c>
      <c r="L153" s="74" t="e">
        <f>#REF!</f>
        <v>#REF!</v>
      </c>
      <c r="M153" s="71" t="e">
        <f>#REF!</f>
        <v>#REF!</v>
      </c>
    </row>
    <row r="154" spans="1:13" hidden="1" x14ac:dyDescent="0.2">
      <c r="A154" s="68" t="s">
        <v>524</v>
      </c>
      <c r="B154" s="75">
        <f t="shared" si="6"/>
        <v>0</v>
      </c>
      <c r="C154" s="75">
        <v>22</v>
      </c>
      <c r="D154" s="69" t="e">
        <f>#REF!</f>
        <v>#REF!</v>
      </c>
      <c r="E154" s="69" t="e">
        <f>#REF!</f>
        <v>#REF!</v>
      </c>
      <c r="F154" s="69" t="e">
        <f>#REF!</f>
        <v>#REF!</v>
      </c>
      <c r="G154" s="70" t="e">
        <f>#REF!</f>
        <v>#REF!</v>
      </c>
      <c r="H154" s="93" t="e">
        <f>#REF!</f>
        <v>#REF!</v>
      </c>
      <c r="I154" s="72" t="str">
        <f>IFERROR(M154*MIN(Table_Measure_Caps[[#Totals],[Estimated Raw Incentive Total]], Table_Measure_Caps[[#Totals],[Gross Measure Cost Total]], Value_Project_CAP)/Table_Measure_Caps[[#Totals],[Estimated Raw Incentive Total]], "")</f>
        <v/>
      </c>
      <c r="J154" s="69" t="e">
        <f>#REF!</f>
        <v>#REF!</v>
      </c>
      <c r="K154" s="73" t="str">
        <f t="shared" si="5"/>
        <v>Version 2.1</v>
      </c>
      <c r="L154" s="74" t="e">
        <f>#REF!</f>
        <v>#REF!</v>
      </c>
      <c r="M154" s="71" t="e">
        <f>#REF!</f>
        <v>#REF!</v>
      </c>
    </row>
    <row r="155" spans="1:13" hidden="1" x14ac:dyDescent="0.2">
      <c r="A155" s="68" t="s">
        <v>524</v>
      </c>
      <c r="B155" s="69">
        <f t="shared" si="6"/>
        <v>0</v>
      </c>
      <c r="C155" s="69">
        <v>23</v>
      </c>
      <c r="D155" s="69" t="e">
        <f>#REF!</f>
        <v>#REF!</v>
      </c>
      <c r="E155" s="69" t="e">
        <f>#REF!</f>
        <v>#REF!</v>
      </c>
      <c r="F155" s="69" t="e">
        <f>#REF!</f>
        <v>#REF!</v>
      </c>
      <c r="G155" s="70" t="e">
        <f>#REF!</f>
        <v>#REF!</v>
      </c>
      <c r="H155" s="93" t="e">
        <f>#REF!</f>
        <v>#REF!</v>
      </c>
      <c r="I155" s="72" t="str">
        <f>IFERROR(M155*MIN(Table_Measure_Caps[[#Totals],[Estimated Raw Incentive Total]], Table_Measure_Caps[[#Totals],[Gross Measure Cost Total]], Value_Project_CAP)/Table_Measure_Caps[[#Totals],[Estimated Raw Incentive Total]], "")</f>
        <v/>
      </c>
      <c r="J155" s="69" t="e">
        <f>#REF!</f>
        <v>#REF!</v>
      </c>
      <c r="K155" s="73" t="str">
        <f t="shared" si="5"/>
        <v>Version 2.1</v>
      </c>
      <c r="L155" s="74" t="e">
        <f>#REF!</f>
        <v>#REF!</v>
      </c>
      <c r="M155" s="71" t="e">
        <f>#REF!</f>
        <v>#REF!</v>
      </c>
    </row>
    <row r="156" spans="1:13" hidden="1" x14ac:dyDescent="0.2">
      <c r="A156" s="68" t="s">
        <v>524</v>
      </c>
      <c r="B156" s="75">
        <f t="shared" si="6"/>
        <v>0</v>
      </c>
      <c r="C156" s="75">
        <v>24</v>
      </c>
      <c r="D156" s="69" t="e">
        <f>#REF!</f>
        <v>#REF!</v>
      </c>
      <c r="E156" s="69" t="e">
        <f>#REF!</f>
        <v>#REF!</v>
      </c>
      <c r="F156" s="69" t="e">
        <f>#REF!</f>
        <v>#REF!</v>
      </c>
      <c r="G156" s="70" t="e">
        <f>#REF!</f>
        <v>#REF!</v>
      </c>
      <c r="H156" s="93" t="e">
        <f>#REF!</f>
        <v>#REF!</v>
      </c>
      <c r="I156" s="72" t="str">
        <f>IFERROR(M156*MIN(Table_Measure_Caps[[#Totals],[Estimated Raw Incentive Total]], Table_Measure_Caps[[#Totals],[Gross Measure Cost Total]], Value_Project_CAP)/Table_Measure_Caps[[#Totals],[Estimated Raw Incentive Total]], "")</f>
        <v/>
      </c>
      <c r="J156" s="69" t="e">
        <f>#REF!</f>
        <v>#REF!</v>
      </c>
      <c r="K156" s="73" t="str">
        <f t="shared" si="5"/>
        <v>Version 2.1</v>
      </c>
      <c r="L156" s="74" t="e">
        <f>#REF!</f>
        <v>#REF!</v>
      </c>
      <c r="M156" s="71" t="e">
        <f>#REF!</f>
        <v>#REF!</v>
      </c>
    </row>
    <row r="157" spans="1:13" hidden="1" x14ac:dyDescent="0.2">
      <c r="A157" s="68" t="s">
        <v>524</v>
      </c>
      <c r="B157" s="69">
        <f t="shared" si="6"/>
        <v>0</v>
      </c>
      <c r="C157" s="69">
        <v>25</v>
      </c>
      <c r="D157" s="69" t="e">
        <f>#REF!</f>
        <v>#REF!</v>
      </c>
      <c r="E157" s="69" t="e">
        <f>#REF!</f>
        <v>#REF!</v>
      </c>
      <c r="F157" s="69" t="e">
        <f>#REF!</f>
        <v>#REF!</v>
      </c>
      <c r="G157" s="70" t="e">
        <f>#REF!</f>
        <v>#REF!</v>
      </c>
      <c r="H157" s="93" t="e">
        <f>#REF!</f>
        <v>#REF!</v>
      </c>
      <c r="I157" s="72" t="str">
        <f>IFERROR(M157*MIN(Table_Measure_Caps[[#Totals],[Estimated Raw Incentive Total]], Table_Measure_Caps[[#Totals],[Gross Measure Cost Total]], Value_Project_CAP)/Table_Measure_Caps[[#Totals],[Estimated Raw Incentive Total]], "")</f>
        <v/>
      </c>
      <c r="J157" s="69" t="e">
        <f>#REF!</f>
        <v>#REF!</v>
      </c>
      <c r="K157" s="73" t="str">
        <f t="shared" si="5"/>
        <v>Version 2.1</v>
      </c>
      <c r="L157" s="74" t="e">
        <f>#REF!</f>
        <v>#REF!</v>
      </c>
      <c r="M157" s="71" t="e">
        <f>#REF!</f>
        <v>#REF!</v>
      </c>
    </row>
    <row r="158" spans="1:13" hidden="1" x14ac:dyDescent="0.2">
      <c r="A158" s="68" t="s">
        <v>524</v>
      </c>
      <c r="B158" s="75">
        <f t="shared" si="6"/>
        <v>0</v>
      </c>
      <c r="C158" s="75">
        <v>26</v>
      </c>
      <c r="D158" s="69" t="e">
        <f>#REF!</f>
        <v>#REF!</v>
      </c>
      <c r="E158" s="69" t="e">
        <f>#REF!</f>
        <v>#REF!</v>
      </c>
      <c r="F158" s="69" t="e">
        <f>#REF!</f>
        <v>#REF!</v>
      </c>
      <c r="G158" s="70" t="e">
        <f>#REF!</f>
        <v>#REF!</v>
      </c>
      <c r="H158" s="93" t="e">
        <f>#REF!</f>
        <v>#REF!</v>
      </c>
      <c r="I158" s="72" t="str">
        <f>IFERROR(M158*MIN(Table_Measure_Caps[[#Totals],[Estimated Raw Incentive Total]], Table_Measure_Caps[[#Totals],[Gross Measure Cost Total]], Value_Project_CAP)/Table_Measure_Caps[[#Totals],[Estimated Raw Incentive Total]], "")</f>
        <v/>
      </c>
      <c r="J158" s="69" t="e">
        <f>#REF!</f>
        <v>#REF!</v>
      </c>
      <c r="K158" s="73" t="str">
        <f t="shared" si="5"/>
        <v>Version 2.1</v>
      </c>
      <c r="L158" s="74" t="e">
        <f>#REF!</f>
        <v>#REF!</v>
      </c>
      <c r="M158" s="71" t="e">
        <f>#REF!</f>
        <v>#REF!</v>
      </c>
    </row>
    <row r="159" spans="1:13" hidden="1" x14ac:dyDescent="0.2">
      <c r="A159" s="68" t="s">
        <v>524</v>
      </c>
      <c r="B159" s="69">
        <f t="shared" si="6"/>
        <v>0</v>
      </c>
      <c r="C159" s="69">
        <v>27</v>
      </c>
      <c r="D159" s="69" t="e">
        <f>#REF!</f>
        <v>#REF!</v>
      </c>
      <c r="E159" s="69" t="e">
        <f>#REF!</f>
        <v>#REF!</v>
      </c>
      <c r="F159" s="69" t="e">
        <f>#REF!</f>
        <v>#REF!</v>
      </c>
      <c r="G159" s="70" t="e">
        <f>#REF!</f>
        <v>#REF!</v>
      </c>
      <c r="H159" s="93" t="e">
        <f>#REF!</f>
        <v>#REF!</v>
      </c>
      <c r="I159" s="72" t="str">
        <f>IFERROR(M159*MIN(Table_Measure_Caps[[#Totals],[Estimated Raw Incentive Total]], Table_Measure_Caps[[#Totals],[Gross Measure Cost Total]], Value_Project_CAP)/Table_Measure_Caps[[#Totals],[Estimated Raw Incentive Total]], "")</f>
        <v/>
      </c>
      <c r="J159" s="69" t="e">
        <f>#REF!</f>
        <v>#REF!</v>
      </c>
      <c r="K159" s="73" t="str">
        <f t="shared" si="5"/>
        <v>Version 2.1</v>
      </c>
      <c r="L159" s="74" t="e">
        <f>#REF!</f>
        <v>#REF!</v>
      </c>
      <c r="M159" s="71" t="e">
        <f>#REF!</f>
        <v>#REF!</v>
      </c>
    </row>
    <row r="160" spans="1:13" hidden="1" x14ac:dyDescent="0.2">
      <c r="A160" s="68" t="s">
        <v>524</v>
      </c>
      <c r="B160" s="75">
        <f t="shared" si="6"/>
        <v>0</v>
      </c>
      <c r="C160" s="75">
        <v>28</v>
      </c>
      <c r="D160" s="69" t="e">
        <f>#REF!</f>
        <v>#REF!</v>
      </c>
      <c r="E160" s="69" t="e">
        <f>#REF!</f>
        <v>#REF!</v>
      </c>
      <c r="F160" s="69" t="e">
        <f>#REF!</f>
        <v>#REF!</v>
      </c>
      <c r="G160" s="70" t="e">
        <f>#REF!</f>
        <v>#REF!</v>
      </c>
      <c r="H160" s="93" t="e">
        <f>#REF!</f>
        <v>#REF!</v>
      </c>
      <c r="I160" s="72" t="str">
        <f>IFERROR(M160*MIN(Table_Measure_Caps[[#Totals],[Estimated Raw Incentive Total]], Table_Measure_Caps[[#Totals],[Gross Measure Cost Total]], Value_Project_CAP)/Table_Measure_Caps[[#Totals],[Estimated Raw Incentive Total]], "")</f>
        <v/>
      </c>
      <c r="J160" s="69" t="e">
        <f>#REF!</f>
        <v>#REF!</v>
      </c>
      <c r="K160" s="73" t="str">
        <f t="shared" si="5"/>
        <v>Version 2.1</v>
      </c>
      <c r="L160" s="74" t="e">
        <f>#REF!</f>
        <v>#REF!</v>
      </c>
      <c r="M160" s="71" t="e">
        <f>#REF!</f>
        <v>#REF!</v>
      </c>
    </row>
    <row r="161" spans="1:13" hidden="1" x14ac:dyDescent="0.2">
      <c r="A161" s="68" t="s">
        <v>524</v>
      </c>
      <c r="B161" s="69">
        <f t="shared" si="6"/>
        <v>0</v>
      </c>
      <c r="C161" s="69">
        <v>29</v>
      </c>
      <c r="D161" s="69" t="e">
        <f>#REF!</f>
        <v>#REF!</v>
      </c>
      <c r="E161" s="69" t="e">
        <f>#REF!</f>
        <v>#REF!</v>
      </c>
      <c r="F161" s="69" t="e">
        <f>#REF!</f>
        <v>#REF!</v>
      </c>
      <c r="G161" s="70" t="e">
        <f>#REF!</f>
        <v>#REF!</v>
      </c>
      <c r="H161" s="93" t="e">
        <f>#REF!</f>
        <v>#REF!</v>
      </c>
      <c r="I161" s="72" t="str">
        <f>IFERROR(M161*MIN(Table_Measure_Caps[[#Totals],[Estimated Raw Incentive Total]], Table_Measure_Caps[[#Totals],[Gross Measure Cost Total]], Value_Project_CAP)/Table_Measure_Caps[[#Totals],[Estimated Raw Incentive Total]], "")</f>
        <v/>
      </c>
      <c r="J161" s="69" t="e">
        <f>#REF!</f>
        <v>#REF!</v>
      </c>
      <c r="K161" s="73" t="str">
        <f t="shared" si="5"/>
        <v>Version 2.1</v>
      </c>
      <c r="L161" s="74" t="e">
        <f>#REF!</f>
        <v>#REF!</v>
      </c>
      <c r="M161" s="71" t="e">
        <f>#REF!</f>
        <v>#REF!</v>
      </c>
    </row>
    <row r="162" spans="1:13" hidden="1" x14ac:dyDescent="0.2">
      <c r="A162" s="68" t="s">
        <v>524</v>
      </c>
      <c r="B162" s="75">
        <f t="shared" si="6"/>
        <v>0</v>
      </c>
      <c r="C162" s="75">
        <v>30</v>
      </c>
      <c r="D162" s="69" t="e">
        <f>#REF!</f>
        <v>#REF!</v>
      </c>
      <c r="E162" s="69" t="e">
        <f>#REF!</f>
        <v>#REF!</v>
      </c>
      <c r="F162" s="69" t="e">
        <f>#REF!</f>
        <v>#REF!</v>
      </c>
      <c r="G162" s="70" t="e">
        <f>#REF!</f>
        <v>#REF!</v>
      </c>
      <c r="H162" s="93" t="e">
        <f>#REF!</f>
        <v>#REF!</v>
      </c>
      <c r="I162" s="72" t="str">
        <f>IFERROR(M162*MIN(Table_Measure_Caps[[#Totals],[Estimated Raw Incentive Total]], Table_Measure_Caps[[#Totals],[Gross Measure Cost Total]], Value_Project_CAP)/Table_Measure_Caps[[#Totals],[Estimated Raw Incentive Total]], "")</f>
        <v/>
      </c>
      <c r="J162" s="69" t="e">
        <f>#REF!</f>
        <v>#REF!</v>
      </c>
      <c r="K162" s="73" t="str">
        <f t="shared" si="5"/>
        <v>Version 2.1</v>
      </c>
      <c r="L162" s="74" t="e">
        <f>#REF!</f>
        <v>#REF!</v>
      </c>
      <c r="M162" s="71" t="e">
        <f>#REF!</f>
        <v>#REF!</v>
      </c>
    </row>
    <row r="163" spans="1:13" hidden="1" x14ac:dyDescent="0.2">
      <c r="A163" s="76" t="s">
        <v>525</v>
      </c>
      <c r="B163" s="77">
        <f t="shared" si="6"/>
        <v>0</v>
      </c>
      <c r="C163" s="77">
        <v>1</v>
      </c>
      <c r="D163" s="77" t="e">
        <f>#REF!</f>
        <v>#REF!</v>
      </c>
      <c r="E163" s="77" t="e">
        <f>#REF!</f>
        <v>#REF!</v>
      </c>
      <c r="F163" s="77" t="e">
        <f>#REF!</f>
        <v>#REF!</v>
      </c>
      <c r="G163" s="78" t="e">
        <f>#REF!</f>
        <v>#REF!</v>
      </c>
      <c r="H163" s="94" t="e">
        <f>#REF!</f>
        <v>#REF!</v>
      </c>
      <c r="I163" s="80" t="str">
        <f>IFERROR(M163*MIN(Table_Measure_Caps[[#Totals],[Estimated Raw Incentive Total]], Table_Measure_Caps[[#Totals],[Gross Measure Cost Total]], Value_Project_CAP)/Table_Measure_Caps[[#Totals],[Estimated Raw Incentive Total]], "")</f>
        <v/>
      </c>
      <c r="J163" s="77" t="e">
        <f>#REF!</f>
        <v>#REF!</v>
      </c>
      <c r="K163" s="81" t="str">
        <f t="shared" si="5"/>
        <v>Version 2.1</v>
      </c>
      <c r="L163" s="82" t="e">
        <f>#REF!</f>
        <v>#REF!</v>
      </c>
      <c r="M163" s="79" t="e">
        <f>#REF!</f>
        <v>#REF!</v>
      </c>
    </row>
    <row r="164" spans="1:13" hidden="1" x14ac:dyDescent="0.2">
      <c r="A164" s="76" t="s">
        <v>525</v>
      </c>
      <c r="B164" s="77">
        <f t="shared" si="6"/>
        <v>0</v>
      </c>
      <c r="C164" s="77">
        <v>2</v>
      </c>
      <c r="D164" s="77" t="e">
        <f>#REF!</f>
        <v>#REF!</v>
      </c>
      <c r="E164" s="77" t="e">
        <f>#REF!</f>
        <v>#REF!</v>
      </c>
      <c r="F164" s="77" t="e">
        <f>#REF!</f>
        <v>#REF!</v>
      </c>
      <c r="G164" s="78" t="e">
        <f>#REF!</f>
        <v>#REF!</v>
      </c>
      <c r="H164" s="94" t="e">
        <f>#REF!</f>
        <v>#REF!</v>
      </c>
      <c r="I164" s="80" t="str">
        <f>IFERROR(M164*MIN(Table_Measure_Caps[[#Totals],[Estimated Raw Incentive Total]], Table_Measure_Caps[[#Totals],[Gross Measure Cost Total]], Value_Project_CAP)/Table_Measure_Caps[[#Totals],[Estimated Raw Incentive Total]], "")</f>
        <v/>
      </c>
      <c r="J164" s="77" t="e">
        <f>#REF!</f>
        <v>#REF!</v>
      </c>
      <c r="K164" s="81" t="str">
        <f t="shared" si="5"/>
        <v>Version 2.1</v>
      </c>
      <c r="L164" s="82" t="e">
        <f>#REF!</f>
        <v>#REF!</v>
      </c>
      <c r="M164" s="79" t="e">
        <f>#REF!</f>
        <v>#REF!</v>
      </c>
    </row>
    <row r="165" spans="1:13" hidden="1" x14ac:dyDescent="0.2">
      <c r="A165" s="76" t="s">
        <v>525</v>
      </c>
      <c r="B165" s="77">
        <f t="shared" ref="B165:B196" si="7">Input_ProjectNumber</f>
        <v>0</v>
      </c>
      <c r="C165" s="77">
        <v>3</v>
      </c>
      <c r="D165" s="77" t="e">
        <f>#REF!</f>
        <v>#REF!</v>
      </c>
      <c r="E165" s="77" t="e">
        <f>#REF!</f>
        <v>#REF!</v>
      </c>
      <c r="F165" s="77" t="e">
        <f>#REF!</f>
        <v>#REF!</v>
      </c>
      <c r="G165" s="78" t="e">
        <f>#REF!</f>
        <v>#REF!</v>
      </c>
      <c r="H165" s="94" t="e">
        <f>#REF!</f>
        <v>#REF!</v>
      </c>
      <c r="I165" s="80" t="str">
        <f>IFERROR(M165*MIN(Table_Measure_Caps[[#Totals],[Estimated Raw Incentive Total]], Table_Measure_Caps[[#Totals],[Gross Measure Cost Total]], Value_Project_CAP)/Table_Measure_Caps[[#Totals],[Estimated Raw Incentive Total]], "")</f>
        <v/>
      </c>
      <c r="J165" s="77" t="e">
        <f>#REF!</f>
        <v>#REF!</v>
      </c>
      <c r="K165" s="81" t="str">
        <f t="shared" si="5"/>
        <v>Version 2.1</v>
      </c>
      <c r="L165" s="82" t="e">
        <f>#REF!</f>
        <v>#REF!</v>
      </c>
      <c r="M165" s="79" t="e">
        <f>#REF!</f>
        <v>#REF!</v>
      </c>
    </row>
    <row r="166" spans="1:13" hidden="1" x14ac:dyDescent="0.2">
      <c r="A166" s="76" t="s">
        <v>525</v>
      </c>
      <c r="B166" s="77">
        <f t="shared" si="7"/>
        <v>0</v>
      </c>
      <c r="C166" s="77">
        <v>4</v>
      </c>
      <c r="D166" s="77" t="e">
        <f>#REF!</f>
        <v>#REF!</v>
      </c>
      <c r="E166" s="77" t="e">
        <f>#REF!</f>
        <v>#REF!</v>
      </c>
      <c r="F166" s="77" t="e">
        <f>#REF!</f>
        <v>#REF!</v>
      </c>
      <c r="G166" s="78" t="e">
        <f>#REF!</f>
        <v>#REF!</v>
      </c>
      <c r="H166" s="94" t="e">
        <f>#REF!</f>
        <v>#REF!</v>
      </c>
      <c r="I166" s="80" t="str">
        <f>IFERROR(M166*MIN(Table_Measure_Caps[[#Totals],[Estimated Raw Incentive Total]], Table_Measure_Caps[[#Totals],[Gross Measure Cost Total]], Value_Project_CAP)/Table_Measure_Caps[[#Totals],[Estimated Raw Incentive Total]], "")</f>
        <v/>
      </c>
      <c r="J166" s="77" t="e">
        <f>#REF!</f>
        <v>#REF!</v>
      </c>
      <c r="K166" s="81" t="str">
        <f t="shared" si="5"/>
        <v>Version 2.1</v>
      </c>
      <c r="L166" s="82" t="e">
        <f>#REF!</f>
        <v>#REF!</v>
      </c>
      <c r="M166" s="79" t="e">
        <f>#REF!</f>
        <v>#REF!</v>
      </c>
    </row>
    <row r="167" spans="1:13" hidden="1" x14ac:dyDescent="0.2">
      <c r="A167" s="76" t="s">
        <v>525</v>
      </c>
      <c r="B167" s="77">
        <f t="shared" si="7"/>
        <v>0</v>
      </c>
      <c r="C167" s="77">
        <v>5</v>
      </c>
      <c r="D167" s="77" t="e">
        <f>#REF!</f>
        <v>#REF!</v>
      </c>
      <c r="E167" s="77" t="e">
        <f>#REF!</f>
        <v>#REF!</v>
      </c>
      <c r="F167" s="77" t="e">
        <f>#REF!</f>
        <v>#REF!</v>
      </c>
      <c r="G167" s="78" t="e">
        <f>#REF!</f>
        <v>#REF!</v>
      </c>
      <c r="H167" s="94" t="e">
        <f>#REF!</f>
        <v>#REF!</v>
      </c>
      <c r="I167" s="80" t="str">
        <f>IFERROR(M167*MIN(Table_Measure_Caps[[#Totals],[Estimated Raw Incentive Total]], Table_Measure_Caps[[#Totals],[Gross Measure Cost Total]], Value_Project_CAP)/Table_Measure_Caps[[#Totals],[Estimated Raw Incentive Total]], "")</f>
        <v/>
      </c>
      <c r="J167" s="77" t="e">
        <f>#REF!</f>
        <v>#REF!</v>
      </c>
      <c r="K167" s="81" t="str">
        <f t="shared" si="5"/>
        <v>Version 2.1</v>
      </c>
      <c r="L167" s="82" t="e">
        <f>#REF!</f>
        <v>#REF!</v>
      </c>
      <c r="M167" s="79" t="e">
        <f>#REF!</f>
        <v>#REF!</v>
      </c>
    </row>
    <row r="168" spans="1:13" hidden="1" x14ac:dyDescent="0.2">
      <c r="A168" s="76" t="s">
        <v>525</v>
      </c>
      <c r="B168" s="77">
        <f t="shared" si="7"/>
        <v>0</v>
      </c>
      <c r="C168" s="77">
        <v>6</v>
      </c>
      <c r="D168" s="77" t="e">
        <f>#REF!</f>
        <v>#REF!</v>
      </c>
      <c r="E168" s="77" t="e">
        <f>#REF!</f>
        <v>#REF!</v>
      </c>
      <c r="F168" s="77" t="e">
        <f>#REF!</f>
        <v>#REF!</v>
      </c>
      <c r="G168" s="78" t="e">
        <f>#REF!</f>
        <v>#REF!</v>
      </c>
      <c r="H168" s="94" t="e">
        <f>#REF!</f>
        <v>#REF!</v>
      </c>
      <c r="I168" s="80" t="str">
        <f>IFERROR(M168*MIN(Table_Measure_Caps[[#Totals],[Estimated Raw Incentive Total]], Table_Measure_Caps[[#Totals],[Gross Measure Cost Total]], Value_Project_CAP)/Table_Measure_Caps[[#Totals],[Estimated Raw Incentive Total]], "")</f>
        <v/>
      </c>
      <c r="J168" s="77" t="e">
        <f>#REF!</f>
        <v>#REF!</v>
      </c>
      <c r="K168" s="81" t="str">
        <f t="shared" si="5"/>
        <v>Version 2.1</v>
      </c>
      <c r="L168" s="82" t="e">
        <f>#REF!</f>
        <v>#REF!</v>
      </c>
      <c r="M168" s="79" t="e">
        <f>#REF!</f>
        <v>#REF!</v>
      </c>
    </row>
    <row r="169" spans="1:13" hidden="1" x14ac:dyDescent="0.2">
      <c r="A169" s="76" t="s">
        <v>525</v>
      </c>
      <c r="B169" s="77">
        <f t="shared" si="7"/>
        <v>0</v>
      </c>
      <c r="C169" s="77">
        <v>7</v>
      </c>
      <c r="D169" s="77" t="e">
        <f>#REF!</f>
        <v>#REF!</v>
      </c>
      <c r="E169" s="77" t="e">
        <f>#REF!</f>
        <v>#REF!</v>
      </c>
      <c r="F169" s="77" t="e">
        <f>#REF!</f>
        <v>#REF!</v>
      </c>
      <c r="G169" s="78" t="e">
        <f>#REF!</f>
        <v>#REF!</v>
      </c>
      <c r="H169" s="94" t="e">
        <f>#REF!</f>
        <v>#REF!</v>
      </c>
      <c r="I169" s="80" t="str">
        <f>IFERROR(M169*MIN(Table_Measure_Caps[[#Totals],[Estimated Raw Incentive Total]], Table_Measure_Caps[[#Totals],[Gross Measure Cost Total]], Value_Project_CAP)/Table_Measure_Caps[[#Totals],[Estimated Raw Incentive Total]], "")</f>
        <v/>
      </c>
      <c r="J169" s="77" t="e">
        <f>#REF!</f>
        <v>#REF!</v>
      </c>
      <c r="K169" s="81" t="str">
        <f t="shared" si="5"/>
        <v>Version 2.1</v>
      </c>
      <c r="L169" s="82" t="e">
        <f>#REF!</f>
        <v>#REF!</v>
      </c>
      <c r="M169" s="79" t="e">
        <f>#REF!</f>
        <v>#REF!</v>
      </c>
    </row>
    <row r="170" spans="1:13" hidden="1" x14ac:dyDescent="0.2">
      <c r="A170" s="76" t="s">
        <v>525</v>
      </c>
      <c r="B170" s="77">
        <f t="shared" si="7"/>
        <v>0</v>
      </c>
      <c r="C170" s="77">
        <v>8</v>
      </c>
      <c r="D170" s="77" t="e">
        <f>#REF!</f>
        <v>#REF!</v>
      </c>
      <c r="E170" s="77" t="e">
        <f>#REF!</f>
        <v>#REF!</v>
      </c>
      <c r="F170" s="77" t="e">
        <f>#REF!</f>
        <v>#REF!</v>
      </c>
      <c r="G170" s="78" t="e">
        <f>#REF!</f>
        <v>#REF!</v>
      </c>
      <c r="H170" s="94" t="e">
        <f>#REF!</f>
        <v>#REF!</v>
      </c>
      <c r="I170" s="80" t="str">
        <f>IFERROR(M170*MIN(Table_Measure_Caps[[#Totals],[Estimated Raw Incentive Total]], Table_Measure_Caps[[#Totals],[Gross Measure Cost Total]], Value_Project_CAP)/Table_Measure_Caps[[#Totals],[Estimated Raw Incentive Total]], "")</f>
        <v/>
      </c>
      <c r="J170" s="77" t="e">
        <f>#REF!</f>
        <v>#REF!</v>
      </c>
      <c r="K170" s="81" t="str">
        <f t="shared" si="5"/>
        <v>Version 2.1</v>
      </c>
      <c r="L170" s="82" t="e">
        <f>#REF!</f>
        <v>#REF!</v>
      </c>
      <c r="M170" s="79" t="e">
        <f>#REF!</f>
        <v>#REF!</v>
      </c>
    </row>
    <row r="171" spans="1:13" hidden="1" x14ac:dyDescent="0.2">
      <c r="A171" s="76" t="s">
        <v>525</v>
      </c>
      <c r="B171" s="77">
        <f t="shared" si="7"/>
        <v>0</v>
      </c>
      <c r="C171" s="77">
        <v>9</v>
      </c>
      <c r="D171" s="77" t="e">
        <f>#REF!</f>
        <v>#REF!</v>
      </c>
      <c r="E171" s="77" t="e">
        <f>#REF!</f>
        <v>#REF!</v>
      </c>
      <c r="F171" s="77" t="e">
        <f>#REF!</f>
        <v>#REF!</v>
      </c>
      <c r="G171" s="78" t="e">
        <f>#REF!</f>
        <v>#REF!</v>
      </c>
      <c r="H171" s="94" t="e">
        <f>#REF!</f>
        <v>#REF!</v>
      </c>
      <c r="I171" s="80" t="str">
        <f>IFERROR(M171*MIN(Table_Measure_Caps[[#Totals],[Estimated Raw Incentive Total]], Table_Measure_Caps[[#Totals],[Gross Measure Cost Total]], Value_Project_CAP)/Table_Measure_Caps[[#Totals],[Estimated Raw Incentive Total]], "")</f>
        <v/>
      </c>
      <c r="J171" s="77" t="e">
        <f>#REF!</f>
        <v>#REF!</v>
      </c>
      <c r="K171" s="81" t="str">
        <f t="shared" si="5"/>
        <v>Version 2.1</v>
      </c>
      <c r="L171" s="82" t="e">
        <f>#REF!</f>
        <v>#REF!</v>
      </c>
      <c r="M171" s="79" t="e">
        <f>#REF!</f>
        <v>#REF!</v>
      </c>
    </row>
    <row r="172" spans="1:13" hidden="1" x14ac:dyDescent="0.2">
      <c r="A172" s="76" t="s">
        <v>525</v>
      </c>
      <c r="B172" s="77">
        <f t="shared" si="7"/>
        <v>0</v>
      </c>
      <c r="C172" s="77">
        <v>10</v>
      </c>
      <c r="D172" s="77" t="e">
        <f>#REF!</f>
        <v>#REF!</v>
      </c>
      <c r="E172" s="77" t="e">
        <f>#REF!</f>
        <v>#REF!</v>
      </c>
      <c r="F172" s="77" t="e">
        <f>#REF!</f>
        <v>#REF!</v>
      </c>
      <c r="G172" s="78" t="e">
        <f>#REF!</f>
        <v>#REF!</v>
      </c>
      <c r="H172" s="94" t="e">
        <f>#REF!</f>
        <v>#REF!</v>
      </c>
      <c r="I172" s="80" t="str">
        <f>IFERROR(M172*MIN(Table_Measure_Caps[[#Totals],[Estimated Raw Incentive Total]], Table_Measure_Caps[[#Totals],[Gross Measure Cost Total]], Value_Project_CAP)/Table_Measure_Caps[[#Totals],[Estimated Raw Incentive Total]], "")</f>
        <v/>
      </c>
      <c r="J172" s="77" t="e">
        <f>#REF!</f>
        <v>#REF!</v>
      </c>
      <c r="K172" s="81" t="str">
        <f t="shared" si="5"/>
        <v>Version 2.1</v>
      </c>
      <c r="L172" s="82" t="e">
        <f>#REF!</f>
        <v>#REF!</v>
      </c>
      <c r="M172" s="79" t="e">
        <f>#REF!</f>
        <v>#REF!</v>
      </c>
    </row>
    <row r="173" spans="1:13" hidden="1" x14ac:dyDescent="0.2">
      <c r="A173" s="76" t="s">
        <v>525</v>
      </c>
      <c r="B173" s="77">
        <f t="shared" si="7"/>
        <v>0</v>
      </c>
      <c r="C173" s="77">
        <v>11</v>
      </c>
      <c r="D173" s="77" t="e">
        <f>#REF!</f>
        <v>#REF!</v>
      </c>
      <c r="E173" s="77" t="e">
        <f>#REF!</f>
        <v>#REF!</v>
      </c>
      <c r="F173" s="77" t="e">
        <f>#REF!</f>
        <v>#REF!</v>
      </c>
      <c r="G173" s="78" t="e">
        <f>#REF!</f>
        <v>#REF!</v>
      </c>
      <c r="H173" s="94" t="e">
        <f>#REF!</f>
        <v>#REF!</v>
      </c>
      <c r="I173" s="80" t="str">
        <f>IFERROR(M173*MIN(Table_Measure_Caps[[#Totals],[Estimated Raw Incentive Total]], Table_Measure_Caps[[#Totals],[Gross Measure Cost Total]], Value_Project_CAP)/Table_Measure_Caps[[#Totals],[Estimated Raw Incentive Total]], "")</f>
        <v/>
      </c>
      <c r="J173" s="77" t="e">
        <f>#REF!</f>
        <v>#REF!</v>
      </c>
      <c r="K173" s="81" t="str">
        <f t="shared" si="5"/>
        <v>Version 2.1</v>
      </c>
      <c r="L173" s="82" t="e">
        <f>#REF!</f>
        <v>#REF!</v>
      </c>
      <c r="M173" s="79" t="e">
        <f>#REF!</f>
        <v>#REF!</v>
      </c>
    </row>
    <row r="174" spans="1:13" hidden="1" x14ac:dyDescent="0.2">
      <c r="A174" s="76" t="s">
        <v>525</v>
      </c>
      <c r="B174" s="77">
        <f t="shared" si="7"/>
        <v>0</v>
      </c>
      <c r="C174" s="77">
        <v>12</v>
      </c>
      <c r="D174" s="77" t="e">
        <f>#REF!</f>
        <v>#REF!</v>
      </c>
      <c r="E174" s="77" t="e">
        <f>#REF!</f>
        <v>#REF!</v>
      </c>
      <c r="F174" s="77" t="e">
        <f>#REF!</f>
        <v>#REF!</v>
      </c>
      <c r="G174" s="78" t="e">
        <f>#REF!</f>
        <v>#REF!</v>
      </c>
      <c r="H174" s="94" t="e">
        <f>#REF!</f>
        <v>#REF!</v>
      </c>
      <c r="I174" s="80" t="str">
        <f>IFERROR(M174*MIN(Table_Measure_Caps[[#Totals],[Estimated Raw Incentive Total]], Table_Measure_Caps[[#Totals],[Gross Measure Cost Total]], Value_Project_CAP)/Table_Measure_Caps[[#Totals],[Estimated Raw Incentive Total]], "")</f>
        <v/>
      </c>
      <c r="J174" s="77" t="e">
        <f>#REF!</f>
        <v>#REF!</v>
      </c>
      <c r="K174" s="81" t="str">
        <f t="shared" si="5"/>
        <v>Version 2.1</v>
      </c>
      <c r="L174" s="82" t="e">
        <f>#REF!</f>
        <v>#REF!</v>
      </c>
      <c r="M174" s="79" t="e">
        <f>#REF!</f>
        <v>#REF!</v>
      </c>
    </row>
    <row r="175" spans="1:13" hidden="1" x14ac:dyDescent="0.2">
      <c r="A175" s="76" t="s">
        <v>525</v>
      </c>
      <c r="B175" s="77">
        <f t="shared" si="7"/>
        <v>0</v>
      </c>
      <c r="C175" s="77">
        <v>13</v>
      </c>
      <c r="D175" s="77" t="e">
        <f>#REF!</f>
        <v>#REF!</v>
      </c>
      <c r="E175" s="77" t="e">
        <f>#REF!</f>
        <v>#REF!</v>
      </c>
      <c r="F175" s="77" t="e">
        <f>#REF!</f>
        <v>#REF!</v>
      </c>
      <c r="G175" s="78" t="e">
        <f>#REF!</f>
        <v>#REF!</v>
      </c>
      <c r="H175" s="94" t="e">
        <f>#REF!</f>
        <v>#REF!</v>
      </c>
      <c r="I175" s="80" t="str">
        <f>IFERROR(M175*MIN(Table_Measure_Caps[[#Totals],[Estimated Raw Incentive Total]], Table_Measure_Caps[[#Totals],[Gross Measure Cost Total]], Value_Project_CAP)/Table_Measure_Caps[[#Totals],[Estimated Raw Incentive Total]], "")</f>
        <v/>
      </c>
      <c r="J175" s="77" t="e">
        <f>#REF!</f>
        <v>#REF!</v>
      </c>
      <c r="K175" s="81" t="str">
        <f t="shared" si="5"/>
        <v>Version 2.1</v>
      </c>
      <c r="L175" s="82" t="e">
        <f>#REF!</f>
        <v>#REF!</v>
      </c>
      <c r="M175" s="79" t="e">
        <f>#REF!</f>
        <v>#REF!</v>
      </c>
    </row>
    <row r="176" spans="1:13" hidden="1" x14ac:dyDescent="0.2">
      <c r="A176" s="76" t="s">
        <v>525</v>
      </c>
      <c r="B176" s="77">
        <f t="shared" si="7"/>
        <v>0</v>
      </c>
      <c r="C176" s="77">
        <v>14</v>
      </c>
      <c r="D176" s="77" t="e">
        <f>#REF!</f>
        <v>#REF!</v>
      </c>
      <c r="E176" s="77" t="e">
        <f>#REF!</f>
        <v>#REF!</v>
      </c>
      <c r="F176" s="77" t="e">
        <f>#REF!</f>
        <v>#REF!</v>
      </c>
      <c r="G176" s="78" t="e">
        <f>#REF!</f>
        <v>#REF!</v>
      </c>
      <c r="H176" s="94" t="e">
        <f>#REF!</f>
        <v>#REF!</v>
      </c>
      <c r="I176" s="80" t="str">
        <f>IFERROR(M176*MIN(Table_Measure_Caps[[#Totals],[Estimated Raw Incentive Total]], Table_Measure_Caps[[#Totals],[Gross Measure Cost Total]], Value_Project_CAP)/Table_Measure_Caps[[#Totals],[Estimated Raw Incentive Total]], "")</f>
        <v/>
      </c>
      <c r="J176" s="77" t="e">
        <f>#REF!</f>
        <v>#REF!</v>
      </c>
      <c r="K176" s="81" t="str">
        <f t="shared" si="5"/>
        <v>Version 2.1</v>
      </c>
      <c r="L176" s="82" t="e">
        <f>#REF!</f>
        <v>#REF!</v>
      </c>
      <c r="M176" s="79" t="e">
        <f>#REF!</f>
        <v>#REF!</v>
      </c>
    </row>
    <row r="177" spans="1:13" hidden="1" x14ac:dyDescent="0.2">
      <c r="A177" s="76" t="s">
        <v>525</v>
      </c>
      <c r="B177" s="77">
        <f t="shared" si="7"/>
        <v>0</v>
      </c>
      <c r="C177" s="77">
        <v>15</v>
      </c>
      <c r="D177" s="77" t="e">
        <f>#REF!</f>
        <v>#REF!</v>
      </c>
      <c r="E177" s="77" t="e">
        <f>#REF!</f>
        <v>#REF!</v>
      </c>
      <c r="F177" s="77" t="e">
        <f>#REF!</f>
        <v>#REF!</v>
      </c>
      <c r="G177" s="78" t="e">
        <f>#REF!</f>
        <v>#REF!</v>
      </c>
      <c r="H177" s="94" t="e">
        <f>#REF!</f>
        <v>#REF!</v>
      </c>
      <c r="I177" s="80" t="str">
        <f>IFERROR(M177*MIN(Table_Measure_Caps[[#Totals],[Estimated Raw Incentive Total]], Table_Measure_Caps[[#Totals],[Gross Measure Cost Total]], Value_Project_CAP)/Table_Measure_Caps[[#Totals],[Estimated Raw Incentive Total]], "")</f>
        <v/>
      </c>
      <c r="J177" s="77" t="e">
        <f>#REF!</f>
        <v>#REF!</v>
      </c>
      <c r="K177" s="81" t="str">
        <f t="shared" si="5"/>
        <v>Version 2.1</v>
      </c>
      <c r="L177" s="82" t="e">
        <f>#REF!</f>
        <v>#REF!</v>
      </c>
      <c r="M177" s="79" t="e">
        <f>#REF!</f>
        <v>#REF!</v>
      </c>
    </row>
    <row r="178" spans="1:13" hidden="1" x14ac:dyDescent="0.2">
      <c r="A178" s="76" t="s">
        <v>525</v>
      </c>
      <c r="B178" s="77">
        <f t="shared" si="7"/>
        <v>0</v>
      </c>
      <c r="C178" s="77">
        <v>16</v>
      </c>
      <c r="D178" s="77" t="e">
        <f>#REF!</f>
        <v>#REF!</v>
      </c>
      <c r="E178" s="77" t="e">
        <f>#REF!</f>
        <v>#REF!</v>
      </c>
      <c r="F178" s="77" t="e">
        <f>#REF!</f>
        <v>#REF!</v>
      </c>
      <c r="G178" s="78" t="e">
        <f>#REF!</f>
        <v>#REF!</v>
      </c>
      <c r="H178" s="94" t="e">
        <f>#REF!</f>
        <v>#REF!</v>
      </c>
      <c r="I178" s="80" t="str">
        <f>IFERROR(M178*MIN(Table_Measure_Caps[[#Totals],[Estimated Raw Incentive Total]], Table_Measure_Caps[[#Totals],[Gross Measure Cost Total]], Value_Project_CAP)/Table_Measure_Caps[[#Totals],[Estimated Raw Incentive Total]], "")</f>
        <v/>
      </c>
      <c r="J178" s="77" t="e">
        <f>#REF!</f>
        <v>#REF!</v>
      </c>
      <c r="K178" s="81" t="str">
        <f t="shared" si="5"/>
        <v>Version 2.1</v>
      </c>
      <c r="L178" s="82" t="e">
        <f>#REF!</f>
        <v>#REF!</v>
      </c>
      <c r="M178" s="79" t="e">
        <f>#REF!</f>
        <v>#REF!</v>
      </c>
    </row>
    <row r="179" spans="1:13" hidden="1" x14ac:dyDescent="0.2">
      <c r="A179" s="76" t="s">
        <v>525</v>
      </c>
      <c r="B179" s="77">
        <f t="shared" si="7"/>
        <v>0</v>
      </c>
      <c r="C179" s="77">
        <v>17</v>
      </c>
      <c r="D179" s="77" t="e">
        <f>#REF!</f>
        <v>#REF!</v>
      </c>
      <c r="E179" s="77" t="e">
        <f>#REF!</f>
        <v>#REF!</v>
      </c>
      <c r="F179" s="77" t="e">
        <f>#REF!</f>
        <v>#REF!</v>
      </c>
      <c r="G179" s="78" t="e">
        <f>#REF!</f>
        <v>#REF!</v>
      </c>
      <c r="H179" s="94" t="e">
        <f>#REF!</f>
        <v>#REF!</v>
      </c>
      <c r="I179" s="80" t="str">
        <f>IFERROR(M179*MIN(Table_Measure_Caps[[#Totals],[Estimated Raw Incentive Total]], Table_Measure_Caps[[#Totals],[Gross Measure Cost Total]], Value_Project_CAP)/Table_Measure_Caps[[#Totals],[Estimated Raw Incentive Total]], "")</f>
        <v/>
      </c>
      <c r="J179" s="77" t="e">
        <f>#REF!</f>
        <v>#REF!</v>
      </c>
      <c r="K179" s="81" t="str">
        <f t="shared" si="5"/>
        <v>Version 2.1</v>
      </c>
      <c r="L179" s="82" t="e">
        <f>#REF!</f>
        <v>#REF!</v>
      </c>
      <c r="M179" s="79" t="e">
        <f>#REF!</f>
        <v>#REF!</v>
      </c>
    </row>
    <row r="180" spans="1:13" hidden="1" x14ac:dyDescent="0.2">
      <c r="A180" s="76" t="s">
        <v>525</v>
      </c>
      <c r="B180" s="77">
        <f t="shared" si="7"/>
        <v>0</v>
      </c>
      <c r="C180" s="77">
        <v>18</v>
      </c>
      <c r="D180" s="77" t="e">
        <f>#REF!</f>
        <v>#REF!</v>
      </c>
      <c r="E180" s="77" t="e">
        <f>#REF!</f>
        <v>#REF!</v>
      </c>
      <c r="F180" s="77" t="e">
        <f>#REF!</f>
        <v>#REF!</v>
      </c>
      <c r="G180" s="78" t="e">
        <f>#REF!</f>
        <v>#REF!</v>
      </c>
      <c r="H180" s="94" t="e">
        <f>#REF!</f>
        <v>#REF!</v>
      </c>
      <c r="I180" s="80" t="str">
        <f>IFERROR(M180*MIN(Table_Measure_Caps[[#Totals],[Estimated Raw Incentive Total]], Table_Measure_Caps[[#Totals],[Gross Measure Cost Total]], Value_Project_CAP)/Table_Measure_Caps[[#Totals],[Estimated Raw Incentive Total]], "")</f>
        <v/>
      </c>
      <c r="J180" s="77" t="e">
        <f>#REF!</f>
        <v>#REF!</v>
      </c>
      <c r="K180" s="81" t="str">
        <f t="shared" si="5"/>
        <v>Version 2.1</v>
      </c>
      <c r="L180" s="82" t="e">
        <f>#REF!</f>
        <v>#REF!</v>
      </c>
      <c r="M180" s="79" t="e">
        <f>#REF!</f>
        <v>#REF!</v>
      </c>
    </row>
    <row r="181" spans="1:13" hidden="1" x14ac:dyDescent="0.2">
      <c r="A181" s="76" t="s">
        <v>525</v>
      </c>
      <c r="B181" s="77">
        <f t="shared" si="7"/>
        <v>0</v>
      </c>
      <c r="C181" s="77">
        <v>19</v>
      </c>
      <c r="D181" s="77" t="e">
        <f>#REF!</f>
        <v>#REF!</v>
      </c>
      <c r="E181" s="77" t="e">
        <f>#REF!</f>
        <v>#REF!</v>
      </c>
      <c r="F181" s="77" t="e">
        <f>#REF!</f>
        <v>#REF!</v>
      </c>
      <c r="G181" s="78" t="e">
        <f>#REF!</f>
        <v>#REF!</v>
      </c>
      <c r="H181" s="94" t="e">
        <f>#REF!</f>
        <v>#REF!</v>
      </c>
      <c r="I181" s="80" t="str">
        <f>IFERROR(M181*MIN(Table_Measure_Caps[[#Totals],[Estimated Raw Incentive Total]], Table_Measure_Caps[[#Totals],[Gross Measure Cost Total]], Value_Project_CAP)/Table_Measure_Caps[[#Totals],[Estimated Raw Incentive Total]], "")</f>
        <v/>
      </c>
      <c r="J181" s="77" t="e">
        <f>#REF!</f>
        <v>#REF!</v>
      </c>
      <c r="K181" s="81" t="str">
        <f t="shared" si="5"/>
        <v>Version 2.1</v>
      </c>
      <c r="L181" s="82" t="e">
        <f>#REF!</f>
        <v>#REF!</v>
      </c>
      <c r="M181" s="79" t="e">
        <f>#REF!</f>
        <v>#REF!</v>
      </c>
    </row>
    <row r="182" spans="1:13" hidden="1" x14ac:dyDescent="0.2">
      <c r="A182" s="76" t="s">
        <v>525</v>
      </c>
      <c r="B182" s="77">
        <f t="shared" si="7"/>
        <v>0</v>
      </c>
      <c r="C182" s="77">
        <v>20</v>
      </c>
      <c r="D182" s="77" t="e">
        <f>#REF!</f>
        <v>#REF!</v>
      </c>
      <c r="E182" s="77" t="e">
        <f>#REF!</f>
        <v>#REF!</v>
      </c>
      <c r="F182" s="77" t="e">
        <f>#REF!</f>
        <v>#REF!</v>
      </c>
      <c r="G182" s="78" t="e">
        <f>#REF!</f>
        <v>#REF!</v>
      </c>
      <c r="H182" s="94" t="e">
        <f>#REF!</f>
        <v>#REF!</v>
      </c>
      <c r="I182" s="80" t="str">
        <f>IFERROR(M182*MIN(Table_Measure_Caps[[#Totals],[Estimated Raw Incentive Total]], Table_Measure_Caps[[#Totals],[Gross Measure Cost Total]], Value_Project_CAP)/Table_Measure_Caps[[#Totals],[Estimated Raw Incentive Total]], "")</f>
        <v/>
      </c>
      <c r="J182" s="77" t="e">
        <f>#REF!</f>
        <v>#REF!</v>
      </c>
      <c r="K182" s="81" t="str">
        <f t="shared" si="5"/>
        <v>Version 2.1</v>
      </c>
      <c r="L182" s="82" t="e">
        <f>#REF!</f>
        <v>#REF!</v>
      </c>
      <c r="M182" s="79" t="e">
        <f>#REF!</f>
        <v>#REF!</v>
      </c>
    </row>
    <row r="183" spans="1:13" hidden="1" x14ac:dyDescent="0.2">
      <c r="A183" s="76" t="s">
        <v>525</v>
      </c>
      <c r="B183" s="77">
        <f t="shared" si="7"/>
        <v>0</v>
      </c>
      <c r="C183" s="77">
        <v>21</v>
      </c>
      <c r="D183" s="77" t="e">
        <f>#REF!</f>
        <v>#REF!</v>
      </c>
      <c r="E183" s="77" t="e">
        <f>#REF!</f>
        <v>#REF!</v>
      </c>
      <c r="F183" s="77" t="e">
        <f>#REF!</f>
        <v>#REF!</v>
      </c>
      <c r="G183" s="78" t="e">
        <f>#REF!</f>
        <v>#REF!</v>
      </c>
      <c r="H183" s="94" t="e">
        <f>#REF!</f>
        <v>#REF!</v>
      </c>
      <c r="I183" s="80" t="str">
        <f>IFERROR(M183*MIN(Table_Measure_Caps[[#Totals],[Estimated Raw Incentive Total]], Table_Measure_Caps[[#Totals],[Gross Measure Cost Total]], Value_Project_CAP)/Table_Measure_Caps[[#Totals],[Estimated Raw Incentive Total]], "")</f>
        <v/>
      </c>
      <c r="J183" s="77" t="e">
        <f>#REF!</f>
        <v>#REF!</v>
      </c>
      <c r="K183" s="81" t="str">
        <f t="shared" si="5"/>
        <v>Version 2.1</v>
      </c>
      <c r="L183" s="82" t="e">
        <f>#REF!</f>
        <v>#REF!</v>
      </c>
      <c r="M183" s="79" t="e">
        <f>#REF!</f>
        <v>#REF!</v>
      </c>
    </row>
    <row r="184" spans="1:13" hidden="1" x14ac:dyDescent="0.2">
      <c r="A184" s="76" t="s">
        <v>525</v>
      </c>
      <c r="B184" s="77">
        <f t="shared" si="7"/>
        <v>0</v>
      </c>
      <c r="C184" s="77">
        <v>22</v>
      </c>
      <c r="D184" s="77" t="e">
        <f>#REF!</f>
        <v>#REF!</v>
      </c>
      <c r="E184" s="77" t="e">
        <f>#REF!</f>
        <v>#REF!</v>
      </c>
      <c r="F184" s="77" t="e">
        <f>#REF!</f>
        <v>#REF!</v>
      </c>
      <c r="G184" s="78" t="e">
        <f>#REF!</f>
        <v>#REF!</v>
      </c>
      <c r="H184" s="94" t="e">
        <f>#REF!</f>
        <v>#REF!</v>
      </c>
      <c r="I184" s="80" t="str">
        <f>IFERROR(M184*MIN(Table_Measure_Caps[[#Totals],[Estimated Raw Incentive Total]], Table_Measure_Caps[[#Totals],[Gross Measure Cost Total]], Value_Project_CAP)/Table_Measure_Caps[[#Totals],[Estimated Raw Incentive Total]], "")</f>
        <v/>
      </c>
      <c r="J184" s="77" t="e">
        <f>#REF!</f>
        <v>#REF!</v>
      </c>
      <c r="K184" s="81" t="str">
        <f t="shared" si="5"/>
        <v>Version 2.1</v>
      </c>
      <c r="L184" s="82" t="e">
        <f>#REF!</f>
        <v>#REF!</v>
      </c>
      <c r="M184" s="79" t="e">
        <f>#REF!</f>
        <v>#REF!</v>
      </c>
    </row>
    <row r="185" spans="1:13" hidden="1" x14ac:dyDescent="0.2">
      <c r="A185" s="76" t="s">
        <v>525</v>
      </c>
      <c r="B185" s="77">
        <f t="shared" si="7"/>
        <v>0</v>
      </c>
      <c r="C185" s="77">
        <v>23</v>
      </c>
      <c r="D185" s="77" t="e">
        <f>#REF!</f>
        <v>#REF!</v>
      </c>
      <c r="E185" s="77" t="e">
        <f>#REF!</f>
        <v>#REF!</v>
      </c>
      <c r="F185" s="77" t="e">
        <f>#REF!</f>
        <v>#REF!</v>
      </c>
      <c r="G185" s="78" t="e">
        <f>#REF!</f>
        <v>#REF!</v>
      </c>
      <c r="H185" s="94" t="e">
        <f>#REF!</f>
        <v>#REF!</v>
      </c>
      <c r="I185" s="80" t="str">
        <f>IFERROR(M185*MIN(Table_Measure_Caps[[#Totals],[Estimated Raw Incentive Total]], Table_Measure_Caps[[#Totals],[Gross Measure Cost Total]], Value_Project_CAP)/Table_Measure_Caps[[#Totals],[Estimated Raw Incentive Total]], "")</f>
        <v/>
      </c>
      <c r="J185" s="77" t="e">
        <f>#REF!</f>
        <v>#REF!</v>
      </c>
      <c r="K185" s="81" t="str">
        <f t="shared" si="5"/>
        <v>Version 2.1</v>
      </c>
      <c r="L185" s="82" t="e">
        <f>#REF!</f>
        <v>#REF!</v>
      </c>
      <c r="M185" s="79" t="e">
        <f>#REF!</f>
        <v>#REF!</v>
      </c>
    </row>
    <row r="186" spans="1:13" hidden="1" x14ac:dyDescent="0.2">
      <c r="A186" s="76" t="s">
        <v>525</v>
      </c>
      <c r="B186" s="77">
        <f t="shared" si="7"/>
        <v>0</v>
      </c>
      <c r="C186" s="77">
        <v>24</v>
      </c>
      <c r="D186" s="77" t="e">
        <f>#REF!</f>
        <v>#REF!</v>
      </c>
      <c r="E186" s="77" t="e">
        <f>#REF!</f>
        <v>#REF!</v>
      </c>
      <c r="F186" s="77" t="e">
        <f>#REF!</f>
        <v>#REF!</v>
      </c>
      <c r="G186" s="78" t="e">
        <f>#REF!</f>
        <v>#REF!</v>
      </c>
      <c r="H186" s="94" t="e">
        <f>#REF!</f>
        <v>#REF!</v>
      </c>
      <c r="I186" s="80" t="str">
        <f>IFERROR(M186*MIN(Table_Measure_Caps[[#Totals],[Estimated Raw Incentive Total]], Table_Measure_Caps[[#Totals],[Gross Measure Cost Total]], Value_Project_CAP)/Table_Measure_Caps[[#Totals],[Estimated Raw Incentive Total]], "")</f>
        <v/>
      </c>
      <c r="J186" s="77" t="e">
        <f>#REF!</f>
        <v>#REF!</v>
      </c>
      <c r="K186" s="81" t="str">
        <f t="shared" si="5"/>
        <v>Version 2.1</v>
      </c>
      <c r="L186" s="82" t="e">
        <f>#REF!</f>
        <v>#REF!</v>
      </c>
      <c r="M186" s="79" t="e">
        <f>#REF!</f>
        <v>#REF!</v>
      </c>
    </row>
    <row r="187" spans="1:13" hidden="1" x14ac:dyDescent="0.2">
      <c r="A187" s="76" t="s">
        <v>525</v>
      </c>
      <c r="B187" s="77">
        <f t="shared" si="7"/>
        <v>0</v>
      </c>
      <c r="C187" s="77">
        <v>25</v>
      </c>
      <c r="D187" s="77" t="e">
        <f>#REF!</f>
        <v>#REF!</v>
      </c>
      <c r="E187" s="77" t="e">
        <f>#REF!</f>
        <v>#REF!</v>
      </c>
      <c r="F187" s="77" t="e">
        <f>#REF!</f>
        <v>#REF!</v>
      </c>
      <c r="G187" s="78" t="e">
        <f>#REF!</f>
        <v>#REF!</v>
      </c>
      <c r="H187" s="94" t="e">
        <f>#REF!</f>
        <v>#REF!</v>
      </c>
      <c r="I187" s="80" t="str">
        <f>IFERROR(M187*MIN(Table_Measure_Caps[[#Totals],[Estimated Raw Incentive Total]], Table_Measure_Caps[[#Totals],[Gross Measure Cost Total]], Value_Project_CAP)/Table_Measure_Caps[[#Totals],[Estimated Raw Incentive Total]], "")</f>
        <v/>
      </c>
      <c r="J187" s="77" t="e">
        <f>#REF!</f>
        <v>#REF!</v>
      </c>
      <c r="K187" s="81" t="str">
        <f t="shared" si="5"/>
        <v>Version 2.1</v>
      </c>
      <c r="L187" s="82" t="e">
        <f>#REF!</f>
        <v>#REF!</v>
      </c>
      <c r="M187" s="79" t="e">
        <f>#REF!</f>
        <v>#REF!</v>
      </c>
    </row>
    <row r="188" spans="1:13" hidden="1" x14ac:dyDescent="0.2">
      <c r="A188" s="76" t="s">
        <v>525</v>
      </c>
      <c r="B188" s="77">
        <f t="shared" si="7"/>
        <v>0</v>
      </c>
      <c r="C188" s="77">
        <v>26</v>
      </c>
      <c r="D188" s="77" t="e">
        <f>#REF!</f>
        <v>#REF!</v>
      </c>
      <c r="E188" s="77" t="e">
        <f>#REF!</f>
        <v>#REF!</v>
      </c>
      <c r="F188" s="77" t="e">
        <f>#REF!</f>
        <v>#REF!</v>
      </c>
      <c r="G188" s="78" t="e">
        <f>#REF!</f>
        <v>#REF!</v>
      </c>
      <c r="H188" s="94" t="e">
        <f>#REF!</f>
        <v>#REF!</v>
      </c>
      <c r="I188" s="80" t="str">
        <f>IFERROR(M188*MIN(Table_Measure_Caps[[#Totals],[Estimated Raw Incentive Total]], Table_Measure_Caps[[#Totals],[Gross Measure Cost Total]], Value_Project_CAP)/Table_Measure_Caps[[#Totals],[Estimated Raw Incentive Total]], "")</f>
        <v/>
      </c>
      <c r="J188" s="77" t="e">
        <f>#REF!</f>
        <v>#REF!</v>
      </c>
      <c r="K188" s="81" t="str">
        <f t="shared" si="5"/>
        <v>Version 2.1</v>
      </c>
      <c r="L188" s="82" t="e">
        <f>#REF!</f>
        <v>#REF!</v>
      </c>
      <c r="M188" s="79" t="e">
        <f>#REF!</f>
        <v>#REF!</v>
      </c>
    </row>
    <row r="189" spans="1:13" hidden="1" x14ac:dyDescent="0.2">
      <c r="A189" s="76" t="s">
        <v>525</v>
      </c>
      <c r="B189" s="77">
        <f t="shared" si="7"/>
        <v>0</v>
      </c>
      <c r="C189" s="77">
        <v>27</v>
      </c>
      <c r="D189" s="77" t="e">
        <f>#REF!</f>
        <v>#REF!</v>
      </c>
      <c r="E189" s="77" t="e">
        <f>#REF!</f>
        <v>#REF!</v>
      </c>
      <c r="F189" s="77" t="e">
        <f>#REF!</f>
        <v>#REF!</v>
      </c>
      <c r="G189" s="78" t="e">
        <f>#REF!</f>
        <v>#REF!</v>
      </c>
      <c r="H189" s="94" t="e">
        <f>#REF!</f>
        <v>#REF!</v>
      </c>
      <c r="I189" s="80" t="str">
        <f>IFERROR(M189*MIN(Table_Measure_Caps[[#Totals],[Estimated Raw Incentive Total]], Table_Measure_Caps[[#Totals],[Gross Measure Cost Total]], Value_Project_CAP)/Table_Measure_Caps[[#Totals],[Estimated Raw Incentive Total]], "")</f>
        <v/>
      </c>
      <c r="J189" s="77" t="e">
        <f>#REF!</f>
        <v>#REF!</v>
      </c>
      <c r="K189" s="81" t="str">
        <f t="shared" si="5"/>
        <v>Version 2.1</v>
      </c>
      <c r="L189" s="82" t="e">
        <f>#REF!</f>
        <v>#REF!</v>
      </c>
      <c r="M189" s="79" t="e">
        <f>#REF!</f>
        <v>#REF!</v>
      </c>
    </row>
    <row r="190" spans="1:13" hidden="1" x14ac:dyDescent="0.2">
      <c r="A190" s="76" t="s">
        <v>525</v>
      </c>
      <c r="B190" s="77">
        <f t="shared" si="7"/>
        <v>0</v>
      </c>
      <c r="C190" s="77">
        <v>28</v>
      </c>
      <c r="D190" s="77" t="e">
        <f>#REF!</f>
        <v>#REF!</v>
      </c>
      <c r="E190" s="77" t="e">
        <f>#REF!</f>
        <v>#REF!</v>
      </c>
      <c r="F190" s="77" t="e">
        <f>#REF!</f>
        <v>#REF!</v>
      </c>
      <c r="G190" s="78" t="e">
        <f>#REF!</f>
        <v>#REF!</v>
      </c>
      <c r="H190" s="94" t="e">
        <f>#REF!</f>
        <v>#REF!</v>
      </c>
      <c r="I190" s="80" t="str">
        <f>IFERROR(M190*MIN(Table_Measure_Caps[[#Totals],[Estimated Raw Incentive Total]], Table_Measure_Caps[[#Totals],[Gross Measure Cost Total]], Value_Project_CAP)/Table_Measure_Caps[[#Totals],[Estimated Raw Incentive Total]], "")</f>
        <v/>
      </c>
      <c r="J190" s="77" t="e">
        <f>#REF!</f>
        <v>#REF!</v>
      </c>
      <c r="K190" s="81" t="str">
        <f t="shared" si="5"/>
        <v>Version 2.1</v>
      </c>
      <c r="L190" s="82" t="e">
        <f>#REF!</f>
        <v>#REF!</v>
      </c>
      <c r="M190" s="79" t="e">
        <f>#REF!</f>
        <v>#REF!</v>
      </c>
    </row>
    <row r="191" spans="1:13" hidden="1" x14ac:dyDescent="0.2">
      <c r="A191" s="76" t="s">
        <v>525</v>
      </c>
      <c r="B191" s="77">
        <f t="shared" si="7"/>
        <v>0</v>
      </c>
      <c r="C191" s="77">
        <v>29</v>
      </c>
      <c r="D191" s="77" t="e">
        <f>#REF!</f>
        <v>#REF!</v>
      </c>
      <c r="E191" s="77" t="e">
        <f>#REF!</f>
        <v>#REF!</v>
      </c>
      <c r="F191" s="77" t="e">
        <f>#REF!</f>
        <v>#REF!</v>
      </c>
      <c r="G191" s="78" t="e">
        <f>#REF!</f>
        <v>#REF!</v>
      </c>
      <c r="H191" s="94" t="e">
        <f>#REF!</f>
        <v>#REF!</v>
      </c>
      <c r="I191" s="80" t="str">
        <f>IFERROR(M191*MIN(Table_Measure_Caps[[#Totals],[Estimated Raw Incentive Total]], Table_Measure_Caps[[#Totals],[Gross Measure Cost Total]], Value_Project_CAP)/Table_Measure_Caps[[#Totals],[Estimated Raw Incentive Total]], "")</f>
        <v/>
      </c>
      <c r="J191" s="77" t="e">
        <f>#REF!</f>
        <v>#REF!</v>
      </c>
      <c r="K191" s="81" t="str">
        <f t="shared" si="5"/>
        <v>Version 2.1</v>
      </c>
      <c r="L191" s="82" t="e">
        <f>#REF!</f>
        <v>#REF!</v>
      </c>
      <c r="M191" s="79" t="e">
        <f>#REF!</f>
        <v>#REF!</v>
      </c>
    </row>
    <row r="192" spans="1:13" hidden="1" x14ac:dyDescent="0.2">
      <c r="A192" s="76" t="s">
        <v>525</v>
      </c>
      <c r="B192" s="77">
        <f t="shared" si="7"/>
        <v>0</v>
      </c>
      <c r="C192" s="77">
        <v>30</v>
      </c>
      <c r="D192" s="77" t="e">
        <f>#REF!</f>
        <v>#REF!</v>
      </c>
      <c r="E192" s="77" t="e">
        <f>#REF!</f>
        <v>#REF!</v>
      </c>
      <c r="F192" s="77" t="e">
        <f>#REF!</f>
        <v>#REF!</v>
      </c>
      <c r="G192" s="78" t="e">
        <f>#REF!</f>
        <v>#REF!</v>
      </c>
      <c r="H192" s="94" t="e">
        <f>#REF!</f>
        <v>#REF!</v>
      </c>
      <c r="I192" s="80" t="str">
        <f>IFERROR(M192*MIN(Table_Measure_Caps[[#Totals],[Estimated Raw Incentive Total]], Table_Measure_Caps[[#Totals],[Gross Measure Cost Total]], Value_Project_CAP)/Table_Measure_Caps[[#Totals],[Estimated Raw Incentive Total]], "")</f>
        <v/>
      </c>
      <c r="J192" s="77" t="e">
        <f>#REF!</f>
        <v>#REF!</v>
      </c>
      <c r="K192" s="81" t="str">
        <f t="shared" si="5"/>
        <v>Version 2.1</v>
      </c>
      <c r="L192" s="82" t="e">
        <f>#REF!</f>
        <v>#REF!</v>
      </c>
      <c r="M192" s="79" t="e">
        <f>#REF!</f>
        <v>#REF!</v>
      </c>
    </row>
    <row r="193" spans="1:13" hidden="1" x14ac:dyDescent="0.2">
      <c r="A193" s="83" t="s">
        <v>489</v>
      </c>
      <c r="B193" s="84">
        <f t="shared" si="7"/>
        <v>0</v>
      </c>
      <c r="C193" s="84">
        <v>1</v>
      </c>
      <c r="D193" s="84" t="e">
        <f>#REF!</f>
        <v>#REF!</v>
      </c>
      <c r="E193" s="84"/>
      <c r="F193" s="84"/>
      <c r="G193" s="85" t="e">
        <f>#REF!</f>
        <v>#REF!</v>
      </c>
      <c r="H193" s="95" t="e">
        <f>#REF!</f>
        <v>#REF!</v>
      </c>
      <c r="I193" s="87" t="str">
        <f>IFERROR(M193*MIN(Table_Measure_Caps[[#Totals],[Estimated Raw Incentive Total]], Table_Measure_Caps[[#Totals],[Gross Measure Cost Total]], Value_Project_CAP)/Table_Measure_Caps[[#Totals],[Estimated Raw Incentive Total]], "")</f>
        <v/>
      </c>
      <c r="J193" s="84" t="e">
        <f>#REF!</f>
        <v>#REF!</v>
      </c>
      <c r="K193" s="88" t="str">
        <f t="shared" si="5"/>
        <v>Version 2.1</v>
      </c>
      <c r="L193" s="89" t="e">
        <f>#REF!</f>
        <v>#REF!</v>
      </c>
      <c r="M193" s="86" t="e">
        <f>#REF!</f>
        <v>#REF!</v>
      </c>
    </row>
    <row r="194" spans="1:13" hidden="1" x14ac:dyDescent="0.2">
      <c r="A194" s="83" t="s">
        <v>489</v>
      </c>
      <c r="B194" s="84">
        <f t="shared" si="7"/>
        <v>0</v>
      </c>
      <c r="C194" s="84">
        <v>2</v>
      </c>
      <c r="D194" s="84" t="e">
        <f>#REF!</f>
        <v>#REF!</v>
      </c>
      <c r="E194" s="84"/>
      <c r="F194" s="84"/>
      <c r="G194" s="85" t="e">
        <f>#REF!</f>
        <v>#REF!</v>
      </c>
      <c r="H194" s="95" t="e">
        <f>#REF!</f>
        <v>#REF!</v>
      </c>
      <c r="I194" s="87" t="str">
        <f>IFERROR(M194*MIN(Table_Measure_Caps[[#Totals],[Estimated Raw Incentive Total]], Table_Measure_Caps[[#Totals],[Gross Measure Cost Total]], Value_Project_CAP)/Table_Measure_Caps[[#Totals],[Estimated Raw Incentive Total]], "")</f>
        <v/>
      </c>
      <c r="J194" s="84" t="e">
        <f>#REF!</f>
        <v>#REF!</v>
      </c>
      <c r="K194" s="88" t="str">
        <f t="shared" ref="K194:K212" si="8">Value_Application_Version</f>
        <v>Version 2.1</v>
      </c>
      <c r="L194" s="89" t="e">
        <f>#REF!</f>
        <v>#REF!</v>
      </c>
      <c r="M194" s="86" t="e">
        <f>#REF!</f>
        <v>#REF!</v>
      </c>
    </row>
    <row r="195" spans="1:13" hidden="1" x14ac:dyDescent="0.2">
      <c r="A195" s="83" t="s">
        <v>489</v>
      </c>
      <c r="B195" s="84">
        <f t="shared" si="7"/>
        <v>0</v>
      </c>
      <c r="C195" s="84">
        <v>3</v>
      </c>
      <c r="D195" s="84" t="e">
        <f>#REF!</f>
        <v>#REF!</v>
      </c>
      <c r="E195" s="84"/>
      <c r="F195" s="84"/>
      <c r="G195" s="85" t="e">
        <f>#REF!</f>
        <v>#REF!</v>
      </c>
      <c r="H195" s="95" t="e">
        <f>#REF!</f>
        <v>#REF!</v>
      </c>
      <c r="I195" s="87" t="str">
        <f>IFERROR(M195*MIN(Table_Measure_Caps[[#Totals],[Estimated Raw Incentive Total]], Table_Measure_Caps[[#Totals],[Gross Measure Cost Total]], Value_Project_CAP)/Table_Measure_Caps[[#Totals],[Estimated Raw Incentive Total]], "")</f>
        <v/>
      </c>
      <c r="J195" s="84" t="e">
        <f>#REF!</f>
        <v>#REF!</v>
      </c>
      <c r="K195" s="88" t="str">
        <f t="shared" si="8"/>
        <v>Version 2.1</v>
      </c>
      <c r="L195" s="89" t="e">
        <f>#REF!</f>
        <v>#REF!</v>
      </c>
      <c r="M195" s="86" t="e">
        <f>#REF!</f>
        <v>#REF!</v>
      </c>
    </row>
    <row r="196" spans="1:13" hidden="1" x14ac:dyDescent="0.2">
      <c r="A196" s="83" t="s">
        <v>489</v>
      </c>
      <c r="B196" s="84">
        <f t="shared" si="7"/>
        <v>0</v>
      </c>
      <c r="C196" s="84">
        <v>4</v>
      </c>
      <c r="D196" s="84" t="e">
        <f>#REF!</f>
        <v>#REF!</v>
      </c>
      <c r="E196" s="84"/>
      <c r="F196" s="84"/>
      <c r="G196" s="85" t="e">
        <f>#REF!</f>
        <v>#REF!</v>
      </c>
      <c r="H196" s="95" t="e">
        <f>#REF!</f>
        <v>#REF!</v>
      </c>
      <c r="I196" s="87" t="str">
        <f>IFERROR(M196*MIN(Table_Measure_Caps[[#Totals],[Estimated Raw Incentive Total]], Table_Measure_Caps[[#Totals],[Gross Measure Cost Total]], Value_Project_CAP)/Table_Measure_Caps[[#Totals],[Estimated Raw Incentive Total]], "")</f>
        <v/>
      </c>
      <c r="J196" s="84" t="e">
        <f>#REF!</f>
        <v>#REF!</v>
      </c>
      <c r="K196" s="88" t="str">
        <f t="shared" si="8"/>
        <v>Version 2.1</v>
      </c>
      <c r="L196" s="89" t="e">
        <f>#REF!</f>
        <v>#REF!</v>
      </c>
      <c r="M196" s="86" t="e">
        <f>#REF!</f>
        <v>#REF!</v>
      </c>
    </row>
    <row r="197" spans="1:13" hidden="1" x14ac:dyDescent="0.2">
      <c r="A197" s="83" t="s">
        <v>489</v>
      </c>
      <c r="B197" s="84">
        <f t="shared" ref="B197:B212" si="9">Input_ProjectNumber</f>
        <v>0</v>
      </c>
      <c r="C197" s="84">
        <v>5</v>
      </c>
      <c r="D197" s="84" t="e">
        <f>#REF!</f>
        <v>#REF!</v>
      </c>
      <c r="E197" s="84"/>
      <c r="F197" s="84"/>
      <c r="G197" s="85" t="e">
        <f>#REF!</f>
        <v>#REF!</v>
      </c>
      <c r="H197" s="95" t="e">
        <f>#REF!</f>
        <v>#REF!</v>
      </c>
      <c r="I197" s="87" t="str">
        <f>IFERROR(M197*MIN(Table_Measure_Caps[[#Totals],[Estimated Raw Incentive Total]], Table_Measure_Caps[[#Totals],[Gross Measure Cost Total]], Value_Project_CAP)/Table_Measure_Caps[[#Totals],[Estimated Raw Incentive Total]], "")</f>
        <v/>
      </c>
      <c r="J197" s="84" t="e">
        <f>#REF!</f>
        <v>#REF!</v>
      </c>
      <c r="K197" s="88" t="str">
        <f t="shared" si="8"/>
        <v>Version 2.1</v>
      </c>
      <c r="L197" s="89" t="e">
        <f>#REF!</f>
        <v>#REF!</v>
      </c>
      <c r="M197" s="86" t="e">
        <f>#REF!</f>
        <v>#REF!</v>
      </c>
    </row>
    <row r="198" spans="1:13" hidden="1" x14ac:dyDescent="0.2">
      <c r="A198" s="83" t="s">
        <v>489</v>
      </c>
      <c r="B198" s="84">
        <f t="shared" si="9"/>
        <v>0</v>
      </c>
      <c r="C198" s="84">
        <v>6</v>
      </c>
      <c r="D198" s="84" t="e">
        <f>#REF!</f>
        <v>#REF!</v>
      </c>
      <c r="E198" s="84"/>
      <c r="F198" s="84"/>
      <c r="G198" s="85" t="e">
        <f>#REF!</f>
        <v>#REF!</v>
      </c>
      <c r="H198" s="95" t="e">
        <f>#REF!</f>
        <v>#REF!</v>
      </c>
      <c r="I198" s="87" t="str">
        <f>IFERROR(M198*MIN(Table_Measure_Caps[[#Totals],[Estimated Raw Incentive Total]], Table_Measure_Caps[[#Totals],[Gross Measure Cost Total]], Value_Project_CAP)/Table_Measure_Caps[[#Totals],[Estimated Raw Incentive Total]], "")</f>
        <v/>
      </c>
      <c r="J198" s="84" t="e">
        <f>#REF!</f>
        <v>#REF!</v>
      </c>
      <c r="K198" s="88" t="str">
        <f t="shared" si="8"/>
        <v>Version 2.1</v>
      </c>
      <c r="L198" s="89" t="e">
        <f>#REF!</f>
        <v>#REF!</v>
      </c>
      <c r="M198" s="86" t="e">
        <f>#REF!</f>
        <v>#REF!</v>
      </c>
    </row>
    <row r="199" spans="1:13" hidden="1" x14ac:dyDescent="0.2">
      <c r="A199" s="83" t="s">
        <v>489</v>
      </c>
      <c r="B199" s="84">
        <f t="shared" si="9"/>
        <v>0</v>
      </c>
      <c r="C199" s="84">
        <v>7</v>
      </c>
      <c r="D199" s="84" t="e">
        <f>#REF!</f>
        <v>#REF!</v>
      </c>
      <c r="E199" s="84"/>
      <c r="F199" s="84"/>
      <c r="G199" s="85" t="e">
        <f>#REF!</f>
        <v>#REF!</v>
      </c>
      <c r="H199" s="95" t="e">
        <f>#REF!</f>
        <v>#REF!</v>
      </c>
      <c r="I199" s="87" t="str">
        <f>IFERROR(M199*MIN(Table_Measure_Caps[[#Totals],[Estimated Raw Incentive Total]], Table_Measure_Caps[[#Totals],[Gross Measure Cost Total]], Value_Project_CAP)/Table_Measure_Caps[[#Totals],[Estimated Raw Incentive Total]], "")</f>
        <v/>
      </c>
      <c r="J199" s="84" t="e">
        <f>#REF!</f>
        <v>#REF!</v>
      </c>
      <c r="K199" s="88" t="str">
        <f t="shared" si="8"/>
        <v>Version 2.1</v>
      </c>
      <c r="L199" s="89" t="e">
        <f>#REF!</f>
        <v>#REF!</v>
      </c>
      <c r="M199" s="86" t="e">
        <f>#REF!</f>
        <v>#REF!</v>
      </c>
    </row>
    <row r="200" spans="1:13" hidden="1" x14ac:dyDescent="0.2">
      <c r="A200" s="83" t="s">
        <v>489</v>
      </c>
      <c r="B200" s="84">
        <f t="shared" si="9"/>
        <v>0</v>
      </c>
      <c r="C200" s="84">
        <v>8</v>
      </c>
      <c r="D200" s="84" t="e">
        <f>#REF!</f>
        <v>#REF!</v>
      </c>
      <c r="E200" s="84"/>
      <c r="F200" s="84"/>
      <c r="G200" s="85" t="e">
        <f>#REF!</f>
        <v>#REF!</v>
      </c>
      <c r="H200" s="95" t="e">
        <f>#REF!</f>
        <v>#REF!</v>
      </c>
      <c r="I200" s="87" t="str">
        <f>IFERROR(M200*MIN(Table_Measure_Caps[[#Totals],[Estimated Raw Incentive Total]], Table_Measure_Caps[[#Totals],[Gross Measure Cost Total]], Value_Project_CAP)/Table_Measure_Caps[[#Totals],[Estimated Raw Incentive Total]], "")</f>
        <v/>
      </c>
      <c r="J200" s="84" t="e">
        <f>#REF!</f>
        <v>#REF!</v>
      </c>
      <c r="K200" s="88" t="str">
        <f t="shared" si="8"/>
        <v>Version 2.1</v>
      </c>
      <c r="L200" s="89" t="e">
        <f>#REF!</f>
        <v>#REF!</v>
      </c>
      <c r="M200" s="86" t="e">
        <f>#REF!</f>
        <v>#REF!</v>
      </c>
    </row>
    <row r="201" spans="1:13" hidden="1" x14ac:dyDescent="0.2">
      <c r="A201" s="83" t="s">
        <v>489</v>
      </c>
      <c r="B201" s="84">
        <f t="shared" si="9"/>
        <v>0</v>
      </c>
      <c r="C201" s="84">
        <v>9</v>
      </c>
      <c r="D201" s="84" t="e">
        <f>#REF!</f>
        <v>#REF!</v>
      </c>
      <c r="E201" s="84"/>
      <c r="F201" s="84"/>
      <c r="G201" s="85" t="e">
        <f>#REF!</f>
        <v>#REF!</v>
      </c>
      <c r="H201" s="95" t="e">
        <f>#REF!</f>
        <v>#REF!</v>
      </c>
      <c r="I201" s="87" t="str">
        <f>IFERROR(M201*MIN(Table_Measure_Caps[[#Totals],[Estimated Raw Incentive Total]], Table_Measure_Caps[[#Totals],[Gross Measure Cost Total]], Value_Project_CAP)/Table_Measure_Caps[[#Totals],[Estimated Raw Incentive Total]], "")</f>
        <v/>
      </c>
      <c r="J201" s="84" t="e">
        <f>#REF!</f>
        <v>#REF!</v>
      </c>
      <c r="K201" s="88" t="str">
        <f t="shared" si="8"/>
        <v>Version 2.1</v>
      </c>
      <c r="L201" s="89" t="e">
        <f>#REF!</f>
        <v>#REF!</v>
      </c>
      <c r="M201" s="86" t="e">
        <f>#REF!</f>
        <v>#REF!</v>
      </c>
    </row>
    <row r="202" spans="1:13" hidden="1" x14ac:dyDescent="0.2">
      <c r="A202" s="83" t="s">
        <v>489</v>
      </c>
      <c r="B202" s="84">
        <f t="shared" si="9"/>
        <v>0</v>
      </c>
      <c r="C202" s="84">
        <v>10</v>
      </c>
      <c r="D202" s="84" t="e">
        <f>#REF!</f>
        <v>#REF!</v>
      </c>
      <c r="E202" s="84"/>
      <c r="F202" s="84"/>
      <c r="G202" s="85" t="e">
        <f>#REF!</f>
        <v>#REF!</v>
      </c>
      <c r="H202" s="95" t="e">
        <f>#REF!</f>
        <v>#REF!</v>
      </c>
      <c r="I202" s="87" t="str">
        <f>IFERROR(M202*MIN(Table_Measure_Caps[[#Totals],[Estimated Raw Incentive Total]], Table_Measure_Caps[[#Totals],[Gross Measure Cost Total]], Value_Project_CAP)/Table_Measure_Caps[[#Totals],[Estimated Raw Incentive Total]], "")</f>
        <v/>
      </c>
      <c r="J202" s="84" t="e">
        <f>#REF!</f>
        <v>#REF!</v>
      </c>
      <c r="K202" s="88" t="str">
        <f t="shared" si="8"/>
        <v>Version 2.1</v>
      </c>
      <c r="L202" s="89" t="e">
        <f>#REF!</f>
        <v>#REF!</v>
      </c>
      <c r="M202" s="86" t="e">
        <f>#REF!</f>
        <v>#REF!</v>
      </c>
    </row>
    <row r="203" spans="1:13" hidden="1" x14ac:dyDescent="0.2">
      <c r="A203" s="83" t="s">
        <v>489</v>
      </c>
      <c r="B203" s="84">
        <f t="shared" si="9"/>
        <v>0</v>
      </c>
      <c r="C203" s="84">
        <v>11</v>
      </c>
      <c r="D203" s="84" t="e">
        <f>#REF!</f>
        <v>#REF!</v>
      </c>
      <c r="E203" s="84"/>
      <c r="F203" s="84"/>
      <c r="G203" s="85" t="e">
        <f>#REF!</f>
        <v>#REF!</v>
      </c>
      <c r="H203" s="95" t="e">
        <f>#REF!</f>
        <v>#REF!</v>
      </c>
      <c r="I203" s="87" t="str">
        <f>IFERROR(M203*MIN(Table_Measure_Caps[[#Totals],[Estimated Raw Incentive Total]], Table_Measure_Caps[[#Totals],[Gross Measure Cost Total]], Value_Project_CAP)/Table_Measure_Caps[[#Totals],[Estimated Raw Incentive Total]], "")</f>
        <v/>
      </c>
      <c r="J203" s="84" t="e">
        <f>#REF!</f>
        <v>#REF!</v>
      </c>
      <c r="K203" s="88" t="str">
        <f t="shared" si="8"/>
        <v>Version 2.1</v>
      </c>
      <c r="L203" s="89" t="e">
        <f>#REF!</f>
        <v>#REF!</v>
      </c>
      <c r="M203" s="86" t="e">
        <f>#REF!</f>
        <v>#REF!</v>
      </c>
    </row>
    <row r="204" spans="1:13" hidden="1" x14ac:dyDescent="0.2">
      <c r="A204" s="83" t="s">
        <v>489</v>
      </c>
      <c r="B204" s="84">
        <f t="shared" si="9"/>
        <v>0</v>
      </c>
      <c r="C204" s="84">
        <v>12</v>
      </c>
      <c r="D204" s="84" t="e">
        <f>#REF!</f>
        <v>#REF!</v>
      </c>
      <c r="E204" s="84"/>
      <c r="F204" s="84"/>
      <c r="G204" s="85" t="e">
        <f>#REF!</f>
        <v>#REF!</v>
      </c>
      <c r="H204" s="95" t="e">
        <f>#REF!</f>
        <v>#REF!</v>
      </c>
      <c r="I204" s="87" t="str">
        <f>IFERROR(M204*MIN(Table_Measure_Caps[[#Totals],[Estimated Raw Incentive Total]], Table_Measure_Caps[[#Totals],[Gross Measure Cost Total]], Value_Project_CAP)/Table_Measure_Caps[[#Totals],[Estimated Raw Incentive Total]], "")</f>
        <v/>
      </c>
      <c r="J204" s="84" t="e">
        <f>#REF!</f>
        <v>#REF!</v>
      </c>
      <c r="K204" s="88" t="str">
        <f t="shared" si="8"/>
        <v>Version 2.1</v>
      </c>
      <c r="L204" s="89" t="e">
        <f>#REF!</f>
        <v>#REF!</v>
      </c>
      <c r="M204" s="86" t="e">
        <f>#REF!</f>
        <v>#REF!</v>
      </c>
    </row>
    <row r="205" spans="1:13" hidden="1" x14ac:dyDescent="0.2">
      <c r="A205" s="83" t="s">
        <v>489</v>
      </c>
      <c r="B205" s="84">
        <f t="shared" si="9"/>
        <v>0</v>
      </c>
      <c r="C205" s="84">
        <v>13</v>
      </c>
      <c r="D205" s="84" t="e">
        <f>#REF!</f>
        <v>#REF!</v>
      </c>
      <c r="E205" s="84"/>
      <c r="F205" s="84"/>
      <c r="G205" s="85" t="e">
        <f>#REF!</f>
        <v>#REF!</v>
      </c>
      <c r="H205" s="95" t="e">
        <f>#REF!</f>
        <v>#REF!</v>
      </c>
      <c r="I205" s="87" t="str">
        <f>IFERROR(M205*MIN(Table_Measure_Caps[[#Totals],[Estimated Raw Incentive Total]], Table_Measure_Caps[[#Totals],[Gross Measure Cost Total]], Value_Project_CAP)/Table_Measure_Caps[[#Totals],[Estimated Raw Incentive Total]], "")</f>
        <v/>
      </c>
      <c r="J205" s="84" t="e">
        <f>#REF!</f>
        <v>#REF!</v>
      </c>
      <c r="K205" s="88" t="str">
        <f t="shared" si="8"/>
        <v>Version 2.1</v>
      </c>
      <c r="L205" s="89" t="e">
        <f>#REF!</f>
        <v>#REF!</v>
      </c>
      <c r="M205" s="86" t="e">
        <f>#REF!</f>
        <v>#REF!</v>
      </c>
    </row>
    <row r="206" spans="1:13" hidden="1" x14ac:dyDescent="0.2">
      <c r="A206" s="83" t="s">
        <v>489</v>
      </c>
      <c r="B206" s="84">
        <f t="shared" si="9"/>
        <v>0</v>
      </c>
      <c r="C206" s="84">
        <v>14</v>
      </c>
      <c r="D206" s="84" t="e">
        <f>#REF!</f>
        <v>#REF!</v>
      </c>
      <c r="E206" s="84"/>
      <c r="F206" s="84"/>
      <c r="G206" s="85" t="e">
        <f>#REF!</f>
        <v>#REF!</v>
      </c>
      <c r="H206" s="95" t="e">
        <f>#REF!</f>
        <v>#REF!</v>
      </c>
      <c r="I206" s="87" t="str">
        <f>IFERROR(M206*MIN(Table_Measure_Caps[[#Totals],[Estimated Raw Incentive Total]], Table_Measure_Caps[[#Totals],[Gross Measure Cost Total]], Value_Project_CAP)/Table_Measure_Caps[[#Totals],[Estimated Raw Incentive Total]], "")</f>
        <v/>
      </c>
      <c r="J206" s="84" t="e">
        <f>#REF!</f>
        <v>#REF!</v>
      </c>
      <c r="K206" s="88" t="str">
        <f t="shared" si="8"/>
        <v>Version 2.1</v>
      </c>
      <c r="L206" s="89" t="e">
        <f>#REF!</f>
        <v>#REF!</v>
      </c>
      <c r="M206" s="86" t="e">
        <f>#REF!</f>
        <v>#REF!</v>
      </c>
    </row>
    <row r="207" spans="1:13" hidden="1" x14ac:dyDescent="0.2">
      <c r="A207" s="83" t="s">
        <v>489</v>
      </c>
      <c r="B207" s="84">
        <f t="shared" si="9"/>
        <v>0</v>
      </c>
      <c r="C207" s="84">
        <v>15</v>
      </c>
      <c r="D207" s="84" t="e">
        <f>#REF!</f>
        <v>#REF!</v>
      </c>
      <c r="E207" s="84"/>
      <c r="F207" s="84"/>
      <c r="G207" s="85" t="e">
        <f>#REF!</f>
        <v>#REF!</v>
      </c>
      <c r="H207" s="95" t="e">
        <f>#REF!</f>
        <v>#REF!</v>
      </c>
      <c r="I207" s="87" t="str">
        <f>IFERROR(M207*MIN(Table_Measure_Caps[[#Totals],[Estimated Raw Incentive Total]], Table_Measure_Caps[[#Totals],[Gross Measure Cost Total]], Value_Project_CAP)/Table_Measure_Caps[[#Totals],[Estimated Raw Incentive Total]], "")</f>
        <v/>
      </c>
      <c r="J207" s="84" t="e">
        <f>#REF!</f>
        <v>#REF!</v>
      </c>
      <c r="K207" s="88" t="str">
        <f t="shared" si="8"/>
        <v>Version 2.1</v>
      </c>
      <c r="L207" s="89" t="e">
        <f>#REF!</f>
        <v>#REF!</v>
      </c>
      <c r="M207" s="86" t="e">
        <f>#REF!</f>
        <v>#REF!</v>
      </c>
    </row>
    <row r="208" spans="1:13" hidden="1" x14ac:dyDescent="0.2">
      <c r="A208" s="83" t="s">
        <v>489</v>
      </c>
      <c r="B208" s="84">
        <f t="shared" si="9"/>
        <v>0</v>
      </c>
      <c r="C208" s="84">
        <v>16</v>
      </c>
      <c r="D208" s="84" t="e">
        <f>#REF!</f>
        <v>#REF!</v>
      </c>
      <c r="E208" s="84"/>
      <c r="F208" s="84"/>
      <c r="G208" s="85" t="e">
        <f>#REF!</f>
        <v>#REF!</v>
      </c>
      <c r="H208" s="95" t="e">
        <f>#REF!</f>
        <v>#REF!</v>
      </c>
      <c r="I208" s="87" t="str">
        <f>IFERROR(M208*MIN(Table_Measure_Caps[[#Totals],[Estimated Raw Incentive Total]], Table_Measure_Caps[[#Totals],[Gross Measure Cost Total]], Value_Project_CAP)/Table_Measure_Caps[[#Totals],[Estimated Raw Incentive Total]], "")</f>
        <v/>
      </c>
      <c r="J208" s="84" t="e">
        <f>#REF!</f>
        <v>#REF!</v>
      </c>
      <c r="K208" s="88" t="str">
        <f t="shared" si="8"/>
        <v>Version 2.1</v>
      </c>
      <c r="L208" s="89" t="e">
        <f>#REF!</f>
        <v>#REF!</v>
      </c>
      <c r="M208" s="86" t="e">
        <f>#REF!</f>
        <v>#REF!</v>
      </c>
    </row>
    <row r="209" spans="1:13" hidden="1" x14ac:dyDescent="0.2">
      <c r="A209" s="83" t="s">
        <v>489</v>
      </c>
      <c r="B209" s="84">
        <f t="shared" si="9"/>
        <v>0</v>
      </c>
      <c r="C209" s="84">
        <v>17</v>
      </c>
      <c r="D209" s="84" t="e">
        <f>#REF!</f>
        <v>#REF!</v>
      </c>
      <c r="E209" s="84"/>
      <c r="F209" s="84"/>
      <c r="G209" s="85" t="e">
        <f>#REF!</f>
        <v>#REF!</v>
      </c>
      <c r="H209" s="95" t="e">
        <f>#REF!</f>
        <v>#REF!</v>
      </c>
      <c r="I209" s="87" t="str">
        <f>IFERROR(M209*MIN(Table_Measure_Caps[[#Totals],[Estimated Raw Incentive Total]], Table_Measure_Caps[[#Totals],[Gross Measure Cost Total]], Value_Project_CAP)/Table_Measure_Caps[[#Totals],[Estimated Raw Incentive Total]], "")</f>
        <v/>
      </c>
      <c r="J209" s="84" t="e">
        <f>#REF!</f>
        <v>#REF!</v>
      </c>
      <c r="K209" s="88" t="str">
        <f t="shared" si="8"/>
        <v>Version 2.1</v>
      </c>
      <c r="L209" s="89" t="e">
        <f>#REF!</f>
        <v>#REF!</v>
      </c>
      <c r="M209" s="86" t="e">
        <f>#REF!</f>
        <v>#REF!</v>
      </c>
    </row>
    <row r="210" spans="1:13" hidden="1" x14ac:dyDescent="0.2">
      <c r="A210" s="83" t="s">
        <v>489</v>
      </c>
      <c r="B210" s="84">
        <f t="shared" si="9"/>
        <v>0</v>
      </c>
      <c r="C210" s="84">
        <v>18</v>
      </c>
      <c r="D210" s="84" t="e">
        <f>#REF!</f>
        <v>#REF!</v>
      </c>
      <c r="E210" s="84"/>
      <c r="F210" s="84"/>
      <c r="G210" s="85" t="e">
        <f>#REF!</f>
        <v>#REF!</v>
      </c>
      <c r="H210" s="95" t="e">
        <f>#REF!</f>
        <v>#REF!</v>
      </c>
      <c r="I210" s="87" t="str">
        <f>IFERROR(M210*MIN(Table_Measure_Caps[[#Totals],[Estimated Raw Incentive Total]], Table_Measure_Caps[[#Totals],[Gross Measure Cost Total]], Value_Project_CAP)/Table_Measure_Caps[[#Totals],[Estimated Raw Incentive Total]], "")</f>
        <v/>
      </c>
      <c r="J210" s="84" t="e">
        <f>#REF!</f>
        <v>#REF!</v>
      </c>
      <c r="K210" s="88" t="str">
        <f t="shared" si="8"/>
        <v>Version 2.1</v>
      </c>
      <c r="L210" s="89" t="e">
        <f>#REF!</f>
        <v>#REF!</v>
      </c>
      <c r="M210" s="86" t="e">
        <f>#REF!</f>
        <v>#REF!</v>
      </c>
    </row>
    <row r="211" spans="1:13" hidden="1" x14ac:dyDescent="0.2">
      <c r="A211" s="83" t="s">
        <v>489</v>
      </c>
      <c r="B211" s="84">
        <f t="shared" si="9"/>
        <v>0</v>
      </c>
      <c r="C211" s="84">
        <v>19</v>
      </c>
      <c r="D211" s="84" t="e">
        <f>#REF!</f>
        <v>#REF!</v>
      </c>
      <c r="E211" s="84"/>
      <c r="F211" s="84"/>
      <c r="G211" s="85" t="e">
        <f>#REF!</f>
        <v>#REF!</v>
      </c>
      <c r="H211" s="95" t="e">
        <f>#REF!</f>
        <v>#REF!</v>
      </c>
      <c r="I211" s="87" t="str">
        <f>IFERROR(M211*MIN(Table_Measure_Caps[[#Totals],[Estimated Raw Incentive Total]], Table_Measure_Caps[[#Totals],[Gross Measure Cost Total]], Value_Project_CAP)/Table_Measure_Caps[[#Totals],[Estimated Raw Incentive Total]], "")</f>
        <v/>
      </c>
      <c r="J211" s="84" t="e">
        <f>#REF!</f>
        <v>#REF!</v>
      </c>
      <c r="K211" s="88" t="str">
        <f t="shared" si="8"/>
        <v>Version 2.1</v>
      </c>
      <c r="L211" s="89" t="e">
        <f>#REF!</f>
        <v>#REF!</v>
      </c>
      <c r="M211" s="86" t="e">
        <f>#REF!</f>
        <v>#REF!</v>
      </c>
    </row>
    <row r="212" spans="1:13" hidden="1" x14ac:dyDescent="0.2">
      <c r="A212" s="83" t="s">
        <v>489</v>
      </c>
      <c r="B212" s="84">
        <f t="shared" si="9"/>
        <v>0</v>
      </c>
      <c r="C212" s="84">
        <v>20</v>
      </c>
      <c r="D212" s="84" t="e">
        <f>#REF!</f>
        <v>#REF!</v>
      </c>
      <c r="E212" s="84"/>
      <c r="F212" s="84"/>
      <c r="G212" s="85" t="e">
        <f>#REF!</f>
        <v>#REF!</v>
      </c>
      <c r="H212" s="95" t="e">
        <f>#REF!</f>
        <v>#REF!</v>
      </c>
      <c r="I212" s="87" t="str">
        <f>IFERROR(M212*MIN(Table_Measure_Caps[[#Totals],[Estimated Raw Incentive Total]], Table_Measure_Caps[[#Totals],[Gross Measure Cost Total]], Value_Project_CAP)/Table_Measure_Caps[[#Totals],[Estimated Raw Incentive Total]], "")</f>
        <v/>
      </c>
      <c r="J212" s="84" t="e">
        <f>#REF!</f>
        <v>#REF!</v>
      </c>
      <c r="K212" s="88" t="str">
        <f t="shared" si="8"/>
        <v>Version 2.1</v>
      </c>
      <c r="L212" s="89" t="e">
        <f>#REF!</f>
        <v>#REF!</v>
      </c>
      <c r="M212" s="86" t="e">
        <f>#REF!</f>
        <v>#REF!</v>
      </c>
    </row>
  </sheetData>
  <conditionalFormatting sqref="A1:H1 J1:M1">
    <cfRule type="containsBlanks" dxfId="18" priority="3">
      <formula>LEN(TRIM(A1))=0</formula>
    </cfRule>
  </conditionalFormatting>
  <conditionalFormatting sqref="I1">
    <cfRule type="containsBlanks" dxfId="17" priority="1">
      <formula>LEN(TRIM(I1))=0</formula>
    </cfRule>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9AE3-CEC9-4067-9447-DEB8AA30A8EF}">
  <sheetPr codeName="Sheet1">
    <tabColor theme="6"/>
    <pageSetUpPr fitToPage="1"/>
  </sheetPr>
  <dimension ref="B1:H55"/>
  <sheetViews>
    <sheetView showGridLines="0" showRowColHeaders="0" workbookViewId="0">
      <selection activeCell="C5" sqref="C5"/>
    </sheetView>
  </sheetViews>
  <sheetFormatPr defaultRowHeight="12.75" x14ac:dyDescent="0.2"/>
  <cols>
    <col min="1" max="1" width="2.28515625" style="187" customWidth="1"/>
    <col min="2" max="2" width="31.85546875" style="199" customWidth="1"/>
    <col min="3" max="3" width="39.140625" style="187" customWidth="1"/>
    <col min="4" max="4" width="1.7109375" style="187" customWidth="1"/>
    <col min="5" max="5" width="31.85546875" style="199" customWidth="1"/>
    <col min="6" max="6" width="39.140625" style="187" customWidth="1"/>
    <col min="7" max="7" width="9.140625" style="187"/>
    <col min="8" max="8" width="45.85546875" style="187" customWidth="1"/>
    <col min="9" max="16384" width="9.140625" style="187"/>
  </cols>
  <sheetData>
    <row r="1" spans="2:8" ht="54" customHeight="1" x14ac:dyDescent="0.2"/>
    <row r="2" spans="2:8" s="200" customFormat="1" ht="30" customHeight="1" x14ac:dyDescent="0.2">
      <c r="B2" s="285" t="s">
        <v>25</v>
      </c>
      <c r="C2" s="285"/>
      <c r="D2" s="285"/>
      <c r="E2" s="285"/>
      <c r="F2" s="194"/>
    </row>
    <row r="4" spans="2:8" ht="15.75" x14ac:dyDescent="0.2">
      <c r="B4" s="271" t="s">
        <v>26</v>
      </c>
      <c r="C4" s="271"/>
      <c r="E4" s="271" t="s">
        <v>27</v>
      </c>
      <c r="F4" s="271"/>
      <c r="H4" s="199"/>
    </row>
    <row r="5" spans="2:8" ht="12.75" customHeight="1" x14ac:dyDescent="0.2">
      <c r="B5" s="197" t="s">
        <v>28</v>
      </c>
      <c r="C5" s="193"/>
      <c r="E5" s="288" t="s">
        <v>29</v>
      </c>
      <c r="F5" s="289"/>
      <c r="H5" s="199"/>
    </row>
    <row r="6" spans="2:8" x14ac:dyDescent="0.2">
      <c r="B6" s="197" t="s">
        <v>30</v>
      </c>
      <c r="C6" s="193"/>
      <c r="E6" s="288"/>
      <c r="F6" s="289"/>
    </row>
    <row r="7" spans="2:8" ht="25.5" x14ac:dyDescent="0.2">
      <c r="B7" s="197" t="s">
        <v>31</v>
      </c>
      <c r="C7" s="193"/>
      <c r="E7" s="288"/>
      <c r="F7" s="289"/>
    </row>
    <row r="8" spans="2:8" x14ac:dyDescent="0.2">
      <c r="B8" s="197" t="s">
        <v>32</v>
      </c>
      <c r="C8" s="193"/>
      <c r="E8" s="288"/>
      <c r="F8" s="289"/>
    </row>
    <row r="9" spans="2:8" x14ac:dyDescent="0.2">
      <c r="B9" s="197" t="s">
        <v>33</v>
      </c>
      <c r="C9" s="193"/>
      <c r="E9" s="197" t="s">
        <v>34</v>
      </c>
      <c r="F9" s="198"/>
    </row>
    <row r="10" spans="2:8" ht="25.5" x14ac:dyDescent="0.2">
      <c r="B10" s="197" t="s">
        <v>35</v>
      </c>
      <c r="C10" s="193"/>
      <c r="E10" s="197" t="s">
        <v>36</v>
      </c>
      <c r="F10" s="198"/>
    </row>
    <row r="11" spans="2:8" x14ac:dyDescent="0.2">
      <c r="B11" s="197" t="s">
        <v>37</v>
      </c>
      <c r="C11" s="193"/>
      <c r="E11" s="197" t="s">
        <v>38</v>
      </c>
      <c r="F11" s="193"/>
    </row>
    <row r="12" spans="2:8" x14ac:dyDescent="0.2">
      <c r="B12" s="197" t="s">
        <v>39</v>
      </c>
      <c r="C12" s="193"/>
      <c r="E12" s="197" t="s">
        <v>40</v>
      </c>
      <c r="F12" s="193"/>
    </row>
    <row r="13" spans="2:8" ht="25.5" x14ac:dyDescent="0.2">
      <c r="B13" s="197" t="s">
        <v>41</v>
      </c>
      <c r="C13" s="193"/>
      <c r="E13" s="197" t="s">
        <v>42</v>
      </c>
      <c r="F13" s="193"/>
    </row>
    <row r="14" spans="2:8" ht="25.5" x14ac:dyDescent="0.2">
      <c r="B14" s="197" t="s">
        <v>43</v>
      </c>
      <c r="C14" s="193"/>
      <c r="E14" s="271" t="s">
        <v>44</v>
      </c>
      <c r="F14" s="271"/>
    </row>
    <row r="15" spans="2:8" ht="25.5" x14ac:dyDescent="0.2">
      <c r="B15" s="197" t="s">
        <v>45</v>
      </c>
      <c r="C15" s="193"/>
      <c r="D15" s="1"/>
      <c r="E15" s="197" t="s">
        <v>46</v>
      </c>
      <c r="F15" s="193"/>
    </row>
    <row r="16" spans="2:8" ht="15.75" x14ac:dyDescent="0.2">
      <c r="B16" s="271" t="s">
        <v>47</v>
      </c>
      <c r="C16" s="271"/>
      <c r="D16" s="1"/>
      <c r="E16" s="197" t="s">
        <v>48</v>
      </c>
      <c r="F16" s="193"/>
    </row>
    <row r="17" spans="2:6" x14ac:dyDescent="0.2">
      <c r="B17" s="197" t="s">
        <v>49</v>
      </c>
      <c r="C17" s="193"/>
      <c r="D17" s="1"/>
      <c r="E17" s="197" t="s">
        <v>50</v>
      </c>
      <c r="F17" s="193"/>
    </row>
    <row r="18" spans="2:6" x14ac:dyDescent="0.2">
      <c r="B18" s="197" t="s">
        <v>51</v>
      </c>
      <c r="C18" s="193"/>
      <c r="D18" s="1"/>
      <c r="E18" s="197" t="s">
        <v>32</v>
      </c>
      <c r="F18" s="193"/>
    </row>
    <row r="19" spans="2:6" x14ac:dyDescent="0.2">
      <c r="B19" s="197" t="s">
        <v>52</v>
      </c>
      <c r="C19" s="193"/>
      <c r="D19" s="1"/>
      <c r="E19" s="197" t="s">
        <v>33</v>
      </c>
      <c r="F19" s="193"/>
    </row>
    <row r="20" spans="2:6" x14ac:dyDescent="0.2">
      <c r="B20" s="197" t="s">
        <v>32</v>
      </c>
      <c r="C20" s="193"/>
      <c r="D20" s="1"/>
      <c r="E20" s="197" t="s">
        <v>53</v>
      </c>
      <c r="F20" s="193"/>
    </row>
    <row r="21" spans="2:6" x14ac:dyDescent="0.2">
      <c r="B21" s="197" t="s">
        <v>33</v>
      </c>
      <c r="C21" s="193"/>
      <c r="D21" s="1"/>
      <c r="E21" s="197" t="s">
        <v>37</v>
      </c>
      <c r="F21" s="193"/>
    </row>
    <row r="22" spans="2:6" x14ac:dyDescent="0.2">
      <c r="B22" s="197" t="s">
        <v>35</v>
      </c>
      <c r="C22" s="193"/>
      <c r="D22" s="1"/>
      <c r="E22" s="197" t="s">
        <v>54</v>
      </c>
      <c r="F22" s="193"/>
    </row>
    <row r="23" spans="2:6" x14ac:dyDescent="0.2">
      <c r="B23" s="197" t="s">
        <v>37</v>
      </c>
      <c r="C23" s="193"/>
      <c r="D23" s="1"/>
      <c r="E23" s="197" t="s">
        <v>55</v>
      </c>
      <c r="F23" s="193"/>
    </row>
    <row r="24" spans="2:6" x14ac:dyDescent="0.2">
      <c r="B24" s="197" t="s">
        <v>54</v>
      </c>
      <c r="C24" s="193"/>
      <c r="D24" s="1"/>
      <c r="E24" s="197" t="s">
        <v>56</v>
      </c>
      <c r="F24" s="193"/>
    </row>
    <row r="25" spans="2:6" x14ac:dyDescent="0.2">
      <c r="B25" s="197" t="s">
        <v>57</v>
      </c>
      <c r="C25" s="193"/>
      <c r="D25" s="1"/>
      <c r="E25" s="197" t="s">
        <v>58</v>
      </c>
      <c r="F25" s="193"/>
    </row>
    <row r="26" spans="2:6" ht="15.75" x14ac:dyDescent="0.2">
      <c r="B26" s="271" t="s">
        <v>59</v>
      </c>
      <c r="C26" s="271"/>
      <c r="D26" s="28"/>
      <c r="E26" s="197" t="s">
        <v>60</v>
      </c>
      <c r="F26" s="201"/>
    </row>
    <row r="27" spans="2:6" ht="25.5" x14ac:dyDescent="0.2">
      <c r="B27" s="197" t="s">
        <v>28</v>
      </c>
      <c r="C27" s="193"/>
      <c r="D27" s="28"/>
      <c r="E27" s="197" t="s">
        <v>61</v>
      </c>
      <c r="F27" s="193"/>
    </row>
    <row r="28" spans="2:6" x14ac:dyDescent="0.2">
      <c r="B28" s="197" t="s">
        <v>62</v>
      </c>
      <c r="C28" s="193"/>
      <c r="D28" s="1"/>
      <c r="E28" s="197" t="s">
        <v>63</v>
      </c>
      <c r="F28" s="202"/>
    </row>
    <row r="29" spans="2:6" x14ac:dyDescent="0.2">
      <c r="B29" s="197" t="s">
        <v>52</v>
      </c>
      <c r="C29" s="193"/>
      <c r="D29" s="1"/>
      <c r="E29" s="197" t="s">
        <v>64</v>
      </c>
      <c r="F29" s="193"/>
    </row>
    <row r="30" spans="2:6" x14ac:dyDescent="0.2">
      <c r="B30" s="197" t="s">
        <v>32</v>
      </c>
      <c r="C30" s="193"/>
      <c r="D30" s="28"/>
      <c r="E30" s="197" t="s">
        <v>65</v>
      </c>
      <c r="F30" s="193"/>
    </row>
    <row r="31" spans="2:6" x14ac:dyDescent="0.2">
      <c r="B31" s="197" t="s">
        <v>33</v>
      </c>
      <c r="C31" s="193"/>
      <c r="D31" s="28"/>
      <c r="E31" s="197" t="s">
        <v>66</v>
      </c>
      <c r="F31" s="193"/>
    </row>
    <row r="32" spans="2:6" ht="15.75" x14ac:dyDescent="0.2">
      <c r="B32" s="197" t="s">
        <v>35</v>
      </c>
      <c r="C32" s="193"/>
      <c r="D32" s="28"/>
      <c r="E32" s="286" t="s">
        <v>67</v>
      </c>
      <c r="F32" s="287"/>
    </row>
    <row r="33" spans="2:6" x14ac:dyDescent="0.2">
      <c r="B33" s="197" t="s">
        <v>37</v>
      </c>
      <c r="C33" s="193"/>
      <c r="D33" s="28"/>
      <c r="E33" s="197" t="s">
        <v>68</v>
      </c>
      <c r="F33" s="193"/>
    </row>
    <row r="34" spans="2:6" x14ac:dyDescent="0.2">
      <c r="B34" s="197" t="s">
        <v>54</v>
      </c>
      <c r="C34" s="193"/>
      <c r="D34" s="28"/>
      <c r="E34" s="197" t="s">
        <v>69</v>
      </c>
      <c r="F34" s="193"/>
    </row>
    <row r="35" spans="2:6" x14ac:dyDescent="0.2">
      <c r="B35" s="197" t="s">
        <v>70</v>
      </c>
      <c r="C35" s="193"/>
      <c r="D35" s="1"/>
      <c r="E35" s="197" t="s">
        <v>71</v>
      </c>
      <c r="F35" s="193"/>
    </row>
    <row r="36" spans="2:6" ht="15.75" x14ac:dyDescent="0.2">
      <c r="B36" s="286" t="s">
        <v>72</v>
      </c>
      <c r="C36" s="287"/>
      <c r="D36" s="1"/>
      <c r="E36" s="197" t="s">
        <v>73</v>
      </c>
      <c r="F36" s="193"/>
    </row>
    <row r="37" spans="2:6" ht="25.5" x14ac:dyDescent="0.2">
      <c r="B37" s="197" t="s">
        <v>74</v>
      </c>
      <c r="C37" s="193"/>
      <c r="D37" s="1"/>
      <c r="E37" s="197" t="s">
        <v>75</v>
      </c>
      <c r="F37" s="193"/>
    </row>
    <row r="38" spans="2:6" ht="25.5" x14ac:dyDescent="0.2">
      <c r="B38" s="197" t="s">
        <v>76</v>
      </c>
      <c r="C38" s="193"/>
      <c r="D38" s="1"/>
    </row>
    <row r="39" spans="2:6" x14ac:dyDescent="0.2">
      <c r="D39" s="1"/>
    </row>
    <row r="40" spans="2:6" x14ac:dyDescent="0.2">
      <c r="B40" s="187"/>
      <c r="E40" s="187"/>
    </row>
    <row r="41" spans="2:6" x14ac:dyDescent="0.2">
      <c r="B41" s="187" t="s">
        <v>24</v>
      </c>
      <c r="E41" s="187"/>
    </row>
    <row r="42" spans="2:6" x14ac:dyDescent="0.2">
      <c r="B42" s="187" t="str">
        <f>Value_Application_Version</f>
        <v>Version 2.1</v>
      </c>
      <c r="E42" s="187"/>
    </row>
    <row r="43" spans="2:6" x14ac:dyDescent="0.2">
      <c r="B43" s="187"/>
      <c r="E43" s="187"/>
    </row>
    <row r="48" spans="2:6" x14ac:dyDescent="0.2">
      <c r="D48" s="1"/>
    </row>
    <row r="49" spans="4:6" x14ac:dyDescent="0.2">
      <c r="D49" s="1"/>
    </row>
    <row r="50" spans="4:6" x14ac:dyDescent="0.2">
      <c r="D50" s="1"/>
    </row>
    <row r="51" spans="4:6" x14ac:dyDescent="0.2">
      <c r="D51" s="1"/>
    </row>
    <row r="52" spans="4:6" x14ac:dyDescent="0.2">
      <c r="D52" s="1"/>
    </row>
    <row r="55" spans="4:6" x14ac:dyDescent="0.2">
      <c r="E55" s="39"/>
      <c r="F55" s="26"/>
    </row>
  </sheetData>
  <sheetProtection algorithmName="SHA-512" hashValue="tsbCAb67qW+jeqmh2n4vzDdyT63WXqTAkmtp3XvSRE1mNEnXdAbJ/3nLyOC6mCh+O2shYM2j25ipK6GJyc3/LQ==" saltValue="z0T4VuxJ2Qq4YqawcFQ9qw==" spinCount="100000" sheet="1" objects="1" scenarios="1"/>
  <mergeCells count="10">
    <mergeCell ref="B2:E2"/>
    <mergeCell ref="B36:C36"/>
    <mergeCell ref="E32:F32"/>
    <mergeCell ref="B4:C4"/>
    <mergeCell ref="B16:C16"/>
    <mergeCell ref="B26:C26"/>
    <mergeCell ref="E14:F14"/>
    <mergeCell ref="E4:F4"/>
    <mergeCell ref="E5:E8"/>
    <mergeCell ref="F5:F8"/>
  </mergeCells>
  <dataValidations count="12">
    <dataValidation type="list" allowBlank="1" showInputMessage="1" showErrorMessage="1" sqref="F29" xr:uid="{00000000-0002-0000-0000-000002000000}">
      <formula1>List_Bldg_Types</formula1>
    </dataValidation>
    <dataValidation type="list" allowBlank="1" showInputMessage="1" showErrorMessage="1" sqref="F11" xr:uid="{00000000-0002-0000-0000-000003000000}">
      <formula1>List_Program_Names</formula1>
    </dataValidation>
    <dataValidation type="list" allowBlank="1" showInputMessage="1" showErrorMessage="1" sqref="F12" xr:uid="{00000000-0002-0000-0000-000004000000}">
      <formula1>List_Project_Stage</formula1>
    </dataValidation>
    <dataValidation type="list" allowBlank="1" showInputMessage="1" showErrorMessage="1" sqref="C13" xr:uid="{0EBF6B33-1A25-49CE-80DE-696F82CF9E69}">
      <formula1>List_Biz_Class</formula1>
    </dataValidation>
    <dataValidation type="list" allowBlank="1" showInputMessage="1" showErrorMessage="1" sqref="C14" xr:uid="{0F89A28A-20F8-4D05-8E72-DB2A6565CB96}">
      <formula1>List_Y_N_U</formula1>
    </dataValidation>
    <dataValidation type="list" allowBlank="1" showInputMessage="1" showErrorMessage="1" sqref="C15" xr:uid="{120E868B-F5BC-44EE-B13D-327ECB6A0725}">
      <formula1>List_DBE_Option</formula1>
    </dataValidation>
    <dataValidation type="list" allowBlank="1" showInputMessage="1" showErrorMessage="1" sqref="C38" xr:uid="{CFD7840C-5FA5-4E75-9F4D-52B558FFD9A7}">
      <formula1>List_Source</formula1>
    </dataValidation>
    <dataValidation type="list" allowBlank="1" showInputMessage="1" showErrorMessage="1" sqref="C37 F33" xr:uid="{DC170A83-A959-4CA6-83A5-494973C08389}">
      <formula1>List_Contacts</formula1>
    </dataValidation>
    <dataValidation type="list" allowBlank="1" showInputMessage="1" showErrorMessage="1" sqref="F31" xr:uid="{4AF9D84C-08C0-47DC-940B-4578E57C7E71}">
      <formula1>List_Water_Heating</formula1>
    </dataValidation>
    <dataValidation type="list" allowBlank="1" showInputMessage="1" showErrorMessage="1" sqref="F30" xr:uid="{720DAE66-CD56-4ABB-8753-00BA9609686C}">
      <formula1>List_HVAC</formula1>
    </dataValidation>
    <dataValidation type="list" allowBlank="1" showInputMessage="1" showErrorMessage="1" sqref="F13" xr:uid="{86B206BE-1E08-4349-A3E6-E8C1334ABFB2}">
      <formula1>List_Install_Type</formula1>
    </dataValidation>
    <dataValidation type="list" allowBlank="1" showInputMessage="1" showErrorMessage="1" sqref="F37" xr:uid="{F81F37EC-9197-4D5A-BA82-93D78777D712}">
      <formula1>List_Tax_Entity</formula1>
    </dataValidation>
  </dataValidations>
  <pageMargins left="0.7" right="0.7" top="0.75" bottom="0.75" header="0.3" footer="0.3"/>
  <pageSetup scale="74"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C35E6E4-0A48-4ED8-A21A-5E971D523AA7}">
          <x14:formula1>
            <xm:f>References!$AH$4:$AH$5</xm:f>
          </x14:formula1>
          <xm:sqref>F27</xm:sqref>
        </x14:dataValidation>
        <x14:dataValidation type="list" allowBlank="1" showInputMessage="1" showErrorMessage="1" xr:uid="{8DBB6B1A-EC45-4445-AADC-6C9B4FC7FE62}">
          <x14:formula1>
            <xm:f>References!$AD$4:$AD$5</xm:f>
          </x14:formula1>
          <xm:sqref>F24 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81A1-AFAB-444F-B81D-A25FC6F3E02F}">
  <sheetPr>
    <tabColor theme="6"/>
  </sheetPr>
  <dimension ref="B1:E20"/>
  <sheetViews>
    <sheetView showGridLines="0" showRowColHeaders="0" workbookViewId="0">
      <selection activeCell="B16" sqref="B16"/>
    </sheetView>
  </sheetViews>
  <sheetFormatPr defaultRowHeight="12.75" x14ac:dyDescent="0.2"/>
  <cols>
    <col min="1" max="1" width="1.85546875" style="204" customWidth="1"/>
    <col min="2" max="2" width="62.28515625" style="204" customWidth="1"/>
    <col min="3" max="3" width="6.140625" style="204" customWidth="1"/>
    <col min="4" max="4" width="20.42578125" style="204" customWidth="1"/>
    <col min="5" max="5" width="29.42578125" style="204" customWidth="1"/>
    <col min="6" max="16384" width="9.140625" style="204"/>
  </cols>
  <sheetData>
    <row r="1" spans="2:5" ht="66.75" customHeight="1" x14ac:dyDescent="0.2"/>
    <row r="2" spans="2:5" ht="21" customHeight="1" x14ac:dyDescent="0.2">
      <c r="B2" s="285" t="s">
        <v>77</v>
      </c>
      <c r="C2" s="285"/>
      <c r="D2" s="285"/>
      <c r="E2" s="285"/>
    </row>
    <row r="3" spans="2:5" ht="12.75" customHeight="1" x14ac:dyDescent="0.2"/>
    <row r="5" spans="2:5" x14ac:dyDescent="0.2">
      <c r="B5" s="205" t="s">
        <v>78</v>
      </c>
    </row>
    <row r="7" spans="2:5" x14ac:dyDescent="0.2">
      <c r="B7" s="290" t="s">
        <v>79</v>
      </c>
      <c r="C7" s="290"/>
      <c r="D7" s="290"/>
      <c r="E7" s="290"/>
    </row>
    <row r="8" spans="2:5" x14ac:dyDescent="0.2">
      <c r="B8" s="290"/>
      <c r="C8" s="290"/>
      <c r="D8" s="290"/>
      <c r="E8" s="290"/>
    </row>
    <row r="9" spans="2:5" x14ac:dyDescent="0.2">
      <c r="B9" s="290"/>
      <c r="C9" s="290"/>
      <c r="D9" s="290"/>
      <c r="E9" s="290"/>
    </row>
    <row r="10" spans="2:5" ht="26.25" customHeight="1" x14ac:dyDescent="0.2">
      <c r="B10" s="290"/>
      <c r="C10" s="290"/>
      <c r="D10" s="290"/>
      <c r="E10" s="290"/>
    </row>
    <row r="11" spans="2:5" x14ac:dyDescent="0.2">
      <c r="B11" s="206"/>
      <c r="C11" s="206"/>
      <c r="D11" s="206"/>
      <c r="E11" s="206"/>
    </row>
    <row r="12" spans="2:5" x14ac:dyDescent="0.2">
      <c r="B12" s="207" t="s">
        <v>80</v>
      </c>
      <c r="C12" s="206"/>
      <c r="D12" s="206"/>
      <c r="E12" s="206"/>
    </row>
    <row r="13" spans="2:5" x14ac:dyDescent="0.2">
      <c r="B13" s="206"/>
      <c r="C13" s="206"/>
      <c r="D13" s="206"/>
      <c r="E13" s="206"/>
    </row>
    <row r="14" spans="2:5" x14ac:dyDescent="0.2">
      <c r="B14" s="206"/>
      <c r="C14" s="206"/>
      <c r="D14" s="206"/>
      <c r="E14" s="206"/>
    </row>
    <row r="15" spans="2:5" x14ac:dyDescent="0.2">
      <c r="B15" s="205" t="s">
        <v>81</v>
      </c>
      <c r="D15" s="205" t="s">
        <v>82</v>
      </c>
    </row>
    <row r="16" spans="2:5" x14ac:dyDescent="0.2">
      <c r="B16" s="208"/>
      <c r="D16" s="198"/>
    </row>
    <row r="17" spans="2:2" ht="12.75" customHeight="1" x14ac:dyDescent="0.2"/>
    <row r="19" spans="2:2" x14ac:dyDescent="0.2">
      <c r="B19" s="204" t="s">
        <v>24</v>
      </c>
    </row>
    <row r="20" spans="2:2" x14ac:dyDescent="0.2">
      <c r="B20" s="204" t="str">
        <f>Value_Application_Version</f>
        <v>Version 2.1</v>
      </c>
    </row>
  </sheetData>
  <sheetProtection algorithmName="SHA-512" hashValue="2wfPy5JxfcMSiDDVBnrrU0sw1lasJ/4FfzE4wAQ6HZGnbMCFo5qyA9aGjoLB+xg3K9H6mH19Aqc6ex+gr+aH5w==" saltValue="ociVTHmi3LoV6ETtofNDtQ==" spinCount="100000" sheet="1" objects="1" scenarios="1"/>
  <mergeCells count="2">
    <mergeCell ref="B2:E2"/>
    <mergeCell ref="B7:E10"/>
  </mergeCells>
  <hyperlinks>
    <hyperlink ref="B12" r:id="rId1" xr:uid="{31F080B0-8E2C-43C0-A77C-93D14170E888}"/>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3"/>
  </sheetPr>
  <dimension ref="A1:AZ204"/>
  <sheetViews>
    <sheetView showGridLines="0" showRowColHeaders="0" workbookViewId="0">
      <selection activeCell="E3" sqref="E3"/>
    </sheetView>
  </sheetViews>
  <sheetFormatPr defaultColWidth="9.140625" defaultRowHeight="12.75" customHeight="1" x14ac:dyDescent="0.2"/>
  <cols>
    <col min="1" max="1" width="2.140625" style="183" customWidth="1"/>
    <col min="2" max="2" width="5.28515625" style="183" customWidth="1"/>
    <col min="3" max="3" width="10.7109375" style="183" customWidth="1"/>
    <col min="4" max="4" width="20.7109375" style="183" customWidth="1"/>
    <col min="5" max="5" width="19.7109375" style="183" bestFit="1" customWidth="1"/>
    <col min="6" max="6" width="19.7109375" style="209" customWidth="1"/>
    <col min="7" max="11" width="11.85546875" style="183" customWidth="1"/>
    <col min="12" max="12" width="15.42578125" style="183" customWidth="1"/>
    <col min="13" max="13" width="14" style="183" customWidth="1"/>
    <col min="14" max="14" width="13.85546875" style="183" customWidth="1"/>
    <col min="15" max="15" width="14" style="183" customWidth="1"/>
    <col min="16" max="16" width="12.7109375" style="183" customWidth="1"/>
    <col min="17" max="17" width="10" style="183" customWidth="1"/>
    <col min="18" max="18" width="11" style="183" customWidth="1"/>
    <col min="19" max="19" width="12" style="183" customWidth="1"/>
    <col min="20" max="20" width="11.85546875" style="183" customWidth="1"/>
    <col min="21" max="21" width="10.28515625" style="183" customWidth="1"/>
    <col min="22" max="22" width="12.28515625" style="183" customWidth="1"/>
    <col min="23" max="23" width="13.42578125" style="183" customWidth="1"/>
    <col min="24" max="24" width="9.5703125" style="183" customWidth="1"/>
    <col min="25" max="16384" width="9.140625" style="183"/>
  </cols>
  <sheetData>
    <row r="1" spans="1:52" ht="56.25" customHeight="1" x14ac:dyDescent="0.2"/>
    <row r="2" spans="1:52" s="204" customFormat="1" ht="37.5" customHeight="1" x14ac:dyDescent="0.2">
      <c r="B2" s="285" t="s">
        <v>83</v>
      </c>
      <c r="C2" s="285"/>
      <c r="D2" s="285"/>
      <c r="E2" s="285"/>
      <c r="F2" s="285"/>
      <c r="G2" s="285"/>
      <c r="H2" s="285"/>
      <c r="I2" s="285"/>
      <c r="J2" s="285"/>
      <c r="K2" s="285"/>
      <c r="L2" s="285"/>
      <c r="M2" s="285"/>
      <c r="N2" s="285"/>
      <c r="O2" s="285"/>
      <c r="P2" s="285"/>
      <c r="Q2" s="285"/>
      <c r="R2" s="285"/>
      <c r="S2" s="285"/>
      <c r="T2" s="285"/>
      <c r="U2" s="285"/>
      <c r="V2" s="224"/>
      <c r="W2" s="224"/>
      <c r="X2" s="224"/>
    </row>
    <row r="3" spans="1:52" x14ac:dyDescent="0.2">
      <c r="A3" s="186"/>
      <c r="D3" s="210" t="s">
        <v>84</v>
      </c>
      <c r="E3" s="223"/>
      <c r="G3" s="291" t="s">
        <v>85</v>
      </c>
      <c r="H3" s="291"/>
      <c r="I3" s="291"/>
      <c r="J3" s="291"/>
      <c r="K3" s="291"/>
      <c r="L3" s="291"/>
      <c r="M3" s="291"/>
      <c r="N3" s="291"/>
      <c r="O3" s="291"/>
      <c r="P3" s="291"/>
      <c r="Q3" s="232" t="s">
        <v>86</v>
      </c>
      <c r="R3" s="233">
        <f>SUM(R$5:R$54)</f>
        <v>0</v>
      </c>
      <c r="S3" s="234">
        <f>SUM(S$5:S$54)</f>
        <v>0</v>
      </c>
      <c r="T3" s="235">
        <f>SUM(T$5:T$54)</f>
        <v>0</v>
      </c>
      <c r="U3" s="236">
        <f>SUM(U$5:U$54)</f>
        <v>0</v>
      </c>
      <c r="V3" s="236">
        <f>SUM(Table_PrescriptLights_Input[Gross measure cost])</f>
        <v>0</v>
      </c>
      <c r="W3" s="236">
        <f>SUM(W$5:W$54)</f>
        <v>0</v>
      </c>
      <c r="X3" s="211" t="str">
        <f>IFERROR(W3/U3,"")</f>
        <v/>
      </c>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row>
    <row r="4" spans="1:52" s="187" customFormat="1" ht="51" x14ac:dyDescent="0.2">
      <c r="A4" s="225"/>
      <c r="B4" s="226" t="s">
        <v>87</v>
      </c>
      <c r="C4" s="227" t="s">
        <v>88</v>
      </c>
      <c r="D4" s="228" t="s">
        <v>89</v>
      </c>
      <c r="E4" s="227" t="s">
        <v>90</v>
      </c>
      <c r="F4" s="229" t="s">
        <v>91</v>
      </c>
      <c r="G4" s="230" t="s">
        <v>92</v>
      </c>
      <c r="H4" s="230" t="s">
        <v>93</v>
      </c>
      <c r="I4" s="230" t="s">
        <v>94</v>
      </c>
      <c r="J4" s="230" t="s">
        <v>95</v>
      </c>
      <c r="K4" s="230" t="s">
        <v>96</v>
      </c>
      <c r="L4" s="230" t="s">
        <v>97</v>
      </c>
      <c r="M4" s="230" t="s">
        <v>98</v>
      </c>
      <c r="N4" s="230" t="s">
        <v>99</v>
      </c>
      <c r="O4" s="230" t="s">
        <v>100</v>
      </c>
      <c r="P4" s="231" t="s">
        <v>101</v>
      </c>
      <c r="Q4" s="229" t="s">
        <v>102</v>
      </c>
      <c r="R4" s="229" t="s">
        <v>103</v>
      </c>
      <c r="S4" s="229" t="s">
        <v>104</v>
      </c>
      <c r="T4" s="229" t="s">
        <v>105</v>
      </c>
      <c r="U4" s="229" t="s">
        <v>106</v>
      </c>
      <c r="V4" s="229" t="s">
        <v>107</v>
      </c>
      <c r="W4" s="229" t="s">
        <v>108</v>
      </c>
      <c r="X4" s="229" t="s">
        <v>109</v>
      </c>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row>
    <row r="5" spans="1:52" x14ac:dyDescent="0.2">
      <c r="A5" s="212"/>
      <c r="B5" s="213">
        <v>1</v>
      </c>
      <c r="C5" s="185" t="str">
        <f>IFERROR(INDEX(Table_Prescript_Meas[Measure Number], MATCH(E5, Table_Prescript_Meas[Measure Description], 0)), "")</f>
        <v/>
      </c>
      <c r="D5" s="222"/>
      <c r="E5" s="223"/>
      <c r="F5" s="185" t="str">
        <f>IFERROR(INDEX(Table_Prescript_Meas[Units], MATCH(Table_PrescriptLights_Input[[#This Row],[Measure number]], Table_Prescript_Meas[Measure Number], 0)), "")</f>
        <v/>
      </c>
      <c r="G5" s="214"/>
      <c r="H5" s="215"/>
      <c r="I5" s="215"/>
      <c r="J5"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 s="214"/>
      <c r="M5" s="214"/>
      <c r="N5" s="217"/>
      <c r="O5" s="217"/>
      <c r="P5" s="218"/>
      <c r="Q5"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 s="219" t="str">
        <f>IF(Table_PrescriptLights_Input[[#This Row],[Unit capacity (tons)]]="","",IFERROR(Table_PrescriptLights_Input[[#This Row],[Per-unit incentive]],""))</f>
        <v/>
      </c>
      <c r="S5"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 s="219" t="str">
        <f>IFERROR(Table_PrescriptLights_Input[[#This Row],[Energy savings (kWh)]]*Input_AvgkWhRate, "")</f>
        <v/>
      </c>
      <c r="V5" s="219" t="str">
        <f>IF(Table_PrescriptLights_Input[[#This Row],[Unit capacity (tons)]]="", "",Table_PrescriptLights_Input[[#This Row],[Total equipment + labor cost]])</f>
        <v/>
      </c>
      <c r="W5" s="219" t="str">
        <f>IFERROR(Table_PrescriptLights_Input[[#This Row],[Gross measure cost]]-Table_PrescriptLights_Input[[#This Row],[Estimated incentive]], "")</f>
        <v/>
      </c>
      <c r="X5" s="220" t="str">
        <f t="shared" ref="X5:X54" si="0">IFERROR($W5/$U5,"")</f>
        <v/>
      </c>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row>
    <row r="6" spans="1:52" x14ac:dyDescent="0.2">
      <c r="A6" s="212"/>
      <c r="B6" s="213">
        <v>2</v>
      </c>
      <c r="C6" s="185" t="str">
        <f>IFERROR(INDEX(Table_Prescript_Meas[Measure Number], MATCH(E6, Table_Prescript_Meas[Measure Description], 0)), "")</f>
        <v/>
      </c>
      <c r="D6" s="222"/>
      <c r="E6" s="223"/>
      <c r="F6" s="185" t="str">
        <f>IFERROR(INDEX(Table_Prescript_Meas[Units], MATCH(Table_PrescriptLights_Input[[#This Row],[Measure number]], Table_Prescript_Meas[Measure Number], 0)), "")</f>
        <v/>
      </c>
      <c r="G6" s="214"/>
      <c r="H6" s="215"/>
      <c r="I6" s="215"/>
      <c r="J6"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6"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6" s="214"/>
      <c r="M6" s="214"/>
      <c r="N6" s="217"/>
      <c r="O6" s="217"/>
      <c r="P6" s="218"/>
      <c r="Q6"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6" s="219" t="str">
        <f>IF(Table_PrescriptLights_Input[[#This Row],[Unit capacity (tons)]]="","",IFERROR(Table_PrescriptLights_Input[[#This Row],[Per-unit incentive]],""))</f>
        <v/>
      </c>
      <c r="S6"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6"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6" s="219" t="str">
        <f>IFERROR(Table_PrescriptLights_Input[[#This Row],[Energy savings (kWh)]]*Input_AvgkWhRate, "")</f>
        <v/>
      </c>
      <c r="V6" s="219" t="str">
        <f>IF(Table_PrescriptLights_Input[[#This Row],[Unit capacity (tons)]]="", "",Table_PrescriptLights_Input[[#This Row],[Total equipment + labor cost]])</f>
        <v/>
      </c>
      <c r="W6" s="219" t="str">
        <f>IFERROR(Table_PrescriptLights_Input[[#This Row],[Gross measure cost]]-Table_PrescriptLights_Input[[#This Row],[Estimated incentive]], "")</f>
        <v/>
      </c>
      <c r="X6" s="220" t="str">
        <f t="shared" si="0"/>
        <v/>
      </c>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row>
    <row r="7" spans="1:52" x14ac:dyDescent="0.2">
      <c r="A7" s="212"/>
      <c r="B7" s="213">
        <v>3</v>
      </c>
      <c r="C7" s="185" t="str">
        <f>IFERROR(INDEX(Table_Prescript_Meas[Measure Number], MATCH(E7, Table_Prescript_Meas[Measure Description], 0)), "")</f>
        <v/>
      </c>
      <c r="D7" s="222"/>
      <c r="E7" s="223"/>
      <c r="F7" s="185" t="str">
        <f>IFERROR(INDEX(Table_Prescript_Meas[Units], MATCH(Table_PrescriptLights_Input[[#This Row],[Measure number]], Table_Prescript_Meas[Measure Number], 0)), "")</f>
        <v/>
      </c>
      <c r="G7" s="214"/>
      <c r="H7" s="215"/>
      <c r="I7" s="215"/>
      <c r="J7"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7"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7" s="214"/>
      <c r="M7" s="214"/>
      <c r="N7" s="217"/>
      <c r="O7" s="217"/>
      <c r="P7" s="218"/>
      <c r="Q7"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7" s="219" t="str">
        <f>IF(Table_PrescriptLights_Input[[#This Row],[Unit capacity (tons)]]="","",IFERROR(Table_PrescriptLights_Input[[#This Row],[Per-unit incentive]],""))</f>
        <v/>
      </c>
      <c r="S7"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7"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7" s="219" t="str">
        <f>IFERROR(Table_PrescriptLights_Input[[#This Row],[Energy savings (kWh)]]*Input_AvgkWhRate, "")</f>
        <v/>
      </c>
      <c r="V7" s="219" t="str">
        <f>IF(Table_PrescriptLights_Input[[#This Row],[Unit capacity (tons)]]="", "",Table_PrescriptLights_Input[[#This Row],[Total equipment + labor cost]])</f>
        <v/>
      </c>
      <c r="W7" s="219" t="str">
        <f>IFERROR(Table_PrescriptLights_Input[[#This Row],[Gross measure cost]]-Table_PrescriptLights_Input[[#This Row],[Estimated incentive]], "")</f>
        <v/>
      </c>
      <c r="X7" s="220" t="str">
        <f t="shared" si="0"/>
        <v/>
      </c>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row>
    <row r="8" spans="1:52" x14ac:dyDescent="0.2">
      <c r="A8" s="212"/>
      <c r="B8" s="213">
        <v>4</v>
      </c>
      <c r="C8" s="185" t="str">
        <f>IFERROR(INDEX(Table_Prescript_Meas[Measure Number], MATCH(E8, Table_Prescript_Meas[Measure Description], 0)), "")</f>
        <v/>
      </c>
      <c r="D8" s="222"/>
      <c r="E8" s="223"/>
      <c r="F8" s="185" t="str">
        <f>IFERROR(INDEX(Table_Prescript_Meas[Units], MATCH(Table_PrescriptLights_Input[[#This Row],[Measure number]], Table_Prescript_Meas[Measure Number], 0)), "")</f>
        <v/>
      </c>
      <c r="G8" s="214"/>
      <c r="H8" s="215"/>
      <c r="I8" s="215"/>
      <c r="J8"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8"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8" s="214"/>
      <c r="M8" s="214"/>
      <c r="N8" s="217"/>
      <c r="O8" s="217"/>
      <c r="P8" s="218"/>
      <c r="Q8"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8" s="219" t="str">
        <f>IF(Table_PrescriptLights_Input[[#This Row],[Unit capacity (tons)]]="","",IFERROR(Table_PrescriptLights_Input[[#This Row],[Per-unit incentive]],""))</f>
        <v/>
      </c>
      <c r="S8"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8"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8" s="219" t="str">
        <f>IFERROR(Table_PrescriptLights_Input[[#This Row],[Energy savings (kWh)]]*Input_AvgkWhRate, "")</f>
        <v/>
      </c>
      <c r="V8" s="219" t="str">
        <f>IF(Table_PrescriptLights_Input[[#This Row],[Unit capacity (tons)]]="", "",Table_PrescriptLights_Input[[#This Row],[Total equipment + labor cost]])</f>
        <v/>
      </c>
      <c r="W8" s="219" t="str">
        <f>IFERROR(Table_PrescriptLights_Input[[#This Row],[Gross measure cost]]-Table_PrescriptLights_Input[[#This Row],[Estimated incentive]], "")</f>
        <v/>
      </c>
      <c r="X8" s="220" t="str">
        <f t="shared" si="0"/>
        <v/>
      </c>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row>
    <row r="9" spans="1:52" x14ac:dyDescent="0.2">
      <c r="A9" s="212"/>
      <c r="B9" s="213">
        <v>5</v>
      </c>
      <c r="C9" s="185" t="str">
        <f>IFERROR(INDEX(Table_Prescript_Meas[Measure Number], MATCH(E9, Table_Prescript_Meas[Measure Description], 0)), "")</f>
        <v/>
      </c>
      <c r="D9" s="222"/>
      <c r="E9" s="223"/>
      <c r="F9" s="185" t="str">
        <f>IFERROR(INDEX(Table_Prescript_Meas[Units], MATCH(Table_PrescriptLights_Input[[#This Row],[Measure number]], Table_Prescript_Meas[Measure Number], 0)), "")</f>
        <v/>
      </c>
      <c r="G9" s="214"/>
      <c r="H9" s="215"/>
      <c r="I9" s="215"/>
      <c r="J9"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9"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9" s="214"/>
      <c r="M9" s="214"/>
      <c r="N9" s="217"/>
      <c r="O9" s="217"/>
      <c r="P9" s="218"/>
      <c r="Q9"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9" s="219" t="str">
        <f>IF(Table_PrescriptLights_Input[[#This Row],[Unit capacity (tons)]]="","",IFERROR(Table_PrescriptLights_Input[[#This Row],[Per-unit incentive]],""))</f>
        <v/>
      </c>
      <c r="S9"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9"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9" s="219" t="str">
        <f>IFERROR(Table_PrescriptLights_Input[[#This Row],[Energy savings (kWh)]]*Input_AvgkWhRate, "")</f>
        <v/>
      </c>
      <c r="V9" s="219" t="str">
        <f>IF(Table_PrescriptLights_Input[[#This Row],[Unit capacity (tons)]]="", "",Table_PrescriptLights_Input[[#This Row],[Total equipment + labor cost]])</f>
        <v/>
      </c>
      <c r="W9" s="219" t="str">
        <f>IFERROR(Table_PrescriptLights_Input[[#This Row],[Gross measure cost]]-Table_PrescriptLights_Input[[#This Row],[Estimated incentive]], "")</f>
        <v/>
      </c>
      <c r="X9" s="220" t="str">
        <f t="shared" si="0"/>
        <v/>
      </c>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row>
    <row r="10" spans="1:52" x14ac:dyDescent="0.2">
      <c r="A10" s="212"/>
      <c r="B10" s="213">
        <v>6</v>
      </c>
      <c r="C10" s="185" t="str">
        <f>IFERROR(INDEX(Table_Prescript_Meas[Measure Number], MATCH(E10, Table_Prescript_Meas[Measure Description], 0)), "")</f>
        <v/>
      </c>
      <c r="D10" s="222"/>
      <c r="E10" s="223"/>
      <c r="F10" s="185" t="str">
        <f>IFERROR(INDEX(Table_Prescript_Meas[Units], MATCH(Table_PrescriptLights_Input[[#This Row],[Measure number]], Table_Prescript_Meas[Measure Number], 0)), "")</f>
        <v/>
      </c>
      <c r="G10" s="214"/>
      <c r="H10" s="215"/>
      <c r="I10" s="215"/>
      <c r="J10"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0"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0" s="214"/>
      <c r="M10" s="214"/>
      <c r="N10" s="217"/>
      <c r="O10" s="217"/>
      <c r="P10" s="218"/>
      <c r="Q10"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0" s="219" t="str">
        <f>IF(Table_PrescriptLights_Input[[#This Row],[Unit capacity (tons)]]="","",IFERROR(Table_PrescriptLights_Input[[#This Row],[Per-unit incentive]],""))</f>
        <v/>
      </c>
      <c r="S10"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0"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0" s="219" t="str">
        <f>IFERROR(Table_PrescriptLights_Input[[#This Row],[Energy savings (kWh)]]*Input_AvgkWhRate, "")</f>
        <v/>
      </c>
      <c r="V10" s="219" t="str">
        <f>IF(Table_PrescriptLights_Input[[#This Row],[Unit capacity (tons)]]="", "",Table_PrescriptLights_Input[[#This Row],[Total equipment + labor cost]])</f>
        <v/>
      </c>
      <c r="W10" s="219" t="str">
        <f>IFERROR(Table_PrescriptLights_Input[[#This Row],[Gross measure cost]]-Table_PrescriptLights_Input[[#This Row],[Estimated incentive]], "")</f>
        <v/>
      </c>
      <c r="X10" s="220" t="str">
        <f t="shared" si="0"/>
        <v/>
      </c>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row>
    <row r="11" spans="1:52" x14ac:dyDescent="0.2">
      <c r="A11" s="212"/>
      <c r="B11" s="213">
        <v>7</v>
      </c>
      <c r="C11" s="185" t="str">
        <f>IFERROR(INDEX(Table_Prescript_Meas[Measure Number], MATCH(E11, Table_Prescript_Meas[Measure Description], 0)), "")</f>
        <v/>
      </c>
      <c r="D11" s="222"/>
      <c r="E11" s="223"/>
      <c r="F11" s="185" t="str">
        <f>IFERROR(INDEX(Table_Prescript_Meas[Units], MATCH(Table_PrescriptLights_Input[[#This Row],[Measure number]], Table_Prescript_Meas[Measure Number], 0)), "")</f>
        <v/>
      </c>
      <c r="G11" s="214"/>
      <c r="H11" s="215"/>
      <c r="I11" s="215"/>
      <c r="J11"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1"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1" s="214"/>
      <c r="M11" s="214"/>
      <c r="N11" s="217"/>
      <c r="O11" s="217"/>
      <c r="P11" s="218"/>
      <c r="Q11"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1" s="219" t="str">
        <f>IF(Table_PrescriptLights_Input[[#This Row],[Unit capacity (tons)]]="","",IFERROR(Table_PrescriptLights_Input[[#This Row],[Per-unit incentive]],""))</f>
        <v/>
      </c>
      <c r="S11"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1"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1" s="219" t="str">
        <f>IFERROR(Table_PrescriptLights_Input[[#This Row],[Energy savings (kWh)]]*Input_AvgkWhRate, "")</f>
        <v/>
      </c>
      <c r="V11" s="219" t="str">
        <f>IF(Table_PrescriptLights_Input[[#This Row],[Unit capacity (tons)]]="", "",Table_PrescriptLights_Input[[#This Row],[Total equipment + labor cost]])</f>
        <v/>
      </c>
      <c r="W11" s="219" t="str">
        <f>IFERROR(Table_PrescriptLights_Input[[#This Row],[Gross measure cost]]-Table_PrescriptLights_Input[[#This Row],[Estimated incentive]], "")</f>
        <v/>
      </c>
      <c r="X11" s="220" t="str">
        <f t="shared" si="0"/>
        <v/>
      </c>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row>
    <row r="12" spans="1:52" x14ac:dyDescent="0.2">
      <c r="A12" s="212"/>
      <c r="B12" s="213">
        <v>8</v>
      </c>
      <c r="C12" s="185" t="str">
        <f>IFERROR(INDEX(Table_Prescript_Meas[Measure Number], MATCH(E12, Table_Prescript_Meas[Measure Description], 0)), "")</f>
        <v/>
      </c>
      <c r="D12" s="222"/>
      <c r="E12" s="223"/>
      <c r="F12" s="185" t="str">
        <f>IFERROR(INDEX(Table_Prescript_Meas[Units], MATCH(Table_PrescriptLights_Input[[#This Row],[Measure number]], Table_Prescript_Meas[Measure Number], 0)), "")</f>
        <v/>
      </c>
      <c r="G12" s="214"/>
      <c r="H12" s="215"/>
      <c r="I12" s="215"/>
      <c r="J12"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2"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2" s="214"/>
      <c r="M12" s="214"/>
      <c r="N12" s="217"/>
      <c r="O12" s="217"/>
      <c r="P12" s="218"/>
      <c r="Q12"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2" s="219" t="str">
        <f>IF(Table_PrescriptLights_Input[[#This Row],[Unit capacity (tons)]]="","",IFERROR(Table_PrescriptLights_Input[[#This Row],[Per-unit incentive]],""))</f>
        <v/>
      </c>
      <c r="S12"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2"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2" s="219" t="str">
        <f>IFERROR(Table_PrescriptLights_Input[[#This Row],[Energy savings (kWh)]]*Input_AvgkWhRate, "")</f>
        <v/>
      </c>
      <c r="V12" s="219" t="str">
        <f>IF(Table_PrescriptLights_Input[[#This Row],[Unit capacity (tons)]]="", "",Table_PrescriptLights_Input[[#This Row],[Total equipment + labor cost]])</f>
        <v/>
      </c>
      <c r="W12" s="219" t="str">
        <f>IFERROR(Table_PrescriptLights_Input[[#This Row],[Gross measure cost]]-Table_PrescriptLights_Input[[#This Row],[Estimated incentive]], "")</f>
        <v/>
      </c>
      <c r="X12" s="220" t="str">
        <f t="shared" si="0"/>
        <v/>
      </c>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row>
    <row r="13" spans="1:52" x14ac:dyDescent="0.2">
      <c r="A13" s="212"/>
      <c r="B13" s="213">
        <v>9</v>
      </c>
      <c r="C13" s="185" t="str">
        <f>IFERROR(INDEX(Table_Prescript_Meas[Measure Number], MATCH(E13, Table_Prescript_Meas[Measure Description], 0)), "")</f>
        <v/>
      </c>
      <c r="D13" s="222"/>
      <c r="E13" s="223"/>
      <c r="F13" s="185" t="str">
        <f>IFERROR(INDEX(Table_Prescript_Meas[Units], MATCH(Table_PrescriptLights_Input[[#This Row],[Measure number]], Table_Prescript_Meas[Measure Number], 0)), "")</f>
        <v/>
      </c>
      <c r="G13" s="214"/>
      <c r="H13" s="215"/>
      <c r="I13" s="215"/>
      <c r="J13"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3"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3" s="214"/>
      <c r="M13" s="214"/>
      <c r="N13" s="217"/>
      <c r="O13" s="217"/>
      <c r="P13" s="218"/>
      <c r="Q13"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3" s="219" t="str">
        <f>IF(Table_PrescriptLights_Input[[#This Row],[Unit capacity (tons)]]="","",IFERROR(Table_PrescriptLights_Input[[#This Row],[Per-unit incentive]],""))</f>
        <v/>
      </c>
      <c r="S13"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3"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3" s="219" t="str">
        <f>IFERROR(Table_PrescriptLights_Input[[#This Row],[Energy savings (kWh)]]*Input_AvgkWhRate, "")</f>
        <v/>
      </c>
      <c r="V13" s="219" t="str">
        <f>IF(Table_PrescriptLights_Input[[#This Row],[Unit capacity (tons)]]="", "",Table_PrescriptLights_Input[[#This Row],[Total equipment + labor cost]])</f>
        <v/>
      </c>
      <c r="W13" s="219" t="str">
        <f>IFERROR(Table_PrescriptLights_Input[[#This Row],[Gross measure cost]]-Table_PrescriptLights_Input[[#This Row],[Estimated incentive]], "")</f>
        <v/>
      </c>
      <c r="X13" s="220" t="str">
        <f t="shared" si="0"/>
        <v/>
      </c>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row>
    <row r="14" spans="1:52" x14ac:dyDescent="0.2">
      <c r="A14" s="212"/>
      <c r="B14" s="213">
        <v>10</v>
      </c>
      <c r="C14" s="185" t="str">
        <f>IFERROR(INDEX(Table_Prescript_Meas[Measure Number], MATCH(E14, Table_Prescript_Meas[Measure Description], 0)), "")</f>
        <v/>
      </c>
      <c r="D14" s="222"/>
      <c r="E14" s="223"/>
      <c r="F14" s="185" t="str">
        <f>IFERROR(INDEX(Table_Prescript_Meas[Units], MATCH(Table_PrescriptLights_Input[[#This Row],[Measure number]], Table_Prescript_Meas[Measure Number], 0)), "")</f>
        <v/>
      </c>
      <c r="G14" s="214"/>
      <c r="H14" s="215"/>
      <c r="I14" s="215"/>
      <c r="J14"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4"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4" s="214"/>
      <c r="M14" s="214"/>
      <c r="N14" s="217"/>
      <c r="O14" s="217"/>
      <c r="P14" s="218"/>
      <c r="Q14"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4" s="219" t="str">
        <f>IF(Table_PrescriptLights_Input[[#This Row],[Unit capacity (tons)]]="","",IFERROR(Table_PrescriptLights_Input[[#This Row],[Per-unit incentive]],""))</f>
        <v/>
      </c>
      <c r="S14"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4"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4" s="219" t="str">
        <f>IFERROR(Table_PrescriptLights_Input[[#This Row],[Energy savings (kWh)]]*Input_AvgkWhRate, "")</f>
        <v/>
      </c>
      <c r="V14" s="219" t="str">
        <f>IF(Table_PrescriptLights_Input[[#This Row],[Unit capacity (tons)]]="", "",Table_PrescriptLights_Input[[#This Row],[Total equipment + labor cost]])</f>
        <v/>
      </c>
      <c r="W14" s="219" t="str">
        <f>IFERROR(Table_PrescriptLights_Input[[#This Row],[Gross measure cost]]-Table_PrescriptLights_Input[[#This Row],[Estimated incentive]], "")</f>
        <v/>
      </c>
      <c r="X14" s="220" t="str">
        <f t="shared" si="0"/>
        <v/>
      </c>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row>
    <row r="15" spans="1:52" x14ac:dyDescent="0.2">
      <c r="A15" s="212"/>
      <c r="B15" s="213">
        <v>11</v>
      </c>
      <c r="C15" s="185" t="str">
        <f>IFERROR(INDEX(Table_Prescript_Meas[Measure Number], MATCH(E15, Table_Prescript_Meas[Measure Description], 0)), "")</f>
        <v/>
      </c>
      <c r="D15" s="222"/>
      <c r="E15" s="223"/>
      <c r="F15" s="185" t="str">
        <f>IFERROR(INDEX(Table_Prescript_Meas[Units], MATCH(Table_PrescriptLights_Input[[#This Row],[Measure number]], Table_Prescript_Meas[Measure Number], 0)), "")</f>
        <v/>
      </c>
      <c r="G15" s="214"/>
      <c r="H15" s="215"/>
      <c r="I15" s="215"/>
      <c r="J15"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5"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5" s="214"/>
      <c r="M15" s="214"/>
      <c r="N15" s="217"/>
      <c r="O15" s="217"/>
      <c r="P15" s="218"/>
      <c r="Q15"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5" s="219" t="str">
        <f>IF(Table_PrescriptLights_Input[[#This Row],[Unit capacity (tons)]]="","",IFERROR(Table_PrescriptLights_Input[[#This Row],[Per-unit incentive]],""))</f>
        <v/>
      </c>
      <c r="S15"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5"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5" s="219" t="str">
        <f>IFERROR(Table_PrescriptLights_Input[[#This Row],[Energy savings (kWh)]]*Input_AvgkWhRate, "")</f>
        <v/>
      </c>
      <c r="V15" s="219" t="str">
        <f>IF(Table_PrescriptLights_Input[[#This Row],[Unit capacity (tons)]]="", "",Table_PrescriptLights_Input[[#This Row],[Total equipment + labor cost]])</f>
        <v/>
      </c>
      <c r="W15" s="219" t="str">
        <f>IFERROR(Table_PrescriptLights_Input[[#This Row],[Gross measure cost]]-Table_PrescriptLights_Input[[#This Row],[Estimated incentive]], "")</f>
        <v/>
      </c>
      <c r="X15" s="220" t="str">
        <f t="shared" si="0"/>
        <v/>
      </c>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row>
    <row r="16" spans="1:52" x14ac:dyDescent="0.2">
      <c r="A16" s="212"/>
      <c r="B16" s="213">
        <v>12</v>
      </c>
      <c r="C16" s="185" t="str">
        <f>IFERROR(INDEX(Table_Prescript_Meas[Measure Number], MATCH(E16, Table_Prescript_Meas[Measure Description], 0)), "")</f>
        <v/>
      </c>
      <c r="D16" s="222"/>
      <c r="E16" s="223"/>
      <c r="F16" s="185" t="str">
        <f>IFERROR(INDEX(Table_Prescript_Meas[Units], MATCH(Table_PrescriptLights_Input[[#This Row],[Measure number]], Table_Prescript_Meas[Measure Number], 0)), "")</f>
        <v/>
      </c>
      <c r="G16" s="214"/>
      <c r="H16" s="215"/>
      <c r="I16" s="215"/>
      <c r="J16"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6"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6" s="214"/>
      <c r="M16" s="214"/>
      <c r="N16" s="217"/>
      <c r="O16" s="217"/>
      <c r="P16" s="218"/>
      <c r="Q16"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6" s="219" t="str">
        <f>IF(Table_PrescriptLights_Input[[#This Row],[Unit capacity (tons)]]="","",IFERROR(Table_PrescriptLights_Input[[#This Row],[Per-unit incentive]],""))</f>
        <v/>
      </c>
      <c r="S16"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6"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6" s="219" t="str">
        <f>IFERROR(Table_PrescriptLights_Input[[#This Row],[Energy savings (kWh)]]*Input_AvgkWhRate, "")</f>
        <v/>
      </c>
      <c r="V16" s="219" t="str">
        <f>IF(Table_PrescriptLights_Input[[#This Row],[Unit capacity (tons)]]="", "",Table_PrescriptLights_Input[[#This Row],[Total equipment + labor cost]])</f>
        <v/>
      </c>
      <c r="W16" s="219" t="str">
        <f>IFERROR(Table_PrescriptLights_Input[[#This Row],[Gross measure cost]]-Table_PrescriptLights_Input[[#This Row],[Estimated incentive]], "")</f>
        <v/>
      </c>
      <c r="X16" s="220" t="str">
        <f t="shared" si="0"/>
        <v/>
      </c>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row>
    <row r="17" spans="1:52" x14ac:dyDescent="0.2">
      <c r="A17" s="212"/>
      <c r="B17" s="213">
        <v>13</v>
      </c>
      <c r="C17" s="185" t="str">
        <f>IFERROR(INDEX(Table_Prescript_Meas[Measure Number], MATCH(E17, Table_Prescript_Meas[Measure Description], 0)), "")</f>
        <v/>
      </c>
      <c r="D17" s="222"/>
      <c r="E17" s="223"/>
      <c r="F17" s="185" t="str">
        <f>IFERROR(INDEX(Table_Prescript_Meas[Units], MATCH(Table_PrescriptLights_Input[[#This Row],[Measure number]], Table_Prescript_Meas[Measure Number], 0)), "")</f>
        <v/>
      </c>
      <c r="G17" s="214"/>
      <c r="H17" s="215"/>
      <c r="I17" s="215"/>
      <c r="J17"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7"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7" s="214"/>
      <c r="M17" s="214"/>
      <c r="N17" s="217"/>
      <c r="O17" s="217"/>
      <c r="P17" s="218"/>
      <c r="Q17"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7" s="219" t="str">
        <f>IF(Table_PrescriptLights_Input[[#This Row],[Unit capacity (tons)]]="","",IFERROR(Table_PrescriptLights_Input[[#This Row],[Per-unit incentive]],""))</f>
        <v/>
      </c>
      <c r="S17"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7"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7" s="219" t="str">
        <f>IFERROR(Table_PrescriptLights_Input[[#This Row],[Energy savings (kWh)]]*Input_AvgkWhRate, "")</f>
        <v/>
      </c>
      <c r="V17" s="219" t="str">
        <f>IF(Table_PrescriptLights_Input[[#This Row],[Unit capacity (tons)]]="", "",Table_PrescriptLights_Input[[#This Row],[Total equipment + labor cost]])</f>
        <v/>
      </c>
      <c r="W17" s="219" t="str">
        <f>IFERROR(Table_PrescriptLights_Input[[#This Row],[Gross measure cost]]-Table_PrescriptLights_Input[[#This Row],[Estimated incentive]], "")</f>
        <v/>
      </c>
      <c r="X17" s="220" t="str">
        <f t="shared" si="0"/>
        <v/>
      </c>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row>
    <row r="18" spans="1:52" x14ac:dyDescent="0.2">
      <c r="A18" s="212"/>
      <c r="B18" s="213">
        <v>14</v>
      </c>
      <c r="C18" s="185" t="str">
        <f>IFERROR(INDEX(Table_Prescript_Meas[Measure Number], MATCH(E18, Table_Prescript_Meas[Measure Description], 0)), "")</f>
        <v/>
      </c>
      <c r="D18" s="222"/>
      <c r="E18" s="223"/>
      <c r="F18" s="185" t="str">
        <f>IFERROR(INDEX(Table_Prescript_Meas[Units], MATCH(Table_PrescriptLights_Input[[#This Row],[Measure number]], Table_Prescript_Meas[Measure Number], 0)), "")</f>
        <v/>
      </c>
      <c r="G18" s="214"/>
      <c r="H18" s="215"/>
      <c r="I18" s="215"/>
      <c r="J18"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8"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8" s="214"/>
      <c r="M18" s="214"/>
      <c r="N18" s="217"/>
      <c r="O18" s="217"/>
      <c r="P18" s="218"/>
      <c r="Q18"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8" s="219" t="str">
        <f>IF(Table_PrescriptLights_Input[[#This Row],[Unit capacity (tons)]]="","",IFERROR(Table_PrescriptLights_Input[[#This Row],[Per-unit incentive]],""))</f>
        <v/>
      </c>
      <c r="S18"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8"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8" s="219" t="str">
        <f>IFERROR(Table_PrescriptLights_Input[[#This Row],[Energy savings (kWh)]]*Input_AvgkWhRate, "")</f>
        <v/>
      </c>
      <c r="V18" s="219" t="str">
        <f>IF(Table_PrescriptLights_Input[[#This Row],[Unit capacity (tons)]]="", "",Table_PrescriptLights_Input[[#This Row],[Total equipment + labor cost]])</f>
        <v/>
      </c>
      <c r="W18" s="219" t="str">
        <f>IFERROR(Table_PrescriptLights_Input[[#This Row],[Gross measure cost]]-Table_PrescriptLights_Input[[#This Row],[Estimated incentive]], "")</f>
        <v/>
      </c>
      <c r="X18" s="220" t="str">
        <f t="shared" si="0"/>
        <v/>
      </c>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row>
    <row r="19" spans="1:52" x14ac:dyDescent="0.2">
      <c r="A19" s="212"/>
      <c r="B19" s="213">
        <v>15</v>
      </c>
      <c r="C19" s="185" t="str">
        <f>IFERROR(INDEX(Table_Prescript_Meas[Measure Number], MATCH(E19, Table_Prescript_Meas[Measure Description], 0)), "")</f>
        <v/>
      </c>
      <c r="D19" s="222"/>
      <c r="E19" s="223"/>
      <c r="F19" s="185" t="str">
        <f>IFERROR(INDEX(Table_Prescript_Meas[Units], MATCH(Table_PrescriptLights_Input[[#This Row],[Measure number]], Table_Prescript_Meas[Measure Number], 0)), "")</f>
        <v/>
      </c>
      <c r="G19" s="214"/>
      <c r="H19" s="215"/>
      <c r="I19" s="215"/>
      <c r="J19"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19"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19" s="214"/>
      <c r="M19" s="214"/>
      <c r="N19" s="217"/>
      <c r="O19" s="217"/>
      <c r="P19" s="218"/>
      <c r="Q19"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19" s="219" t="str">
        <f>IF(Table_PrescriptLights_Input[[#This Row],[Unit capacity (tons)]]="","",IFERROR(Table_PrescriptLights_Input[[#This Row],[Per-unit incentive]],""))</f>
        <v/>
      </c>
      <c r="S19"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19"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19" s="219" t="str">
        <f>IFERROR(Table_PrescriptLights_Input[[#This Row],[Energy savings (kWh)]]*Input_AvgkWhRate, "")</f>
        <v/>
      </c>
      <c r="V19" s="219" t="str">
        <f>IF(Table_PrescriptLights_Input[[#This Row],[Unit capacity (tons)]]="", "",Table_PrescriptLights_Input[[#This Row],[Total equipment + labor cost]])</f>
        <v/>
      </c>
      <c r="W19" s="219" t="str">
        <f>IFERROR(Table_PrescriptLights_Input[[#This Row],[Gross measure cost]]-Table_PrescriptLights_Input[[#This Row],[Estimated incentive]], "")</f>
        <v/>
      </c>
      <c r="X19" s="220" t="str">
        <f t="shared" si="0"/>
        <v/>
      </c>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row>
    <row r="20" spans="1:52" x14ac:dyDescent="0.2">
      <c r="A20" s="212"/>
      <c r="B20" s="213">
        <v>16</v>
      </c>
      <c r="C20" s="185" t="str">
        <f>IFERROR(INDEX(Table_Prescript_Meas[Measure Number], MATCH(E20, Table_Prescript_Meas[Measure Description], 0)), "")</f>
        <v/>
      </c>
      <c r="D20" s="222"/>
      <c r="E20" s="223"/>
      <c r="F20" s="185" t="str">
        <f>IFERROR(INDEX(Table_Prescript_Meas[Units], MATCH(Table_PrescriptLights_Input[[#This Row],[Measure number]], Table_Prescript_Meas[Measure Number], 0)), "")</f>
        <v/>
      </c>
      <c r="G20" s="214"/>
      <c r="H20" s="215"/>
      <c r="I20" s="215"/>
      <c r="J20"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0"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0" s="214"/>
      <c r="M20" s="214"/>
      <c r="N20" s="217"/>
      <c r="O20" s="217"/>
      <c r="P20" s="218"/>
      <c r="Q20"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0" s="219" t="str">
        <f>IF(Table_PrescriptLights_Input[[#This Row],[Unit capacity (tons)]]="","",IFERROR(Table_PrescriptLights_Input[[#This Row],[Per-unit incentive]],""))</f>
        <v/>
      </c>
      <c r="S20"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0"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0" s="219" t="str">
        <f>IFERROR(Table_PrescriptLights_Input[[#This Row],[Energy savings (kWh)]]*Input_AvgkWhRate, "")</f>
        <v/>
      </c>
      <c r="V20" s="219" t="str">
        <f>IF(Table_PrescriptLights_Input[[#This Row],[Unit capacity (tons)]]="", "",Table_PrescriptLights_Input[[#This Row],[Total equipment + labor cost]])</f>
        <v/>
      </c>
      <c r="W20" s="219" t="str">
        <f>IFERROR(Table_PrescriptLights_Input[[#This Row],[Gross measure cost]]-Table_PrescriptLights_Input[[#This Row],[Estimated incentive]], "")</f>
        <v/>
      </c>
      <c r="X20" s="220" t="str">
        <f t="shared" si="0"/>
        <v/>
      </c>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row>
    <row r="21" spans="1:52" x14ac:dyDescent="0.2">
      <c r="A21" s="212"/>
      <c r="B21" s="213">
        <v>17</v>
      </c>
      <c r="C21" s="185" t="str">
        <f>IFERROR(INDEX(Table_Prescript_Meas[Measure Number], MATCH(E21, Table_Prescript_Meas[Measure Description], 0)), "")</f>
        <v/>
      </c>
      <c r="D21" s="222"/>
      <c r="E21" s="223"/>
      <c r="F21" s="185" t="str">
        <f>IFERROR(INDEX(Table_Prescript_Meas[Units], MATCH(Table_PrescriptLights_Input[[#This Row],[Measure number]], Table_Prescript_Meas[Measure Number], 0)), "")</f>
        <v/>
      </c>
      <c r="G21" s="214"/>
      <c r="H21" s="215"/>
      <c r="I21" s="215"/>
      <c r="J21"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1"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1" s="214"/>
      <c r="M21" s="214"/>
      <c r="N21" s="217"/>
      <c r="O21" s="217"/>
      <c r="P21" s="218"/>
      <c r="Q21"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1" s="219" t="str">
        <f>IF(Table_PrescriptLights_Input[[#This Row],[Unit capacity (tons)]]="","",IFERROR(Table_PrescriptLights_Input[[#This Row],[Per-unit incentive]],""))</f>
        <v/>
      </c>
      <c r="S21"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1"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1" s="219" t="str">
        <f>IFERROR(Table_PrescriptLights_Input[[#This Row],[Energy savings (kWh)]]*Input_AvgkWhRate, "")</f>
        <v/>
      </c>
      <c r="V21" s="219" t="str">
        <f>IF(Table_PrescriptLights_Input[[#This Row],[Unit capacity (tons)]]="", "",Table_PrescriptLights_Input[[#This Row],[Total equipment + labor cost]])</f>
        <v/>
      </c>
      <c r="W21" s="219" t="str">
        <f>IFERROR(Table_PrescriptLights_Input[[#This Row],[Gross measure cost]]-Table_PrescriptLights_Input[[#This Row],[Estimated incentive]], "")</f>
        <v/>
      </c>
      <c r="X21" s="220" t="str">
        <f t="shared" si="0"/>
        <v/>
      </c>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row>
    <row r="22" spans="1:52" x14ac:dyDescent="0.2">
      <c r="A22" s="212"/>
      <c r="B22" s="213">
        <v>18</v>
      </c>
      <c r="C22" s="185" t="str">
        <f>IFERROR(INDEX(Table_Prescript_Meas[Measure Number], MATCH(E22, Table_Prescript_Meas[Measure Description], 0)), "")</f>
        <v/>
      </c>
      <c r="D22" s="222"/>
      <c r="E22" s="223"/>
      <c r="F22" s="185" t="str">
        <f>IFERROR(INDEX(Table_Prescript_Meas[Units], MATCH(Table_PrescriptLights_Input[[#This Row],[Measure number]], Table_Prescript_Meas[Measure Number], 0)), "")</f>
        <v/>
      </c>
      <c r="G22" s="214"/>
      <c r="H22" s="215"/>
      <c r="I22" s="215"/>
      <c r="J22"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2"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2" s="214"/>
      <c r="M22" s="214"/>
      <c r="N22" s="217"/>
      <c r="O22" s="217"/>
      <c r="P22" s="218"/>
      <c r="Q22"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2" s="219" t="str">
        <f>IF(Table_PrescriptLights_Input[[#This Row],[Unit capacity (tons)]]="","",IFERROR(Table_PrescriptLights_Input[[#This Row],[Per-unit incentive]],""))</f>
        <v/>
      </c>
      <c r="S22"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2"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2" s="219" t="str">
        <f>IFERROR(Table_PrescriptLights_Input[[#This Row],[Energy savings (kWh)]]*Input_AvgkWhRate, "")</f>
        <v/>
      </c>
      <c r="V22" s="219" t="str">
        <f>IF(Table_PrescriptLights_Input[[#This Row],[Unit capacity (tons)]]="", "",Table_PrescriptLights_Input[[#This Row],[Total equipment + labor cost]])</f>
        <v/>
      </c>
      <c r="W22" s="219" t="str">
        <f>IFERROR(Table_PrescriptLights_Input[[#This Row],[Gross measure cost]]-Table_PrescriptLights_Input[[#This Row],[Estimated incentive]], "")</f>
        <v/>
      </c>
      <c r="X22" s="220" t="str">
        <f t="shared" si="0"/>
        <v/>
      </c>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row>
    <row r="23" spans="1:52" x14ac:dyDescent="0.2">
      <c r="A23" s="212"/>
      <c r="B23" s="213">
        <v>19</v>
      </c>
      <c r="C23" s="185" t="str">
        <f>IFERROR(INDEX(Table_Prescript_Meas[Measure Number], MATCH(E23, Table_Prescript_Meas[Measure Description], 0)), "")</f>
        <v/>
      </c>
      <c r="D23" s="222"/>
      <c r="E23" s="223"/>
      <c r="F23" s="185" t="str">
        <f>IFERROR(INDEX(Table_Prescript_Meas[Units], MATCH(Table_PrescriptLights_Input[[#This Row],[Measure number]], Table_Prescript_Meas[Measure Number], 0)), "")</f>
        <v/>
      </c>
      <c r="G23" s="214"/>
      <c r="H23" s="215"/>
      <c r="I23" s="215"/>
      <c r="J23"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3"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3" s="214"/>
      <c r="M23" s="214"/>
      <c r="N23" s="217"/>
      <c r="O23" s="217"/>
      <c r="P23" s="218"/>
      <c r="Q23"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3" s="219" t="str">
        <f>IF(Table_PrescriptLights_Input[[#This Row],[Unit capacity (tons)]]="","",IFERROR(Table_PrescriptLights_Input[[#This Row],[Per-unit incentive]],""))</f>
        <v/>
      </c>
      <c r="S23"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3"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3" s="219" t="str">
        <f>IFERROR(Table_PrescriptLights_Input[[#This Row],[Energy savings (kWh)]]*Input_AvgkWhRate, "")</f>
        <v/>
      </c>
      <c r="V23" s="219" t="str">
        <f>IF(Table_PrescriptLights_Input[[#This Row],[Unit capacity (tons)]]="", "",Table_PrescriptLights_Input[[#This Row],[Total equipment + labor cost]])</f>
        <v/>
      </c>
      <c r="W23" s="219" t="str">
        <f>IFERROR(Table_PrescriptLights_Input[[#This Row],[Gross measure cost]]-Table_PrescriptLights_Input[[#This Row],[Estimated incentive]], "")</f>
        <v/>
      </c>
      <c r="X23" s="220" t="str">
        <f t="shared" si="0"/>
        <v/>
      </c>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row>
    <row r="24" spans="1:52" x14ac:dyDescent="0.2">
      <c r="A24" s="212"/>
      <c r="B24" s="213">
        <v>20</v>
      </c>
      <c r="C24" s="185" t="str">
        <f>IFERROR(INDEX(Table_Prescript_Meas[Measure Number], MATCH(E24, Table_Prescript_Meas[Measure Description], 0)), "")</f>
        <v/>
      </c>
      <c r="D24" s="222"/>
      <c r="E24" s="223"/>
      <c r="F24" s="185" t="str">
        <f>IFERROR(INDEX(Table_Prescript_Meas[Units], MATCH(Table_PrescriptLights_Input[[#This Row],[Measure number]], Table_Prescript_Meas[Measure Number], 0)), "")</f>
        <v/>
      </c>
      <c r="G24" s="214"/>
      <c r="H24" s="215"/>
      <c r="I24" s="215"/>
      <c r="J24"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4"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4" s="214"/>
      <c r="M24" s="214"/>
      <c r="N24" s="217"/>
      <c r="O24" s="217"/>
      <c r="P24" s="218"/>
      <c r="Q24"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4" s="219" t="str">
        <f>IF(Table_PrescriptLights_Input[[#This Row],[Unit capacity (tons)]]="","",IFERROR(Table_PrescriptLights_Input[[#This Row],[Per-unit incentive]],""))</f>
        <v/>
      </c>
      <c r="S24"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4"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4" s="219" t="str">
        <f>IFERROR(Table_PrescriptLights_Input[[#This Row],[Energy savings (kWh)]]*Input_AvgkWhRate, "")</f>
        <v/>
      </c>
      <c r="V24" s="219" t="str">
        <f>IF(Table_PrescriptLights_Input[[#This Row],[Unit capacity (tons)]]="", "",Table_PrescriptLights_Input[[#This Row],[Total equipment + labor cost]])</f>
        <v/>
      </c>
      <c r="W24" s="219" t="str">
        <f>IFERROR(Table_PrescriptLights_Input[[#This Row],[Gross measure cost]]-Table_PrescriptLights_Input[[#This Row],[Estimated incentive]], "")</f>
        <v/>
      </c>
      <c r="X24" s="220" t="str">
        <f t="shared" si="0"/>
        <v/>
      </c>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row>
    <row r="25" spans="1:52" x14ac:dyDescent="0.2">
      <c r="A25" s="212"/>
      <c r="B25" s="213">
        <v>21</v>
      </c>
      <c r="C25" s="185" t="str">
        <f>IFERROR(INDEX(Table_Prescript_Meas[Measure Number], MATCH(E25, Table_Prescript_Meas[Measure Description], 0)), "")</f>
        <v/>
      </c>
      <c r="D25" s="222"/>
      <c r="E25" s="223"/>
      <c r="F25" s="185" t="str">
        <f>IFERROR(INDEX(Table_Prescript_Meas[Units], MATCH(Table_PrescriptLights_Input[[#This Row],[Measure number]], Table_Prescript_Meas[Measure Number], 0)), "")</f>
        <v/>
      </c>
      <c r="G25" s="214"/>
      <c r="H25" s="215"/>
      <c r="I25" s="215"/>
      <c r="J25"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5"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5" s="214"/>
      <c r="M25" s="214"/>
      <c r="N25" s="217"/>
      <c r="O25" s="217"/>
      <c r="P25" s="218"/>
      <c r="Q25"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5" s="219" t="str">
        <f>IF(Table_PrescriptLights_Input[[#This Row],[Unit capacity (tons)]]="","",IFERROR(Table_PrescriptLights_Input[[#This Row],[Per-unit incentive]],""))</f>
        <v/>
      </c>
      <c r="S25"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5"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5" s="219" t="str">
        <f>IFERROR(Table_PrescriptLights_Input[[#This Row],[Energy savings (kWh)]]*Input_AvgkWhRate, "")</f>
        <v/>
      </c>
      <c r="V25" s="219" t="str">
        <f>IF(Table_PrescriptLights_Input[[#This Row],[Unit capacity (tons)]]="", "",Table_PrescriptLights_Input[[#This Row],[Total equipment + labor cost]])</f>
        <v/>
      </c>
      <c r="W25" s="219" t="str">
        <f>IFERROR(Table_PrescriptLights_Input[[#This Row],[Gross measure cost]]-Table_PrescriptLights_Input[[#This Row],[Estimated incentive]], "")</f>
        <v/>
      </c>
      <c r="X25" s="220" t="str">
        <f t="shared" si="0"/>
        <v/>
      </c>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row>
    <row r="26" spans="1:52" x14ac:dyDescent="0.2">
      <c r="A26" s="212"/>
      <c r="B26" s="213">
        <v>22</v>
      </c>
      <c r="C26" s="185" t="str">
        <f>IFERROR(INDEX(Table_Prescript_Meas[Measure Number], MATCH(E26, Table_Prescript_Meas[Measure Description], 0)), "")</f>
        <v/>
      </c>
      <c r="D26" s="222"/>
      <c r="E26" s="223"/>
      <c r="F26" s="185" t="str">
        <f>IFERROR(INDEX(Table_Prescript_Meas[Units], MATCH(Table_PrescriptLights_Input[[#This Row],[Measure number]], Table_Prescript_Meas[Measure Number], 0)), "")</f>
        <v/>
      </c>
      <c r="G26" s="214"/>
      <c r="H26" s="215"/>
      <c r="I26" s="215"/>
      <c r="J26"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6"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6" s="214"/>
      <c r="M26" s="214"/>
      <c r="N26" s="217"/>
      <c r="O26" s="217"/>
      <c r="P26" s="218"/>
      <c r="Q26"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6" s="219" t="str">
        <f>IF(Table_PrescriptLights_Input[[#This Row],[Unit capacity (tons)]]="","",IFERROR(Table_PrescriptLights_Input[[#This Row],[Per-unit incentive]],""))</f>
        <v/>
      </c>
      <c r="S26"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6"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6" s="219" t="str">
        <f>IFERROR(Table_PrescriptLights_Input[[#This Row],[Energy savings (kWh)]]*Input_AvgkWhRate, "")</f>
        <v/>
      </c>
      <c r="V26" s="219" t="str">
        <f>IF(Table_PrescriptLights_Input[[#This Row],[Unit capacity (tons)]]="", "",Table_PrescriptLights_Input[[#This Row],[Total equipment + labor cost]])</f>
        <v/>
      </c>
      <c r="W26" s="219" t="str">
        <f>IFERROR(Table_PrescriptLights_Input[[#This Row],[Gross measure cost]]-Table_PrescriptLights_Input[[#This Row],[Estimated incentive]], "")</f>
        <v/>
      </c>
      <c r="X26" s="220" t="str">
        <f t="shared" si="0"/>
        <v/>
      </c>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row>
    <row r="27" spans="1:52" x14ac:dyDescent="0.2">
      <c r="A27" s="212"/>
      <c r="B27" s="213">
        <v>23</v>
      </c>
      <c r="C27" s="185" t="str">
        <f>IFERROR(INDEX(Table_Prescript_Meas[Measure Number], MATCH(E27, Table_Prescript_Meas[Measure Description], 0)), "")</f>
        <v/>
      </c>
      <c r="D27" s="222"/>
      <c r="E27" s="223"/>
      <c r="F27" s="185" t="str">
        <f>IFERROR(INDEX(Table_Prescript_Meas[Units], MATCH(Table_PrescriptLights_Input[[#This Row],[Measure number]], Table_Prescript_Meas[Measure Number], 0)), "")</f>
        <v/>
      </c>
      <c r="G27" s="214"/>
      <c r="H27" s="215"/>
      <c r="I27" s="215"/>
      <c r="J27"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7"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7" s="214"/>
      <c r="M27" s="214"/>
      <c r="N27" s="217"/>
      <c r="O27" s="217"/>
      <c r="P27" s="218"/>
      <c r="Q27"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7" s="219" t="str">
        <f>IF(Table_PrescriptLights_Input[[#This Row],[Unit capacity (tons)]]="","",IFERROR(Table_PrescriptLights_Input[[#This Row],[Per-unit incentive]],""))</f>
        <v/>
      </c>
      <c r="S27"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7"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7" s="219" t="str">
        <f>IFERROR(Table_PrescriptLights_Input[[#This Row],[Energy savings (kWh)]]*Input_AvgkWhRate, "")</f>
        <v/>
      </c>
      <c r="V27" s="219" t="str">
        <f>IF(Table_PrescriptLights_Input[[#This Row],[Unit capacity (tons)]]="", "",Table_PrescriptLights_Input[[#This Row],[Total equipment + labor cost]])</f>
        <v/>
      </c>
      <c r="W27" s="219" t="str">
        <f>IFERROR(Table_PrescriptLights_Input[[#This Row],[Gross measure cost]]-Table_PrescriptLights_Input[[#This Row],[Estimated incentive]], "")</f>
        <v/>
      </c>
      <c r="X27" s="220" t="str">
        <f t="shared" si="0"/>
        <v/>
      </c>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row>
    <row r="28" spans="1:52" x14ac:dyDescent="0.2">
      <c r="A28" s="212"/>
      <c r="B28" s="213">
        <v>24</v>
      </c>
      <c r="C28" s="185" t="str">
        <f>IFERROR(INDEX(Table_Prescript_Meas[Measure Number], MATCH(E28, Table_Prescript_Meas[Measure Description], 0)), "")</f>
        <v/>
      </c>
      <c r="D28" s="222"/>
      <c r="E28" s="223"/>
      <c r="F28" s="185" t="str">
        <f>IFERROR(INDEX(Table_Prescript_Meas[Units], MATCH(Table_PrescriptLights_Input[[#This Row],[Measure number]], Table_Prescript_Meas[Measure Number], 0)), "")</f>
        <v/>
      </c>
      <c r="G28" s="214"/>
      <c r="H28" s="215"/>
      <c r="I28" s="215"/>
      <c r="J28"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8"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8" s="214"/>
      <c r="M28" s="214"/>
      <c r="N28" s="217"/>
      <c r="O28" s="217"/>
      <c r="P28" s="218"/>
      <c r="Q28"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8" s="219" t="str">
        <f>IF(Table_PrescriptLights_Input[[#This Row],[Unit capacity (tons)]]="","",IFERROR(Table_PrescriptLights_Input[[#This Row],[Per-unit incentive]],""))</f>
        <v/>
      </c>
      <c r="S28"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8"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8" s="219" t="str">
        <f>IFERROR(Table_PrescriptLights_Input[[#This Row],[Energy savings (kWh)]]*Input_AvgkWhRate, "")</f>
        <v/>
      </c>
      <c r="V28" s="219" t="str">
        <f>IF(Table_PrescriptLights_Input[[#This Row],[Unit capacity (tons)]]="", "",Table_PrescriptLights_Input[[#This Row],[Total equipment + labor cost]])</f>
        <v/>
      </c>
      <c r="W28" s="219" t="str">
        <f>IFERROR(Table_PrescriptLights_Input[[#This Row],[Gross measure cost]]-Table_PrescriptLights_Input[[#This Row],[Estimated incentive]], "")</f>
        <v/>
      </c>
      <c r="X28" s="220" t="str">
        <f t="shared" si="0"/>
        <v/>
      </c>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row>
    <row r="29" spans="1:52" x14ac:dyDescent="0.2">
      <c r="A29" s="212"/>
      <c r="B29" s="213">
        <v>25</v>
      </c>
      <c r="C29" s="185" t="str">
        <f>IFERROR(INDEX(Table_Prescript_Meas[Measure Number], MATCH(E29, Table_Prescript_Meas[Measure Description], 0)), "")</f>
        <v/>
      </c>
      <c r="D29" s="222"/>
      <c r="E29" s="223"/>
      <c r="F29" s="185" t="str">
        <f>IFERROR(INDEX(Table_Prescript_Meas[Units], MATCH(Table_PrescriptLights_Input[[#This Row],[Measure number]], Table_Prescript_Meas[Measure Number], 0)), "")</f>
        <v/>
      </c>
      <c r="G29" s="214"/>
      <c r="H29" s="215"/>
      <c r="I29" s="215"/>
      <c r="J29"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29"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29" s="214"/>
      <c r="M29" s="214"/>
      <c r="N29" s="217"/>
      <c r="O29" s="217"/>
      <c r="P29" s="218"/>
      <c r="Q29"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29" s="219" t="str">
        <f>IF(Table_PrescriptLights_Input[[#This Row],[Unit capacity (tons)]]="","",IFERROR(Table_PrescriptLights_Input[[#This Row],[Per-unit incentive]],""))</f>
        <v/>
      </c>
      <c r="S29"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29"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29" s="219" t="str">
        <f>IFERROR(Table_PrescriptLights_Input[[#This Row],[Energy savings (kWh)]]*Input_AvgkWhRate, "")</f>
        <v/>
      </c>
      <c r="V29" s="219" t="str">
        <f>IF(Table_PrescriptLights_Input[[#This Row],[Unit capacity (tons)]]="", "",Table_PrescriptLights_Input[[#This Row],[Total equipment + labor cost]])</f>
        <v/>
      </c>
      <c r="W29" s="219" t="str">
        <f>IFERROR(Table_PrescriptLights_Input[[#This Row],[Gross measure cost]]-Table_PrescriptLights_Input[[#This Row],[Estimated incentive]], "")</f>
        <v/>
      </c>
      <c r="X29" s="220" t="str">
        <f t="shared" si="0"/>
        <v/>
      </c>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row>
    <row r="30" spans="1:52" x14ac:dyDescent="0.2">
      <c r="A30" s="212"/>
      <c r="B30" s="213">
        <v>26</v>
      </c>
      <c r="C30" s="185" t="str">
        <f>IFERROR(INDEX(Table_Prescript_Meas[Measure Number], MATCH(E30, Table_Prescript_Meas[Measure Description], 0)), "")</f>
        <v/>
      </c>
      <c r="D30" s="222"/>
      <c r="E30" s="223"/>
      <c r="F30" s="185" t="str">
        <f>IFERROR(INDEX(Table_Prescript_Meas[Units], MATCH(Table_PrescriptLights_Input[[#This Row],[Measure number]], Table_Prescript_Meas[Measure Number], 0)), "")</f>
        <v/>
      </c>
      <c r="G30" s="214"/>
      <c r="H30" s="215"/>
      <c r="I30" s="215"/>
      <c r="J30"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0"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0" s="214"/>
      <c r="M30" s="214"/>
      <c r="N30" s="217"/>
      <c r="O30" s="217"/>
      <c r="P30" s="218"/>
      <c r="Q30"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0" s="219" t="str">
        <f>IF(Table_PrescriptLights_Input[[#This Row],[Unit capacity (tons)]]="","",IFERROR(Table_PrescriptLights_Input[[#This Row],[Per-unit incentive]],""))</f>
        <v/>
      </c>
      <c r="S30"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0"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0" s="219" t="str">
        <f>IFERROR(Table_PrescriptLights_Input[[#This Row],[Energy savings (kWh)]]*Input_AvgkWhRate, "")</f>
        <v/>
      </c>
      <c r="V30" s="219" t="str">
        <f>IF(Table_PrescriptLights_Input[[#This Row],[Unit capacity (tons)]]="", "",Table_PrescriptLights_Input[[#This Row],[Total equipment + labor cost]])</f>
        <v/>
      </c>
      <c r="W30" s="219" t="str">
        <f>IFERROR(Table_PrescriptLights_Input[[#This Row],[Gross measure cost]]-Table_PrescriptLights_Input[[#This Row],[Estimated incentive]], "")</f>
        <v/>
      </c>
      <c r="X30" s="220" t="str">
        <f t="shared" si="0"/>
        <v/>
      </c>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row>
    <row r="31" spans="1:52" x14ac:dyDescent="0.2">
      <c r="A31" s="186"/>
      <c r="B31" s="213">
        <v>27</v>
      </c>
      <c r="C31" s="185" t="str">
        <f>IFERROR(INDEX(Table_Prescript_Meas[Measure Number], MATCH(E31, Table_Prescript_Meas[Measure Description], 0)), "")</f>
        <v/>
      </c>
      <c r="D31" s="222"/>
      <c r="E31" s="223"/>
      <c r="F31" s="185" t="str">
        <f>IFERROR(INDEX(Table_Prescript_Meas[Units], MATCH(Table_PrescriptLights_Input[[#This Row],[Measure number]], Table_Prescript_Meas[Measure Number], 0)), "")</f>
        <v/>
      </c>
      <c r="G31" s="214"/>
      <c r="H31" s="215"/>
      <c r="I31" s="215"/>
      <c r="J31"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1"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1" s="214"/>
      <c r="M31" s="214"/>
      <c r="N31" s="217"/>
      <c r="O31" s="217"/>
      <c r="P31" s="218"/>
      <c r="Q31"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1" s="219" t="str">
        <f>IF(Table_PrescriptLights_Input[[#This Row],[Unit capacity (tons)]]="","",IFERROR(Table_PrescriptLights_Input[[#This Row],[Per-unit incentive]],""))</f>
        <v/>
      </c>
      <c r="S31"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1"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1" s="219" t="str">
        <f>IFERROR(Table_PrescriptLights_Input[[#This Row],[Energy savings (kWh)]]*Input_AvgkWhRate, "")</f>
        <v/>
      </c>
      <c r="V31" s="219" t="str">
        <f>IF(Table_PrescriptLights_Input[[#This Row],[Unit capacity (tons)]]="", "",Table_PrescriptLights_Input[[#This Row],[Total equipment + labor cost]])</f>
        <v/>
      </c>
      <c r="W31" s="219" t="str">
        <f>IFERROR(Table_PrescriptLights_Input[[#This Row],[Gross measure cost]]-Table_PrescriptLights_Input[[#This Row],[Estimated incentive]], "")</f>
        <v/>
      </c>
      <c r="X31" s="220" t="str">
        <f t="shared" si="0"/>
        <v/>
      </c>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row>
    <row r="32" spans="1:52" x14ac:dyDescent="0.2">
      <c r="A32" s="186"/>
      <c r="B32" s="213">
        <v>28</v>
      </c>
      <c r="C32" s="185" t="str">
        <f>IFERROR(INDEX(Table_Prescript_Meas[Measure Number], MATCH(E32, Table_Prescript_Meas[Measure Description], 0)), "")</f>
        <v/>
      </c>
      <c r="D32" s="222"/>
      <c r="E32" s="223"/>
      <c r="F32" s="185" t="str">
        <f>IFERROR(INDEX(Table_Prescript_Meas[Units], MATCH(Table_PrescriptLights_Input[[#This Row],[Measure number]], Table_Prescript_Meas[Measure Number], 0)), "")</f>
        <v/>
      </c>
      <c r="G32" s="214"/>
      <c r="H32" s="215"/>
      <c r="I32" s="215"/>
      <c r="J32"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2"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2" s="214"/>
      <c r="M32" s="214"/>
      <c r="N32" s="217"/>
      <c r="O32" s="217"/>
      <c r="P32" s="218"/>
      <c r="Q32"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2" s="219" t="str">
        <f>IF(Table_PrescriptLights_Input[[#This Row],[Unit capacity (tons)]]="","",IFERROR(Table_PrescriptLights_Input[[#This Row],[Per-unit incentive]],""))</f>
        <v/>
      </c>
      <c r="S32"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2"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2" s="219" t="str">
        <f>IFERROR(Table_PrescriptLights_Input[[#This Row],[Energy savings (kWh)]]*Input_AvgkWhRate, "")</f>
        <v/>
      </c>
      <c r="V32" s="219" t="str">
        <f>IF(Table_PrescriptLights_Input[[#This Row],[Unit capacity (tons)]]="", "",Table_PrescriptLights_Input[[#This Row],[Total equipment + labor cost]])</f>
        <v/>
      </c>
      <c r="W32" s="219" t="str">
        <f>IFERROR(Table_PrescriptLights_Input[[#This Row],[Gross measure cost]]-Table_PrescriptLights_Input[[#This Row],[Estimated incentive]], "")</f>
        <v/>
      </c>
      <c r="X32" s="220" t="str">
        <f t="shared" si="0"/>
        <v/>
      </c>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row>
    <row r="33" spans="1:52" x14ac:dyDescent="0.2">
      <c r="A33" s="186"/>
      <c r="B33" s="213">
        <v>29</v>
      </c>
      <c r="C33" s="185" t="str">
        <f>IFERROR(INDEX(Table_Prescript_Meas[Measure Number], MATCH(E33, Table_Prescript_Meas[Measure Description], 0)), "")</f>
        <v/>
      </c>
      <c r="D33" s="222"/>
      <c r="E33" s="223"/>
      <c r="F33" s="185" t="str">
        <f>IFERROR(INDEX(Table_Prescript_Meas[Units], MATCH(Table_PrescriptLights_Input[[#This Row],[Measure number]], Table_Prescript_Meas[Measure Number], 0)), "")</f>
        <v/>
      </c>
      <c r="G33" s="214"/>
      <c r="H33" s="215"/>
      <c r="I33" s="215"/>
      <c r="J33"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3"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3" s="214"/>
      <c r="M33" s="214"/>
      <c r="N33" s="217"/>
      <c r="O33" s="217"/>
      <c r="P33" s="218"/>
      <c r="Q33"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3" s="219" t="str">
        <f>IF(Table_PrescriptLights_Input[[#This Row],[Unit capacity (tons)]]="","",IFERROR(Table_PrescriptLights_Input[[#This Row],[Per-unit incentive]],""))</f>
        <v/>
      </c>
      <c r="S33"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3"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3" s="219" t="str">
        <f>IFERROR(Table_PrescriptLights_Input[[#This Row],[Energy savings (kWh)]]*Input_AvgkWhRate, "")</f>
        <v/>
      </c>
      <c r="V33" s="219" t="str">
        <f>IF(Table_PrescriptLights_Input[[#This Row],[Unit capacity (tons)]]="", "",Table_PrescriptLights_Input[[#This Row],[Total equipment + labor cost]])</f>
        <v/>
      </c>
      <c r="W33" s="219" t="str">
        <f>IFERROR(Table_PrescriptLights_Input[[#This Row],[Gross measure cost]]-Table_PrescriptLights_Input[[#This Row],[Estimated incentive]], "")</f>
        <v/>
      </c>
      <c r="X33" s="220" t="str">
        <f t="shared" si="0"/>
        <v/>
      </c>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row>
    <row r="34" spans="1:52" x14ac:dyDescent="0.2">
      <c r="A34" s="186"/>
      <c r="B34" s="213">
        <v>30</v>
      </c>
      <c r="C34" s="185" t="str">
        <f>IFERROR(INDEX(Table_Prescript_Meas[Measure Number], MATCH(E34, Table_Prescript_Meas[Measure Description], 0)), "")</f>
        <v/>
      </c>
      <c r="D34" s="222"/>
      <c r="E34" s="223"/>
      <c r="F34" s="185" t="str">
        <f>IFERROR(INDEX(Table_Prescript_Meas[Units], MATCH(Table_PrescriptLights_Input[[#This Row],[Measure number]], Table_Prescript_Meas[Measure Number], 0)), "")</f>
        <v/>
      </c>
      <c r="G34" s="214"/>
      <c r="H34" s="215"/>
      <c r="I34" s="215"/>
      <c r="J34"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4"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4" s="214"/>
      <c r="M34" s="214"/>
      <c r="N34" s="217"/>
      <c r="O34" s="217"/>
      <c r="P34" s="218"/>
      <c r="Q34"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4" s="219" t="str">
        <f>IF(Table_PrescriptLights_Input[[#This Row],[Unit capacity (tons)]]="","",IFERROR(Table_PrescriptLights_Input[[#This Row],[Per-unit incentive]],""))</f>
        <v/>
      </c>
      <c r="S34"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4"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4" s="219" t="str">
        <f>IFERROR(Table_PrescriptLights_Input[[#This Row],[Energy savings (kWh)]]*Input_AvgkWhRate, "")</f>
        <v/>
      </c>
      <c r="V34" s="219" t="str">
        <f>IF(Table_PrescriptLights_Input[[#This Row],[Unit capacity (tons)]]="", "",Table_PrescriptLights_Input[[#This Row],[Total equipment + labor cost]])</f>
        <v/>
      </c>
      <c r="W34" s="219" t="str">
        <f>IFERROR(Table_PrescriptLights_Input[[#This Row],[Gross measure cost]]-Table_PrescriptLights_Input[[#This Row],[Estimated incentive]], "")</f>
        <v/>
      </c>
      <c r="X34" s="220" t="str">
        <f t="shared" si="0"/>
        <v/>
      </c>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row>
    <row r="35" spans="1:52" x14ac:dyDescent="0.2">
      <c r="A35" s="186"/>
      <c r="B35" s="213">
        <v>31</v>
      </c>
      <c r="C35" s="185" t="str">
        <f>IFERROR(INDEX(Table_Prescript_Meas[Measure Number], MATCH(E35, Table_Prescript_Meas[Measure Description], 0)), "")</f>
        <v/>
      </c>
      <c r="D35" s="222"/>
      <c r="E35" s="223"/>
      <c r="F35" s="185" t="str">
        <f>IFERROR(INDEX(Table_Prescript_Meas[Units], MATCH(Table_PrescriptLights_Input[[#This Row],[Measure number]], Table_Prescript_Meas[Measure Number], 0)), "")</f>
        <v/>
      </c>
      <c r="G35" s="214"/>
      <c r="H35" s="215"/>
      <c r="I35" s="215"/>
      <c r="J35"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5"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5" s="214"/>
      <c r="M35" s="214"/>
      <c r="N35" s="217"/>
      <c r="O35" s="217"/>
      <c r="P35" s="218"/>
      <c r="Q35"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5" s="219" t="str">
        <f>IF(Table_PrescriptLights_Input[[#This Row],[Unit capacity (tons)]]="","",IFERROR(Table_PrescriptLights_Input[[#This Row],[Per-unit incentive]],""))</f>
        <v/>
      </c>
      <c r="S35"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5"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5" s="219" t="str">
        <f>IFERROR(Table_PrescriptLights_Input[[#This Row],[Energy savings (kWh)]]*Input_AvgkWhRate, "")</f>
        <v/>
      </c>
      <c r="V35" s="219" t="str">
        <f>IF(Table_PrescriptLights_Input[[#This Row],[Unit capacity (tons)]]="", "",Table_PrescriptLights_Input[[#This Row],[Total equipment + labor cost]])</f>
        <v/>
      </c>
      <c r="W35" s="219" t="str">
        <f>IFERROR(Table_PrescriptLights_Input[[#This Row],[Gross measure cost]]-Table_PrescriptLights_Input[[#This Row],[Estimated incentive]], "")</f>
        <v/>
      </c>
      <c r="X35" s="220" t="str">
        <f t="shared" si="0"/>
        <v/>
      </c>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row>
    <row r="36" spans="1:52" x14ac:dyDescent="0.2">
      <c r="A36" s="186"/>
      <c r="B36" s="213">
        <v>32</v>
      </c>
      <c r="C36" s="185" t="str">
        <f>IFERROR(INDEX(Table_Prescript_Meas[Measure Number], MATCH(E36, Table_Prescript_Meas[Measure Description], 0)), "")</f>
        <v/>
      </c>
      <c r="D36" s="222"/>
      <c r="E36" s="223"/>
      <c r="F36" s="185" t="str">
        <f>IFERROR(INDEX(Table_Prescript_Meas[Units], MATCH(Table_PrescriptLights_Input[[#This Row],[Measure number]], Table_Prescript_Meas[Measure Number], 0)), "")</f>
        <v/>
      </c>
      <c r="G36" s="214"/>
      <c r="H36" s="215"/>
      <c r="I36" s="215"/>
      <c r="J36"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6"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6" s="214"/>
      <c r="M36" s="214"/>
      <c r="N36" s="217"/>
      <c r="O36" s="217"/>
      <c r="P36" s="218"/>
      <c r="Q36"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6" s="219" t="str">
        <f>IF(Table_PrescriptLights_Input[[#This Row],[Unit capacity (tons)]]="","",IFERROR(Table_PrescriptLights_Input[[#This Row],[Per-unit incentive]],""))</f>
        <v/>
      </c>
      <c r="S36"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6"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6" s="219" t="str">
        <f>IFERROR(Table_PrescriptLights_Input[[#This Row],[Energy savings (kWh)]]*Input_AvgkWhRate, "")</f>
        <v/>
      </c>
      <c r="V36" s="219" t="str">
        <f>IF(Table_PrescriptLights_Input[[#This Row],[Unit capacity (tons)]]="", "",Table_PrescriptLights_Input[[#This Row],[Total equipment + labor cost]])</f>
        <v/>
      </c>
      <c r="W36" s="219" t="str">
        <f>IFERROR(Table_PrescriptLights_Input[[#This Row],[Gross measure cost]]-Table_PrescriptLights_Input[[#This Row],[Estimated incentive]], "")</f>
        <v/>
      </c>
      <c r="X36" s="220" t="str">
        <f t="shared" si="0"/>
        <v/>
      </c>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6"/>
      <c r="AY36" s="186"/>
      <c r="AZ36" s="186"/>
    </row>
    <row r="37" spans="1:52" x14ac:dyDescent="0.2">
      <c r="A37" s="186"/>
      <c r="B37" s="213">
        <v>33</v>
      </c>
      <c r="C37" s="185" t="str">
        <f>IFERROR(INDEX(Table_Prescript_Meas[Measure Number], MATCH(E37, Table_Prescript_Meas[Measure Description], 0)), "")</f>
        <v/>
      </c>
      <c r="D37" s="222"/>
      <c r="E37" s="223"/>
      <c r="F37" s="185" t="str">
        <f>IFERROR(INDEX(Table_Prescript_Meas[Units], MATCH(Table_PrescriptLights_Input[[#This Row],[Measure number]], Table_Prescript_Meas[Measure Number], 0)), "")</f>
        <v/>
      </c>
      <c r="G37" s="214"/>
      <c r="H37" s="215"/>
      <c r="I37" s="215"/>
      <c r="J37"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7"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7" s="214"/>
      <c r="M37" s="214"/>
      <c r="N37" s="217"/>
      <c r="O37" s="217"/>
      <c r="P37" s="218"/>
      <c r="Q37"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7" s="219" t="str">
        <f>IF(Table_PrescriptLights_Input[[#This Row],[Unit capacity (tons)]]="","",IFERROR(Table_PrescriptLights_Input[[#This Row],[Per-unit incentive]],""))</f>
        <v/>
      </c>
      <c r="S37"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7"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7" s="219" t="str">
        <f>IFERROR(Table_PrescriptLights_Input[[#This Row],[Energy savings (kWh)]]*Input_AvgkWhRate, "")</f>
        <v/>
      </c>
      <c r="V37" s="219" t="str">
        <f>IF(Table_PrescriptLights_Input[[#This Row],[Unit capacity (tons)]]="", "",Table_PrescriptLights_Input[[#This Row],[Total equipment + labor cost]])</f>
        <v/>
      </c>
      <c r="W37" s="219" t="str">
        <f>IFERROR(Table_PrescriptLights_Input[[#This Row],[Gross measure cost]]-Table_PrescriptLights_Input[[#This Row],[Estimated incentive]], "")</f>
        <v/>
      </c>
      <c r="X37" s="220" t="str">
        <f t="shared" si="0"/>
        <v/>
      </c>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row>
    <row r="38" spans="1:52" x14ac:dyDescent="0.2">
      <c r="A38" s="186"/>
      <c r="B38" s="213">
        <v>34</v>
      </c>
      <c r="C38" s="185" t="str">
        <f>IFERROR(INDEX(Table_Prescript_Meas[Measure Number], MATCH(E38, Table_Prescript_Meas[Measure Description], 0)), "")</f>
        <v/>
      </c>
      <c r="D38" s="222"/>
      <c r="E38" s="223"/>
      <c r="F38" s="185" t="str">
        <f>IFERROR(INDEX(Table_Prescript_Meas[Units], MATCH(Table_PrescriptLights_Input[[#This Row],[Measure number]], Table_Prescript_Meas[Measure Number], 0)), "")</f>
        <v/>
      </c>
      <c r="G38" s="214"/>
      <c r="H38" s="215"/>
      <c r="I38" s="215"/>
      <c r="J38"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8"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8" s="214"/>
      <c r="M38" s="214"/>
      <c r="N38" s="217"/>
      <c r="O38" s="217"/>
      <c r="P38" s="218"/>
      <c r="Q38"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8" s="219" t="str">
        <f>IF(Table_PrescriptLights_Input[[#This Row],[Unit capacity (tons)]]="","",IFERROR(Table_PrescriptLights_Input[[#This Row],[Per-unit incentive]],""))</f>
        <v/>
      </c>
      <c r="S38"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8"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8" s="219" t="str">
        <f>IFERROR(Table_PrescriptLights_Input[[#This Row],[Energy savings (kWh)]]*Input_AvgkWhRate, "")</f>
        <v/>
      </c>
      <c r="V38" s="219" t="str">
        <f>IF(Table_PrescriptLights_Input[[#This Row],[Unit capacity (tons)]]="", "",Table_PrescriptLights_Input[[#This Row],[Total equipment + labor cost]])</f>
        <v/>
      </c>
      <c r="W38" s="219" t="str">
        <f>IFERROR(Table_PrescriptLights_Input[[#This Row],[Gross measure cost]]-Table_PrescriptLights_Input[[#This Row],[Estimated incentive]], "")</f>
        <v/>
      </c>
      <c r="X38" s="220" t="str">
        <f t="shared" si="0"/>
        <v/>
      </c>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row>
    <row r="39" spans="1:52" x14ac:dyDescent="0.2">
      <c r="A39" s="186"/>
      <c r="B39" s="213">
        <v>35</v>
      </c>
      <c r="C39" s="185" t="str">
        <f>IFERROR(INDEX(Table_Prescript_Meas[Measure Number], MATCH(E39, Table_Prescript_Meas[Measure Description], 0)), "")</f>
        <v/>
      </c>
      <c r="D39" s="222"/>
      <c r="E39" s="223"/>
      <c r="F39" s="185" t="str">
        <f>IFERROR(INDEX(Table_Prescript_Meas[Units], MATCH(Table_PrescriptLights_Input[[#This Row],[Measure number]], Table_Prescript_Meas[Measure Number], 0)), "")</f>
        <v/>
      </c>
      <c r="G39" s="214"/>
      <c r="H39" s="215"/>
      <c r="I39" s="215"/>
      <c r="J39"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39"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39" s="214"/>
      <c r="M39" s="214"/>
      <c r="N39" s="217"/>
      <c r="O39" s="217"/>
      <c r="P39" s="218"/>
      <c r="Q39"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39" s="219" t="str">
        <f>IF(Table_PrescriptLights_Input[[#This Row],[Unit capacity (tons)]]="","",IFERROR(Table_PrescriptLights_Input[[#This Row],[Per-unit incentive]],""))</f>
        <v/>
      </c>
      <c r="S39"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39"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39" s="219" t="str">
        <f>IFERROR(Table_PrescriptLights_Input[[#This Row],[Energy savings (kWh)]]*Input_AvgkWhRate, "")</f>
        <v/>
      </c>
      <c r="V39" s="219" t="str">
        <f>IF(Table_PrescriptLights_Input[[#This Row],[Unit capacity (tons)]]="", "",Table_PrescriptLights_Input[[#This Row],[Total equipment + labor cost]])</f>
        <v/>
      </c>
      <c r="W39" s="219" t="str">
        <f>IFERROR(Table_PrescriptLights_Input[[#This Row],[Gross measure cost]]-Table_PrescriptLights_Input[[#This Row],[Estimated incentive]], "")</f>
        <v/>
      </c>
      <c r="X39" s="220" t="str">
        <f t="shared" si="0"/>
        <v/>
      </c>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row>
    <row r="40" spans="1:52" x14ac:dyDescent="0.2">
      <c r="A40" s="186"/>
      <c r="B40" s="213">
        <v>36</v>
      </c>
      <c r="C40" s="185" t="str">
        <f>IFERROR(INDEX(Table_Prescript_Meas[Measure Number], MATCH(E40, Table_Prescript_Meas[Measure Description], 0)), "")</f>
        <v/>
      </c>
      <c r="D40" s="222"/>
      <c r="E40" s="223"/>
      <c r="F40" s="185" t="str">
        <f>IFERROR(INDEX(Table_Prescript_Meas[Units], MATCH(Table_PrescriptLights_Input[[#This Row],[Measure number]], Table_Prescript_Meas[Measure Number], 0)), "")</f>
        <v/>
      </c>
      <c r="G40" s="214"/>
      <c r="H40" s="215"/>
      <c r="I40" s="215"/>
      <c r="J40"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0"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0" s="214"/>
      <c r="M40" s="214"/>
      <c r="N40" s="217"/>
      <c r="O40" s="217"/>
      <c r="P40" s="218"/>
      <c r="Q40"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0" s="219" t="str">
        <f>IF(Table_PrescriptLights_Input[[#This Row],[Unit capacity (tons)]]="","",IFERROR(Table_PrescriptLights_Input[[#This Row],[Per-unit incentive]],""))</f>
        <v/>
      </c>
      <c r="S40"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0"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0" s="219" t="str">
        <f>IFERROR(Table_PrescriptLights_Input[[#This Row],[Energy savings (kWh)]]*Input_AvgkWhRate, "")</f>
        <v/>
      </c>
      <c r="V40" s="219" t="str">
        <f>IF(Table_PrescriptLights_Input[[#This Row],[Unit capacity (tons)]]="", "",Table_PrescriptLights_Input[[#This Row],[Total equipment + labor cost]])</f>
        <v/>
      </c>
      <c r="W40" s="219" t="str">
        <f>IFERROR(Table_PrescriptLights_Input[[#This Row],[Gross measure cost]]-Table_PrescriptLights_Input[[#This Row],[Estimated incentive]], "")</f>
        <v/>
      </c>
      <c r="X40" s="220" t="str">
        <f t="shared" si="0"/>
        <v/>
      </c>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row>
    <row r="41" spans="1:52" x14ac:dyDescent="0.2">
      <c r="A41" s="186"/>
      <c r="B41" s="213">
        <v>37</v>
      </c>
      <c r="C41" s="185" t="str">
        <f>IFERROR(INDEX(Table_Prescript_Meas[Measure Number], MATCH(E41, Table_Prescript_Meas[Measure Description], 0)), "")</f>
        <v/>
      </c>
      <c r="D41" s="222"/>
      <c r="E41" s="223"/>
      <c r="F41" s="185" t="str">
        <f>IFERROR(INDEX(Table_Prescript_Meas[Units], MATCH(Table_PrescriptLights_Input[[#This Row],[Measure number]], Table_Prescript_Meas[Measure Number], 0)), "")</f>
        <v/>
      </c>
      <c r="G41" s="214"/>
      <c r="H41" s="215"/>
      <c r="I41" s="215"/>
      <c r="J41"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1"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1" s="214"/>
      <c r="M41" s="214"/>
      <c r="N41" s="217"/>
      <c r="O41" s="217"/>
      <c r="P41" s="218"/>
      <c r="Q41"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1" s="219" t="str">
        <f>IF(Table_PrescriptLights_Input[[#This Row],[Unit capacity (tons)]]="","",IFERROR(Table_PrescriptLights_Input[[#This Row],[Per-unit incentive]],""))</f>
        <v/>
      </c>
      <c r="S41"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1"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1" s="219" t="str">
        <f>IFERROR(Table_PrescriptLights_Input[[#This Row],[Energy savings (kWh)]]*Input_AvgkWhRate, "")</f>
        <v/>
      </c>
      <c r="V41" s="219" t="str">
        <f>IF(Table_PrescriptLights_Input[[#This Row],[Unit capacity (tons)]]="", "",Table_PrescriptLights_Input[[#This Row],[Total equipment + labor cost]])</f>
        <v/>
      </c>
      <c r="W41" s="219" t="str">
        <f>IFERROR(Table_PrescriptLights_Input[[#This Row],[Gross measure cost]]-Table_PrescriptLights_Input[[#This Row],[Estimated incentive]], "")</f>
        <v/>
      </c>
      <c r="X41" s="220" t="str">
        <f t="shared" si="0"/>
        <v/>
      </c>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row>
    <row r="42" spans="1:52" x14ac:dyDescent="0.2">
      <c r="A42" s="186"/>
      <c r="B42" s="213">
        <v>38</v>
      </c>
      <c r="C42" s="185" t="str">
        <f>IFERROR(INDEX(Table_Prescript_Meas[Measure Number], MATCH(E42, Table_Prescript_Meas[Measure Description], 0)), "")</f>
        <v/>
      </c>
      <c r="D42" s="222"/>
      <c r="E42" s="223"/>
      <c r="F42" s="185" t="str">
        <f>IFERROR(INDEX(Table_Prescript_Meas[Units], MATCH(Table_PrescriptLights_Input[[#This Row],[Measure number]], Table_Prescript_Meas[Measure Number], 0)), "")</f>
        <v/>
      </c>
      <c r="G42" s="214"/>
      <c r="H42" s="215"/>
      <c r="I42" s="215"/>
      <c r="J42"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2"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2" s="214"/>
      <c r="M42" s="214"/>
      <c r="N42" s="217"/>
      <c r="O42" s="217"/>
      <c r="P42" s="218"/>
      <c r="Q42"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2" s="219" t="str">
        <f>IF(Table_PrescriptLights_Input[[#This Row],[Unit capacity (tons)]]="","",IFERROR(Table_PrescriptLights_Input[[#This Row],[Per-unit incentive]],""))</f>
        <v/>
      </c>
      <c r="S42"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2"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2" s="219" t="str">
        <f>IFERROR(Table_PrescriptLights_Input[[#This Row],[Energy savings (kWh)]]*Input_AvgkWhRate, "")</f>
        <v/>
      </c>
      <c r="V42" s="219" t="str">
        <f>IF(Table_PrescriptLights_Input[[#This Row],[Unit capacity (tons)]]="", "",Table_PrescriptLights_Input[[#This Row],[Total equipment + labor cost]])</f>
        <v/>
      </c>
      <c r="W42" s="219" t="str">
        <f>IFERROR(Table_PrescriptLights_Input[[#This Row],[Gross measure cost]]-Table_PrescriptLights_Input[[#This Row],[Estimated incentive]], "")</f>
        <v/>
      </c>
      <c r="X42" s="220" t="str">
        <f t="shared" si="0"/>
        <v/>
      </c>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row>
    <row r="43" spans="1:52" x14ac:dyDescent="0.2">
      <c r="A43" s="186"/>
      <c r="B43" s="213">
        <v>39</v>
      </c>
      <c r="C43" s="185" t="str">
        <f>IFERROR(INDEX(Table_Prescript_Meas[Measure Number], MATCH(E43, Table_Prescript_Meas[Measure Description], 0)), "")</f>
        <v/>
      </c>
      <c r="D43" s="222"/>
      <c r="E43" s="223"/>
      <c r="F43" s="185" t="str">
        <f>IFERROR(INDEX(Table_Prescript_Meas[Units], MATCH(Table_PrescriptLights_Input[[#This Row],[Measure number]], Table_Prescript_Meas[Measure Number], 0)), "")</f>
        <v/>
      </c>
      <c r="G43" s="214"/>
      <c r="H43" s="215"/>
      <c r="I43" s="215"/>
      <c r="J43"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3"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3" s="214"/>
      <c r="M43" s="214"/>
      <c r="N43" s="217"/>
      <c r="O43" s="217"/>
      <c r="P43" s="218"/>
      <c r="Q43"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3" s="219" t="str">
        <f>IF(Table_PrescriptLights_Input[[#This Row],[Unit capacity (tons)]]="","",IFERROR(Table_PrescriptLights_Input[[#This Row],[Per-unit incentive]],""))</f>
        <v/>
      </c>
      <c r="S43"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3"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3" s="219" t="str">
        <f>IFERROR(Table_PrescriptLights_Input[[#This Row],[Energy savings (kWh)]]*Input_AvgkWhRate, "")</f>
        <v/>
      </c>
      <c r="V43" s="219" t="str">
        <f>IF(Table_PrescriptLights_Input[[#This Row],[Unit capacity (tons)]]="", "",Table_PrescriptLights_Input[[#This Row],[Total equipment + labor cost]])</f>
        <v/>
      </c>
      <c r="W43" s="219" t="str">
        <f>IFERROR(Table_PrescriptLights_Input[[#This Row],[Gross measure cost]]-Table_PrescriptLights_Input[[#This Row],[Estimated incentive]], "")</f>
        <v/>
      </c>
      <c r="X43" s="220" t="str">
        <f t="shared" si="0"/>
        <v/>
      </c>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row>
    <row r="44" spans="1:52" x14ac:dyDescent="0.2">
      <c r="A44" s="186"/>
      <c r="B44" s="213">
        <v>40</v>
      </c>
      <c r="C44" s="185" t="str">
        <f>IFERROR(INDEX(Table_Prescript_Meas[Measure Number], MATCH(E44, Table_Prescript_Meas[Measure Description], 0)), "")</f>
        <v/>
      </c>
      <c r="D44" s="222"/>
      <c r="E44" s="223"/>
      <c r="F44" s="185" t="str">
        <f>IFERROR(INDEX(Table_Prescript_Meas[Units], MATCH(Table_PrescriptLights_Input[[#This Row],[Measure number]], Table_Prescript_Meas[Measure Number], 0)), "")</f>
        <v/>
      </c>
      <c r="G44" s="214"/>
      <c r="H44" s="215"/>
      <c r="I44" s="215"/>
      <c r="J44"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4"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4" s="214"/>
      <c r="M44" s="214"/>
      <c r="N44" s="217"/>
      <c r="O44" s="217"/>
      <c r="P44" s="218"/>
      <c r="Q44"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4" s="219" t="str">
        <f>IF(Table_PrescriptLights_Input[[#This Row],[Unit capacity (tons)]]="","",IFERROR(Table_PrescriptLights_Input[[#This Row],[Per-unit incentive]],""))</f>
        <v/>
      </c>
      <c r="S44"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4"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4" s="219" t="str">
        <f>IFERROR(Table_PrescriptLights_Input[[#This Row],[Energy savings (kWh)]]*Input_AvgkWhRate, "")</f>
        <v/>
      </c>
      <c r="V44" s="219" t="str">
        <f>IF(Table_PrescriptLights_Input[[#This Row],[Unit capacity (tons)]]="", "",Table_PrescriptLights_Input[[#This Row],[Total equipment + labor cost]])</f>
        <v/>
      </c>
      <c r="W44" s="219" t="str">
        <f>IFERROR(Table_PrescriptLights_Input[[#This Row],[Gross measure cost]]-Table_PrescriptLights_Input[[#This Row],[Estimated incentive]], "")</f>
        <v/>
      </c>
      <c r="X44" s="220" t="str">
        <f t="shared" si="0"/>
        <v/>
      </c>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row>
    <row r="45" spans="1:52" x14ac:dyDescent="0.2">
      <c r="A45" s="186"/>
      <c r="B45" s="213">
        <v>41</v>
      </c>
      <c r="C45" s="185" t="str">
        <f>IFERROR(INDEX(Table_Prescript_Meas[Measure Number], MATCH(E45, Table_Prescript_Meas[Measure Description], 0)), "")</f>
        <v/>
      </c>
      <c r="D45" s="222"/>
      <c r="E45" s="223"/>
      <c r="F45" s="185" t="str">
        <f>IFERROR(INDEX(Table_Prescript_Meas[Units], MATCH(Table_PrescriptLights_Input[[#This Row],[Measure number]], Table_Prescript_Meas[Measure Number], 0)), "")</f>
        <v/>
      </c>
      <c r="G45" s="214"/>
      <c r="H45" s="215"/>
      <c r="I45" s="215"/>
      <c r="J45"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5"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5" s="214"/>
      <c r="M45" s="214"/>
      <c r="N45" s="217"/>
      <c r="O45" s="217"/>
      <c r="P45" s="218"/>
      <c r="Q45"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5" s="219" t="str">
        <f>IF(Table_PrescriptLights_Input[[#This Row],[Unit capacity (tons)]]="","",IFERROR(Table_PrescriptLights_Input[[#This Row],[Per-unit incentive]],""))</f>
        <v/>
      </c>
      <c r="S45"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5"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5" s="219" t="str">
        <f>IFERROR(Table_PrescriptLights_Input[[#This Row],[Energy savings (kWh)]]*Input_AvgkWhRate, "")</f>
        <v/>
      </c>
      <c r="V45" s="219" t="str">
        <f>IF(Table_PrescriptLights_Input[[#This Row],[Unit capacity (tons)]]="", "",Table_PrescriptLights_Input[[#This Row],[Total equipment + labor cost]])</f>
        <v/>
      </c>
      <c r="W45" s="219" t="str">
        <f>IFERROR(Table_PrescriptLights_Input[[#This Row],[Gross measure cost]]-Table_PrescriptLights_Input[[#This Row],[Estimated incentive]], "")</f>
        <v/>
      </c>
      <c r="X45" s="220" t="str">
        <f t="shared" si="0"/>
        <v/>
      </c>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row>
    <row r="46" spans="1:52" x14ac:dyDescent="0.2">
      <c r="A46" s="186"/>
      <c r="B46" s="213">
        <v>42</v>
      </c>
      <c r="C46" s="185" t="str">
        <f>IFERROR(INDEX(Table_Prescript_Meas[Measure Number], MATCH(E46, Table_Prescript_Meas[Measure Description], 0)), "")</f>
        <v/>
      </c>
      <c r="D46" s="222"/>
      <c r="E46" s="223"/>
      <c r="F46" s="185" t="str">
        <f>IFERROR(INDEX(Table_Prescript_Meas[Units], MATCH(Table_PrescriptLights_Input[[#This Row],[Measure number]], Table_Prescript_Meas[Measure Number], 0)), "")</f>
        <v/>
      </c>
      <c r="G46" s="214"/>
      <c r="H46" s="215"/>
      <c r="I46" s="215"/>
      <c r="J46"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6"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6" s="214"/>
      <c r="M46" s="214"/>
      <c r="N46" s="217"/>
      <c r="O46" s="217"/>
      <c r="P46" s="218"/>
      <c r="Q46"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6" s="219" t="str">
        <f>IF(Table_PrescriptLights_Input[[#This Row],[Unit capacity (tons)]]="","",IFERROR(Table_PrescriptLights_Input[[#This Row],[Per-unit incentive]],""))</f>
        <v/>
      </c>
      <c r="S46"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6"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6" s="219" t="str">
        <f>IFERROR(Table_PrescriptLights_Input[[#This Row],[Energy savings (kWh)]]*Input_AvgkWhRate, "")</f>
        <v/>
      </c>
      <c r="V46" s="219" t="str">
        <f>IF(Table_PrescriptLights_Input[[#This Row],[Unit capacity (tons)]]="", "",Table_PrescriptLights_Input[[#This Row],[Total equipment + labor cost]])</f>
        <v/>
      </c>
      <c r="W46" s="219" t="str">
        <f>IFERROR(Table_PrescriptLights_Input[[#This Row],[Gross measure cost]]-Table_PrescriptLights_Input[[#This Row],[Estimated incentive]], "")</f>
        <v/>
      </c>
      <c r="X46" s="220" t="str">
        <f t="shared" si="0"/>
        <v/>
      </c>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c r="AW46" s="186"/>
      <c r="AX46" s="186"/>
      <c r="AY46" s="186"/>
      <c r="AZ46" s="186"/>
    </row>
    <row r="47" spans="1:52" x14ac:dyDescent="0.2">
      <c r="A47" s="186"/>
      <c r="B47" s="213">
        <v>43</v>
      </c>
      <c r="C47" s="185" t="str">
        <f>IFERROR(INDEX(Table_Prescript_Meas[Measure Number], MATCH(E47, Table_Prescript_Meas[Measure Description], 0)), "")</f>
        <v/>
      </c>
      <c r="D47" s="222"/>
      <c r="E47" s="223"/>
      <c r="F47" s="185" t="str">
        <f>IFERROR(INDEX(Table_Prescript_Meas[Units], MATCH(Table_PrescriptLights_Input[[#This Row],[Measure number]], Table_Prescript_Meas[Measure Number], 0)), "")</f>
        <v/>
      </c>
      <c r="G47" s="214"/>
      <c r="H47" s="215"/>
      <c r="I47" s="215"/>
      <c r="J47"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7"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7" s="214"/>
      <c r="M47" s="214"/>
      <c r="N47" s="217"/>
      <c r="O47" s="217"/>
      <c r="P47" s="218"/>
      <c r="Q47"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7" s="219" t="str">
        <f>IF(Table_PrescriptLights_Input[[#This Row],[Unit capacity (tons)]]="","",IFERROR(Table_PrescriptLights_Input[[#This Row],[Per-unit incentive]],""))</f>
        <v/>
      </c>
      <c r="S47"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7"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7" s="219" t="str">
        <f>IFERROR(Table_PrescriptLights_Input[[#This Row],[Energy savings (kWh)]]*Input_AvgkWhRate, "")</f>
        <v/>
      </c>
      <c r="V47" s="219" t="str">
        <f>IF(Table_PrescriptLights_Input[[#This Row],[Unit capacity (tons)]]="", "",Table_PrescriptLights_Input[[#This Row],[Total equipment + labor cost]])</f>
        <v/>
      </c>
      <c r="W47" s="219" t="str">
        <f>IFERROR(Table_PrescriptLights_Input[[#This Row],[Gross measure cost]]-Table_PrescriptLights_Input[[#This Row],[Estimated incentive]], "")</f>
        <v/>
      </c>
      <c r="X47" s="220" t="str">
        <f t="shared" si="0"/>
        <v/>
      </c>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c r="AW47" s="186"/>
      <c r="AX47" s="186"/>
      <c r="AY47" s="186"/>
      <c r="AZ47" s="186"/>
    </row>
    <row r="48" spans="1:52" x14ac:dyDescent="0.2">
      <c r="A48" s="186"/>
      <c r="B48" s="213">
        <v>44</v>
      </c>
      <c r="C48" s="185" t="str">
        <f>IFERROR(INDEX(Table_Prescript_Meas[Measure Number], MATCH(E48, Table_Prescript_Meas[Measure Description], 0)), "")</f>
        <v/>
      </c>
      <c r="D48" s="222"/>
      <c r="E48" s="223"/>
      <c r="F48" s="185" t="str">
        <f>IFERROR(INDEX(Table_Prescript_Meas[Units], MATCH(Table_PrescriptLights_Input[[#This Row],[Measure number]], Table_Prescript_Meas[Measure Number], 0)), "")</f>
        <v/>
      </c>
      <c r="G48" s="214"/>
      <c r="H48" s="215"/>
      <c r="I48" s="215"/>
      <c r="J48"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8"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8" s="214"/>
      <c r="M48" s="214"/>
      <c r="N48" s="217"/>
      <c r="O48" s="217"/>
      <c r="P48" s="218"/>
      <c r="Q48"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8" s="219" t="str">
        <f>IF(Table_PrescriptLights_Input[[#This Row],[Unit capacity (tons)]]="","",IFERROR(Table_PrescriptLights_Input[[#This Row],[Per-unit incentive]],""))</f>
        <v/>
      </c>
      <c r="S48"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8"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8" s="219" t="str">
        <f>IFERROR(Table_PrescriptLights_Input[[#This Row],[Energy savings (kWh)]]*Input_AvgkWhRate, "")</f>
        <v/>
      </c>
      <c r="V48" s="219" t="str">
        <f>IF(Table_PrescriptLights_Input[[#This Row],[Unit capacity (tons)]]="", "",Table_PrescriptLights_Input[[#This Row],[Total equipment + labor cost]])</f>
        <v/>
      </c>
      <c r="W48" s="219" t="str">
        <f>IFERROR(Table_PrescriptLights_Input[[#This Row],[Gross measure cost]]-Table_PrescriptLights_Input[[#This Row],[Estimated incentive]], "")</f>
        <v/>
      </c>
      <c r="X48" s="220" t="str">
        <f t="shared" si="0"/>
        <v/>
      </c>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c r="AW48" s="186"/>
      <c r="AX48" s="186"/>
      <c r="AY48" s="186"/>
      <c r="AZ48" s="186"/>
    </row>
    <row r="49" spans="1:52" x14ac:dyDescent="0.2">
      <c r="A49" s="186"/>
      <c r="B49" s="213">
        <v>45</v>
      </c>
      <c r="C49" s="185" t="str">
        <f>IFERROR(INDEX(Table_Prescript_Meas[Measure Number], MATCH(E49, Table_Prescript_Meas[Measure Description], 0)), "")</f>
        <v/>
      </c>
      <c r="D49" s="222"/>
      <c r="E49" s="223"/>
      <c r="F49" s="185" t="str">
        <f>IFERROR(INDEX(Table_Prescript_Meas[Units], MATCH(Table_PrescriptLights_Input[[#This Row],[Measure number]], Table_Prescript_Meas[Measure Number], 0)), "")</f>
        <v/>
      </c>
      <c r="G49" s="214"/>
      <c r="H49" s="215"/>
      <c r="I49" s="215"/>
      <c r="J49"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49"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49" s="214"/>
      <c r="M49" s="214"/>
      <c r="N49" s="217"/>
      <c r="O49" s="217"/>
      <c r="P49" s="218"/>
      <c r="Q49"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49" s="219" t="str">
        <f>IF(Table_PrescriptLights_Input[[#This Row],[Unit capacity (tons)]]="","",IFERROR(Table_PrescriptLights_Input[[#This Row],[Per-unit incentive]],""))</f>
        <v/>
      </c>
      <c r="S49"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49"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49" s="219" t="str">
        <f>IFERROR(Table_PrescriptLights_Input[[#This Row],[Energy savings (kWh)]]*Input_AvgkWhRate, "")</f>
        <v/>
      </c>
      <c r="V49" s="219" t="str">
        <f>IF(Table_PrescriptLights_Input[[#This Row],[Unit capacity (tons)]]="", "",Table_PrescriptLights_Input[[#This Row],[Total equipment + labor cost]])</f>
        <v/>
      </c>
      <c r="W49" s="219" t="str">
        <f>IFERROR(Table_PrescriptLights_Input[[#This Row],[Gross measure cost]]-Table_PrescriptLights_Input[[#This Row],[Estimated incentive]], "")</f>
        <v/>
      </c>
      <c r="X49" s="220" t="str">
        <f t="shared" si="0"/>
        <v/>
      </c>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row>
    <row r="50" spans="1:52" x14ac:dyDescent="0.2">
      <c r="A50" s="186"/>
      <c r="B50" s="213">
        <v>46</v>
      </c>
      <c r="C50" s="185" t="str">
        <f>IFERROR(INDEX(Table_Prescript_Meas[Measure Number], MATCH(E50, Table_Prescript_Meas[Measure Description], 0)), "")</f>
        <v/>
      </c>
      <c r="D50" s="222"/>
      <c r="E50" s="223"/>
      <c r="F50" s="185" t="str">
        <f>IFERROR(INDEX(Table_Prescript_Meas[Units], MATCH(Table_PrescriptLights_Input[[#This Row],[Measure number]], Table_Prescript_Meas[Measure Number], 0)), "")</f>
        <v/>
      </c>
      <c r="G50" s="214"/>
      <c r="H50" s="215"/>
      <c r="I50" s="215"/>
      <c r="J50"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0"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0" s="214"/>
      <c r="M50" s="214"/>
      <c r="N50" s="217"/>
      <c r="O50" s="217"/>
      <c r="P50" s="218"/>
      <c r="Q50"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0" s="219" t="str">
        <f>IF(Table_PrescriptLights_Input[[#This Row],[Unit capacity (tons)]]="","",IFERROR(Table_PrescriptLights_Input[[#This Row],[Per-unit incentive]],""))</f>
        <v/>
      </c>
      <c r="S50"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0"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0" s="219" t="str">
        <f>IFERROR(Table_PrescriptLights_Input[[#This Row],[Energy savings (kWh)]]*Input_AvgkWhRate, "")</f>
        <v/>
      </c>
      <c r="V50" s="219" t="str">
        <f>IF(Table_PrescriptLights_Input[[#This Row],[Unit capacity (tons)]]="", "",Table_PrescriptLights_Input[[#This Row],[Total equipment + labor cost]])</f>
        <v/>
      </c>
      <c r="W50" s="219" t="str">
        <f>IFERROR(Table_PrescriptLights_Input[[#This Row],[Gross measure cost]]-Table_PrescriptLights_Input[[#This Row],[Estimated incentive]], "")</f>
        <v/>
      </c>
      <c r="X50" s="220" t="str">
        <f t="shared" si="0"/>
        <v/>
      </c>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row>
    <row r="51" spans="1:52" x14ac:dyDescent="0.2">
      <c r="A51" s="186"/>
      <c r="B51" s="213">
        <v>47</v>
      </c>
      <c r="C51" s="185" t="str">
        <f>IFERROR(INDEX(Table_Prescript_Meas[Measure Number], MATCH(E51, Table_Prescript_Meas[Measure Description], 0)), "")</f>
        <v/>
      </c>
      <c r="D51" s="222"/>
      <c r="E51" s="223"/>
      <c r="F51" s="185" t="str">
        <f>IFERROR(INDEX(Table_Prescript_Meas[Units], MATCH(Table_PrescriptLights_Input[[#This Row],[Measure number]], Table_Prescript_Meas[Measure Number], 0)), "")</f>
        <v/>
      </c>
      <c r="G51" s="214"/>
      <c r="H51" s="215"/>
      <c r="I51" s="215"/>
      <c r="J51"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1"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1" s="214"/>
      <c r="M51" s="214"/>
      <c r="N51" s="217"/>
      <c r="O51" s="217"/>
      <c r="P51" s="218"/>
      <c r="Q51"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1" s="219" t="str">
        <f>IF(Table_PrescriptLights_Input[[#This Row],[Unit capacity (tons)]]="","",IFERROR(Table_PrescriptLights_Input[[#This Row],[Per-unit incentive]],""))</f>
        <v/>
      </c>
      <c r="S51"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1"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1" s="219" t="str">
        <f>IFERROR(Table_PrescriptLights_Input[[#This Row],[Energy savings (kWh)]]*Input_AvgkWhRate, "")</f>
        <v/>
      </c>
      <c r="V51" s="219" t="str">
        <f>IF(Table_PrescriptLights_Input[[#This Row],[Unit capacity (tons)]]="", "",Table_PrescriptLights_Input[[#This Row],[Total equipment + labor cost]])</f>
        <v/>
      </c>
      <c r="W51" s="219" t="str">
        <f>IFERROR(Table_PrescriptLights_Input[[#This Row],[Gross measure cost]]-Table_PrescriptLights_Input[[#This Row],[Estimated incentive]], "")</f>
        <v/>
      </c>
      <c r="X51" s="220" t="str">
        <f t="shared" si="0"/>
        <v/>
      </c>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row>
    <row r="52" spans="1:52" x14ac:dyDescent="0.2">
      <c r="A52" s="186"/>
      <c r="B52" s="213">
        <v>48</v>
      </c>
      <c r="C52" s="185" t="str">
        <f>IFERROR(INDEX(Table_Prescript_Meas[Measure Number], MATCH(E52, Table_Prescript_Meas[Measure Description], 0)), "")</f>
        <v/>
      </c>
      <c r="D52" s="222"/>
      <c r="E52" s="223"/>
      <c r="F52" s="185" t="str">
        <f>IFERROR(INDEX(Table_Prescript_Meas[Units], MATCH(Table_PrescriptLights_Input[[#This Row],[Measure number]], Table_Prescript_Meas[Measure Number], 0)), "")</f>
        <v/>
      </c>
      <c r="G52" s="214"/>
      <c r="H52" s="215"/>
      <c r="I52" s="215"/>
      <c r="J52"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2"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2" s="214"/>
      <c r="M52" s="214"/>
      <c r="N52" s="217"/>
      <c r="O52" s="217"/>
      <c r="P52" s="218"/>
      <c r="Q52"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2" s="219" t="str">
        <f>IF(Table_PrescriptLights_Input[[#This Row],[Unit capacity (tons)]]="","",IFERROR(Table_PrescriptLights_Input[[#This Row],[Per-unit incentive]],""))</f>
        <v/>
      </c>
      <c r="S52"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2"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2" s="219" t="str">
        <f>IFERROR(Table_PrescriptLights_Input[[#This Row],[Energy savings (kWh)]]*Input_AvgkWhRate, "")</f>
        <v/>
      </c>
      <c r="V52" s="219" t="str">
        <f>IF(Table_PrescriptLights_Input[[#This Row],[Unit capacity (tons)]]="", "",Table_PrescriptLights_Input[[#This Row],[Total equipment + labor cost]])</f>
        <v/>
      </c>
      <c r="W52" s="219" t="str">
        <f>IFERROR(Table_PrescriptLights_Input[[#This Row],[Gross measure cost]]-Table_PrescriptLights_Input[[#This Row],[Estimated incentive]], "")</f>
        <v/>
      </c>
      <c r="X52" s="220" t="str">
        <f t="shared" si="0"/>
        <v/>
      </c>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row>
    <row r="53" spans="1:52" x14ac:dyDescent="0.2">
      <c r="A53" s="186"/>
      <c r="B53" s="213">
        <v>49</v>
      </c>
      <c r="C53" s="185" t="str">
        <f>IFERROR(INDEX(Table_Prescript_Meas[Measure Number], MATCH(E53, Table_Prescript_Meas[Measure Description], 0)), "")</f>
        <v/>
      </c>
      <c r="D53" s="222"/>
      <c r="E53" s="223"/>
      <c r="F53" s="185" t="str">
        <f>IFERROR(INDEX(Table_Prescript_Meas[Units], MATCH(Table_PrescriptLights_Input[[#This Row],[Measure number]], Table_Prescript_Meas[Measure Number], 0)), "")</f>
        <v/>
      </c>
      <c r="G53" s="214"/>
      <c r="H53" s="215"/>
      <c r="I53" s="215"/>
      <c r="J53"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3"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3" s="214"/>
      <c r="M53" s="214"/>
      <c r="N53" s="217"/>
      <c r="O53" s="217"/>
      <c r="P53" s="218"/>
      <c r="Q53"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3" s="219" t="str">
        <f>IF(Table_PrescriptLights_Input[[#This Row],[Unit capacity (tons)]]="","",IFERROR(Table_PrescriptLights_Input[[#This Row],[Per-unit incentive]],""))</f>
        <v/>
      </c>
      <c r="S53"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3"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3" s="219" t="str">
        <f>IFERROR(Table_PrescriptLights_Input[[#This Row],[Energy savings (kWh)]]*Input_AvgkWhRate, "")</f>
        <v/>
      </c>
      <c r="V53" s="219" t="str">
        <f>IF(Table_PrescriptLights_Input[[#This Row],[Unit capacity (tons)]]="", "",Table_PrescriptLights_Input[[#This Row],[Total equipment + labor cost]])</f>
        <v/>
      </c>
      <c r="W53" s="219" t="str">
        <f>IFERROR(Table_PrescriptLights_Input[[#This Row],[Gross measure cost]]-Table_PrescriptLights_Input[[#This Row],[Estimated incentive]], "")</f>
        <v/>
      </c>
      <c r="X53" s="220" t="str">
        <f t="shared" si="0"/>
        <v/>
      </c>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row>
    <row r="54" spans="1:52" x14ac:dyDescent="0.2">
      <c r="A54" s="186"/>
      <c r="B54" s="213">
        <v>50</v>
      </c>
      <c r="C54" s="185" t="str">
        <f>IFERROR(INDEX(Table_Prescript_Meas[Measure Number], MATCH(E54, Table_Prescript_Meas[Measure Description], 0)), "")</f>
        <v/>
      </c>
      <c r="D54" s="222"/>
      <c r="E54" s="223"/>
      <c r="F54" s="185" t="str">
        <f>IFERROR(INDEX(Table_Prescript_Meas[Units], MATCH(Table_PrescriptLights_Input[[#This Row],[Measure number]], Table_Prescript_Meas[Measure Number], 0)), "")</f>
        <v/>
      </c>
      <c r="G54" s="214"/>
      <c r="H54" s="215"/>
      <c r="I54" s="215"/>
      <c r="J54" s="216" t="str">
        <f>IF(Table_PrescriptLights_Input[[#This Row],[Unit capacity (tons)]]="","",IF(AND(Table_PrescriptLights_Input[[#This Row],[Unit capacity (tons)]]&lt;References!$Q$48,Table_PrescriptLights_Input[[#This Row],[Measure number]]&lt;References!$F$13),References!$S$48,IF(AND(Table_PrescriptLights_Input[[#This Row],[Unit capacity (tons)]]&lt;References!$Q$49,Table_PrescriptLights_Input[[#This Row],[Unit capacity (tons)]]&gt;References!$Q$48,Table_PrescriptLights_Input[[#This Row],[Measure number]]&lt;References!$F$13),References!$S$49,IF(AND(Table_PrescriptLights_Input[[#This Row],[Unit capacity (tons)]]&lt;References!$Q$50,Table_PrescriptLights_Input[[#This Row],[Unit capacity (tons)]]&gt;References!$Q$49,Table_PrescriptLights_Input[[#This Row],[Measure number]]&lt;References!$F$13),References!$S$50,IF(AND(Table_PrescriptLights_Input[[#This Row],[Unit capacity (tons)]]&gt;References!$P$50,Table_PrescriptLights_Input[[#This Row],[Measure number]]&lt;References!$F$13),References!$S$51,IF(AND(Table_PrescriptLights_Input[[#This Row],[Unit capacity (tons)]]&lt;References!$Q$55,Table_PrescriptLights_Input[[#This Row],[Measure number]]&gt;References!$F$12),References!$S$55,IF(AND(Table_PrescriptLights_Input[[#This Row],[Unit capacity (tons)]]&lt;References!$Q$56,Table_PrescriptLights_Input[[#This Row],[Unit capacity (tons)]]&gt;References!$Q$55,Table_PrescriptLights_Input[[#This Row],[Measure number]]&gt;References!$F$12),References!$S$56,IF(AND(Table_PrescriptLights_Input[[#This Row],[Unit capacity (tons)]]&lt;References!$Q$57,Table_PrescriptLights_Input[[#This Row],[Unit capacity (tons)]]&gt;References!$Q$56,Table_PrescriptLights_Input[[#This Row],[Measure number]]&gt;References!$F$12),References!$S$57,IF(AND(Table_PrescriptLights_Input[[#This Row],[Unit capacity (tons)]]&gt;References!$P$57,Table_PrescriptLights_Input[[#This Row],[Measure number]]&gt;References!$F$12),References!$S$58,"")))))))))</f>
        <v/>
      </c>
      <c r="K54" s="216" t="str">
        <f>IF(OR(Table_PrescriptLights_Input[[#This Row],[Unit capacity (tons)]]="",Table_PrescriptLights_Input[[#This Row],[Measure number]]&lt;References!$F$13),"",IF(Table_PrescriptLights_Input[[#This Row],[Unit capacity (tons)]]&lt;References!$Q$55,References!$T$55,IF(AND(Table_PrescriptLights_Input[[#This Row],[Unit capacity (tons)]]&lt;References!$Q$56,Table_PrescriptLights_Input[[#This Row],[Unit capacity (tons)]]&gt;References!$Q$55),References!$T$56,IF(AND(Table_PrescriptLights_Input[[#This Row],[Unit capacity (tons)]]&lt;References!$Q$57,Table_PrescriptLights_Input[[#This Row],[Unit capacity (tons)]]&gt;References!$Q$56),References!$T$57,IF(OR(Table_PrescriptLights_Input[[#This Row],[Unit capacity (tons)]]&gt;References!$Q$57,Table_PrescriptLights_Input[[#This Row],[Unit capacity (tons)]]=References!$Q$57),References!$T$58,"")))))</f>
        <v/>
      </c>
      <c r="L54" s="214"/>
      <c r="M54" s="214"/>
      <c r="N54" s="217"/>
      <c r="O54" s="217"/>
      <c r="P54" s="218"/>
      <c r="Q54" s="219" t="str">
        <f>IFERROR(IF(Input_ProgramType=References!$X$4, INDEX(Table_Prescript_Meas[Incentive - SC], MATCH(Table_PrescriptLights_Input[[#This Row],[Measure number]], Table_Prescript_Meas[Measure Number], 0)), INDEX(Table_Prescript_Meas[Incentive - LC], MATCH(Table_PrescriptLights_Input[[#This Row],[Measure number]], Table_Prescript_Meas[Measure Number], 0))), "")</f>
        <v/>
      </c>
      <c r="R54" s="219" t="str">
        <f>IF(Table_PrescriptLights_Input[[#This Row],[Unit capacity (tons)]]="","",IFERROR(Table_PrescriptLights_Input[[#This Row],[Per-unit incentive]],""))</f>
        <v/>
      </c>
      <c r="S54" s="220"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Measures'!$E$3,References!$R$5:$T$15,2,FALSE),IF(AND(Table_PrescriptLights_Input[[#This Row],[Refrigerant charge adjustment?]]="Yes",Table_PrescriptLights_Input[[#This Row],[Measure number]]&gt;References!$F$12),Table_PrescriptLights_Input[[#This Row],[Unit capacity (tons)]]*VLOOKUP('Input A-C &amp; Heat Pump Measures'!$E$3,References!$R$19:$T$29,2,FALSE),IF(AND(Table_PrescriptLights_Input[[#This Row],[Refrigerant charge adjustment?]]="No",Table_PrescriptLights_Input[[#This Row],[Measure number]]&lt;References!$F$13),((Table_PrescriptLights_Input[[#This Row],[Unit capacity (tons)]]*12000/1000)/Table_PrescriptLights_Input[[#This Row],[EER]])*VLOOKUP($E$3,References!$L$103:$O$112,2,FALSE)*0.0632,IF(AND(Table_PrescriptLights_Input[[#This Row],[Refrigerant charge adjustment?]]="No",Table_PrescriptLights_Input[[#This Row],[Measure number]]&gt;References!$F$12),(((Table_PrescriptLights_Input[[#This Row],[Unit capacity (tons)]]*12000/1000)/Table_PrescriptLights_Input[[#This Row],[EER]])*VLOOKUP($E$3,References!$L$103:$O$112,2,FALSE)*0.0632)+(((Table_PrescriptLights_Input[[#This Row],[Unit capacity (tons)]]*12000/1000)/Table_PrescriptLights_Input[[#This Row],[HSPF]])*VLOOKUP($E$3,References!$L$103:$O$112,3,FALSE)*0.0632),"")))))</f>
        <v/>
      </c>
      <c r="T54" s="221" t="str">
        <f>IF(OR(Table_PrescriptLights_Input[[#This Row],[Unit capacity (tons)]]="",Table_PrescriptLights_Input[[#This Row],[Refrigerant charge adjustment?]]=""),"",IF(AND(Table_PrescriptLights_Input[[#This Row],[Refrigerant charge adjustment?]]="Yes",Table_PrescriptLights_Input[[#This Row],[Measure number]]&lt;References!$F$13),Table_PrescriptLights_Input[[#This Row],[Unit capacity (tons)]]*VLOOKUP('Input A-C &amp; Heat Pump Measures'!$E$3,References!$R$5:$T$15,3,FALSE),IF(AND(Table_PrescriptLights_Input[[#This Row],[Refrigerant charge adjustment?]]="Yes",Table_PrescriptLights_Input[[#This Row],[Measure number]]&gt;References!$F$12),Table_PrescriptLights_Input[[#This Row],[Unit capacity (tons)]]*VLOOKUP('Input A-C &amp; Heat Pump Measures'!$E$3,References!$R$19:$T$29,3,FALSE),IF(AND(Table_PrescriptLights_Input[[#This Row],[Refrigerant charge adjustment?]]="No",Table_PrescriptLights_Input[[#This Row],[Measure number]]&lt;References!$F$13),((Table_PrescriptLights_Input[[#This Row],[Unit capacity (tons)]]*12000/1000)/Table_PrescriptLights_Input[[#This Row],[EER]])*VLOOKUP($E$3,References!$L$103:$O$112,4,FALSE)*0.0632,IF(AND(Table_PrescriptLights_Input[[#This Row],[Refrigerant charge adjustment?]]="No",Table_PrescriptLights_Input[[#This Row],[Measure number]]&gt;References!$F$12),(((Table_PrescriptLights_Input[[#This Row],[Unit capacity (tons)]]*12000/1000)/Table_PrescriptLights_Input[[#This Row],[EER]])*VLOOKUP($E$3,References!$L$103:$O$112,4,FALSE)*0.0632),"")))))</f>
        <v/>
      </c>
      <c r="U54" s="219" t="str">
        <f>IFERROR(Table_PrescriptLights_Input[[#This Row],[Energy savings (kWh)]]*Input_AvgkWhRate, "")</f>
        <v/>
      </c>
      <c r="V54" s="219" t="str">
        <f>IF(Table_PrescriptLights_Input[[#This Row],[Unit capacity (tons)]]="", "",Table_PrescriptLights_Input[[#This Row],[Total equipment + labor cost]])</f>
        <v/>
      </c>
      <c r="W54" s="219" t="str">
        <f>IFERROR(Table_PrescriptLights_Input[[#This Row],[Gross measure cost]]-Table_PrescriptLights_Input[[#This Row],[Estimated incentive]], "")</f>
        <v/>
      </c>
      <c r="X54" s="220" t="str">
        <f t="shared" si="0"/>
        <v/>
      </c>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c r="AW54" s="186"/>
      <c r="AX54" s="186"/>
      <c r="AY54" s="186"/>
      <c r="AZ54" s="186"/>
    </row>
    <row r="55" spans="1:52" x14ac:dyDescent="0.2">
      <c r="A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row>
    <row r="56" spans="1:52" x14ac:dyDescent="0.2">
      <c r="F56" s="183"/>
    </row>
    <row r="57" spans="1:52" x14ac:dyDescent="0.2">
      <c r="B57" s="183" t="s">
        <v>24</v>
      </c>
      <c r="F57" s="183"/>
    </row>
    <row r="58" spans="1:52" x14ac:dyDescent="0.2">
      <c r="B58" s="183" t="str">
        <f>Value_Application_Version</f>
        <v>Version 2.1</v>
      </c>
      <c r="F58" s="183"/>
    </row>
    <row r="59" spans="1:52" x14ac:dyDescent="0.2">
      <c r="F59" s="183"/>
    </row>
    <row r="60" spans="1:52" x14ac:dyDescent="0.2">
      <c r="A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186"/>
      <c r="AY60" s="186"/>
      <c r="AZ60" s="186"/>
    </row>
    <row r="61" spans="1:52" x14ac:dyDescent="0.2">
      <c r="A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c r="AW61" s="186"/>
      <c r="AX61" s="186"/>
      <c r="AY61" s="186"/>
      <c r="AZ61" s="186"/>
    </row>
    <row r="62" spans="1:52" x14ac:dyDescent="0.2">
      <c r="A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6"/>
      <c r="AY62" s="186"/>
      <c r="AZ62" s="186"/>
    </row>
    <row r="63" spans="1:52" x14ac:dyDescent="0.2">
      <c r="A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c r="AW63" s="186"/>
      <c r="AX63" s="186"/>
      <c r="AY63" s="186"/>
      <c r="AZ63" s="186"/>
    </row>
    <row r="64" spans="1:52" x14ac:dyDescent="0.2">
      <c r="A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186"/>
      <c r="AY64" s="186"/>
      <c r="AZ64" s="186"/>
    </row>
    <row r="65" spans="1:52" x14ac:dyDescent="0.2">
      <c r="A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row>
    <row r="66" spans="1:52" x14ac:dyDescent="0.2">
      <c r="A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row>
    <row r="67" spans="1:52" x14ac:dyDescent="0.2">
      <c r="A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186"/>
      <c r="AZ67" s="186"/>
    </row>
    <row r="68" spans="1:52" x14ac:dyDescent="0.2">
      <c r="A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row>
    <row r="69" spans="1:52" x14ac:dyDescent="0.2">
      <c r="A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row>
    <row r="70" spans="1:52" x14ac:dyDescent="0.2">
      <c r="A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row>
    <row r="71" spans="1:52" x14ac:dyDescent="0.2">
      <c r="A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row>
    <row r="72" spans="1:52" x14ac:dyDescent="0.2">
      <c r="A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row>
    <row r="73" spans="1:52" x14ac:dyDescent="0.2">
      <c r="A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row>
    <row r="74" spans="1:52" x14ac:dyDescent="0.2">
      <c r="A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row>
    <row r="75" spans="1:52" x14ac:dyDescent="0.2">
      <c r="A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c r="AW75" s="186"/>
      <c r="AX75" s="186"/>
      <c r="AY75" s="186"/>
      <c r="AZ75" s="186"/>
    </row>
    <row r="76" spans="1:52" x14ac:dyDescent="0.2">
      <c r="A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186"/>
      <c r="AY76" s="186"/>
      <c r="AZ76" s="186"/>
    </row>
    <row r="77" spans="1:52" x14ac:dyDescent="0.2">
      <c r="A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row>
    <row r="78" spans="1:52" x14ac:dyDescent="0.2">
      <c r="A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186"/>
      <c r="AY78" s="186"/>
      <c r="AZ78" s="186"/>
    </row>
    <row r="79" spans="1:52" x14ac:dyDescent="0.2">
      <c r="A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86"/>
      <c r="AZ79" s="186"/>
    </row>
    <row r="80" spans="1:52" x14ac:dyDescent="0.2">
      <c r="A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row>
    <row r="81" spans="1:52" x14ac:dyDescent="0.2">
      <c r="A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c r="AW81" s="186"/>
      <c r="AX81" s="186"/>
      <c r="AY81" s="186"/>
      <c r="AZ81" s="186"/>
    </row>
    <row r="82" spans="1:52" x14ac:dyDescent="0.2">
      <c r="A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c r="AW82" s="186"/>
      <c r="AX82" s="186"/>
      <c r="AY82" s="186"/>
      <c r="AZ82" s="186"/>
    </row>
    <row r="83" spans="1:52" x14ac:dyDescent="0.2">
      <c r="A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c r="AW83" s="186"/>
      <c r="AX83" s="186"/>
      <c r="AY83" s="186"/>
      <c r="AZ83" s="186"/>
    </row>
    <row r="84" spans="1:52" x14ac:dyDescent="0.2">
      <c r="A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c r="AV84" s="186"/>
      <c r="AW84" s="186"/>
      <c r="AX84" s="186"/>
      <c r="AY84" s="186"/>
      <c r="AZ84" s="186"/>
    </row>
    <row r="85" spans="1:52" x14ac:dyDescent="0.2">
      <c r="A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c r="AW85" s="186"/>
      <c r="AX85" s="186"/>
      <c r="AY85" s="186"/>
      <c r="AZ85" s="186"/>
    </row>
    <row r="86" spans="1:52" x14ac:dyDescent="0.2">
      <c r="A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186"/>
    </row>
    <row r="87" spans="1:52" x14ac:dyDescent="0.2">
      <c r="A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c r="AW87" s="186"/>
      <c r="AX87" s="186"/>
      <c r="AY87" s="186"/>
      <c r="AZ87" s="186"/>
    </row>
    <row r="88" spans="1:52" x14ac:dyDescent="0.2">
      <c r="A88" s="186"/>
      <c r="Y88" s="186"/>
      <c r="Z88" s="186"/>
      <c r="AA88" s="186"/>
      <c r="AB88" s="186"/>
      <c r="AC88" s="186"/>
      <c r="AD88" s="186"/>
      <c r="AE88" s="186"/>
      <c r="AF88" s="186"/>
      <c r="AG88" s="186"/>
      <c r="AH88" s="186"/>
      <c r="AI88" s="186"/>
      <c r="AJ88" s="186"/>
      <c r="AK88" s="186"/>
      <c r="AL88" s="186"/>
      <c r="AM88" s="186"/>
      <c r="AN88" s="186"/>
      <c r="AO88" s="186"/>
      <c r="AP88" s="186"/>
      <c r="AQ88" s="186"/>
      <c r="AR88" s="186"/>
      <c r="AS88" s="186"/>
      <c r="AT88" s="186"/>
      <c r="AU88" s="186"/>
      <c r="AV88" s="186"/>
      <c r="AW88" s="186"/>
      <c r="AX88" s="186"/>
      <c r="AY88" s="186"/>
      <c r="AZ88" s="186"/>
    </row>
    <row r="89" spans="1:52" x14ac:dyDescent="0.2">
      <c r="A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row>
    <row r="90" spans="1:52" x14ac:dyDescent="0.2">
      <c r="A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row>
    <row r="91" spans="1:52" x14ac:dyDescent="0.2">
      <c r="A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row>
    <row r="92" spans="1:52" x14ac:dyDescent="0.2">
      <c r="A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c r="AW92" s="186"/>
      <c r="AX92" s="186"/>
      <c r="AY92" s="186"/>
      <c r="AZ92" s="186"/>
    </row>
    <row r="93" spans="1:52" x14ac:dyDescent="0.2">
      <c r="A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c r="AW93" s="186"/>
      <c r="AX93" s="186"/>
      <c r="AY93" s="186"/>
      <c r="AZ93" s="186"/>
    </row>
    <row r="94" spans="1:52" x14ac:dyDescent="0.2">
      <c r="A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c r="AW94" s="186"/>
      <c r="AX94" s="186"/>
      <c r="AY94" s="186"/>
      <c r="AZ94" s="186"/>
    </row>
    <row r="95" spans="1:52" x14ac:dyDescent="0.2">
      <c r="A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row>
    <row r="96" spans="1:52" x14ac:dyDescent="0.2">
      <c r="A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row>
    <row r="97" spans="1:52" x14ac:dyDescent="0.2">
      <c r="A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row>
    <row r="98" spans="1:52" x14ac:dyDescent="0.2">
      <c r="A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row>
    <row r="99" spans="1:52" x14ac:dyDescent="0.2">
      <c r="A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row>
    <row r="100" spans="1:52" x14ac:dyDescent="0.2">
      <c r="A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row>
    <row r="101" spans="1:52" x14ac:dyDescent="0.2">
      <c r="A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6"/>
      <c r="AZ101" s="186"/>
    </row>
    <row r="102" spans="1:52" x14ac:dyDescent="0.2">
      <c r="A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c r="AW102" s="186"/>
      <c r="AX102" s="186"/>
      <c r="AY102" s="186"/>
      <c r="AZ102" s="186"/>
    </row>
    <row r="103" spans="1:52" x14ac:dyDescent="0.2">
      <c r="A103" s="186"/>
      <c r="Y103" s="186"/>
      <c r="Z103" s="186"/>
      <c r="AA103" s="186"/>
      <c r="AB103" s="186"/>
      <c r="AC103" s="186"/>
      <c r="AD103" s="186"/>
      <c r="AE103" s="186"/>
      <c r="AF103" s="186"/>
      <c r="AG103" s="186"/>
      <c r="AH103" s="186"/>
      <c r="AI103" s="186"/>
      <c r="AJ103" s="186"/>
      <c r="AK103" s="186"/>
      <c r="AL103" s="186"/>
      <c r="AM103" s="186"/>
      <c r="AN103" s="186"/>
      <c r="AO103" s="186"/>
      <c r="AP103" s="186"/>
      <c r="AQ103" s="186"/>
      <c r="AR103" s="186"/>
      <c r="AS103" s="186"/>
      <c r="AT103" s="186"/>
      <c r="AU103" s="186"/>
      <c r="AV103" s="186"/>
      <c r="AW103" s="186"/>
      <c r="AX103" s="186"/>
      <c r="AY103" s="186"/>
      <c r="AZ103" s="186"/>
    </row>
    <row r="104" spans="1:52" x14ac:dyDescent="0.2">
      <c r="A104" s="186"/>
      <c r="Y104" s="186"/>
      <c r="Z104" s="186"/>
      <c r="AA104" s="186"/>
      <c r="AB104" s="186"/>
      <c r="AC104" s="186"/>
      <c r="AD104" s="186"/>
      <c r="AE104" s="186"/>
      <c r="AF104" s="186"/>
      <c r="AG104" s="186"/>
      <c r="AH104" s="186"/>
      <c r="AI104" s="186"/>
      <c r="AJ104" s="186"/>
      <c r="AK104" s="186"/>
      <c r="AL104" s="186"/>
      <c r="AM104" s="186"/>
      <c r="AN104" s="186"/>
      <c r="AO104" s="186"/>
      <c r="AP104" s="186"/>
      <c r="AQ104" s="186"/>
      <c r="AR104" s="186"/>
      <c r="AS104" s="186"/>
      <c r="AT104" s="186"/>
      <c r="AU104" s="186"/>
      <c r="AV104" s="186"/>
      <c r="AW104" s="186"/>
      <c r="AX104" s="186"/>
      <c r="AY104" s="186"/>
      <c r="AZ104" s="186"/>
    </row>
    <row r="105" spans="1:52" x14ac:dyDescent="0.2">
      <c r="A105" s="186"/>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c r="AW105" s="186"/>
      <c r="AX105" s="186"/>
      <c r="AY105" s="186"/>
      <c r="AZ105" s="186"/>
    </row>
    <row r="106" spans="1:52" x14ac:dyDescent="0.2">
      <c r="A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c r="AW106" s="186"/>
      <c r="AX106" s="186"/>
      <c r="AY106" s="186"/>
      <c r="AZ106" s="186"/>
    </row>
    <row r="107" spans="1:52" x14ac:dyDescent="0.2">
      <c r="A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6"/>
      <c r="AZ107" s="186"/>
    </row>
    <row r="108" spans="1:52" x14ac:dyDescent="0.2">
      <c r="A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c r="AW108" s="186"/>
      <c r="AX108" s="186"/>
      <c r="AY108" s="186"/>
      <c r="AZ108" s="186"/>
    </row>
    <row r="109" spans="1:52" x14ac:dyDescent="0.2">
      <c r="A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c r="AW109" s="186"/>
      <c r="AX109" s="186"/>
      <c r="AY109" s="186"/>
      <c r="AZ109" s="186"/>
    </row>
    <row r="110" spans="1:52" x14ac:dyDescent="0.2">
      <c r="A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6"/>
      <c r="AZ110" s="186"/>
    </row>
    <row r="111" spans="1:52" x14ac:dyDescent="0.2">
      <c r="A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c r="AY111" s="186"/>
      <c r="AZ111" s="186"/>
    </row>
    <row r="112" spans="1:52" x14ac:dyDescent="0.2">
      <c r="A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c r="AW112" s="186"/>
      <c r="AX112" s="186"/>
      <c r="AY112" s="186"/>
      <c r="AZ112" s="186"/>
    </row>
    <row r="113" spans="1:52" x14ac:dyDescent="0.2">
      <c r="A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c r="AW113" s="186"/>
      <c r="AX113" s="186"/>
      <c r="AY113" s="186"/>
      <c r="AZ113" s="186"/>
    </row>
    <row r="114" spans="1:52" x14ac:dyDescent="0.2">
      <c r="A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c r="AW114" s="186"/>
      <c r="AX114" s="186"/>
      <c r="AY114" s="186"/>
      <c r="AZ114" s="186"/>
    </row>
    <row r="115" spans="1:52" x14ac:dyDescent="0.2">
      <c r="A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c r="AV115" s="186"/>
      <c r="AW115" s="186"/>
      <c r="AX115" s="186"/>
      <c r="AY115" s="186"/>
      <c r="AZ115" s="186"/>
    </row>
    <row r="116" spans="1:52" x14ac:dyDescent="0.2">
      <c r="A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c r="AW116" s="186"/>
      <c r="AX116" s="186"/>
      <c r="AY116" s="186"/>
      <c r="AZ116" s="186"/>
    </row>
    <row r="117" spans="1:52" x14ac:dyDescent="0.2">
      <c r="A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c r="AW117" s="186"/>
      <c r="AX117" s="186"/>
      <c r="AY117" s="186"/>
      <c r="AZ117" s="186"/>
    </row>
    <row r="118" spans="1:52" x14ac:dyDescent="0.2">
      <c r="A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row>
    <row r="119" spans="1:52" x14ac:dyDescent="0.2">
      <c r="A119" s="186"/>
      <c r="Y119" s="186"/>
      <c r="Z119" s="186"/>
      <c r="AA119" s="186"/>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c r="AY119" s="186"/>
      <c r="AZ119" s="186"/>
    </row>
    <row r="120" spans="1:52" x14ac:dyDescent="0.2">
      <c r="A120" s="186"/>
      <c r="Y120" s="186"/>
      <c r="Z120" s="186"/>
      <c r="AA120" s="186"/>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c r="AW120" s="186"/>
      <c r="AX120" s="186"/>
      <c r="AY120" s="186"/>
      <c r="AZ120" s="186"/>
    </row>
    <row r="121" spans="1:52" x14ac:dyDescent="0.2">
      <c r="A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c r="AY121" s="186"/>
      <c r="AZ121" s="186"/>
    </row>
    <row r="122" spans="1:52" x14ac:dyDescent="0.2">
      <c r="A122" s="186"/>
      <c r="Y122" s="186"/>
      <c r="Z122" s="186"/>
      <c r="AA122" s="186"/>
      <c r="AB122" s="186"/>
      <c r="AC122" s="186"/>
      <c r="AD122" s="186"/>
      <c r="AE122" s="186"/>
      <c r="AF122" s="186"/>
      <c r="AG122" s="186"/>
      <c r="AH122" s="186"/>
      <c r="AI122" s="186"/>
      <c r="AJ122" s="186"/>
      <c r="AK122" s="186"/>
      <c r="AL122" s="186"/>
      <c r="AM122" s="186"/>
      <c r="AN122" s="186"/>
      <c r="AO122" s="186"/>
      <c r="AP122" s="186"/>
      <c r="AQ122" s="186"/>
      <c r="AR122" s="186"/>
      <c r="AS122" s="186"/>
      <c r="AT122" s="186"/>
      <c r="AU122" s="186"/>
      <c r="AV122" s="186"/>
      <c r="AW122" s="186"/>
      <c r="AX122" s="186"/>
      <c r="AY122" s="186"/>
      <c r="AZ122" s="186"/>
    </row>
    <row r="123" spans="1:52" x14ac:dyDescent="0.2">
      <c r="A123" s="186"/>
      <c r="Y123" s="186"/>
      <c r="Z123" s="186"/>
      <c r="AA123" s="186"/>
      <c r="AB123" s="186"/>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c r="AW123" s="186"/>
      <c r="AX123" s="186"/>
      <c r="AY123" s="186"/>
      <c r="AZ123" s="186"/>
    </row>
    <row r="124" spans="1:52" x14ac:dyDescent="0.2">
      <c r="A124" s="186"/>
      <c r="Y124" s="186"/>
      <c r="Z124" s="186"/>
      <c r="AA124" s="186"/>
      <c r="AB124" s="186"/>
      <c r="AC124" s="186"/>
      <c r="AD124" s="186"/>
      <c r="AE124" s="186"/>
      <c r="AF124" s="186"/>
      <c r="AG124" s="186"/>
      <c r="AH124" s="186"/>
      <c r="AI124" s="186"/>
      <c r="AJ124" s="186"/>
      <c r="AK124" s="186"/>
      <c r="AL124" s="186"/>
      <c r="AM124" s="186"/>
      <c r="AN124" s="186"/>
      <c r="AO124" s="186"/>
      <c r="AP124" s="186"/>
      <c r="AQ124" s="186"/>
      <c r="AR124" s="186"/>
      <c r="AS124" s="186"/>
      <c r="AT124" s="186"/>
      <c r="AU124" s="186"/>
      <c r="AV124" s="186"/>
      <c r="AW124" s="186"/>
      <c r="AX124" s="186"/>
      <c r="AY124" s="186"/>
      <c r="AZ124" s="186"/>
    </row>
    <row r="125" spans="1:52" x14ac:dyDescent="0.2">
      <c r="A125" s="186"/>
      <c r="Y125" s="186"/>
      <c r="Z125" s="186"/>
      <c r="AA125" s="186"/>
      <c r="AB125" s="186"/>
      <c r="AC125" s="186"/>
      <c r="AD125" s="186"/>
      <c r="AE125" s="186"/>
      <c r="AF125" s="186"/>
      <c r="AG125" s="186"/>
      <c r="AH125" s="186"/>
      <c r="AI125" s="186"/>
      <c r="AJ125" s="186"/>
      <c r="AK125" s="186"/>
      <c r="AL125" s="186"/>
      <c r="AM125" s="186"/>
      <c r="AN125" s="186"/>
      <c r="AO125" s="186"/>
      <c r="AP125" s="186"/>
      <c r="AQ125" s="186"/>
      <c r="AR125" s="186"/>
      <c r="AS125" s="186"/>
      <c r="AT125" s="186"/>
      <c r="AU125" s="186"/>
      <c r="AV125" s="186"/>
      <c r="AW125" s="186"/>
      <c r="AX125" s="186"/>
      <c r="AY125" s="186"/>
      <c r="AZ125" s="186"/>
    </row>
    <row r="126" spans="1:52" x14ac:dyDescent="0.2">
      <c r="A126" s="186"/>
      <c r="Y126" s="186"/>
      <c r="Z126" s="186"/>
      <c r="AA126" s="186"/>
      <c r="AB126" s="186"/>
      <c r="AC126" s="186"/>
      <c r="AD126" s="186"/>
      <c r="AE126" s="186"/>
      <c r="AF126" s="186"/>
      <c r="AG126" s="186"/>
      <c r="AH126" s="186"/>
      <c r="AI126" s="186"/>
      <c r="AJ126" s="186"/>
      <c r="AK126" s="186"/>
      <c r="AL126" s="186"/>
      <c r="AM126" s="186"/>
      <c r="AN126" s="186"/>
      <c r="AO126" s="186"/>
      <c r="AP126" s="186"/>
      <c r="AQ126" s="186"/>
      <c r="AR126" s="186"/>
      <c r="AS126" s="186"/>
      <c r="AT126" s="186"/>
      <c r="AU126" s="186"/>
      <c r="AV126" s="186"/>
      <c r="AW126" s="186"/>
      <c r="AX126" s="186"/>
      <c r="AY126" s="186"/>
      <c r="AZ126" s="186"/>
    </row>
    <row r="127" spans="1:52" x14ac:dyDescent="0.2">
      <c r="A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c r="AY127" s="186"/>
      <c r="AZ127" s="186"/>
    </row>
    <row r="128" spans="1:52" x14ac:dyDescent="0.2">
      <c r="A128" s="186"/>
      <c r="Y128" s="186"/>
      <c r="Z128" s="186"/>
      <c r="AA128" s="186"/>
      <c r="AB128" s="186"/>
      <c r="AC128" s="186"/>
      <c r="AD128" s="186"/>
      <c r="AE128" s="186"/>
      <c r="AF128" s="186"/>
      <c r="AG128" s="186"/>
      <c r="AH128" s="186"/>
      <c r="AI128" s="186"/>
      <c r="AJ128" s="186"/>
      <c r="AK128" s="186"/>
      <c r="AL128" s="186"/>
      <c r="AM128" s="186"/>
      <c r="AN128" s="186"/>
      <c r="AO128" s="186"/>
      <c r="AP128" s="186"/>
      <c r="AQ128" s="186"/>
      <c r="AR128" s="186"/>
      <c r="AS128" s="186"/>
      <c r="AT128" s="186"/>
      <c r="AU128" s="186"/>
      <c r="AV128" s="186"/>
      <c r="AW128" s="186"/>
      <c r="AX128" s="186"/>
      <c r="AY128" s="186"/>
      <c r="AZ128" s="186"/>
    </row>
    <row r="129" spans="1:52" x14ac:dyDescent="0.2">
      <c r="A129" s="186"/>
      <c r="Y129" s="186"/>
      <c r="Z129" s="186"/>
      <c r="AA129" s="186"/>
      <c r="AB129" s="186"/>
      <c r="AC129" s="186"/>
      <c r="AD129" s="186"/>
      <c r="AE129" s="186"/>
      <c r="AF129" s="186"/>
      <c r="AG129" s="186"/>
      <c r="AH129" s="186"/>
      <c r="AI129" s="186"/>
      <c r="AJ129" s="186"/>
      <c r="AK129" s="186"/>
      <c r="AL129" s="186"/>
      <c r="AM129" s="186"/>
      <c r="AN129" s="186"/>
      <c r="AO129" s="186"/>
      <c r="AP129" s="186"/>
      <c r="AQ129" s="186"/>
      <c r="AR129" s="186"/>
      <c r="AS129" s="186"/>
      <c r="AT129" s="186"/>
      <c r="AU129" s="186"/>
      <c r="AV129" s="186"/>
      <c r="AW129" s="186"/>
      <c r="AX129" s="186"/>
      <c r="AY129" s="186"/>
      <c r="AZ129" s="186"/>
    </row>
    <row r="130" spans="1:52" x14ac:dyDescent="0.2">
      <c r="A130" s="186"/>
      <c r="Y130" s="186"/>
      <c r="Z130" s="186"/>
      <c r="AA130" s="186"/>
      <c r="AB130" s="186"/>
      <c r="AC130" s="186"/>
      <c r="AD130" s="186"/>
      <c r="AE130" s="186"/>
      <c r="AF130" s="186"/>
      <c r="AG130" s="186"/>
      <c r="AH130" s="186"/>
      <c r="AI130" s="186"/>
      <c r="AJ130" s="186"/>
      <c r="AK130" s="186"/>
      <c r="AL130" s="186"/>
      <c r="AM130" s="186"/>
      <c r="AN130" s="186"/>
      <c r="AO130" s="186"/>
      <c r="AP130" s="186"/>
      <c r="AQ130" s="186"/>
      <c r="AR130" s="186"/>
      <c r="AS130" s="186"/>
      <c r="AT130" s="186"/>
      <c r="AU130" s="186"/>
      <c r="AV130" s="186"/>
      <c r="AW130" s="186"/>
      <c r="AX130" s="186"/>
      <c r="AY130" s="186"/>
      <c r="AZ130" s="186"/>
    </row>
    <row r="131" spans="1:52" x14ac:dyDescent="0.2">
      <c r="A131" s="186"/>
      <c r="Y131" s="186"/>
      <c r="Z131" s="186"/>
      <c r="AA131" s="186"/>
      <c r="AB131" s="186"/>
      <c r="AC131" s="186"/>
      <c r="AD131" s="186"/>
      <c r="AE131" s="186"/>
      <c r="AF131" s="186"/>
      <c r="AG131" s="186"/>
      <c r="AH131" s="186"/>
      <c r="AI131" s="186"/>
      <c r="AJ131" s="186"/>
      <c r="AK131" s="186"/>
      <c r="AL131" s="186"/>
      <c r="AM131" s="186"/>
      <c r="AN131" s="186"/>
      <c r="AO131" s="186"/>
      <c r="AP131" s="186"/>
      <c r="AQ131" s="186"/>
      <c r="AR131" s="186"/>
      <c r="AS131" s="186"/>
      <c r="AT131" s="186"/>
      <c r="AU131" s="186"/>
      <c r="AV131" s="186"/>
      <c r="AW131" s="186"/>
      <c r="AX131" s="186"/>
      <c r="AY131" s="186"/>
      <c r="AZ131" s="186"/>
    </row>
    <row r="132" spans="1:52" x14ac:dyDescent="0.2">
      <c r="A132" s="186"/>
      <c r="Y132" s="186"/>
      <c r="Z132" s="186"/>
      <c r="AA132" s="186"/>
      <c r="AB132" s="186"/>
      <c r="AC132" s="186"/>
      <c r="AD132" s="186"/>
      <c r="AE132" s="186"/>
      <c r="AF132" s="186"/>
      <c r="AG132" s="186"/>
      <c r="AH132" s="186"/>
      <c r="AI132" s="186"/>
      <c r="AJ132" s="186"/>
      <c r="AK132" s="186"/>
      <c r="AL132" s="186"/>
      <c r="AM132" s="186"/>
      <c r="AN132" s="186"/>
      <c r="AO132" s="186"/>
      <c r="AP132" s="186"/>
      <c r="AQ132" s="186"/>
      <c r="AR132" s="186"/>
      <c r="AS132" s="186"/>
      <c r="AT132" s="186"/>
      <c r="AU132" s="186"/>
      <c r="AV132" s="186"/>
      <c r="AW132" s="186"/>
      <c r="AX132" s="186"/>
      <c r="AY132" s="186"/>
      <c r="AZ132" s="186"/>
    </row>
    <row r="133" spans="1:52" x14ac:dyDescent="0.2">
      <c r="A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U133" s="186"/>
      <c r="AV133" s="186"/>
      <c r="AW133" s="186"/>
      <c r="AX133" s="186"/>
      <c r="AY133" s="186"/>
      <c r="AZ133" s="186"/>
    </row>
    <row r="134" spans="1:52" x14ac:dyDescent="0.2">
      <c r="A134" s="186"/>
      <c r="Y134" s="186"/>
      <c r="Z134" s="186"/>
      <c r="AA134" s="186"/>
      <c r="AB134" s="186"/>
      <c r="AC134" s="186"/>
      <c r="AD134" s="186"/>
      <c r="AE134" s="186"/>
      <c r="AF134" s="186"/>
      <c r="AG134" s="186"/>
      <c r="AH134" s="186"/>
      <c r="AI134" s="186"/>
      <c r="AJ134" s="186"/>
      <c r="AK134" s="186"/>
      <c r="AL134" s="186"/>
      <c r="AM134" s="186"/>
      <c r="AN134" s="186"/>
      <c r="AO134" s="186"/>
      <c r="AP134" s="186"/>
      <c r="AQ134" s="186"/>
      <c r="AR134" s="186"/>
      <c r="AS134" s="186"/>
      <c r="AT134" s="186"/>
      <c r="AU134" s="186"/>
      <c r="AV134" s="186"/>
      <c r="AW134" s="186"/>
      <c r="AX134" s="186"/>
      <c r="AY134" s="186"/>
      <c r="AZ134" s="186"/>
    </row>
    <row r="135" spans="1:52" x14ac:dyDescent="0.2">
      <c r="A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186"/>
      <c r="AU135" s="186"/>
      <c r="AV135" s="186"/>
      <c r="AW135" s="186"/>
      <c r="AX135" s="186"/>
      <c r="AY135" s="186"/>
      <c r="AZ135" s="186"/>
    </row>
    <row r="136" spans="1:52" x14ac:dyDescent="0.2">
      <c r="A136" s="186"/>
      <c r="Y136" s="186"/>
      <c r="Z136" s="186"/>
      <c r="AA136" s="186"/>
      <c r="AB136" s="186"/>
      <c r="AC136" s="186"/>
      <c r="AD136" s="186"/>
      <c r="AE136" s="186"/>
      <c r="AF136" s="186"/>
      <c r="AG136" s="186"/>
      <c r="AH136" s="186"/>
      <c r="AI136" s="186"/>
      <c r="AJ136" s="186"/>
      <c r="AK136" s="186"/>
      <c r="AL136" s="186"/>
      <c r="AM136" s="186"/>
      <c r="AN136" s="186"/>
      <c r="AO136" s="186"/>
      <c r="AP136" s="186"/>
      <c r="AQ136" s="186"/>
      <c r="AR136" s="186"/>
      <c r="AS136" s="186"/>
      <c r="AT136" s="186"/>
      <c r="AU136" s="186"/>
      <c r="AV136" s="186"/>
      <c r="AW136" s="186"/>
      <c r="AX136" s="186"/>
      <c r="AY136" s="186"/>
      <c r="AZ136" s="186"/>
    </row>
    <row r="137" spans="1:52" x14ac:dyDescent="0.2">
      <c r="A137" s="186"/>
      <c r="Y137" s="186"/>
      <c r="Z137" s="186"/>
      <c r="AA137" s="186"/>
      <c r="AB137" s="186"/>
      <c r="AC137" s="186"/>
      <c r="AD137" s="186"/>
      <c r="AE137" s="186"/>
      <c r="AF137" s="186"/>
      <c r="AG137" s="186"/>
      <c r="AH137" s="186"/>
      <c r="AI137" s="186"/>
      <c r="AJ137" s="186"/>
      <c r="AK137" s="186"/>
      <c r="AL137" s="186"/>
      <c r="AM137" s="186"/>
      <c r="AN137" s="186"/>
      <c r="AO137" s="186"/>
      <c r="AP137" s="186"/>
      <c r="AQ137" s="186"/>
      <c r="AR137" s="186"/>
      <c r="AS137" s="186"/>
      <c r="AT137" s="186"/>
      <c r="AU137" s="186"/>
      <c r="AV137" s="186"/>
      <c r="AW137" s="186"/>
      <c r="AX137" s="186"/>
      <c r="AY137" s="186"/>
      <c r="AZ137" s="186"/>
    </row>
    <row r="138" spans="1:52" x14ac:dyDescent="0.2">
      <c r="A138" s="186"/>
      <c r="Y138" s="186"/>
      <c r="Z138" s="186"/>
      <c r="AA138" s="186"/>
      <c r="AB138" s="186"/>
      <c r="AC138" s="186"/>
      <c r="AD138" s="186"/>
      <c r="AE138" s="186"/>
      <c r="AF138" s="186"/>
      <c r="AG138" s="186"/>
      <c r="AH138" s="186"/>
      <c r="AI138" s="186"/>
      <c r="AJ138" s="186"/>
      <c r="AK138" s="186"/>
      <c r="AL138" s="186"/>
      <c r="AM138" s="186"/>
      <c r="AN138" s="186"/>
      <c r="AO138" s="186"/>
      <c r="AP138" s="186"/>
      <c r="AQ138" s="186"/>
      <c r="AR138" s="186"/>
      <c r="AS138" s="186"/>
      <c r="AT138" s="186"/>
      <c r="AU138" s="186"/>
      <c r="AV138" s="186"/>
      <c r="AW138" s="186"/>
      <c r="AX138" s="186"/>
      <c r="AY138" s="186"/>
      <c r="AZ138" s="186"/>
    </row>
    <row r="139" spans="1:52" x14ac:dyDescent="0.2">
      <c r="A139" s="186"/>
      <c r="Y139" s="186"/>
      <c r="Z139" s="186"/>
      <c r="AA139" s="186"/>
      <c r="AB139" s="186"/>
      <c r="AC139" s="186"/>
      <c r="AD139" s="186"/>
      <c r="AE139" s="186"/>
      <c r="AF139" s="186"/>
      <c r="AG139" s="186"/>
      <c r="AH139" s="186"/>
      <c r="AI139" s="186"/>
      <c r="AJ139" s="186"/>
      <c r="AK139" s="186"/>
      <c r="AL139" s="186"/>
      <c r="AM139" s="186"/>
      <c r="AN139" s="186"/>
      <c r="AO139" s="186"/>
      <c r="AP139" s="186"/>
      <c r="AQ139" s="186"/>
      <c r="AR139" s="186"/>
      <c r="AS139" s="186"/>
      <c r="AT139" s="186"/>
      <c r="AU139" s="186"/>
      <c r="AV139" s="186"/>
      <c r="AW139" s="186"/>
      <c r="AX139" s="186"/>
      <c r="AY139" s="186"/>
      <c r="AZ139" s="186"/>
    </row>
    <row r="140" spans="1:52" x14ac:dyDescent="0.2">
      <c r="A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c r="AW140" s="186"/>
      <c r="AX140" s="186"/>
      <c r="AY140" s="186"/>
      <c r="AZ140" s="186"/>
    </row>
    <row r="141" spans="1:52" x14ac:dyDescent="0.2">
      <c r="A141" s="186"/>
      <c r="Y141" s="186"/>
      <c r="Z141" s="186"/>
      <c r="AA141" s="186"/>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c r="AW141" s="186"/>
      <c r="AX141" s="186"/>
      <c r="AY141" s="186"/>
      <c r="AZ141" s="186"/>
    </row>
    <row r="142" spans="1:52" x14ac:dyDescent="0.2">
      <c r="A142" s="186"/>
      <c r="Y142" s="186"/>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c r="AW142" s="186"/>
      <c r="AX142" s="186"/>
      <c r="AY142" s="186"/>
      <c r="AZ142" s="186"/>
    </row>
    <row r="143" spans="1:52" x14ac:dyDescent="0.2">
      <c r="A143" s="186"/>
      <c r="Y143" s="186"/>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c r="AW143" s="186"/>
      <c r="AX143" s="186"/>
      <c r="AY143" s="186"/>
      <c r="AZ143" s="186"/>
    </row>
    <row r="144" spans="1:52" x14ac:dyDescent="0.2">
      <c r="A144" s="186"/>
      <c r="Y144" s="186"/>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c r="AW144" s="186"/>
      <c r="AX144" s="186"/>
      <c r="AY144" s="186"/>
      <c r="AZ144" s="186"/>
    </row>
    <row r="145" spans="1:52" x14ac:dyDescent="0.2">
      <c r="A145" s="186"/>
      <c r="Y145" s="186"/>
      <c r="Z145" s="186"/>
      <c r="AA145" s="186"/>
      <c r="AB145" s="186"/>
      <c r="AC145" s="186"/>
      <c r="AD145" s="186"/>
      <c r="AE145" s="186"/>
      <c r="AF145" s="186"/>
      <c r="AG145" s="186"/>
      <c r="AH145" s="186"/>
      <c r="AI145" s="186"/>
      <c r="AJ145" s="186"/>
      <c r="AK145" s="186"/>
      <c r="AL145" s="186"/>
      <c r="AM145" s="186"/>
      <c r="AN145" s="186"/>
      <c r="AO145" s="186"/>
      <c r="AP145" s="186"/>
      <c r="AQ145" s="186"/>
      <c r="AR145" s="186"/>
      <c r="AS145" s="186"/>
      <c r="AT145" s="186"/>
      <c r="AU145" s="186"/>
      <c r="AV145" s="186"/>
      <c r="AW145" s="186"/>
      <c r="AX145" s="186"/>
      <c r="AY145" s="186"/>
      <c r="AZ145" s="186"/>
    </row>
    <row r="146" spans="1:52" x14ac:dyDescent="0.2">
      <c r="A146" s="186"/>
      <c r="Y146" s="186"/>
      <c r="Z146" s="186"/>
      <c r="AA146" s="186"/>
      <c r="AB146" s="186"/>
      <c r="AC146" s="186"/>
      <c r="AD146" s="186"/>
      <c r="AE146" s="186"/>
      <c r="AF146" s="186"/>
      <c r="AG146" s="186"/>
      <c r="AH146" s="186"/>
      <c r="AI146" s="186"/>
      <c r="AJ146" s="186"/>
      <c r="AK146" s="186"/>
      <c r="AL146" s="186"/>
      <c r="AM146" s="186"/>
      <c r="AN146" s="186"/>
      <c r="AO146" s="186"/>
      <c r="AP146" s="186"/>
      <c r="AQ146" s="186"/>
      <c r="AR146" s="186"/>
      <c r="AS146" s="186"/>
      <c r="AT146" s="186"/>
      <c r="AU146" s="186"/>
      <c r="AV146" s="186"/>
      <c r="AW146" s="186"/>
      <c r="AX146" s="186"/>
      <c r="AY146" s="186"/>
      <c r="AZ146" s="186"/>
    </row>
    <row r="147" spans="1:52" x14ac:dyDescent="0.2">
      <c r="A147" s="186"/>
      <c r="Y147" s="186"/>
      <c r="Z147" s="186"/>
      <c r="AA147" s="186"/>
      <c r="AB147" s="186"/>
      <c r="AC147" s="186"/>
      <c r="AD147" s="186"/>
      <c r="AE147" s="186"/>
      <c r="AF147" s="186"/>
      <c r="AG147" s="186"/>
      <c r="AH147" s="186"/>
      <c r="AI147" s="186"/>
      <c r="AJ147" s="186"/>
      <c r="AK147" s="186"/>
      <c r="AL147" s="186"/>
      <c r="AM147" s="186"/>
      <c r="AN147" s="186"/>
      <c r="AO147" s="186"/>
      <c r="AP147" s="186"/>
      <c r="AQ147" s="186"/>
      <c r="AR147" s="186"/>
      <c r="AS147" s="186"/>
      <c r="AT147" s="186"/>
      <c r="AU147" s="186"/>
      <c r="AV147" s="186"/>
      <c r="AW147" s="186"/>
      <c r="AX147" s="186"/>
      <c r="AY147" s="186"/>
      <c r="AZ147" s="186"/>
    </row>
    <row r="148" spans="1:52" x14ac:dyDescent="0.2">
      <c r="A148" s="186"/>
      <c r="Y148" s="186"/>
      <c r="Z148" s="186"/>
      <c r="AA148" s="186"/>
      <c r="AB148" s="186"/>
      <c r="AC148" s="186"/>
      <c r="AD148" s="186"/>
      <c r="AE148" s="186"/>
      <c r="AF148" s="186"/>
      <c r="AG148" s="186"/>
      <c r="AH148" s="186"/>
      <c r="AI148" s="186"/>
      <c r="AJ148" s="186"/>
      <c r="AK148" s="186"/>
      <c r="AL148" s="186"/>
      <c r="AM148" s="186"/>
      <c r="AN148" s="186"/>
      <c r="AO148" s="186"/>
      <c r="AP148" s="186"/>
      <c r="AQ148" s="186"/>
      <c r="AR148" s="186"/>
      <c r="AS148" s="186"/>
      <c r="AT148" s="186"/>
      <c r="AU148" s="186"/>
      <c r="AV148" s="186"/>
      <c r="AW148" s="186"/>
      <c r="AX148" s="186"/>
      <c r="AY148" s="186"/>
      <c r="AZ148" s="186"/>
    </row>
    <row r="149" spans="1:52" x14ac:dyDescent="0.2">
      <c r="A149" s="186"/>
      <c r="Y149" s="186"/>
      <c r="Z149" s="186"/>
      <c r="AA149" s="186"/>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c r="AW149" s="186"/>
      <c r="AX149" s="186"/>
      <c r="AY149" s="186"/>
      <c r="AZ149" s="186"/>
    </row>
    <row r="150" spans="1:52" x14ac:dyDescent="0.2">
      <c r="A150" s="186"/>
      <c r="Y150" s="186"/>
      <c r="Z150" s="186"/>
      <c r="AA150" s="186"/>
      <c r="AB150" s="186"/>
      <c r="AC150" s="186"/>
      <c r="AD150" s="186"/>
      <c r="AE150" s="186"/>
      <c r="AF150" s="186"/>
      <c r="AG150" s="186"/>
      <c r="AH150" s="186"/>
      <c r="AI150" s="186"/>
      <c r="AJ150" s="186"/>
      <c r="AK150" s="186"/>
      <c r="AL150" s="186"/>
      <c r="AM150" s="186"/>
      <c r="AN150" s="186"/>
      <c r="AO150" s="186"/>
      <c r="AP150" s="186"/>
      <c r="AQ150" s="186"/>
      <c r="AR150" s="186"/>
      <c r="AS150" s="186"/>
      <c r="AT150" s="186"/>
      <c r="AU150" s="186"/>
      <c r="AV150" s="186"/>
      <c r="AW150" s="186"/>
      <c r="AX150" s="186"/>
      <c r="AY150" s="186"/>
      <c r="AZ150" s="186"/>
    </row>
    <row r="151" spans="1:52" x14ac:dyDescent="0.2">
      <c r="A151" s="186"/>
      <c r="Y151" s="186"/>
      <c r="Z151" s="186"/>
      <c r="AA151" s="186"/>
      <c r="AB151" s="186"/>
      <c r="AC151" s="186"/>
      <c r="AD151" s="186"/>
      <c r="AE151" s="186"/>
      <c r="AF151" s="186"/>
      <c r="AG151" s="186"/>
      <c r="AH151" s="186"/>
      <c r="AI151" s="186"/>
      <c r="AJ151" s="186"/>
      <c r="AK151" s="186"/>
      <c r="AL151" s="186"/>
      <c r="AM151" s="186"/>
      <c r="AN151" s="186"/>
      <c r="AO151" s="186"/>
      <c r="AP151" s="186"/>
      <c r="AQ151" s="186"/>
      <c r="AR151" s="186"/>
      <c r="AS151" s="186"/>
      <c r="AT151" s="186"/>
      <c r="AU151" s="186"/>
      <c r="AV151" s="186"/>
      <c r="AW151" s="186"/>
      <c r="AX151" s="186"/>
      <c r="AY151" s="186"/>
      <c r="AZ151" s="186"/>
    </row>
    <row r="152" spans="1:52" x14ac:dyDescent="0.2">
      <c r="A152" s="186"/>
      <c r="Y152" s="186"/>
      <c r="Z152" s="186"/>
      <c r="AA152" s="186"/>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c r="AW152" s="186"/>
      <c r="AX152" s="186"/>
      <c r="AY152" s="186"/>
      <c r="AZ152" s="186"/>
    </row>
    <row r="153" spans="1:52" x14ac:dyDescent="0.2">
      <c r="A153" s="186"/>
      <c r="Y153" s="186"/>
      <c r="Z153" s="186"/>
      <c r="AA153" s="186"/>
      <c r="AB153" s="186"/>
      <c r="AC153" s="186"/>
      <c r="AD153" s="186"/>
      <c r="AE153" s="186"/>
      <c r="AF153" s="186"/>
      <c r="AG153" s="186"/>
      <c r="AH153" s="186"/>
      <c r="AI153" s="186"/>
      <c r="AJ153" s="186"/>
      <c r="AK153" s="186"/>
      <c r="AL153" s="186"/>
      <c r="AM153" s="186"/>
      <c r="AN153" s="186"/>
      <c r="AO153" s="186"/>
      <c r="AP153" s="186"/>
      <c r="AQ153" s="186"/>
      <c r="AR153" s="186"/>
      <c r="AS153" s="186"/>
      <c r="AT153" s="186"/>
      <c r="AU153" s="186"/>
      <c r="AV153" s="186"/>
      <c r="AW153" s="186"/>
      <c r="AX153" s="186"/>
      <c r="AY153" s="186"/>
      <c r="AZ153" s="186"/>
    </row>
    <row r="154" spans="1:52" x14ac:dyDescent="0.2">
      <c r="A154" s="186"/>
      <c r="Y154" s="186"/>
      <c r="Z154" s="186"/>
      <c r="AA154" s="186"/>
      <c r="AB154" s="186"/>
      <c r="AC154" s="186"/>
      <c r="AD154" s="186"/>
      <c r="AE154" s="186"/>
      <c r="AF154" s="186"/>
      <c r="AG154" s="186"/>
      <c r="AH154" s="186"/>
      <c r="AI154" s="186"/>
      <c r="AJ154" s="186"/>
      <c r="AK154" s="186"/>
      <c r="AL154" s="186"/>
      <c r="AM154" s="186"/>
      <c r="AN154" s="186"/>
      <c r="AO154" s="186"/>
      <c r="AP154" s="186"/>
      <c r="AQ154" s="186"/>
      <c r="AR154" s="186"/>
      <c r="AS154" s="186"/>
      <c r="AT154" s="186"/>
      <c r="AU154" s="186"/>
      <c r="AV154" s="186"/>
      <c r="AW154" s="186"/>
      <c r="AX154" s="186"/>
      <c r="AY154" s="186"/>
      <c r="AZ154" s="186"/>
    </row>
    <row r="155" spans="1:52" x14ac:dyDescent="0.2">
      <c r="A155" s="186"/>
      <c r="Y155" s="186"/>
      <c r="Z155" s="186"/>
      <c r="AA155" s="186"/>
      <c r="AB155" s="186"/>
      <c r="AC155" s="186"/>
      <c r="AD155" s="186"/>
      <c r="AE155" s="186"/>
      <c r="AF155" s="186"/>
      <c r="AG155" s="186"/>
      <c r="AH155" s="186"/>
      <c r="AI155" s="186"/>
      <c r="AJ155" s="186"/>
      <c r="AK155" s="186"/>
      <c r="AL155" s="186"/>
      <c r="AM155" s="186"/>
      <c r="AN155" s="186"/>
      <c r="AO155" s="186"/>
      <c r="AP155" s="186"/>
      <c r="AQ155" s="186"/>
      <c r="AR155" s="186"/>
      <c r="AS155" s="186"/>
      <c r="AT155" s="186"/>
      <c r="AU155" s="186"/>
      <c r="AV155" s="186"/>
      <c r="AW155" s="186"/>
      <c r="AX155" s="186"/>
      <c r="AY155" s="186"/>
      <c r="AZ155" s="186"/>
    </row>
    <row r="156" spans="1:52" x14ac:dyDescent="0.2">
      <c r="A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c r="AW156" s="186"/>
      <c r="AX156" s="186"/>
      <c r="AY156" s="186"/>
      <c r="AZ156" s="186"/>
    </row>
    <row r="157" spans="1:52" x14ac:dyDescent="0.2">
      <c r="A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c r="AW157" s="186"/>
      <c r="AX157" s="186"/>
      <c r="AY157" s="186"/>
      <c r="AZ157" s="186"/>
    </row>
    <row r="158" spans="1:52" x14ac:dyDescent="0.2">
      <c r="A158" s="186"/>
      <c r="Y158" s="186"/>
      <c r="Z158" s="186"/>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c r="AW158" s="186"/>
      <c r="AX158" s="186"/>
      <c r="AY158" s="186"/>
      <c r="AZ158" s="186"/>
    </row>
    <row r="159" spans="1:52" x14ac:dyDescent="0.2">
      <c r="A159" s="186"/>
      <c r="Y159" s="186"/>
      <c r="Z159" s="186"/>
      <c r="AA159" s="186"/>
      <c r="AB159" s="186"/>
      <c r="AC159" s="186"/>
      <c r="AD159" s="186"/>
      <c r="AE159" s="186"/>
      <c r="AF159" s="186"/>
      <c r="AG159" s="186"/>
      <c r="AH159" s="186"/>
      <c r="AI159" s="186"/>
      <c r="AJ159" s="186"/>
      <c r="AK159" s="186"/>
      <c r="AL159" s="186"/>
      <c r="AM159" s="186"/>
      <c r="AN159" s="186"/>
      <c r="AO159" s="186"/>
      <c r="AP159" s="186"/>
      <c r="AQ159" s="186"/>
      <c r="AR159" s="186"/>
      <c r="AS159" s="186"/>
      <c r="AT159" s="186"/>
      <c r="AU159" s="186"/>
      <c r="AV159" s="186"/>
      <c r="AW159" s="186"/>
      <c r="AX159" s="186"/>
      <c r="AY159" s="186"/>
      <c r="AZ159" s="186"/>
    </row>
    <row r="160" spans="1:52" x14ac:dyDescent="0.2">
      <c r="A160" s="186"/>
      <c r="Y160" s="186"/>
      <c r="Z160" s="186"/>
      <c r="AA160" s="186"/>
      <c r="AB160" s="186"/>
      <c r="AC160" s="186"/>
      <c r="AD160" s="186"/>
      <c r="AE160" s="186"/>
      <c r="AF160" s="186"/>
      <c r="AG160" s="186"/>
      <c r="AH160" s="186"/>
      <c r="AI160" s="186"/>
      <c r="AJ160" s="186"/>
      <c r="AK160" s="186"/>
      <c r="AL160" s="186"/>
      <c r="AM160" s="186"/>
      <c r="AN160" s="186"/>
      <c r="AO160" s="186"/>
      <c r="AP160" s="186"/>
      <c r="AQ160" s="186"/>
      <c r="AR160" s="186"/>
      <c r="AS160" s="186"/>
      <c r="AT160" s="186"/>
      <c r="AU160" s="186"/>
      <c r="AV160" s="186"/>
      <c r="AW160" s="186"/>
      <c r="AX160" s="186"/>
      <c r="AY160" s="186"/>
      <c r="AZ160" s="186"/>
    </row>
    <row r="161" spans="1:52" x14ac:dyDescent="0.2">
      <c r="A161" s="186"/>
      <c r="Y161" s="186"/>
      <c r="Z161" s="186"/>
      <c r="AA161" s="186"/>
      <c r="AB161" s="186"/>
      <c r="AC161" s="186"/>
      <c r="AD161" s="186"/>
      <c r="AE161" s="186"/>
      <c r="AF161" s="186"/>
      <c r="AG161" s="186"/>
      <c r="AH161" s="186"/>
      <c r="AI161" s="186"/>
      <c r="AJ161" s="186"/>
      <c r="AK161" s="186"/>
      <c r="AL161" s="186"/>
      <c r="AM161" s="186"/>
      <c r="AN161" s="186"/>
      <c r="AO161" s="186"/>
      <c r="AP161" s="186"/>
      <c r="AQ161" s="186"/>
      <c r="AR161" s="186"/>
      <c r="AS161" s="186"/>
      <c r="AT161" s="186"/>
      <c r="AU161" s="186"/>
      <c r="AV161" s="186"/>
      <c r="AW161" s="186"/>
      <c r="AX161" s="186"/>
      <c r="AY161" s="186"/>
      <c r="AZ161" s="186"/>
    </row>
    <row r="162" spans="1:52" x14ac:dyDescent="0.2">
      <c r="A162" s="186"/>
      <c r="Y162" s="186"/>
      <c r="Z162" s="186"/>
      <c r="AA162" s="186"/>
      <c r="AB162" s="186"/>
      <c r="AC162" s="186"/>
      <c r="AD162" s="186"/>
      <c r="AE162" s="186"/>
      <c r="AF162" s="186"/>
      <c r="AG162" s="186"/>
      <c r="AH162" s="186"/>
      <c r="AI162" s="186"/>
      <c r="AJ162" s="186"/>
      <c r="AK162" s="186"/>
      <c r="AL162" s="186"/>
      <c r="AM162" s="186"/>
      <c r="AN162" s="186"/>
      <c r="AO162" s="186"/>
      <c r="AP162" s="186"/>
      <c r="AQ162" s="186"/>
      <c r="AR162" s="186"/>
      <c r="AS162" s="186"/>
      <c r="AT162" s="186"/>
      <c r="AU162" s="186"/>
      <c r="AV162" s="186"/>
      <c r="AW162" s="186"/>
      <c r="AX162" s="186"/>
      <c r="AY162" s="186"/>
      <c r="AZ162" s="186"/>
    </row>
    <row r="163" spans="1:52" x14ac:dyDescent="0.2">
      <c r="A163" s="186"/>
      <c r="Y163" s="186"/>
      <c r="Z163" s="186"/>
      <c r="AA163" s="186"/>
      <c r="AB163" s="186"/>
      <c r="AC163" s="186"/>
      <c r="AD163" s="186"/>
      <c r="AE163" s="186"/>
      <c r="AF163" s="186"/>
      <c r="AG163" s="186"/>
      <c r="AH163" s="186"/>
      <c r="AI163" s="186"/>
      <c r="AJ163" s="186"/>
      <c r="AK163" s="186"/>
      <c r="AL163" s="186"/>
      <c r="AM163" s="186"/>
      <c r="AN163" s="186"/>
      <c r="AO163" s="186"/>
      <c r="AP163" s="186"/>
      <c r="AQ163" s="186"/>
      <c r="AR163" s="186"/>
      <c r="AS163" s="186"/>
      <c r="AT163" s="186"/>
      <c r="AU163" s="186"/>
      <c r="AV163" s="186"/>
      <c r="AW163" s="186"/>
      <c r="AX163" s="186"/>
      <c r="AY163" s="186"/>
      <c r="AZ163" s="186"/>
    </row>
    <row r="164" spans="1:52" x14ac:dyDescent="0.2">
      <c r="A164" s="186"/>
      <c r="Y164" s="186"/>
      <c r="Z164" s="186"/>
      <c r="AA164" s="186"/>
      <c r="AB164" s="186"/>
      <c r="AC164" s="186"/>
      <c r="AD164" s="186"/>
      <c r="AE164" s="186"/>
      <c r="AF164" s="186"/>
      <c r="AG164" s="186"/>
      <c r="AH164" s="186"/>
      <c r="AI164" s="186"/>
      <c r="AJ164" s="186"/>
      <c r="AK164" s="186"/>
      <c r="AL164" s="186"/>
      <c r="AM164" s="186"/>
      <c r="AN164" s="186"/>
      <c r="AO164" s="186"/>
      <c r="AP164" s="186"/>
      <c r="AQ164" s="186"/>
      <c r="AR164" s="186"/>
      <c r="AS164" s="186"/>
      <c r="AT164" s="186"/>
      <c r="AU164" s="186"/>
      <c r="AV164" s="186"/>
      <c r="AW164" s="186"/>
      <c r="AX164" s="186"/>
      <c r="AY164" s="186"/>
      <c r="AZ164" s="186"/>
    </row>
    <row r="165" spans="1:52" x14ac:dyDescent="0.2">
      <c r="A165" s="186"/>
      <c r="Y165" s="186"/>
      <c r="Z165" s="186"/>
      <c r="AA165" s="186"/>
      <c r="AB165" s="186"/>
      <c r="AC165" s="186"/>
      <c r="AD165" s="186"/>
      <c r="AE165" s="186"/>
      <c r="AF165" s="186"/>
      <c r="AG165" s="186"/>
      <c r="AH165" s="186"/>
      <c r="AI165" s="186"/>
      <c r="AJ165" s="186"/>
      <c r="AK165" s="186"/>
      <c r="AL165" s="186"/>
      <c r="AM165" s="186"/>
      <c r="AN165" s="186"/>
      <c r="AO165" s="186"/>
      <c r="AP165" s="186"/>
      <c r="AQ165" s="186"/>
      <c r="AR165" s="186"/>
      <c r="AS165" s="186"/>
      <c r="AT165" s="186"/>
      <c r="AU165" s="186"/>
      <c r="AV165" s="186"/>
      <c r="AW165" s="186"/>
      <c r="AX165" s="186"/>
      <c r="AY165" s="186"/>
      <c r="AZ165" s="186"/>
    </row>
    <row r="166" spans="1:52" x14ac:dyDescent="0.2">
      <c r="A166" s="186"/>
      <c r="Y166" s="186"/>
      <c r="Z166" s="186"/>
      <c r="AA166" s="186"/>
      <c r="AB166" s="186"/>
      <c r="AC166" s="186"/>
      <c r="AD166" s="186"/>
      <c r="AE166" s="186"/>
      <c r="AF166" s="186"/>
      <c r="AG166" s="186"/>
      <c r="AH166" s="186"/>
      <c r="AI166" s="186"/>
      <c r="AJ166" s="186"/>
      <c r="AK166" s="186"/>
      <c r="AL166" s="186"/>
      <c r="AM166" s="186"/>
      <c r="AN166" s="186"/>
      <c r="AO166" s="186"/>
      <c r="AP166" s="186"/>
      <c r="AQ166" s="186"/>
      <c r="AR166" s="186"/>
      <c r="AS166" s="186"/>
      <c r="AT166" s="186"/>
      <c r="AU166" s="186"/>
      <c r="AV166" s="186"/>
      <c r="AW166" s="186"/>
      <c r="AX166" s="186"/>
      <c r="AY166" s="186"/>
      <c r="AZ166" s="186"/>
    </row>
    <row r="167" spans="1:52" x14ac:dyDescent="0.2">
      <c r="A167" s="186"/>
      <c r="Y167" s="186"/>
      <c r="Z167" s="186"/>
      <c r="AA167" s="186"/>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c r="AW167" s="186"/>
      <c r="AX167" s="186"/>
      <c r="AY167" s="186"/>
      <c r="AZ167" s="186"/>
    </row>
    <row r="168" spans="1:52" x14ac:dyDescent="0.2">
      <c r="A168" s="186"/>
      <c r="Y168" s="186"/>
      <c r="Z168" s="186"/>
      <c r="AA168" s="186"/>
      <c r="AB168" s="186"/>
      <c r="AC168" s="186"/>
      <c r="AD168" s="186"/>
      <c r="AE168" s="186"/>
      <c r="AF168" s="186"/>
      <c r="AG168" s="186"/>
      <c r="AH168" s="186"/>
      <c r="AI168" s="186"/>
      <c r="AJ168" s="186"/>
      <c r="AK168" s="186"/>
      <c r="AL168" s="186"/>
      <c r="AM168" s="186"/>
      <c r="AN168" s="186"/>
      <c r="AO168" s="186"/>
      <c r="AP168" s="186"/>
      <c r="AQ168" s="186"/>
      <c r="AR168" s="186"/>
      <c r="AS168" s="186"/>
      <c r="AT168" s="186"/>
      <c r="AU168" s="186"/>
      <c r="AV168" s="186"/>
      <c r="AW168" s="186"/>
      <c r="AX168" s="186"/>
      <c r="AY168" s="186"/>
      <c r="AZ168" s="186"/>
    </row>
    <row r="169" spans="1:52" x14ac:dyDescent="0.2">
      <c r="A169" s="186"/>
      <c r="Y169" s="186"/>
      <c r="Z169" s="186"/>
      <c r="AA169" s="186"/>
      <c r="AB169" s="186"/>
      <c r="AC169" s="186"/>
      <c r="AD169" s="186"/>
      <c r="AE169" s="186"/>
      <c r="AF169" s="186"/>
      <c r="AG169" s="186"/>
      <c r="AH169" s="186"/>
      <c r="AI169" s="186"/>
      <c r="AJ169" s="186"/>
      <c r="AK169" s="186"/>
      <c r="AL169" s="186"/>
      <c r="AM169" s="186"/>
      <c r="AN169" s="186"/>
      <c r="AO169" s="186"/>
      <c r="AP169" s="186"/>
      <c r="AQ169" s="186"/>
      <c r="AR169" s="186"/>
      <c r="AS169" s="186"/>
      <c r="AT169" s="186"/>
      <c r="AU169" s="186"/>
      <c r="AV169" s="186"/>
      <c r="AW169" s="186"/>
      <c r="AX169" s="186"/>
      <c r="AY169" s="186"/>
      <c r="AZ169" s="186"/>
    </row>
    <row r="170" spans="1:52" x14ac:dyDescent="0.2">
      <c r="A170" s="186"/>
      <c r="Y170" s="186"/>
      <c r="Z170" s="186"/>
      <c r="AA170" s="186"/>
      <c r="AB170" s="186"/>
      <c r="AC170" s="186"/>
      <c r="AD170" s="186"/>
      <c r="AE170" s="186"/>
      <c r="AF170" s="186"/>
      <c r="AG170" s="186"/>
      <c r="AH170" s="186"/>
      <c r="AI170" s="186"/>
      <c r="AJ170" s="186"/>
      <c r="AK170" s="186"/>
      <c r="AL170" s="186"/>
      <c r="AM170" s="186"/>
      <c r="AN170" s="186"/>
      <c r="AO170" s="186"/>
      <c r="AP170" s="186"/>
      <c r="AQ170" s="186"/>
      <c r="AR170" s="186"/>
      <c r="AS170" s="186"/>
      <c r="AT170" s="186"/>
      <c r="AU170" s="186"/>
      <c r="AV170" s="186"/>
      <c r="AW170" s="186"/>
      <c r="AX170" s="186"/>
      <c r="AY170" s="186"/>
      <c r="AZ170" s="186"/>
    </row>
    <row r="171" spans="1:52" x14ac:dyDescent="0.2">
      <c r="A171" s="186"/>
      <c r="Y171" s="186"/>
      <c r="Z171" s="186"/>
      <c r="AA171" s="186"/>
      <c r="AB171" s="186"/>
      <c r="AC171" s="186"/>
      <c r="AD171" s="186"/>
      <c r="AE171" s="186"/>
      <c r="AF171" s="186"/>
      <c r="AG171" s="186"/>
      <c r="AH171" s="186"/>
      <c r="AI171" s="186"/>
      <c r="AJ171" s="186"/>
      <c r="AK171" s="186"/>
      <c r="AL171" s="186"/>
      <c r="AM171" s="186"/>
      <c r="AN171" s="186"/>
      <c r="AO171" s="186"/>
      <c r="AP171" s="186"/>
      <c r="AQ171" s="186"/>
      <c r="AR171" s="186"/>
      <c r="AS171" s="186"/>
      <c r="AT171" s="186"/>
      <c r="AU171" s="186"/>
      <c r="AV171" s="186"/>
      <c r="AW171" s="186"/>
      <c r="AX171" s="186"/>
      <c r="AY171" s="186"/>
      <c r="AZ171" s="186"/>
    </row>
    <row r="172" spans="1:52" x14ac:dyDescent="0.2">
      <c r="A172" s="186"/>
      <c r="Y172" s="186"/>
      <c r="Z172" s="186"/>
      <c r="AA172" s="186"/>
      <c r="AB172" s="186"/>
      <c r="AC172" s="186"/>
      <c r="AD172" s="186"/>
      <c r="AE172" s="186"/>
      <c r="AF172" s="186"/>
      <c r="AG172" s="186"/>
      <c r="AH172" s="186"/>
      <c r="AI172" s="186"/>
      <c r="AJ172" s="186"/>
      <c r="AK172" s="186"/>
      <c r="AL172" s="186"/>
      <c r="AM172" s="186"/>
      <c r="AN172" s="186"/>
      <c r="AO172" s="186"/>
      <c r="AP172" s="186"/>
      <c r="AQ172" s="186"/>
      <c r="AR172" s="186"/>
      <c r="AS172" s="186"/>
      <c r="AT172" s="186"/>
      <c r="AU172" s="186"/>
      <c r="AV172" s="186"/>
      <c r="AW172" s="186"/>
      <c r="AX172" s="186"/>
      <c r="AY172" s="186"/>
      <c r="AZ172" s="186"/>
    </row>
    <row r="173" spans="1:52" x14ac:dyDescent="0.2">
      <c r="A173" s="186"/>
      <c r="Y173" s="186"/>
      <c r="Z173" s="186"/>
      <c r="AA173" s="186"/>
      <c r="AB173" s="186"/>
      <c r="AC173" s="186"/>
      <c r="AD173" s="186"/>
      <c r="AE173" s="186"/>
      <c r="AF173" s="186"/>
      <c r="AG173" s="186"/>
      <c r="AH173" s="186"/>
      <c r="AI173" s="186"/>
      <c r="AJ173" s="186"/>
      <c r="AK173" s="186"/>
      <c r="AL173" s="186"/>
      <c r="AM173" s="186"/>
      <c r="AN173" s="186"/>
      <c r="AO173" s="186"/>
      <c r="AP173" s="186"/>
      <c r="AQ173" s="186"/>
      <c r="AR173" s="186"/>
      <c r="AS173" s="186"/>
      <c r="AT173" s="186"/>
      <c r="AU173" s="186"/>
      <c r="AV173" s="186"/>
      <c r="AW173" s="186"/>
      <c r="AX173" s="186"/>
      <c r="AY173" s="186"/>
      <c r="AZ173" s="186"/>
    </row>
    <row r="174" spans="1:52" x14ac:dyDescent="0.2">
      <c r="A174" s="186"/>
      <c r="Y174" s="186"/>
      <c r="Z174" s="186"/>
      <c r="AA174" s="186"/>
      <c r="AB174" s="186"/>
      <c r="AC174" s="186"/>
      <c r="AD174" s="186"/>
      <c r="AE174" s="186"/>
      <c r="AF174" s="186"/>
      <c r="AG174" s="186"/>
      <c r="AH174" s="186"/>
      <c r="AI174" s="186"/>
      <c r="AJ174" s="186"/>
      <c r="AK174" s="186"/>
      <c r="AL174" s="186"/>
      <c r="AM174" s="186"/>
      <c r="AN174" s="186"/>
      <c r="AO174" s="186"/>
      <c r="AP174" s="186"/>
      <c r="AQ174" s="186"/>
      <c r="AR174" s="186"/>
      <c r="AS174" s="186"/>
      <c r="AT174" s="186"/>
      <c r="AU174" s="186"/>
      <c r="AV174" s="186"/>
      <c r="AW174" s="186"/>
      <c r="AX174" s="186"/>
      <c r="AY174" s="186"/>
      <c r="AZ174" s="186"/>
    </row>
    <row r="175" spans="1:52" x14ac:dyDescent="0.2">
      <c r="A175" s="186"/>
      <c r="Y175" s="186"/>
      <c r="Z175" s="186"/>
      <c r="AA175" s="186"/>
      <c r="AB175" s="186"/>
      <c r="AC175" s="186"/>
      <c r="AD175" s="186"/>
      <c r="AE175" s="186"/>
      <c r="AF175" s="186"/>
      <c r="AG175" s="186"/>
      <c r="AH175" s="186"/>
      <c r="AI175" s="186"/>
      <c r="AJ175" s="186"/>
      <c r="AK175" s="186"/>
      <c r="AL175" s="186"/>
      <c r="AM175" s="186"/>
      <c r="AN175" s="186"/>
      <c r="AO175" s="186"/>
      <c r="AP175" s="186"/>
      <c r="AQ175" s="186"/>
      <c r="AR175" s="186"/>
      <c r="AS175" s="186"/>
      <c r="AT175" s="186"/>
      <c r="AU175" s="186"/>
      <c r="AV175" s="186"/>
      <c r="AW175" s="186"/>
      <c r="AX175" s="186"/>
      <c r="AY175" s="186"/>
      <c r="AZ175" s="186"/>
    </row>
    <row r="176" spans="1:52" x14ac:dyDescent="0.2">
      <c r="A176" s="186"/>
      <c r="Y176" s="186"/>
      <c r="Z176" s="186"/>
      <c r="AA176" s="186"/>
      <c r="AB176" s="186"/>
      <c r="AC176" s="186"/>
      <c r="AD176" s="186"/>
      <c r="AE176" s="186"/>
      <c r="AF176" s="186"/>
      <c r="AG176" s="186"/>
      <c r="AH176" s="186"/>
      <c r="AI176" s="186"/>
      <c r="AJ176" s="186"/>
      <c r="AK176" s="186"/>
      <c r="AL176" s="186"/>
      <c r="AM176" s="186"/>
      <c r="AN176" s="186"/>
      <c r="AO176" s="186"/>
      <c r="AP176" s="186"/>
      <c r="AQ176" s="186"/>
      <c r="AR176" s="186"/>
      <c r="AS176" s="186"/>
      <c r="AT176" s="186"/>
      <c r="AU176" s="186"/>
      <c r="AV176" s="186"/>
      <c r="AW176" s="186"/>
      <c r="AX176" s="186"/>
      <c r="AY176" s="186"/>
      <c r="AZ176" s="186"/>
    </row>
    <row r="177" spans="1:52" x14ac:dyDescent="0.2">
      <c r="A177" s="186"/>
      <c r="Y177" s="186"/>
      <c r="Z177" s="186"/>
      <c r="AA177" s="186"/>
      <c r="AB177" s="186"/>
      <c r="AC177" s="186"/>
      <c r="AD177" s="186"/>
      <c r="AE177" s="186"/>
      <c r="AF177" s="186"/>
      <c r="AG177" s="186"/>
      <c r="AH177" s="186"/>
      <c r="AI177" s="186"/>
      <c r="AJ177" s="186"/>
      <c r="AK177" s="186"/>
      <c r="AL177" s="186"/>
      <c r="AM177" s="186"/>
      <c r="AN177" s="186"/>
      <c r="AO177" s="186"/>
      <c r="AP177" s="186"/>
      <c r="AQ177" s="186"/>
      <c r="AR177" s="186"/>
      <c r="AS177" s="186"/>
      <c r="AT177" s="186"/>
      <c r="AU177" s="186"/>
      <c r="AV177" s="186"/>
      <c r="AW177" s="186"/>
      <c r="AX177" s="186"/>
      <c r="AY177" s="186"/>
      <c r="AZ177" s="186"/>
    </row>
    <row r="178" spans="1:52" x14ac:dyDescent="0.2">
      <c r="A178" s="186"/>
      <c r="Y178" s="186"/>
      <c r="Z178" s="186"/>
      <c r="AA178" s="186"/>
      <c r="AB178" s="186"/>
      <c r="AC178" s="186"/>
      <c r="AD178" s="186"/>
      <c r="AE178" s="186"/>
      <c r="AF178" s="186"/>
      <c r="AG178" s="186"/>
      <c r="AH178" s="186"/>
      <c r="AI178" s="186"/>
      <c r="AJ178" s="186"/>
      <c r="AK178" s="186"/>
      <c r="AL178" s="186"/>
      <c r="AM178" s="186"/>
      <c r="AN178" s="186"/>
      <c r="AO178" s="186"/>
      <c r="AP178" s="186"/>
      <c r="AQ178" s="186"/>
      <c r="AR178" s="186"/>
      <c r="AS178" s="186"/>
      <c r="AT178" s="186"/>
      <c r="AU178" s="186"/>
      <c r="AV178" s="186"/>
      <c r="AW178" s="186"/>
      <c r="AX178" s="186"/>
      <c r="AY178" s="186"/>
      <c r="AZ178" s="186"/>
    </row>
    <row r="179" spans="1:52" x14ac:dyDescent="0.2">
      <c r="A179" s="186"/>
      <c r="Y179" s="186"/>
      <c r="Z179" s="186"/>
      <c r="AA179" s="186"/>
      <c r="AB179" s="186"/>
      <c r="AC179" s="186"/>
      <c r="AD179" s="186"/>
      <c r="AE179" s="186"/>
      <c r="AF179" s="186"/>
      <c r="AG179" s="186"/>
      <c r="AH179" s="186"/>
      <c r="AI179" s="186"/>
      <c r="AJ179" s="186"/>
      <c r="AK179" s="186"/>
      <c r="AL179" s="186"/>
      <c r="AM179" s="186"/>
      <c r="AN179" s="186"/>
      <c r="AO179" s="186"/>
      <c r="AP179" s="186"/>
      <c r="AQ179" s="186"/>
      <c r="AR179" s="186"/>
      <c r="AS179" s="186"/>
      <c r="AT179" s="186"/>
      <c r="AU179" s="186"/>
      <c r="AV179" s="186"/>
      <c r="AW179" s="186"/>
      <c r="AX179" s="186"/>
      <c r="AY179" s="186"/>
      <c r="AZ179" s="186"/>
    </row>
    <row r="180" spans="1:52" x14ac:dyDescent="0.2">
      <c r="A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c r="AW180" s="186"/>
      <c r="AX180" s="186"/>
      <c r="AY180" s="186"/>
      <c r="AZ180" s="186"/>
    </row>
    <row r="181" spans="1:52" x14ac:dyDescent="0.2">
      <c r="A181" s="186"/>
      <c r="Y181" s="186"/>
      <c r="Z181" s="186"/>
      <c r="AA181" s="186"/>
      <c r="AB181" s="186"/>
      <c r="AC181" s="186"/>
      <c r="AD181" s="186"/>
      <c r="AE181" s="186"/>
      <c r="AF181" s="186"/>
      <c r="AG181" s="186"/>
      <c r="AH181" s="186"/>
      <c r="AI181" s="186"/>
      <c r="AJ181" s="186"/>
      <c r="AK181" s="186"/>
      <c r="AL181" s="186"/>
      <c r="AM181" s="186"/>
      <c r="AN181" s="186"/>
      <c r="AO181" s="186"/>
      <c r="AP181" s="186"/>
      <c r="AQ181" s="186"/>
      <c r="AR181" s="186"/>
      <c r="AS181" s="186"/>
      <c r="AT181" s="186"/>
      <c r="AU181" s="186"/>
      <c r="AV181" s="186"/>
      <c r="AW181" s="186"/>
      <c r="AX181" s="186"/>
      <c r="AY181" s="186"/>
      <c r="AZ181" s="186"/>
    </row>
    <row r="182" spans="1:52" x14ac:dyDescent="0.2">
      <c r="A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6"/>
      <c r="AY182" s="186"/>
      <c r="AZ182" s="186"/>
    </row>
    <row r="183" spans="1:52" x14ac:dyDescent="0.2">
      <c r="A183" s="186"/>
      <c r="Y183" s="186"/>
      <c r="Z183" s="186"/>
      <c r="AA183" s="186"/>
      <c r="AB183" s="186"/>
      <c r="AC183" s="186"/>
      <c r="AD183" s="186"/>
      <c r="AE183" s="186"/>
      <c r="AF183" s="186"/>
      <c r="AG183" s="186"/>
      <c r="AH183" s="186"/>
      <c r="AI183" s="186"/>
      <c r="AJ183" s="186"/>
      <c r="AK183" s="186"/>
      <c r="AL183" s="186"/>
      <c r="AM183" s="186"/>
      <c r="AN183" s="186"/>
      <c r="AO183" s="186"/>
      <c r="AP183" s="186"/>
      <c r="AQ183" s="186"/>
      <c r="AR183" s="186"/>
      <c r="AS183" s="186"/>
      <c r="AT183" s="186"/>
      <c r="AU183" s="186"/>
      <c r="AV183" s="186"/>
      <c r="AW183" s="186"/>
      <c r="AX183" s="186"/>
      <c r="AY183" s="186"/>
      <c r="AZ183" s="186"/>
    </row>
    <row r="184" spans="1:52" x14ac:dyDescent="0.2">
      <c r="A184" s="186"/>
      <c r="Y184" s="186"/>
      <c r="Z184" s="186"/>
      <c r="AA184" s="186"/>
      <c r="AB184" s="186"/>
      <c r="AC184" s="186"/>
      <c r="AD184" s="186"/>
      <c r="AE184" s="186"/>
      <c r="AF184" s="186"/>
      <c r="AG184" s="186"/>
      <c r="AH184" s="186"/>
      <c r="AI184" s="186"/>
      <c r="AJ184" s="186"/>
      <c r="AK184" s="186"/>
      <c r="AL184" s="186"/>
      <c r="AM184" s="186"/>
      <c r="AN184" s="186"/>
      <c r="AO184" s="186"/>
      <c r="AP184" s="186"/>
      <c r="AQ184" s="186"/>
      <c r="AR184" s="186"/>
      <c r="AS184" s="186"/>
      <c r="AT184" s="186"/>
      <c r="AU184" s="186"/>
      <c r="AV184" s="186"/>
      <c r="AW184" s="186"/>
      <c r="AX184" s="186"/>
      <c r="AY184" s="186"/>
      <c r="AZ184" s="186"/>
    </row>
    <row r="185" spans="1:52" x14ac:dyDescent="0.2">
      <c r="A185" s="186"/>
      <c r="Y185" s="186"/>
      <c r="Z185" s="186"/>
      <c r="AA185" s="186"/>
      <c r="AB185" s="186"/>
      <c r="AC185" s="186"/>
      <c r="AD185" s="186"/>
      <c r="AE185" s="186"/>
      <c r="AF185" s="186"/>
      <c r="AG185" s="186"/>
      <c r="AH185" s="186"/>
      <c r="AI185" s="186"/>
      <c r="AJ185" s="186"/>
      <c r="AK185" s="186"/>
      <c r="AL185" s="186"/>
      <c r="AM185" s="186"/>
      <c r="AN185" s="186"/>
      <c r="AO185" s="186"/>
      <c r="AP185" s="186"/>
      <c r="AQ185" s="186"/>
      <c r="AR185" s="186"/>
      <c r="AS185" s="186"/>
      <c r="AT185" s="186"/>
      <c r="AU185" s="186"/>
      <c r="AV185" s="186"/>
      <c r="AW185" s="186"/>
      <c r="AX185" s="186"/>
      <c r="AY185" s="186"/>
      <c r="AZ185" s="186"/>
    </row>
    <row r="186" spans="1:52" x14ac:dyDescent="0.2">
      <c r="A186" s="186"/>
      <c r="Y186" s="186"/>
      <c r="Z186" s="186"/>
      <c r="AA186" s="186"/>
      <c r="AB186" s="186"/>
      <c r="AC186" s="186"/>
      <c r="AD186" s="186"/>
      <c r="AE186" s="186"/>
      <c r="AF186" s="186"/>
      <c r="AG186" s="186"/>
      <c r="AH186" s="186"/>
      <c r="AI186" s="186"/>
      <c r="AJ186" s="186"/>
      <c r="AK186" s="186"/>
      <c r="AL186" s="186"/>
      <c r="AM186" s="186"/>
      <c r="AN186" s="186"/>
      <c r="AO186" s="186"/>
      <c r="AP186" s="186"/>
      <c r="AQ186" s="186"/>
      <c r="AR186" s="186"/>
      <c r="AS186" s="186"/>
      <c r="AT186" s="186"/>
      <c r="AU186" s="186"/>
      <c r="AV186" s="186"/>
      <c r="AW186" s="186"/>
      <c r="AX186" s="186"/>
      <c r="AY186" s="186"/>
      <c r="AZ186" s="186"/>
    </row>
    <row r="187" spans="1:52" x14ac:dyDescent="0.2">
      <c r="A187" s="186"/>
      <c r="Y187" s="186"/>
      <c r="Z187" s="186"/>
      <c r="AA187" s="186"/>
      <c r="AB187" s="186"/>
      <c r="AC187" s="186"/>
      <c r="AD187" s="186"/>
      <c r="AE187" s="186"/>
      <c r="AF187" s="186"/>
      <c r="AG187" s="186"/>
      <c r="AH187" s="186"/>
      <c r="AI187" s="186"/>
      <c r="AJ187" s="186"/>
      <c r="AK187" s="186"/>
      <c r="AL187" s="186"/>
      <c r="AM187" s="186"/>
      <c r="AN187" s="186"/>
      <c r="AO187" s="186"/>
      <c r="AP187" s="186"/>
      <c r="AQ187" s="186"/>
      <c r="AR187" s="186"/>
      <c r="AS187" s="186"/>
      <c r="AT187" s="186"/>
      <c r="AU187" s="186"/>
      <c r="AV187" s="186"/>
      <c r="AW187" s="186"/>
      <c r="AX187" s="186"/>
      <c r="AY187" s="186"/>
      <c r="AZ187" s="186"/>
    </row>
    <row r="188" spans="1:52" x14ac:dyDescent="0.2">
      <c r="A188" s="186"/>
      <c r="Y188" s="186"/>
      <c r="Z188" s="186"/>
      <c r="AA188" s="186"/>
      <c r="AB188" s="186"/>
      <c r="AC188" s="186"/>
      <c r="AD188" s="186"/>
      <c r="AE188" s="186"/>
      <c r="AF188" s="186"/>
      <c r="AG188" s="186"/>
      <c r="AH188" s="186"/>
      <c r="AI188" s="186"/>
      <c r="AJ188" s="186"/>
      <c r="AK188" s="186"/>
      <c r="AL188" s="186"/>
      <c r="AM188" s="186"/>
      <c r="AN188" s="186"/>
      <c r="AO188" s="186"/>
      <c r="AP188" s="186"/>
      <c r="AQ188" s="186"/>
      <c r="AR188" s="186"/>
      <c r="AS188" s="186"/>
      <c r="AT188" s="186"/>
      <c r="AU188" s="186"/>
      <c r="AV188" s="186"/>
      <c r="AW188" s="186"/>
      <c r="AX188" s="186"/>
      <c r="AY188" s="186"/>
      <c r="AZ188" s="186"/>
    </row>
    <row r="189" spans="1:52" x14ac:dyDescent="0.2">
      <c r="A189" s="186"/>
      <c r="Y189" s="186"/>
      <c r="Z189" s="186"/>
      <c r="AA189" s="186"/>
      <c r="AB189" s="186"/>
      <c r="AC189" s="186"/>
      <c r="AD189" s="186"/>
      <c r="AE189" s="186"/>
      <c r="AF189" s="186"/>
      <c r="AG189" s="186"/>
      <c r="AH189" s="186"/>
      <c r="AI189" s="186"/>
      <c r="AJ189" s="186"/>
      <c r="AK189" s="186"/>
      <c r="AL189" s="186"/>
      <c r="AM189" s="186"/>
      <c r="AN189" s="186"/>
      <c r="AO189" s="186"/>
      <c r="AP189" s="186"/>
      <c r="AQ189" s="186"/>
      <c r="AR189" s="186"/>
      <c r="AS189" s="186"/>
      <c r="AT189" s="186"/>
      <c r="AU189" s="186"/>
      <c r="AV189" s="186"/>
      <c r="AW189" s="186"/>
      <c r="AX189" s="186"/>
      <c r="AY189" s="186"/>
      <c r="AZ189" s="186"/>
    </row>
    <row r="190" spans="1:52" x14ac:dyDescent="0.2">
      <c r="A190" s="186"/>
      <c r="Y190" s="186"/>
      <c r="Z190" s="186"/>
      <c r="AA190" s="186"/>
      <c r="AB190" s="186"/>
      <c r="AC190" s="186"/>
      <c r="AD190" s="186"/>
      <c r="AE190" s="186"/>
      <c r="AF190" s="186"/>
      <c r="AG190" s="186"/>
      <c r="AH190" s="186"/>
      <c r="AI190" s="186"/>
      <c r="AJ190" s="186"/>
      <c r="AK190" s="186"/>
      <c r="AL190" s="186"/>
      <c r="AM190" s="186"/>
      <c r="AN190" s="186"/>
      <c r="AO190" s="186"/>
      <c r="AP190" s="186"/>
      <c r="AQ190" s="186"/>
      <c r="AR190" s="186"/>
      <c r="AS190" s="186"/>
      <c r="AT190" s="186"/>
      <c r="AU190" s="186"/>
      <c r="AV190" s="186"/>
      <c r="AW190" s="186"/>
      <c r="AX190" s="186"/>
      <c r="AY190" s="186"/>
      <c r="AZ190" s="186"/>
    </row>
    <row r="191" spans="1:52" x14ac:dyDescent="0.2">
      <c r="A191" s="186"/>
      <c r="Y191" s="186"/>
      <c r="Z191" s="186"/>
      <c r="AA191" s="186"/>
      <c r="AB191" s="186"/>
      <c r="AC191" s="186"/>
      <c r="AD191" s="186"/>
      <c r="AE191" s="186"/>
      <c r="AF191" s="186"/>
      <c r="AG191" s="186"/>
      <c r="AH191" s="186"/>
      <c r="AI191" s="186"/>
      <c r="AJ191" s="186"/>
      <c r="AK191" s="186"/>
      <c r="AL191" s="186"/>
      <c r="AM191" s="186"/>
      <c r="AN191" s="186"/>
      <c r="AO191" s="186"/>
      <c r="AP191" s="186"/>
      <c r="AQ191" s="186"/>
      <c r="AR191" s="186"/>
      <c r="AS191" s="186"/>
      <c r="AT191" s="186"/>
      <c r="AU191" s="186"/>
      <c r="AV191" s="186"/>
      <c r="AW191" s="186"/>
      <c r="AX191" s="186"/>
      <c r="AY191" s="186"/>
      <c r="AZ191" s="186"/>
    </row>
    <row r="192" spans="1:52" x14ac:dyDescent="0.2">
      <c r="A192" s="186"/>
      <c r="Y192" s="186"/>
      <c r="Z192" s="186"/>
      <c r="AA192" s="186"/>
      <c r="AB192" s="186"/>
      <c r="AC192" s="186"/>
      <c r="AD192" s="186"/>
      <c r="AE192" s="186"/>
      <c r="AF192" s="186"/>
      <c r="AG192" s="186"/>
      <c r="AH192" s="186"/>
      <c r="AI192" s="186"/>
      <c r="AJ192" s="186"/>
      <c r="AK192" s="186"/>
      <c r="AL192" s="186"/>
      <c r="AM192" s="186"/>
      <c r="AN192" s="186"/>
      <c r="AO192" s="186"/>
      <c r="AP192" s="186"/>
      <c r="AQ192" s="186"/>
      <c r="AR192" s="186"/>
      <c r="AS192" s="186"/>
      <c r="AT192" s="186"/>
      <c r="AU192" s="186"/>
      <c r="AV192" s="186"/>
      <c r="AW192" s="186"/>
      <c r="AX192" s="186"/>
      <c r="AY192" s="186"/>
      <c r="AZ192" s="186"/>
    </row>
    <row r="193" spans="1:52" x14ac:dyDescent="0.2">
      <c r="A193" s="186"/>
      <c r="Y193" s="186"/>
      <c r="Z193" s="186"/>
      <c r="AA193" s="186"/>
      <c r="AB193" s="186"/>
      <c r="AC193" s="186"/>
      <c r="AD193" s="186"/>
      <c r="AE193" s="186"/>
      <c r="AF193" s="186"/>
      <c r="AG193" s="186"/>
      <c r="AH193" s="186"/>
      <c r="AI193" s="186"/>
      <c r="AJ193" s="186"/>
      <c r="AK193" s="186"/>
      <c r="AL193" s="186"/>
      <c r="AM193" s="186"/>
      <c r="AN193" s="186"/>
      <c r="AO193" s="186"/>
      <c r="AP193" s="186"/>
      <c r="AQ193" s="186"/>
      <c r="AR193" s="186"/>
      <c r="AS193" s="186"/>
      <c r="AT193" s="186"/>
      <c r="AU193" s="186"/>
      <c r="AV193" s="186"/>
      <c r="AW193" s="186"/>
      <c r="AX193" s="186"/>
      <c r="AY193" s="186"/>
      <c r="AZ193" s="186"/>
    </row>
    <row r="194" spans="1:52" x14ac:dyDescent="0.2">
      <c r="A194" s="186"/>
      <c r="Y194" s="186"/>
      <c r="Z194" s="186"/>
      <c r="AA194" s="186"/>
      <c r="AB194" s="186"/>
      <c r="AC194" s="186"/>
      <c r="AD194" s="186"/>
      <c r="AE194" s="186"/>
      <c r="AF194" s="186"/>
      <c r="AG194" s="186"/>
      <c r="AH194" s="186"/>
      <c r="AI194" s="186"/>
      <c r="AJ194" s="186"/>
      <c r="AK194" s="186"/>
      <c r="AL194" s="186"/>
      <c r="AM194" s="186"/>
      <c r="AN194" s="186"/>
      <c r="AO194" s="186"/>
      <c r="AP194" s="186"/>
      <c r="AQ194" s="186"/>
      <c r="AR194" s="186"/>
      <c r="AS194" s="186"/>
      <c r="AT194" s="186"/>
      <c r="AU194" s="186"/>
      <c r="AV194" s="186"/>
      <c r="AW194" s="186"/>
      <c r="AX194" s="186"/>
      <c r="AY194" s="186"/>
      <c r="AZ194" s="186"/>
    </row>
    <row r="195" spans="1:52" x14ac:dyDescent="0.2">
      <c r="A195" s="186"/>
      <c r="Y195" s="186"/>
      <c r="Z195" s="186"/>
      <c r="AA195" s="186"/>
      <c r="AB195" s="186"/>
      <c r="AC195" s="186"/>
      <c r="AD195" s="186"/>
      <c r="AE195" s="186"/>
      <c r="AF195" s="186"/>
      <c r="AG195" s="186"/>
      <c r="AH195" s="186"/>
      <c r="AI195" s="186"/>
      <c r="AJ195" s="186"/>
      <c r="AK195" s="186"/>
      <c r="AL195" s="186"/>
      <c r="AM195" s="186"/>
      <c r="AN195" s="186"/>
      <c r="AO195" s="186"/>
      <c r="AP195" s="186"/>
      <c r="AQ195" s="186"/>
      <c r="AR195" s="186"/>
      <c r="AS195" s="186"/>
      <c r="AT195" s="186"/>
      <c r="AU195" s="186"/>
      <c r="AV195" s="186"/>
      <c r="AW195" s="186"/>
      <c r="AX195" s="186"/>
      <c r="AY195" s="186"/>
      <c r="AZ195" s="186"/>
    </row>
    <row r="196" spans="1:52" x14ac:dyDescent="0.2">
      <c r="A196" s="186"/>
      <c r="Y196" s="186"/>
      <c r="Z196" s="186"/>
      <c r="AA196" s="186"/>
      <c r="AB196" s="186"/>
      <c r="AC196" s="186"/>
      <c r="AD196" s="186"/>
      <c r="AE196" s="186"/>
      <c r="AF196" s="186"/>
      <c r="AG196" s="186"/>
      <c r="AH196" s="186"/>
      <c r="AI196" s="186"/>
      <c r="AJ196" s="186"/>
      <c r="AK196" s="186"/>
      <c r="AL196" s="186"/>
      <c r="AM196" s="186"/>
      <c r="AN196" s="186"/>
      <c r="AO196" s="186"/>
      <c r="AP196" s="186"/>
      <c r="AQ196" s="186"/>
      <c r="AR196" s="186"/>
      <c r="AS196" s="186"/>
      <c r="AT196" s="186"/>
      <c r="AU196" s="186"/>
      <c r="AV196" s="186"/>
      <c r="AW196" s="186"/>
      <c r="AX196" s="186"/>
      <c r="AY196" s="186"/>
      <c r="AZ196" s="186"/>
    </row>
    <row r="197" spans="1:52" x14ac:dyDescent="0.2">
      <c r="A197" s="186"/>
      <c r="Y197" s="186"/>
      <c r="Z197" s="186"/>
      <c r="AA197" s="186"/>
      <c r="AB197" s="186"/>
      <c r="AC197" s="186"/>
      <c r="AD197" s="186"/>
      <c r="AE197" s="186"/>
      <c r="AF197" s="186"/>
      <c r="AG197" s="186"/>
      <c r="AH197" s="186"/>
      <c r="AI197" s="186"/>
      <c r="AJ197" s="186"/>
      <c r="AK197" s="186"/>
      <c r="AL197" s="186"/>
      <c r="AM197" s="186"/>
      <c r="AN197" s="186"/>
      <c r="AO197" s="186"/>
      <c r="AP197" s="186"/>
      <c r="AQ197" s="186"/>
      <c r="AR197" s="186"/>
      <c r="AS197" s="186"/>
      <c r="AT197" s="186"/>
      <c r="AU197" s="186"/>
      <c r="AV197" s="186"/>
      <c r="AW197" s="186"/>
      <c r="AX197" s="186"/>
      <c r="AY197" s="186"/>
      <c r="AZ197" s="186"/>
    </row>
    <row r="198" spans="1:52" x14ac:dyDescent="0.2">
      <c r="A198" s="186"/>
      <c r="Y198" s="186"/>
      <c r="Z198" s="186"/>
      <c r="AA198" s="186"/>
      <c r="AB198" s="186"/>
      <c r="AC198" s="186"/>
      <c r="AD198" s="186"/>
      <c r="AE198" s="186"/>
      <c r="AF198" s="186"/>
      <c r="AG198" s="186"/>
      <c r="AH198" s="186"/>
      <c r="AI198" s="186"/>
      <c r="AJ198" s="186"/>
      <c r="AK198" s="186"/>
      <c r="AL198" s="186"/>
      <c r="AM198" s="186"/>
      <c r="AN198" s="186"/>
      <c r="AO198" s="186"/>
      <c r="AP198" s="186"/>
      <c r="AQ198" s="186"/>
      <c r="AR198" s="186"/>
      <c r="AS198" s="186"/>
      <c r="AT198" s="186"/>
      <c r="AU198" s="186"/>
      <c r="AV198" s="186"/>
      <c r="AW198" s="186"/>
      <c r="AX198" s="186"/>
      <c r="AY198" s="186"/>
      <c r="AZ198" s="186"/>
    </row>
    <row r="199" spans="1:52" x14ac:dyDescent="0.2">
      <c r="A199" s="186"/>
      <c r="Y199" s="186"/>
      <c r="Z199" s="186"/>
      <c r="AA199" s="186"/>
      <c r="AB199" s="186"/>
      <c r="AC199" s="186"/>
      <c r="AD199" s="186"/>
      <c r="AE199" s="186"/>
      <c r="AF199" s="186"/>
      <c r="AG199" s="186"/>
      <c r="AH199" s="186"/>
      <c r="AI199" s="186"/>
      <c r="AJ199" s="186"/>
      <c r="AK199" s="186"/>
      <c r="AL199" s="186"/>
      <c r="AM199" s="186"/>
      <c r="AN199" s="186"/>
      <c r="AO199" s="186"/>
      <c r="AP199" s="186"/>
      <c r="AQ199" s="186"/>
      <c r="AR199" s="186"/>
      <c r="AS199" s="186"/>
      <c r="AT199" s="186"/>
      <c r="AU199" s="186"/>
      <c r="AV199" s="186"/>
      <c r="AW199" s="186"/>
      <c r="AX199" s="186"/>
      <c r="AY199" s="186"/>
      <c r="AZ199" s="186"/>
    </row>
    <row r="200" spans="1:52" x14ac:dyDescent="0.2">
      <c r="A200" s="186"/>
      <c r="Y200" s="186"/>
      <c r="Z200" s="186"/>
      <c r="AA200" s="186"/>
      <c r="AB200" s="186"/>
      <c r="AC200" s="186"/>
      <c r="AD200" s="186"/>
      <c r="AE200" s="186"/>
      <c r="AF200" s="186"/>
      <c r="AG200" s="186"/>
      <c r="AH200" s="186"/>
      <c r="AI200" s="186"/>
      <c r="AJ200" s="186"/>
      <c r="AK200" s="186"/>
      <c r="AL200" s="186"/>
      <c r="AM200" s="186"/>
      <c r="AN200" s="186"/>
      <c r="AO200" s="186"/>
      <c r="AP200" s="186"/>
      <c r="AQ200" s="186"/>
      <c r="AR200" s="186"/>
      <c r="AS200" s="186"/>
      <c r="AT200" s="186"/>
      <c r="AU200" s="186"/>
      <c r="AV200" s="186"/>
      <c r="AW200" s="186"/>
      <c r="AX200" s="186"/>
      <c r="AY200" s="186"/>
      <c r="AZ200" s="186"/>
    </row>
    <row r="201" spans="1:52" x14ac:dyDescent="0.2">
      <c r="A201" s="186"/>
      <c r="Y201" s="186"/>
      <c r="Z201" s="186"/>
      <c r="AA201" s="186"/>
      <c r="AB201" s="186"/>
      <c r="AC201" s="186"/>
      <c r="AD201" s="186"/>
      <c r="AE201" s="186"/>
      <c r="AF201" s="186"/>
      <c r="AG201" s="186"/>
      <c r="AH201" s="186"/>
      <c r="AI201" s="186"/>
      <c r="AJ201" s="186"/>
      <c r="AK201" s="186"/>
      <c r="AL201" s="186"/>
      <c r="AM201" s="186"/>
      <c r="AN201" s="186"/>
      <c r="AO201" s="186"/>
      <c r="AP201" s="186"/>
      <c r="AQ201" s="186"/>
      <c r="AR201" s="186"/>
      <c r="AS201" s="186"/>
      <c r="AT201" s="186"/>
      <c r="AU201" s="186"/>
      <c r="AV201" s="186"/>
      <c r="AW201" s="186"/>
      <c r="AX201" s="186"/>
      <c r="AY201" s="186"/>
      <c r="AZ201" s="186"/>
    </row>
    <row r="202" spans="1:52" x14ac:dyDescent="0.2">
      <c r="A202" s="186"/>
      <c r="Y202" s="186"/>
      <c r="Z202" s="186"/>
      <c r="AA202" s="186"/>
      <c r="AB202" s="186"/>
      <c r="AC202" s="186"/>
      <c r="AD202" s="186"/>
      <c r="AE202" s="186"/>
      <c r="AF202" s="186"/>
      <c r="AG202" s="186"/>
      <c r="AH202" s="186"/>
      <c r="AI202" s="186"/>
      <c r="AJ202" s="186"/>
      <c r="AK202" s="186"/>
      <c r="AL202" s="186"/>
      <c r="AM202" s="186"/>
      <c r="AN202" s="186"/>
      <c r="AO202" s="186"/>
      <c r="AP202" s="186"/>
      <c r="AQ202" s="186"/>
      <c r="AR202" s="186"/>
      <c r="AS202" s="186"/>
      <c r="AT202" s="186"/>
      <c r="AU202" s="186"/>
      <c r="AV202" s="186"/>
      <c r="AW202" s="186"/>
      <c r="AX202" s="186"/>
      <c r="AY202" s="186"/>
      <c r="AZ202" s="186"/>
    </row>
    <row r="203" spans="1:52" x14ac:dyDescent="0.2">
      <c r="A203" s="186"/>
      <c r="Y203" s="186"/>
      <c r="Z203" s="186"/>
      <c r="AA203" s="186"/>
      <c r="AB203" s="186"/>
      <c r="AC203" s="186"/>
      <c r="AD203" s="186"/>
      <c r="AE203" s="186"/>
      <c r="AF203" s="186"/>
      <c r="AG203" s="186"/>
      <c r="AH203" s="186"/>
      <c r="AI203" s="186"/>
      <c r="AJ203" s="186"/>
      <c r="AK203" s="186"/>
      <c r="AL203" s="186"/>
      <c r="AM203" s="186"/>
      <c r="AN203" s="186"/>
      <c r="AO203" s="186"/>
      <c r="AP203" s="186"/>
      <c r="AQ203" s="186"/>
      <c r="AR203" s="186"/>
      <c r="AS203" s="186"/>
      <c r="AT203" s="186"/>
      <c r="AU203" s="186"/>
      <c r="AV203" s="186"/>
      <c r="AW203" s="186"/>
      <c r="AX203" s="186"/>
      <c r="AY203" s="186"/>
      <c r="AZ203" s="186"/>
    </row>
    <row r="204" spans="1:52" x14ac:dyDescent="0.2">
      <c r="A204" s="186"/>
      <c r="Y204" s="186"/>
      <c r="Z204" s="186"/>
      <c r="AA204" s="186"/>
      <c r="AB204" s="186"/>
      <c r="AC204" s="186"/>
      <c r="AD204" s="186"/>
      <c r="AE204" s="186"/>
      <c r="AF204" s="186"/>
      <c r="AG204" s="186"/>
      <c r="AH204" s="186"/>
      <c r="AI204" s="186"/>
      <c r="AJ204" s="186"/>
      <c r="AK204" s="186"/>
      <c r="AL204" s="186"/>
      <c r="AM204" s="186"/>
      <c r="AN204" s="186"/>
      <c r="AO204" s="186"/>
      <c r="AP204" s="186"/>
      <c r="AQ204" s="186"/>
      <c r="AR204" s="186"/>
      <c r="AS204" s="186"/>
      <c r="AT204" s="186"/>
      <c r="AU204" s="186"/>
      <c r="AV204" s="186"/>
      <c r="AW204" s="186"/>
      <c r="AX204" s="186"/>
      <c r="AY204" s="186"/>
      <c r="AZ204" s="186"/>
    </row>
  </sheetData>
  <sheetProtection algorithmName="SHA-512" hashValue="cT3ylB+pYR47xPZYjjoWKEnrAGH1SebfnQfOh4E1HEaUs/G7uPntdqBf8QP4IHhz0C+LhsfpBiJ3JtoIbZwYyg==" saltValue="z6mEfwOsfXRUPzeuPuWqJA==" spinCount="100000" sheet="1" selectLockedCells="1"/>
  <mergeCells count="2">
    <mergeCell ref="G3:P3"/>
    <mergeCell ref="B2:U2"/>
  </mergeCells>
  <phoneticPr fontId="8" type="noConversion"/>
  <conditionalFormatting sqref="G5:I54 L5:P54">
    <cfRule type="expression" dxfId="143" priority="31">
      <formula>OR($E5="", $F5=0)</formula>
    </cfRule>
  </conditionalFormatting>
  <dataValidations count="1">
    <dataValidation type="list" allowBlank="1" showInputMessage="1" showErrorMessage="1" sqref="I5:I54" xr:uid="{B45BF4E6-E17E-48AB-A3FE-82A3056FFF7B}">
      <formula1>List_Y_N</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C07D96C7-5B89-48BB-9866-A4EA4750BB35}">
          <x14:formula1>
            <xm:f>References!$L$103:$L$112</xm:f>
          </x14:formula1>
          <xm:sqref>E3</xm:sqref>
        </x14:dataValidation>
        <x14:dataValidation type="list" allowBlank="1" showInputMessage="1" showErrorMessage="1" xr:uid="{08CA6BE4-C094-4F5A-8EE3-F38FEDD289E8}">
          <x14:formula1>
            <xm:f>References!$G$4:$G$21</xm:f>
          </x14:formula1>
          <xm:sqref>E5:E54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3617D-6A19-4205-A5A1-DD58684D9FF3}">
  <sheetPr>
    <tabColor theme="3"/>
  </sheetPr>
  <dimension ref="A1:AV205"/>
  <sheetViews>
    <sheetView showGridLines="0" showRowColHeaders="0" workbookViewId="0">
      <selection activeCell="E4" sqref="E4"/>
    </sheetView>
  </sheetViews>
  <sheetFormatPr defaultColWidth="9.140625" defaultRowHeight="12.75" customHeight="1" x14ac:dyDescent="0.2"/>
  <cols>
    <col min="1" max="1" width="2.140625" style="183" customWidth="1"/>
    <col min="2" max="2" width="5.28515625" style="183" customWidth="1"/>
    <col min="3" max="3" width="10.140625" style="183" customWidth="1"/>
    <col min="4" max="4" width="19.140625" style="183" bestFit="1" customWidth="1"/>
    <col min="5" max="5" width="23.28515625" style="183" bestFit="1" customWidth="1"/>
    <col min="6" max="6" width="19.7109375" style="209" customWidth="1"/>
    <col min="7" max="11" width="11.85546875" style="183" customWidth="1"/>
    <col min="12" max="12" width="10.7109375" style="183" bestFit="1" customWidth="1"/>
    <col min="13" max="13" width="10" style="183" customWidth="1"/>
    <col min="14" max="14" width="11" style="183" customWidth="1"/>
    <col min="15" max="15" width="12" style="183" customWidth="1"/>
    <col min="16" max="16" width="11.85546875" style="183" customWidth="1"/>
    <col min="17" max="17" width="10.28515625" style="183" customWidth="1"/>
    <col min="18" max="18" width="12.28515625" style="183" customWidth="1"/>
    <col min="19" max="19" width="13.42578125" style="183" customWidth="1"/>
    <col min="20" max="20" width="9.5703125" style="183" customWidth="1"/>
    <col min="21" max="16384" width="9.140625" style="183"/>
  </cols>
  <sheetData>
    <row r="1" spans="1:48" ht="61.5" customHeight="1" x14ac:dyDescent="0.2"/>
    <row r="2" spans="1:48" s="196" customFormat="1" ht="37.5" customHeight="1" x14ac:dyDescent="0.2">
      <c r="B2" s="285" t="s">
        <v>110</v>
      </c>
      <c r="C2" s="285"/>
      <c r="D2" s="285"/>
      <c r="E2" s="285"/>
      <c r="F2" s="285"/>
      <c r="G2" s="285"/>
      <c r="H2" s="285"/>
      <c r="I2" s="285"/>
      <c r="J2" s="285"/>
      <c r="K2" s="285"/>
      <c r="L2" s="285"/>
      <c r="M2" s="285"/>
      <c r="N2" s="285"/>
      <c r="O2" s="285"/>
      <c r="P2" s="285"/>
      <c r="Q2" s="285"/>
      <c r="R2" s="195"/>
      <c r="S2" s="195"/>
      <c r="T2" s="195"/>
    </row>
    <row r="3" spans="1:48" x14ac:dyDescent="0.2">
      <c r="F3" s="183"/>
      <c r="N3" s="186"/>
    </row>
    <row r="4" spans="1:48" x14ac:dyDescent="0.2">
      <c r="A4" s="186"/>
      <c r="D4" s="210" t="s">
        <v>84</v>
      </c>
      <c r="E4" s="223"/>
      <c r="G4" s="291" t="s">
        <v>85</v>
      </c>
      <c r="H4" s="291"/>
      <c r="I4" s="291"/>
      <c r="J4" s="291"/>
      <c r="K4" s="291"/>
      <c r="L4" s="291"/>
      <c r="M4" s="232" t="s">
        <v>86</v>
      </c>
      <c r="N4" s="233">
        <f>SUM(N$6:N$55)</f>
        <v>0</v>
      </c>
      <c r="O4" s="234">
        <f>SUM(O$6:O$55)</f>
        <v>0</v>
      </c>
      <c r="P4" s="235">
        <f>SUM(P$6:P$55)</f>
        <v>0</v>
      </c>
      <c r="Q4" s="236">
        <f>SUM(Q$6:Q$55)</f>
        <v>0</v>
      </c>
      <c r="R4" s="236">
        <f>SUM(Table_PrescriptLights_Input5[Gross measure cost])</f>
        <v>0</v>
      </c>
      <c r="S4" s="236">
        <f>SUM(S$6:S$55)</f>
        <v>0</v>
      </c>
      <c r="T4" s="211" t="str">
        <f>IFERROR(S4/Q4,"")</f>
        <v/>
      </c>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row>
    <row r="5" spans="1:48" s="187" customFormat="1" ht="48" customHeight="1" x14ac:dyDescent="0.2">
      <c r="A5" s="225"/>
      <c r="B5" s="226" t="s">
        <v>87</v>
      </c>
      <c r="C5" s="227" t="s">
        <v>88</v>
      </c>
      <c r="D5" s="228" t="s">
        <v>89</v>
      </c>
      <c r="E5" s="227" t="s">
        <v>111</v>
      </c>
      <c r="F5" s="229" t="s">
        <v>91</v>
      </c>
      <c r="G5" s="230" t="s">
        <v>92</v>
      </c>
      <c r="H5" s="230" t="s">
        <v>112</v>
      </c>
      <c r="I5" s="230" t="s">
        <v>113</v>
      </c>
      <c r="J5" s="230" t="s">
        <v>114</v>
      </c>
      <c r="K5" s="230" t="s">
        <v>115</v>
      </c>
      <c r="L5" s="231" t="s">
        <v>101</v>
      </c>
      <c r="M5" s="229" t="s">
        <v>102</v>
      </c>
      <c r="N5" s="229" t="s">
        <v>103</v>
      </c>
      <c r="O5" s="229" t="s">
        <v>104</v>
      </c>
      <c r="P5" s="229" t="s">
        <v>105</v>
      </c>
      <c r="Q5" s="229" t="s">
        <v>106</v>
      </c>
      <c r="R5" s="229" t="s">
        <v>107</v>
      </c>
      <c r="S5" s="229" t="s">
        <v>108</v>
      </c>
      <c r="T5" s="229" t="s">
        <v>109</v>
      </c>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row>
    <row r="6" spans="1:48" x14ac:dyDescent="0.2">
      <c r="A6" s="212"/>
      <c r="B6" s="213">
        <v>1</v>
      </c>
      <c r="C6" s="185" t="str">
        <f>IFERROR(INDEX(Table_Prescript_Meas[Measure Number], MATCH(E6, Table_Prescript_Meas[Measure Description], 0)), "")</f>
        <v/>
      </c>
      <c r="D6" s="222"/>
      <c r="E6" s="223"/>
      <c r="F6" s="185" t="str">
        <f>IFERROR(INDEX(Table_Prescript_Meas[Units], MATCH(Table_PrescriptLights_Input5[[#This Row],[Measure number]], Table_Prescript_Meas[Measure Number], 0)), "")</f>
        <v/>
      </c>
      <c r="G6" s="214"/>
      <c r="H6" s="215"/>
      <c r="I6" s="237"/>
      <c r="J6" s="238"/>
      <c r="K6" s="238"/>
      <c r="L6" s="218"/>
      <c r="M6"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6" s="219" t="str">
        <f>IF(Table_PrescriptLights_Input5[[#This Row],[Unit capacity (tons)]]="","",IFERROR(Table_PrescriptLights_Input5[[#This Row],[Per-unit incentive]]*Table_PrescriptLights_Input5[[#This Row],[Unit capacity (tons)]]*Table_PrescriptLights_Input5[[#This Row],[Number of units]],""))</f>
        <v/>
      </c>
      <c r="O6" s="220" t="str">
        <f>IF(Table_PrescriptLights_Input5[[#This Row],[Unit capacity (tons)]]="","",Table_PrescriptLights_Input5[[#This Row],[Unit capacity (tons)]]*Table_PrescriptLights_Input5[[#This Row],[Number of units]]*Table_PrescriptLights_Input5[[#This Row],[Part load (IPLV) kW/ton]]*VLOOKUP($E$4,References!$L$103:$O$112,2,FALSE)*0.05)</f>
        <v/>
      </c>
      <c r="P6" s="221" t="str">
        <f>IF(Table_PrescriptLights_Input5[[#This Row],[Unit capacity (tons)]]="","",Table_PrescriptLights_Input5[[#This Row],[Unit capacity (tons)]]*Table_PrescriptLights_Input5[[#This Row],[Number of units]]*Table_PrescriptLights_Input5[[#This Row],[Full load kW/ton]]*VLOOKUP($E$4,References!$L$103:$O$112,4,FALSE)*0.05)</f>
        <v/>
      </c>
      <c r="Q6" s="219" t="str">
        <f>IFERROR(Table_PrescriptLights_Input5[[#This Row],[Energy savings (kWh)]]*Input_AvgkWhRate, "")</f>
        <v/>
      </c>
      <c r="R6" s="219" t="str">
        <f>IF(Table_PrescriptLights_Input5[[#This Row],[Unit capacity (tons)]]="", "",Table_PrescriptLights_Input5[[#This Row],[Total equipment + labor cost]])</f>
        <v/>
      </c>
      <c r="S6" s="219" t="str">
        <f>IFERROR(Table_PrescriptLights_Input5[[#This Row],[Gross measure cost]]-Table_PrescriptLights_Input5[[#This Row],[Estimated incentive]], "")</f>
        <v/>
      </c>
      <c r="T6" s="220" t="str">
        <f t="shared" ref="T6:T55" si="0">IFERROR($S6/$Q6,"")</f>
        <v/>
      </c>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row>
    <row r="7" spans="1:48" x14ac:dyDescent="0.2">
      <c r="A7" s="212"/>
      <c r="B7" s="213">
        <v>2</v>
      </c>
      <c r="C7" s="185" t="str">
        <f>IFERROR(INDEX(Table_Prescript_Meas[Measure Number], MATCH(E7, Table_Prescript_Meas[Measure Description], 0)), "")</f>
        <v/>
      </c>
      <c r="D7" s="222"/>
      <c r="E7" s="223"/>
      <c r="F7" s="185" t="str">
        <f>IFERROR(INDEX(Table_Prescript_Meas[Units], MATCH(Table_PrescriptLights_Input5[[#This Row],[Measure number]], Table_Prescript_Meas[Measure Number], 0)), "")</f>
        <v/>
      </c>
      <c r="G7" s="214"/>
      <c r="H7" s="215"/>
      <c r="I7" s="237"/>
      <c r="J7" s="238"/>
      <c r="K7" s="238"/>
      <c r="L7" s="218"/>
      <c r="M7"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7" s="219" t="str">
        <f>IF(Table_PrescriptLights_Input5[[#This Row],[Unit capacity (tons)]]="","",IFERROR(Table_PrescriptLights_Input5[[#This Row],[Per-unit incentive]]*Table_PrescriptLights_Input5[[#This Row],[Unit capacity (tons)]]*Table_PrescriptLights_Input5[[#This Row],[Number of units]],""))</f>
        <v/>
      </c>
      <c r="O7" s="220" t="str">
        <f>IF(Table_PrescriptLights_Input5[[#This Row],[Unit capacity (tons)]]="","",Table_PrescriptLights_Input5[[#This Row],[Unit capacity (tons)]]*Table_PrescriptLights_Input5[[#This Row],[Number of units]]*Table_PrescriptLights_Input5[[#This Row],[Part load (IPLV) kW/ton]]*VLOOKUP($E$4,References!$L$103:$O$112,2,FALSE)*0.05)</f>
        <v/>
      </c>
      <c r="P7" s="221" t="str">
        <f>IF(Table_PrescriptLights_Input5[[#This Row],[Unit capacity (tons)]]="","",Table_PrescriptLights_Input5[[#This Row],[Unit capacity (tons)]]*Table_PrescriptLights_Input5[[#This Row],[Number of units]]*Table_PrescriptLights_Input5[[#This Row],[Full load kW/ton]]*VLOOKUP($E$4,References!$L$103:$O$112,4,FALSE)*0.05)</f>
        <v/>
      </c>
      <c r="Q7" s="219" t="str">
        <f>IFERROR(Table_PrescriptLights_Input5[[#This Row],[Energy savings (kWh)]]*Input_AvgkWhRate, "")</f>
        <v/>
      </c>
      <c r="R7" s="219" t="str">
        <f>IF(Table_PrescriptLights_Input5[[#This Row],[Unit capacity (tons)]]="", "",Table_PrescriptLights_Input5[[#This Row],[Total equipment + labor cost]])</f>
        <v/>
      </c>
      <c r="S7" s="219" t="str">
        <f>IFERROR(Table_PrescriptLights_Input5[[#This Row],[Gross measure cost]]-Table_PrescriptLights_Input5[[#This Row],[Estimated incentive]], "")</f>
        <v/>
      </c>
      <c r="T7" s="220" t="str">
        <f t="shared" si="0"/>
        <v/>
      </c>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row>
    <row r="8" spans="1:48" x14ac:dyDescent="0.2">
      <c r="A8" s="212"/>
      <c r="B8" s="213">
        <v>3</v>
      </c>
      <c r="C8" s="185" t="str">
        <f>IFERROR(INDEX(Table_Prescript_Meas[Measure Number], MATCH(E8, Table_Prescript_Meas[Measure Description], 0)), "")</f>
        <v/>
      </c>
      <c r="D8" s="222"/>
      <c r="E8" s="223"/>
      <c r="F8" s="185" t="str">
        <f>IFERROR(INDEX(Table_Prescript_Meas[Units], MATCH(Table_PrescriptLights_Input5[[#This Row],[Measure number]], Table_Prescript_Meas[Measure Number], 0)), "")</f>
        <v/>
      </c>
      <c r="G8" s="214"/>
      <c r="H8" s="215"/>
      <c r="I8" s="237"/>
      <c r="J8" s="238"/>
      <c r="K8" s="238"/>
      <c r="L8" s="218"/>
      <c r="M8"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8" s="219" t="str">
        <f>IF(Table_PrescriptLights_Input5[[#This Row],[Unit capacity (tons)]]="","",IFERROR(Table_PrescriptLights_Input5[[#This Row],[Per-unit incentive]]*Table_PrescriptLights_Input5[[#This Row],[Unit capacity (tons)]]*Table_PrescriptLights_Input5[[#This Row],[Number of units]],""))</f>
        <v/>
      </c>
      <c r="O8" s="220" t="str">
        <f>IF(Table_PrescriptLights_Input5[[#This Row],[Unit capacity (tons)]]="","",Table_PrescriptLights_Input5[[#This Row],[Unit capacity (tons)]]*Table_PrescriptLights_Input5[[#This Row],[Number of units]]*Table_PrescriptLights_Input5[[#This Row],[Part load (IPLV) kW/ton]]*VLOOKUP($E$4,References!$L$103:$O$112,2,FALSE)*0.05)</f>
        <v/>
      </c>
      <c r="P8" s="221" t="str">
        <f>IF(Table_PrescriptLights_Input5[[#This Row],[Unit capacity (tons)]]="","",Table_PrescriptLights_Input5[[#This Row],[Unit capacity (tons)]]*Table_PrescriptLights_Input5[[#This Row],[Number of units]]*Table_PrescriptLights_Input5[[#This Row],[Full load kW/ton]]*VLOOKUP($E$4,References!$L$103:$O$112,4,FALSE)*0.05)</f>
        <v/>
      </c>
      <c r="Q8" s="219" t="str">
        <f>IFERROR(Table_PrescriptLights_Input5[[#This Row],[Energy savings (kWh)]]*Input_AvgkWhRate, "")</f>
        <v/>
      </c>
      <c r="R8" s="219" t="str">
        <f>IF(Table_PrescriptLights_Input5[[#This Row],[Unit capacity (tons)]]="", "",Table_PrescriptLights_Input5[[#This Row],[Total equipment + labor cost]])</f>
        <v/>
      </c>
      <c r="S8" s="219" t="str">
        <f>IFERROR(Table_PrescriptLights_Input5[[#This Row],[Gross measure cost]]-Table_PrescriptLights_Input5[[#This Row],[Estimated incentive]], "")</f>
        <v/>
      </c>
      <c r="T8" s="220" t="str">
        <f t="shared" si="0"/>
        <v/>
      </c>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row>
    <row r="9" spans="1:48" x14ac:dyDescent="0.2">
      <c r="A9" s="212"/>
      <c r="B9" s="213">
        <v>4</v>
      </c>
      <c r="C9" s="185" t="str">
        <f>IFERROR(INDEX(Table_Prescript_Meas[Measure Number], MATCH(E9, Table_Prescript_Meas[Measure Description], 0)), "")</f>
        <v/>
      </c>
      <c r="D9" s="222"/>
      <c r="E9" s="223"/>
      <c r="F9" s="185" t="str">
        <f>IFERROR(INDEX(Table_Prescript_Meas[Units], MATCH(Table_PrescriptLights_Input5[[#This Row],[Measure number]], Table_Prescript_Meas[Measure Number], 0)), "")</f>
        <v/>
      </c>
      <c r="G9" s="214"/>
      <c r="H9" s="215"/>
      <c r="I9" s="237"/>
      <c r="J9" s="238"/>
      <c r="K9" s="238"/>
      <c r="L9" s="218"/>
      <c r="M9"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9" s="219" t="str">
        <f>IF(Table_PrescriptLights_Input5[[#This Row],[Unit capacity (tons)]]="","",IFERROR(Table_PrescriptLights_Input5[[#This Row],[Per-unit incentive]]*Table_PrescriptLights_Input5[[#This Row],[Unit capacity (tons)]]*Table_PrescriptLights_Input5[[#This Row],[Number of units]],""))</f>
        <v/>
      </c>
      <c r="O9" s="220" t="str">
        <f>IF(Table_PrescriptLights_Input5[[#This Row],[Unit capacity (tons)]]="","",Table_PrescriptLights_Input5[[#This Row],[Unit capacity (tons)]]*Table_PrescriptLights_Input5[[#This Row],[Number of units]]*Table_PrescriptLights_Input5[[#This Row],[Part load (IPLV) kW/ton]]*VLOOKUP($E$4,References!$L$103:$O$112,2,FALSE)*0.05)</f>
        <v/>
      </c>
      <c r="P9" s="221" t="str">
        <f>IF(Table_PrescriptLights_Input5[[#This Row],[Unit capacity (tons)]]="","",Table_PrescriptLights_Input5[[#This Row],[Unit capacity (tons)]]*Table_PrescriptLights_Input5[[#This Row],[Number of units]]*Table_PrescriptLights_Input5[[#This Row],[Full load kW/ton]]*VLOOKUP($E$4,References!$L$103:$O$112,4,FALSE)*0.05)</f>
        <v/>
      </c>
      <c r="Q9" s="219" t="str">
        <f>IFERROR(Table_PrescriptLights_Input5[[#This Row],[Energy savings (kWh)]]*Input_AvgkWhRate, "")</f>
        <v/>
      </c>
      <c r="R9" s="219" t="str">
        <f>IF(Table_PrescriptLights_Input5[[#This Row],[Unit capacity (tons)]]="", "",Table_PrescriptLights_Input5[[#This Row],[Total equipment + labor cost]])</f>
        <v/>
      </c>
      <c r="S9" s="219" t="str">
        <f>IFERROR(Table_PrescriptLights_Input5[[#This Row],[Gross measure cost]]-Table_PrescriptLights_Input5[[#This Row],[Estimated incentive]], "")</f>
        <v/>
      </c>
      <c r="T9" s="220" t="str">
        <f t="shared" si="0"/>
        <v/>
      </c>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row>
    <row r="10" spans="1:48" x14ac:dyDescent="0.2">
      <c r="A10" s="212"/>
      <c r="B10" s="213">
        <v>5</v>
      </c>
      <c r="C10" s="185" t="str">
        <f>IFERROR(INDEX(Table_Prescript_Meas[Measure Number], MATCH(E10, Table_Prescript_Meas[Measure Description], 0)), "")</f>
        <v/>
      </c>
      <c r="D10" s="222"/>
      <c r="E10" s="223"/>
      <c r="F10" s="185" t="str">
        <f>IFERROR(INDEX(Table_Prescript_Meas[Units], MATCH(Table_PrescriptLights_Input5[[#This Row],[Measure number]], Table_Prescript_Meas[Measure Number], 0)), "")</f>
        <v/>
      </c>
      <c r="G10" s="214"/>
      <c r="H10" s="215"/>
      <c r="I10" s="237"/>
      <c r="J10" s="238"/>
      <c r="K10" s="238"/>
      <c r="L10" s="218"/>
      <c r="M10"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0" s="219" t="str">
        <f>IF(Table_PrescriptLights_Input5[[#This Row],[Unit capacity (tons)]]="","",IFERROR(Table_PrescriptLights_Input5[[#This Row],[Per-unit incentive]]*Table_PrescriptLights_Input5[[#This Row],[Unit capacity (tons)]]*Table_PrescriptLights_Input5[[#This Row],[Number of units]],""))</f>
        <v/>
      </c>
      <c r="O10" s="220" t="str">
        <f>IF(Table_PrescriptLights_Input5[[#This Row],[Unit capacity (tons)]]="","",Table_PrescriptLights_Input5[[#This Row],[Unit capacity (tons)]]*Table_PrescriptLights_Input5[[#This Row],[Number of units]]*Table_PrescriptLights_Input5[[#This Row],[Part load (IPLV) kW/ton]]*VLOOKUP($E$4,References!$L$103:$O$112,2,FALSE)*0.05)</f>
        <v/>
      </c>
      <c r="P10" s="221" t="str">
        <f>IF(Table_PrescriptLights_Input5[[#This Row],[Unit capacity (tons)]]="","",Table_PrescriptLights_Input5[[#This Row],[Unit capacity (tons)]]*Table_PrescriptLights_Input5[[#This Row],[Number of units]]*Table_PrescriptLights_Input5[[#This Row],[Full load kW/ton]]*VLOOKUP($E$4,References!$L$103:$O$112,4,FALSE)*0.05)</f>
        <v/>
      </c>
      <c r="Q10" s="219" t="str">
        <f>IFERROR(Table_PrescriptLights_Input5[[#This Row],[Energy savings (kWh)]]*Input_AvgkWhRate, "")</f>
        <v/>
      </c>
      <c r="R10" s="219" t="str">
        <f>IF(Table_PrescriptLights_Input5[[#This Row],[Unit capacity (tons)]]="", "",Table_PrescriptLights_Input5[[#This Row],[Total equipment + labor cost]])</f>
        <v/>
      </c>
      <c r="S10" s="219" t="str">
        <f>IFERROR(Table_PrescriptLights_Input5[[#This Row],[Gross measure cost]]-Table_PrescriptLights_Input5[[#This Row],[Estimated incentive]], "")</f>
        <v/>
      </c>
      <c r="T10" s="220" t="str">
        <f t="shared" si="0"/>
        <v/>
      </c>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row>
    <row r="11" spans="1:48" x14ac:dyDescent="0.2">
      <c r="A11" s="212"/>
      <c r="B11" s="213">
        <v>6</v>
      </c>
      <c r="C11" s="185" t="str">
        <f>IFERROR(INDEX(Table_Prescript_Meas[Measure Number], MATCH(E11, Table_Prescript_Meas[Measure Description], 0)), "")</f>
        <v/>
      </c>
      <c r="D11" s="222"/>
      <c r="E11" s="223"/>
      <c r="F11" s="185" t="str">
        <f>IFERROR(INDEX(Table_Prescript_Meas[Units], MATCH(Table_PrescriptLights_Input5[[#This Row],[Measure number]], Table_Prescript_Meas[Measure Number], 0)), "")</f>
        <v/>
      </c>
      <c r="G11" s="214"/>
      <c r="H11" s="215"/>
      <c r="I11" s="237"/>
      <c r="J11" s="238"/>
      <c r="K11" s="238"/>
      <c r="L11" s="218"/>
      <c r="M11"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1" s="219" t="str">
        <f>IF(Table_PrescriptLights_Input5[[#This Row],[Unit capacity (tons)]]="","",IFERROR(Table_PrescriptLights_Input5[[#This Row],[Per-unit incentive]]*Table_PrescriptLights_Input5[[#This Row],[Unit capacity (tons)]]*Table_PrescriptLights_Input5[[#This Row],[Number of units]],""))</f>
        <v/>
      </c>
      <c r="O11" s="220" t="str">
        <f>IF(Table_PrescriptLights_Input5[[#This Row],[Unit capacity (tons)]]="","",Table_PrescriptLights_Input5[[#This Row],[Unit capacity (tons)]]*Table_PrescriptLights_Input5[[#This Row],[Number of units]]*Table_PrescriptLights_Input5[[#This Row],[Part load (IPLV) kW/ton]]*VLOOKUP($E$4,References!$L$103:$O$112,2,FALSE)*0.05)</f>
        <v/>
      </c>
      <c r="P11" s="221" t="str">
        <f>IF(Table_PrescriptLights_Input5[[#This Row],[Unit capacity (tons)]]="","",Table_PrescriptLights_Input5[[#This Row],[Unit capacity (tons)]]*Table_PrescriptLights_Input5[[#This Row],[Number of units]]*Table_PrescriptLights_Input5[[#This Row],[Full load kW/ton]]*VLOOKUP($E$4,References!$L$103:$O$112,4,FALSE)*0.05)</f>
        <v/>
      </c>
      <c r="Q11" s="219" t="str">
        <f>IFERROR(Table_PrescriptLights_Input5[[#This Row],[Energy savings (kWh)]]*Input_AvgkWhRate, "")</f>
        <v/>
      </c>
      <c r="R11" s="219" t="str">
        <f>IF(Table_PrescriptLights_Input5[[#This Row],[Unit capacity (tons)]]="", "",Table_PrescriptLights_Input5[[#This Row],[Total equipment + labor cost]])</f>
        <v/>
      </c>
      <c r="S11" s="219" t="str">
        <f>IFERROR(Table_PrescriptLights_Input5[[#This Row],[Gross measure cost]]-Table_PrescriptLights_Input5[[#This Row],[Estimated incentive]], "")</f>
        <v/>
      </c>
      <c r="T11" s="220" t="str">
        <f t="shared" si="0"/>
        <v/>
      </c>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row>
    <row r="12" spans="1:48" x14ac:dyDescent="0.2">
      <c r="A12" s="212"/>
      <c r="B12" s="213">
        <v>7</v>
      </c>
      <c r="C12" s="185" t="str">
        <f>IFERROR(INDEX(Table_Prescript_Meas[Measure Number], MATCH(E12, Table_Prescript_Meas[Measure Description], 0)), "")</f>
        <v/>
      </c>
      <c r="D12" s="222"/>
      <c r="E12" s="223"/>
      <c r="F12" s="185" t="str">
        <f>IFERROR(INDEX(Table_Prescript_Meas[Units], MATCH(Table_PrescriptLights_Input5[[#This Row],[Measure number]], Table_Prescript_Meas[Measure Number], 0)), "")</f>
        <v/>
      </c>
      <c r="G12" s="214"/>
      <c r="H12" s="215"/>
      <c r="I12" s="237"/>
      <c r="J12" s="238"/>
      <c r="K12" s="238"/>
      <c r="L12" s="218"/>
      <c r="M12"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2" s="219" t="str">
        <f>IF(Table_PrescriptLights_Input5[[#This Row],[Unit capacity (tons)]]="","",IFERROR(Table_PrescriptLights_Input5[[#This Row],[Per-unit incentive]]*Table_PrescriptLights_Input5[[#This Row],[Unit capacity (tons)]]*Table_PrescriptLights_Input5[[#This Row],[Number of units]],""))</f>
        <v/>
      </c>
      <c r="O12" s="220" t="str">
        <f>IF(Table_PrescriptLights_Input5[[#This Row],[Unit capacity (tons)]]="","",Table_PrescriptLights_Input5[[#This Row],[Unit capacity (tons)]]*Table_PrescriptLights_Input5[[#This Row],[Number of units]]*Table_PrescriptLights_Input5[[#This Row],[Part load (IPLV) kW/ton]]*VLOOKUP($E$4,References!$L$103:$O$112,2,FALSE)*0.05)</f>
        <v/>
      </c>
      <c r="P12" s="221" t="str">
        <f>IF(Table_PrescriptLights_Input5[[#This Row],[Unit capacity (tons)]]="","",Table_PrescriptLights_Input5[[#This Row],[Unit capacity (tons)]]*Table_PrescriptLights_Input5[[#This Row],[Number of units]]*Table_PrescriptLights_Input5[[#This Row],[Full load kW/ton]]*VLOOKUP($E$4,References!$L$103:$O$112,4,FALSE)*0.05)</f>
        <v/>
      </c>
      <c r="Q12" s="219" t="str">
        <f>IFERROR(Table_PrescriptLights_Input5[[#This Row],[Energy savings (kWh)]]*Input_AvgkWhRate, "")</f>
        <v/>
      </c>
      <c r="R12" s="219" t="str">
        <f>IF(Table_PrescriptLights_Input5[[#This Row],[Unit capacity (tons)]]="", "",Table_PrescriptLights_Input5[[#This Row],[Total equipment + labor cost]])</f>
        <v/>
      </c>
      <c r="S12" s="219" t="str">
        <f>IFERROR(Table_PrescriptLights_Input5[[#This Row],[Gross measure cost]]-Table_PrescriptLights_Input5[[#This Row],[Estimated incentive]], "")</f>
        <v/>
      </c>
      <c r="T12" s="220" t="str">
        <f t="shared" si="0"/>
        <v/>
      </c>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row>
    <row r="13" spans="1:48" x14ac:dyDescent="0.2">
      <c r="A13" s="212"/>
      <c r="B13" s="213">
        <v>8</v>
      </c>
      <c r="C13" s="185" t="str">
        <f>IFERROR(INDEX(Table_Prescript_Meas[Measure Number], MATCH(E13, Table_Prescript_Meas[Measure Description], 0)), "")</f>
        <v/>
      </c>
      <c r="D13" s="222"/>
      <c r="E13" s="223"/>
      <c r="F13" s="185" t="str">
        <f>IFERROR(INDEX(Table_Prescript_Meas[Units], MATCH(Table_PrescriptLights_Input5[[#This Row],[Measure number]], Table_Prescript_Meas[Measure Number], 0)), "")</f>
        <v/>
      </c>
      <c r="G13" s="214"/>
      <c r="H13" s="215"/>
      <c r="I13" s="237"/>
      <c r="J13" s="238"/>
      <c r="K13" s="238"/>
      <c r="L13" s="218"/>
      <c r="M13"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3" s="219" t="str">
        <f>IF(Table_PrescriptLights_Input5[[#This Row],[Unit capacity (tons)]]="","",IFERROR(Table_PrescriptLights_Input5[[#This Row],[Per-unit incentive]]*Table_PrescriptLights_Input5[[#This Row],[Unit capacity (tons)]]*Table_PrescriptLights_Input5[[#This Row],[Number of units]],""))</f>
        <v/>
      </c>
      <c r="O13" s="220" t="str">
        <f>IF(Table_PrescriptLights_Input5[[#This Row],[Unit capacity (tons)]]="","",Table_PrescriptLights_Input5[[#This Row],[Unit capacity (tons)]]*Table_PrescriptLights_Input5[[#This Row],[Number of units]]*Table_PrescriptLights_Input5[[#This Row],[Part load (IPLV) kW/ton]]*VLOOKUP($E$4,References!$L$103:$O$112,2,FALSE)*0.05)</f>
        <v/>
      </c>
      <c r="P13" s="221" t="str">
        <f>IF(Table_PrescriptLights_Input5[[#This Row],[Unit capacity (tons)]]="","",Table_PrescriptLights_Input5[[#This Row],[Unit capacity (tons)]]*Table_PrescriptLights_Input5[[#This Row],[Number of units]]*Table_PrescriptLights_Input5[[#This Row],[Full load kW/ton]]*VLOOKUP($E$4,References!$L$103:$O$112,4,FALSE)*0.05)</f>
        <v/>
      </c>
      <c r="Q13" s="219" t="str">
        <f>IFERROR(Table_PrescriptLights_Input5[[#This Row],[Energy savings (kWh)]]*Input_AvgkWhRate, "")</f>
        <v/>
      </c>
      <c r="R13" s="219" t="str">
        <f>IF(Table_PrescriptLights_Input5[[#This Row],[Unit capacity (tons)]]="", "",Table_PrescriptLights_Input5[[#This Row],[Total equipment + labor cost]])</f>
        <v/>
      </c>
      <c r="S13" s="219" t="str">
        <f>IFERROR(Table_PrescriptLights_Input5[[#This Row],[Gross measure cost]]-Table_PrescriptLights_Input5[[#This Row],[Estimated incentive]], "")</f>
        <v/>
      </c>
      <c r="T13" s="220" t="str">
        <f t="shared" si="0"/>
        <v/>
      </c>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row>
    <row r="14" spans="1:48" x14ac:dyDescent="0.2">
      <c r="A14" s="212"/>
      <c r="B14" s="213">
        <v>9</v>
      </c>
      <c r="C14" s="185" t="str">
        <f>IFERROR(INDEX(Table_Prescript_Meas[Measure Number], MATCH(E14, Table_Prescript_Meas[Measure Description], 0)), "")</f>
        <v/>
      </c>
      <c r="D14" s="222"/>
      <c r="E14" s="223"/>
      <c r="F14" s="185" t="str">
        <f>IFERROR(INDEX(Table_Prescript_Meas[Units], MATCH(Table_PrescriptLights_Input5[[#This Row],[Measure number]], Table_Prescript_Meas[Measure Number], 0)), "")</f>
        <v/>
      </c>
      <c r="G14" s="214"/>
      <c r="H14" s="215"/>
      <c r="I14" s="237"/>
      <c r="J14" s="238"/>
      <c r="K14" s="238"/>
      <c r="L14" s="218"/>
      <c r="M14"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4" s="219" t="str">
        <f>IF(Table_PrescriptLights_Input5[[#This Row],[Unit capacity (tons)]]="","",IFERROR(Table_PrescriptLights_Input5[[#This Row],[Per-unit incentive]]*Table_PrescriptLights_Input5[[#This Row],[Unit capacity (tons)]]*Table_PrescriptLights_Input5[[#This Row],[Number of units]],""))</f>
        <v/>
      </c>
      <c r="O14" s="220" t="str">
        <f>IF(Table_PrescriptLights_Input5[[#This Row],[Unit capacity (tons)]]="","",Table_PrescriptLights_Input5[[#This Row],[Unit capacity (tons)]]*Table_PrescriptLights_Input5[[#This Row],[Number of units]]*Table_PrescriptLights_Input5[[#This Row],[Part load (IPLV) kW/ton]]*VLOOKUP($E$4,References!$L$103:$O$112,2,FALSE)*0.05)</f>
        <v/>
      </c>
      <c r="P14" s="221" t="str">
        <f>IF(Table_PrescriptLights_Input5[[#This Row],[Unit capacity (tons)]]="","",Table_PrescriptLights_Input5[[#This Row],[Unit capacity (tons)]]*Table_PrescriptLights_Input5[[#This Row],[Number of units]]*Table_PrescriptLights_Input5[[#This Row],[Full load kW/ton]]*VLOOKUP($E$4,References!$L$103:$O$112,4,FALSE)*0.05)</f>
        <v/>
      </c>
      <c r="Q14" s="219" t="str">
        <f>IFERROR(Table_PrescriptLights_Input5[[#This Row],[Energy savings (kWh)]]*Input_AvgkWhRate, "")</f>
        <v/>
      </c>
      <c r="R14" s="219" t="str">
        <f>IF(Table_PrescriptLights_Input5[[#This Row],[Unit capacity (tons)]]="", "",Table_PrescriptLights_Input5[[#This Row],[Total equipment + labor cost]])</f>
        <v/>
      </c>
      <c r="S14" s="219" t="str">
        <f>IFERROR(Table_PrescriptLights_Input5[[#This Row],[Gross measure cost]]-Table_PrescriptLights_Input5[[#This Row],[Estimated incentive]], "")</f>
        <v/>
      </c>
      <c r="T14" s="220" t="str">
        <f t="shared" si="0"/>
        <v/>
      </c>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row>
    <row r="15" spans="1:48" x14ac:dyDescent="0.2">
      <c r="A15" s="212"/>
      <c r="B15" s="213">
        <v>10</v>
      </c>
      <c r="C15" s="185" t="str">
        <f>IFERROR(INDEX(Table_Prescript_Meas[Measure Number], MATCH(E15, Table_Prescript_Meas[Measure Description], 0)), "")</f>
        <v/>
      </c>
      <c r="D15" s="222"/>
      <c r="E15" s="223"/>
      <c r="F15" s="185" t="str">
        <f>IFERROR(INDEX(Table_Prescript_Meas[Units], MATCH(Table_PrescriptLights_Input5[[#This Row],[Measure number]], Table_Prescript_Meas[Measure Number], 0)), "")</f>
        <v/>
      </c>
      <c r="G15" s="214"/>
      <c r="H15" s="215"/>
      <c r="I15" s="237"/>
      <c r="J15" s="238"/>
      <c r="K15" s="238"/>
      <c r="L15" s="218"/>
      <c r="M15"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5" s="219" t="str">
        <f>IF(Table_PrescriptLights_Input5[[#This Row],[Unit capacity (tons)]]="","",IFERROR(Table_PrescriptLights_Input5[[#This Row],[Per-unit incentive]]*Table_PrescriptLights_Input5[[#This Row],[Unit capacity (tons)]]*Table_PrescriptLights_Input5[[#This Row],[Number of units]],""))</f>
        <v/>
      </c>
      <c r="O15" s="220" t="str">
        <f>IF(Table_PrescriptLights_Input5[[#This Row],[Unit capacity (tons)]]="","",Table_PrescriptLights_Input5[[#This Row],[Unit capacity (tons)]]*Table_PrescriptLights_Input5[[#This Row],[Number of units]]*Table_PrescriptLights_Input5[[#This Row],[Part load (IPLV) kW/ton]]*VLOOKUP($E$4,References!$L$103:$O$112,2,FALSE)*0.05)</f>
        <v/>
      </c>
      <c r="P15" s="221" t="str">
        <f>IF(Table_PrescriptLights_Input5[[#This Row],[Unit capacity (tons)]]="","",Table_PrescriptLights_Input5[[#This Row],[Unit capacity (tons)]]*Table_PrescriptLights_Input5[[#This Row],[Number of units]]*Table_PrescriptLights_Input5[[#This Row],[Full load kW/ton]]*VLOOKUP($E$4,References!$L$103:$O$112,4,FALSE)*0.05)</f>
        <v/>
      </c>
      <c r="Q15" s="219" t="str">
        <f>IFERROR(Table_PrescriptLights_Input5[[#This Row],[Energy savings (kWh)]]*Input_AvgkWhRate, "")</f>
        <v/>
      </c>
      <c r="R15" s="219" t="str">
        <f>IF(Table_PrescriptLights_Input5[[#This Row],[Unit capacity (tons)]]="", "",Table_PrescriptLights_Input5[[#This Row],[Total equipment + labor cost]])</f>
        <v/>
      </c>
      <c r="S15" s="219" t="str">
        <f>IFERROR(Table_PrescriptLights_Input5[[#This Row],[Gross measure cost]]-Table_PrescriptLights_Input5[[#This Row],[Estimated incentive]], "")</f>
        <v/>
      </c>
      <c r="T15" s="220" t="str">
        <f t="shared" si="0"/>
        <v/>
      </c>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row>
    <row r="16" spans="1:48" x14ac:dyDescent="0.2">
      <c r="A16" s="212"/>
      <c r="B16" s="213">
        <v>11</v>
      </c>
      <c r="C16" s="185" t="str">
        <f>IFERROR(INDEX(Table_Prescript_Meas[Measure Number], MATCH(E16, Table_Prescript_Meas[Measure Description], 0)), "")</f>
        <v/>
      </c>
      <c r="D16" s="222"/>
      <c r="E16" s="223"/>
      <c r="F16" s="185" t="str">
        <f>IFERROR(INDEX(Table_Prescript_Meas[Units], MATCH(Table_PrescriptLights_Input5[[#This Row],[Measure number]], Table_Prescript_Meas[Measure Number], 0)), "")</f>
        <v/>
      </c>
      <c r="G16" s="214"/>
      <c r="H16" s="215"/>
      <c r="I16" s="237"/>
      <c r="J16" s="238"/>
      <c r="K16" s="238"/>
      <c r="L16" s="218"/>
      <c r="M16"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6" s="219" t="str">
        <f>IF(Table_PrescriptLights_Input5[[#This Row],[Unit capacity (tons)]]="","",IFERROR(Table_PrescriptLights_Input5[[#This Row],[Per-unit incentive]]*Table_PrescriptLights_Input5[[#This Row],[Unit capacity (tons)]]*Table_PrescriptLights_Input5[[#This Row],[Number of units]],""))</f>
        <v/>
      </c>
      <c r="O16" s="220" t="str">
        <f>IF(Table_PrescriptLights_Input5[[#This Row],[Unit capacity (tons)]]="","",Table_PrescriptLights_Input5[[#This Row],[Unit capacity (tons)]]*Table_PrescriptLights_Input5[[#This Row],[Number of units]]*Table_PrescriptLights_Input5[[#This Row],[Part load (IPLV) kW/ton]]*VLOOKUP($E$4,References!$L$103:$O$112,2,FALSE)*0.05)</f>
        <v/>
      </c>
      <c r="P16" s="221" t="str">
        <f>IF(Table_PrescriptLights_Input5[[#This Row],[Unit capacity (tons)]]="","",Table_PrescriptLights_Input5[[#This Row],[Unit capacity (tons)]]*Table_PrescriptLights_Input5[[#This Row],[Number of units]]*Table_PrescriptLights_Input5[[#This Row],[Full load kW/ton]]*VLOOKUP($E$4,References!$L$103:$O$112,4,FALSE)*0.05)</f>
        <v/>
      </c>
      <c r="Q16" s="219" t="str">
        <f>IFERROR(Table_PrescriptLights_Input5[[#This Row],[Energy savings (kWh)]]*Input_AvgkWhRate, "")</f>
        <v/>
      </c>
      <c r="R16" s="219" t="str">
        <f>IF(Table_PrescriptLights_Input5[[#This Row],[Unit capacity (tons)]]="", "",Table_PrescriptLights_Input5[[#This Row],[Total equipment + labor cost]])</f>
        <v/>
      </c>
      <c r="S16" s="219" t="str">
        <f>IFERROR(Table_PrescriptLights_Input5[[#This Row],[Gross measure cost]]-Table_PrescriptLights_Input5[[#This Row],[Estimated incentive]], "")</f>
        <v/>
      </c>
      <c r="T16" s="220" t="str">
        <f t="shared" si="0"/>
        <v/>
      </c>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row>
    <row r="17" spans="1:48" x14ac:dyDescent="0.2">
      <c r="A17" s="212"/>
      <c r="B17" s="213">
        <v>12</v>
      </c>
      <c r="C17" s="185" t="str">
        <f>IFERROR(INDEX(Table_Prescript_Meas[Measure Number], MATCH(E17, Table_Prescript_Meas[Measure Description], 0)), "")</f>
        <v/>
      </c>
      <c r="D17" s="222"/>
      <c r="E17" s="223"/>
      <c r="F17" s="185" t="str">
        <f>IFERROR(INDEX(Table_Prescript_Meas[Units], MATCH(Table_PrescriptLights_Input5[[#This Row],[Measure number]], Table_Prescript_Meas[Measure Number], 0)), "")</f>
        <v/>
      </c>
      <c r="G17" s="214"/>
      <c r="H17" s="215"/>
      <c r="I17" s="237"/>
      <c r="J17" s="238"/>
      <c r="K17" s="238"/>
      <c r="L17" s="218"/>
      <c r="M17"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7" s="219" t="str">
        <f>IF(Table_PrescriptLights_Input5[[#This Row],[Unit capacity (tons)]]="","",IFERROR(Table_PrescriptLights_Input5[[#This Row],[Per-unit incentive]]*Table_PrescriptLights_Input5[[#This Row],[Unit capacity (tons)]]*Table_PrescriptLights_Input5[[#This Row],[Number of units]],""))</f>
        <v/>
      </c>
      <c r="O17" s="220" t="str">
        <f>IF(Table_PrescriptLights_Input5[[#This Row],[Unit capacity (tons)]]="","",Table_PrescriptLights_Input5[[#This Row],[Unit capacity (tons)]]*Table_PrescriptLights_Input5[[#This Row],[Number of units]]*Table_PrescriptLights_Input5[[#This Row],[Part load (IPLV) kW/ton]]*VLOOKUP($E$4,References!$L$103:$O$112,2,FALSE)*0.05)</f>
        <v/>
      </c>
      <c r="P17" s="221" t="str">
        <f>IF(Table_PrescriptLights_Input5[[#This Row],[Unit capacity (tons)]]="","",Table_PrescriptLights_Input5[[#This Row],[Unit capacity (tons)]]*Table_PrescriptLights_Input5[[#This Row],[Number of units]]*Table_PrescriptLights_Input5[[#This Row],[Full load kW/ton]]*VLOOKUP($E$4,References!$L$103:$O$112,4,FALSE)*0.05)</f>
        <v/>
      </c>
      <c r="Q17" s="219" t="str">
        <f>IFERROR(Table_PrescriptLights_Input5[[#This Row],[Energy savings (kWh)]]*Input_AvgkWhRate, "")</f>
        <v/>
      </c>
      <c r="R17" s="219" t="str">
        <f>IF(Table_PrescriptLights_Input5[[#This Row],[Unit capacity (tons)]]="", "",Table_PrescriptLights_Input5[[#This Row],[Total equipment + labor cost]])</f>
        <v/>
      </c>
      <c r="S17" s="219" t="str">
        <f>IFERROR(Table_PrescriptLights_Input5[[#This Row],[Gross measure cost]]-Table_PrescriptLights_Input5[[#This Row],[Estimated incentive]], "")</f>
        <v/>
      </c>
      <c r="T17" s="220" t="str">
        <f t="shared" si="0"/>
        <v/>
      </c>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row>
    <row r="18" spans="1:48" x14ac:dyDescent="0.2">
      <c r="A18" s="212"/>
      <c r="B18" s="213">
        <v>13</v>
      </c>
      <c r="C18" s="185" t="str">
        <f>IFERROR(INDEX(Table_Prescript_Meas[Measure Number], MATCH(E18, Table_Prescript_Meas[Measure Description], 0)), "")</f>
        <v/>
      </c>
      <c r="D18" s="222"/>
      <c r="E18" s="223"/>
      <c r="F18" s="185" t="str">
        <f>IFERROR(INDEX(Table_Prescript_Meas[Units], MATCH(Table_PrescriptLights_Input5[[#This Row],[Measure number]], Table_Prescript_Meas[Measure Number], 0)), "")</f>
        <v/>
      </c>
      <c r="G18" s="214"/>
      <c r="H18" s="215"/>
      <c r="I18" s="237"/>
      <c r="J18" s="238"/>
      <c r="K18" s="238"/>
      <c r="L18" s="218"/>
      <c r="M18"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8" s="219" t="str">
        <f>IF(Table_PrescriptLights_Input5[[#This Row],[Unit capacity (tons)]]="","",IFERROR(Table_PrescriptLights_Input5[[#This Row],[Per-unit incentive]]*Table_PrescriptLights_Input5[[#This Row],[Unit capacity (tons)]]*Table_PrescriptLights_Input5[[#This Row],[Number of units]],""))</f>
        <v/>
      </c>
      <c r="O18" s="220" t="str">
        <f>IF(Table_PrescriptLights_Input5[[#This Row],[Unit capacity (tons)]]="","",Table_PrescriptLights_Input5[[#This Row],[Unit capacity (tons)]]*Table_PrescriptLights_Input5[[#This Row],[Number of units]]*Table_PrescriptLights_Input5[[#This Row],[Part load (IPLV) kW/ton]]*VLOOKUP($E$4,References!$L$103:$O$112,2,FALSE)*0.05)</f>
        <v/>
      </c>
      <c r="P18" s="221" t="str">
        <f>IF(Table_PrescriptLights_Input5[[#This Row],[Unit capacity (tons)]]="","",Table_PrescriptLights_Input5[[#This Row],[Unit capacity (tons)]]*Table_PrescriptLights_Input5[[#This Row],[Number of units]]*Table_PrescriptLights_Input5[[#This Row],[Full load kW/ton]]*VLOOKUP($E$4,References!$L$103:$O$112,4,FALSE)*0.05)</f>
        <v/>
      </c>
      <c r="Q18" s="219" t="str">
        <f>IFERROR(Table_PrescriptLights_Input5[[#This Row],[Energy savings (kWh)]]*Input_AvgkWhRate, "")</f>
        <v/>
      </c>
      <c r="R18" s="219" t="str">
        <f>IF(Table_PrescriptLights_Input5[[#This Row],[Unit capacity (tons)]]="", "",Table_PrescriptLights_Input5[[#This Row],[Total equipment + labor cost]])</f>
        <v/>
      </c>
      <c r="S18" s="219" t="str">
        <f>IFERROR(Table_PrescriptLights_Input5[[#This Row],[Gross measure cost]]-Table_PrescriptLights_Input5[[#This Row],[Estimated incentive]], "")</f>
        <v/>
      </c>
      <c r="T18" s="220" t="str">
        <f t="shared" si="0"/>
        <v/>
      </c>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row>
    <row r="19" spans="1:48" x14ac:dyDescent="0.2">
      <c r="A19" s="212"/>
      <c r="B19" s="213">
        <v>14</v>
      </c>
      <c r="C19" s="185" t="str">
        <f>IFERROR(INDEX(Table_Prescript_Meas[Measure Number], MATCH(E19, Table_Prescript_Meas[Measure Description], 0)), "")</f>
        <v/>
      </c>
      <c r="D19" s="222"/>
      <c r="E19" s="223"/>
      <c r="F19" s="185" t="str">
        <f>IFERROR(INDEX(Table_Prescript_Meas[Units], MATCH(Table_PrescriptLights_Input5[[#This Row],[Measure number]], Table_Prescript_Meas[Measure Number], 0)), "")</f>
        <v/>
      </c>
      <c r="G19" s="214"/>
      <c r="H19" s="215"/>
      <c r="I19" s="237"/>
      <c r="J19" s="238"/>
      <c r="K19" s="238"/>
      <c r="L19" s="218"/>
      <c r="M19"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19" s="219" t="str">
        <f>IF(Table_PrescriptLights_Input5[[#This Row],[Unit capacity (tons)]]="","",IFERROR(Table_PrescriptLights_Input5[[#This Row],[Per-unit incentive]]*Table_PrescriptLights_Input5[[#This Row],[Unit capacity (tons)]]*Table_PrescriptLights_Input5[[#This Row],[Number of units]],""))</f>
        <v/>
      </c>
      <c r="O19" s="220" t="str">
        <f>IF(Table_PrescriptLights_Input5[[#This Row],[Unit capacity (tons)]]="","",Table_PrescriptLights_Input5[[#This Row],[Unit capacity (tons)]]*Table_PrescriptLights_Input5[[#This Row],[Number of units]]*Table_PrescriptLights_Input5[[#This Row],[Part load (IPLV) kW/ton]]*VLOOKUP($E$4,References!$L$103:$O$112,2,FALSE)*0.05)</f>
        <v/>
      </c>
      <c r="P19" s="221" t="str">
        <f>IF(Table_PrescriptLights_Input5[[#This Row],[Unit capacity (tons)]]="","",Table_PrescriptLights_Input5[[#This Row],[Unit capacity (tons)]]*Table_PrescriptLights_Input5[[#This Row],[Number of units]]*Table_PrescriptLights_Input5[[#This Row],[Full load kW/ton]]*VLOOKUP($E$4,References!$L$103:$O$112,4,FALSE)*0.05)</f>
        <v/>
      </c>
      <c r="Q19" s="219" t="str">
        <f>IFERROR(Table_PrescriptLights_Input5[[#This Row],[Energy savings (kWh)]]*Input_AvgkWhRate, "")</f>
        <v/>
      </c>
      <c r="R19" s="219" t="str">
        <f>IF(Table_PrescriptLights_Input5[[#This Row],[Unit capacity (tons)]]="", "",Table_PrescriptLights_Input5[[#This Row],[Total equipment + labor cost]])</f>
        <v/>
      </c>
      <c r="S19" s="219" t="str">
        <f>IFERROR(Table_PrescriptLights_Input5[[#This Row],[Gross measure cost]]-Table_PrescriptLights_Input5[[#This Row],[Estimated incentive]], "")</f>
        <v/>
      </c>
      <c r="T19" s="220" t="str">
        <f t="shared" si="0"/>
        <v/>
      </c>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row>
    <row r="20" spans="1:48" x14ac:dyDescent="0.2">
      <c r="A20" s="212"/>
      <c r="B20" s="213">
        <v>15</v>
      </c>
      <c r="C20" s="185" t="str">
        <f>IFERROR(INDEX(Table_Prescript_Meas[Measure Number], MATCH(E20, Table_Prescript_Meas[Measure Description], 0)), "")</f>
        <v/>
      </c>
      <c r="D20" s="222"/>
      <c r="E20" s="223"/>
      <c r="F20" s="185" t="str">
        <f>IFERROR(INDEX(Table_Prescript_Meas[Units], MATCH(Table_PrescriptLights_Input5[[#This Row],[Measure number]], Table_Prescript_Meas[Measure Number], 0)), "")</f>
        <v/>
      </c>
      <c r="G20" s="214"/>
      <c r="H20" s="215"/>
      <c r="I20" s="237"/>
      <c r="J20" s="238"/>
      <c r="K20" s="238"/>
      <c r="L20" s="218"/>
      <c r="M20"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0" s="219" t="str">
        <f>IF(Table_PrescriptLights_Input5[[#This Row],[Unit capacity (tons)]]="","",IFERROR(Table_PrescriptLights_Input5[[#This Row],[Per-unit incentive]]*Table_PrescriptLights_Input5[[#This Row],[Unit capacity (tons)]]*Table_PrescriptLights_Input5[[#This Row],[Number of units]],""))</f>
        <v/>
      </c>
      <c r="O20" s="220" t="str">
        <f>IF(Table_PrescriptLights_Input5[[#This Row],[Unit capacity (tons)]]="","",Table_PrescriptLights_Input5[[#This Row],[Unit capacity (tons)]]*Table_PrescriptLights_Input5[[#This Row],[Number of units]]*Table_PrescriptLights_Input5[[#This Row],[Part load (IPLV) kW/ton]]*VLOOKUP($E$4,References!$L$103:$O$112,2,FALSE)*0.05)</f>
        <v/>
      </c>
      <c r="P20" s="221" t="str">
        <f>IF(Table_PrescriptLights_Input5[[#This Row],[Unit capacity (tons)]]="","",Table_PrescriptLights_Input5[[#This Row],[Unit capacity (tons)]]*Table_PrescriptLights_Input5[[#This Row],[Number of units]]*Table_PrescriptLights_Input5[[#This Row],[Full load kW/ton]]*VLOOKUP($E$4,References!$L$103:$O$112,4,FALSE)*0.05)</f>
        <v/>
      </c>
      <c r="Q20" s="219" t="str">
        <f>IFERROR(Table_PrescriptLights_Input5[[#This Row],[Energy savings (kWh)]]*Input_AvgkWhRate, "")</f>
        <v/>
      </c>
      <c r="R20" s="219" t="str">
        <f>IF(Table_PrescriptLights_Input5[[#This Row],[Unit capacity (tons)]]="", "",Table_PrescriptLights_Input5[[#This Row],[Total equipment + labor cost]])</f>
        <v/>
      </c>
      <c r="S20" s="219" t="str">
        <f>IFERROR(Table_PrescriptLights_Input5[[#This Row],[Gross measure cost]]-Table_PrescriptLights_Input5[[#This Row],[Estimated incentive]], "")</f>
        <v/>
      </c>
      <c r="T20" s="220" t="str">
        <f t="shared" si="0"/>
        <v/>
      </c>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row>
    <row r="21" spans="1:48" x14ac:dyDescent="0.2">
      <c r="A21" s="212"/>
      <c r="B21" s="213">
        <v>16</v>
      </c>
      <c r="C21" s="185" t="str">
        <f>IFERROR(INDEX(Table_Prescript_Meas[Measure Number], MATCH(E21, Table_Prescript_Meas[Measure Description], 0)), "")</f>
        <v/>
      </c>
      <c r="D21" s="222"/>
      <c r="E21" s="223"/>
      <c r="F21" s="185" t="str">
        <f>IFERROR(INDEX(Table_Prescript_Meas[Units], MATCH(Table_PrescriptLights_Input5[[#This Row],[Measure number]], Table_Prescript_Meas[Measure Number], 0)), "")</f>
        <v/>
      </c>
      <c r="G21" s="214"/>
      <c r="H21" s="215"/>
      <c r="I21" s="237"/>
      <c r="J21" s="238"/>
      <c r="K21" s="238"/>
      <c r="L21" s="218"/>
      <c r="M21"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1" s="219" t="str">
        <f>IF(Table_PrescriptLights_Input5[[#This Row],[Unit capacity (tons)]]="","",IFERROR(Table_PrescriptLights_Input5[[#This Row],[Per-unit incentive]]*Table_PrescriptLights_Input5[[#This Row],[Unit capacity (tons)]]*Table_PrescriptLights_Input5[[#This Row],[Number of units]],""))</f>
        <v/>
      </c>
      <c r="O21" s="220" t="str">
        <f>IF(Table_PrescriptLights_Input5[[#This Row],[Unit capacity (tons)]]="","",Table_PrescriptLights_Input5[[#This Row],[Unit capacity (tons)]]*Table_PrescriptLights_Input5[[#This Row],[Number of units]]*Table_PrescriptLights_Input5[[#This Row],[Part load (IPLV) kW/ton]]*VLOOKUP($E$4,References!$L$103:$O$112,2,FALSE)*0.05)</f>
        <v/>
      </c>
      <c r="P21" s="221" t="str">
        <f>IF(Table_PrescriptLights_Input5[[#This Row],[Unit capacity (tons)]]="","",Table_PrescriptLights_Input5[[#This Row],[Unit capacity (tons)]]*Table_PrescriptLights_Input5[[#This Row],[Number of units]]*Table_PrescriptLights_Input5[[#This Row],[Full load kW/ton]]*VLOOKUP($E$4,References!$L$103:$O$112,4,FALSE)*0.05)</f>
        <v/>
      </c>
      <c r="Q21" s="219" t="str">
        <f>IFERROR(Table_PrescriptLights_Input5[[#This Row],[Energy savings (kWh)]]*Input_AvgkWhRate, "")</f>
        <v/>
      </c>
      <c r="R21" s="219" t="str">
        <f>IF(Table_PrescriptLights_Input5[[#This Row],[Unit capacity (tons)]]="", "",Table_PrescriptLights_Input5[[#This Row],[Total equipment + labor cost]])</f>
        <v/>
      </c>
      <c r="S21" s="219" t="str">
        <f>IFERROR(Table_PrescriptLights_Input5[[#This Row],[Gross measure cost]]-Table_PrescriptLights_Input5[[#This Row],[Estimated incentive]], "")</f>
        <v/>
      </c>
      <c r="T21" s="220" t="str">
        <f t="shared" si="0"/>
        <v/>
      </c>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row>
    <row r="22" spans="1:48" x14ac:dyDescent="0.2">
      <c r="A22" s="212"/>
      <c r="B22" s="213">
        <v>17</v>
      </c>
      <c r="C22" s="185" t="str">
        <f>IFERROR(INDEX(Table_Prescript_Meas[Measure Number], MATCH(E22, Table_Prescript_Meas[Measure Description], 0)), "")</f>
        <v/>
      </c>
      <c r="D22" s="222"/>
      <c r="E22" s="223"/>
      <c r="F22" s="185" t="str">
        <f>IFERROR(INDEX(Table_Prescript_Meas[Units], MATCH(Table_PrescriptLights_Input5[[#This Row],[Measure number]], Table_Prescript_Meas[Measure Number], 0)), "")</f>
        <v/>
      </c>
      <c r="G22" s="214"/>
      <c r="H22" s="215"/>
      <c r="I22" s="237"/>
      <c r="J22" s="238"/>
      <c r="K22" s="238"/>
      <c r="L22" s="218"/>
      <c r="M22"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2" s="219" t="str">
        <f>IF(Table_PrescriptLights_Input5[[#This Row],[Unit capacity (tons)]]="","",IFERROR(Table_PrescriptLights_Input5[[#This Row],[Per-unit incentive]]*Table_PrescriptLights_Input5[[#This Row],[Unit capacity (tons)]]*Table_PrescriptLights_Input5[[#This Row],[Number of units]],""))</f>
        <v/>
      </c>
      <c r="O22" s="220" t="str">
        <f>IF(Table_PrescriptLights_Input5[[#This Row],[Unit capacity (tons)]]="","",Table_PrescriptLights_Input5[[#This Row],[Unit capacity (tons)]]*Table_PrescriptLights_Input5[[#This Row],[Number of units]]*Table_PrescriptLights_Input5[[#This Row],[Part load (IPLV) kW/ton]]*VLOOKUP($E$4,References!$L$103:$O$112,2,FALSE)*0.05)</f>
        <v/>
      </c>
      <c r="P22" s="221" t="str">
        <f>IF(Table_PrescriptLights_Input5[[#This Row],[Unit capacity (tons)]]="","",Table_PrescriptLights_Input5[[#This Row],[Unit capacity (tons)]]*Table_PrescriptLights_Input5[[#This Row],[Number of units]]*Table_PrescriptLights_Input5[[#This Row],[Full load kW/ton]]*VLOOKUP($E$4,References!$L$103:$O$112,4,FALSE)*0.05)</f>
        <v/>
      </c>
      <c r="Q22" s="219" t="str">
        <f>IFERROR(Table_PrescriptLights_Input5[[#This Row],[Energy savings (kWh)]]*Input_AvgkWhRate, "")</f>
        <v/>
      </c>
      <c r="R22" s="219" t="str">
        <f>IF(Table_PrescriptLights_Input5[[#This Row],[Unit capacity (tons)]]="", "",Table_PrescriptLights_Input5[[#This Row],[Total equipment + labor cost]])</f>
        <v/>
      </c>
      <c r="S22" s="219" t="str">
        <f>IFERROR(Table_PrescriptLights_Input5[[#This Row],[Gross measure cost]]-Table_PrescriptLights_Input5[[#This Row],[Estimated incentive]], "")</f>
        <v/>
      </c>
      <c r="T22" s="220" t="str">
        <f t="shared" si="0"/>
        <v/>
      </c>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row>
    <row r="23" spans="1:48" x14ac:dyDescent="0.2">
      <c r="A23" s="212"/>
      <c r="B23" s="213">
        <v>18</v>
      </c>
      <c r="C23" s="185" t="str">
        <f>IFERROR(INDEX(Table_Prescript_Meas[Measure Number], MATCH(E23, Table_Prescript_Meas[Measure Description], 0)), "")</f>
        <v/>
      </c>
      <c r="D23" s="222"/>
      <c r="E23" s="223"/>
      <c r="F23" s="185" t="str">
        <f>IFERROR(INDEX(Table_Prescript_Meas[Units], MATCH(Table_PrescriptLights_Input5[[#This Row],[Measure number]], Table_Prescript_Meas[Measure Number], 0)), "")</f>
        <v/>
      </c>
      <c r="G23" s="214"/>
      <c r="H23" s="215"/>
      <c r="I23" s="237"/>
      <c r="J23" s="238"/>
      <c r="K23" s="238"/>
      <c r="L23" s="218"/>
      <c r="M23"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3" s="219" t="str">
        <f>IF(Table_PrescriptLights_Input5[[#This Row],[Unit capacity (tons)]]="","",IFERROR(Table_PrescriptLights_Input5[[#This Row],[Per-unit incentive]]*Table_PrescriptLights_Input5[[#This Row],[Unit capacity (tons)]]*Table_PrescriptLights_Input5[[#This Row],[Number of units]],""))</f>
        <v/>
      </c>
      <c r="O23" s="220" t="str">
        <f>IF(Table_PrescriptLights_Input5[[#This Row],[Unit capacity (tons)]]="","",Table_PrescriptLights_Input5[[#This Row],[Unit capacity (tons)]]*Table_PrescriptLights_Input5[[#This Row],[Number of units]]*Table_PrescriptLights_Input5[[#This Row],[Part load (IPLV) kW/ton]]*VLOOKUP($E$4,References!$L$103:$O$112,2,FALSE)*0.05)</f>
        <v/>
      </c>
      <c r="P23" s="221" t="str">
        <f>IF(Table_PrescriptLights_Input5[[#This Row],[Unit capacity (tons)]]="","",Table_PrescriptLights_Input5[[#This Row],[Unit capacity (tons)]]*Table_PrescriptLights_Input5[[#This Row],[Number of units]]*Table_PrescriptLights_Input5[[#This Row],[Full load kW/ton]]*VLOOKUP($E$4,References!$L$103:$O$112,4,FALSE)*0.05)</f>
        <v/>
      </c>
      <c r="Q23" s="219" t="str">
        <f>IFERROR(Table_PrescriptLights_Input5[[#This Row],[Energy savings (kWh)]]*Input_AvgkWhRate, "")</f>
        <v/>
      </c>
      <c r="R23" s="219" t="str">
        <f>IF(Table_PrescriptLights_Input5[[#This Row],[Unit capacity (tons)]]="", "",Table_PrescriptLights_Input5[[#This Row],[Total equipment + labor cost]])</f>
        <v/>
      </c>
      <c r="S23" s="219" t="str">
        <f>IFERROR(Table_PrescriptLights_Input5[[#This Row],[Gross measure cost]]-Table_PrescriptLights_Input5[[#This Row],[Estimated incentive]], "")</f>
        <v/>
      </c>
      <c r="T23" s="220" t="str">
        <f t="shared" si="0"/>
        <v/>
      </c>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row>
    <row r="24" spans="1:48" x14ac:dyDescent="0.2">
      <c r="A24" s="212"/>
      <c r="B24" s="213">
        <v>19</v>
      </c>
      <c r="C24" s="185" t="str">
        <f>IFERROR(INDEX(Table_Prescript_Meas[Measure Number], MATCH(E24, Table_Prescript_Meas[Measure Description], 0)), "")</f>
        <v/>
      </c>
      <c r="D24" s="222"/>
      <c r="E24" s="223"/>
      <c r="F24" s="185" t="str">
        <f>IFERROR(INDEX(Table_Prescript_Meas[Units], MATCH(Table_PrescriptLights_Input5[[#This Row],[Measure number]], Table_Prescript_Meas[Measure Number], 0)), "")</f>
        <v/>
      </c>
      <c r="G24" s="214"/>
      <c r="H24" s="215"/>
      <c r="I24" s="237"/>
      <c r="J24" s="238"/>
      <c r="K24" s="238"/>
      <c r="L24" s="218"/>
      <c r="M24"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4" s="219" t="str">
        <f>IF(Table_PrescriptLights_Input5[[#This Row],[Unit capacity (tons)]]="","",IFERROR(Table_PrescriptLights_Input5[[#This Row],[Per-unit incentive]]*Table_PrescriptLights_Input5[[#This Row],[Unit capacity (tons)]]*Table_PrescriptLights_Input5[[#This Row],[Number of units]],""))</f>
        <v/>
      </c>
      <c r="O24" s="220" t="str">
        <f>IF(Table_PrescriptLights_Input5[[#This Row],[Unit capacity (tons)]]="","",Table_PrescriptLights_Input5[[#This Row],[Unit capacity (tons)]]*Table_PrescriptLights_Input5[[#This Row],[Number of units]]*Table_PrescriptLights_Input5[[#This Row],[Part load (IPLV) kW/ton]]*VLOOKUP($E$4,References!$L$103:$O$112,2,FALSE)*0.05)</f>
        <v/>
      </c>
      <c r="P24" s="221" t="str">
        <f>IF(Table_PrescriptLights_Input5[[#This Row],[Unit capacity (tons)]]="","",Table_PrescriptLights_Input5[[#This Row],[Unit capacity (tons)]]*Table_PrescriptLights_Input5[[#This Row],[Number of units]]*Table_PrescriptLights_Input5[[#This Row],[Full load kW/ton]]*VLOOKUP($E$4,References!$L$103:$O$112,4,FALSE)*0.05)</f>
        <v/>
      </c>
      <c r="Q24" s="219" t="str">
        <f>IFERROR(Table_PrescriptLights_Input5[[#This Row],[Energy savings (kWh)]]*Input_AvgkWhRate, "")</f>
        <v/>
      </c>
      <c r="R24" s="219" t="str">
        <f>IF(Table_PrescriptLights_Input5[[#This Row],[Unit capacity (tons)]]="", "",Table_PrescriptLights_Input5[[#This Row],[Total equipment + labor cost]])</f>
        <v/>
      </c>
      <c r="S24" s="219" t="str">
        <f>IFERROR(Table_PrescriptLights_Input5[[#This Row],[Gross measure cost]]-Table_PrescriptLights_Input5[[#This Row],[Estimated incentive]], "")</f>
        <v/>
      </c>
      <c r="T24" s="220" t="str">
        <f t="shared" si="0"/>
        <v/>
      </c>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row>
    <row r="25" spans="1:48" x14ac:dyDescent="0.2">
      <c r="A25" s="212"/>
      <c r="B25" s="213">
        <v>20</v>
      </c>
      <c r="C25" s="185" t="str">
        <f>IFERROR(INDEX(Table_Prescript_Meas[Measure Number], MATCH(E25, Table_Prescript_Meas[Measure Description], 0)), "")</f>
        <v/>
      </c>
      <c r="D25" s="222"/>
      <c r="E25" s="223"/>
      <c r="F25" s="185" t="str">
        <f>IFERROR(INDEX(Table_Prescript_Meas[Units], MATCH(Table_PrescriptLights_Input5[[#This Row],[Measure number]], Table_Prescript_Meas[Measure Number], 0)), "")</f>
        <v/>
      </c>
      <c r="G25" s="214"/>
      <c r="H25" s="215"/>
      <c r="I25" s="237"/>
      <c r="J25" s="238"/>
      <c r="K25" s="238"/>
      <c r="L25" s="218"/>
      <c r="M25"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5" s="219" t="str">
        <f>IF(Table_PrescriptLights_Input5[[#This Row],[Unit capacity (tons)]]="","",IFERROR(Table_PrescriptLights_Input5[[#This Row],[Per-unit incentive]]*Table_PrescriptLights_Input5[[#This Row],[Unit capacity (tons)]]*Table_PrescriptLights_Input5[[#This Row],[Number of units]],""))</f>
        <v/>
      </c>
      <c r="O25" s="220" t="str">
        <f>IF(Table_PrescriptLights_Input5[[#This Row],[Unit capacity (tons)]]="","",Table_PrescriptLights_Input5[[#This Row],[Unit capacity (tons)]]*Table_PrescriptLights_Input5[[#This Row],[Number of units]]*Table_PrescriptLights_Input5[[#This Row],[Part load (IPLV) kW/ton]]*VLOOKUP($E$4,References!$L$103:$O$112,2,FALSE)*0.05)</f>
        <v/>
      </c>
      <c r="P25" s="221" t="str">
        <f>IF(Table_PrescriptLights_Input5[[#This Row],[Unit capacity (tons)]]="","",Table_PrescriptLights_Input5[[#This Row],[Unit capacity (tons)]]*Table_PrescriptLights_Input5[[#This Row],[Number of units]]*Table_PrescriptLights_Input5[[#This Row],[Full load kW/ton]]*VLOOKUP($E$4,References!$L$103:$O$112,4,FALSE)*0.05)</f>
        <v/>
      </c>
      <c r="Q25" s="219" t="str">
        <f>IFERROR(Table_PrescriptLights_Input5[[#This Row],[Energy savings (kWh)]]*Input_AvgkWhRate, "")</f>
        <v/>
      </c>
      <c r="R25" s="219" t="str">
        <f>IF(Table_PrescriptLights_Input5[[#This Row],[Unit capacity (tons)]]="", "",Table_PrescriptLights_Input5[[#This Row],[Total equipment + labor cost]])</f>
        <v/>
      </c>
      <c r="S25" s="219" t="str">
        <f>IFERROR(Table_PrescriptLights_Input5[[#This Row],[Gross measure cost]]-Table_PrescriptLights_Input5[[#This Row],[Estimated incentive]], "")</f>
        <v/>
      </c>
      <c r="T25" s="220" t="str">
        <f t="shared" si="0"/>
        <v/>
      </c>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row>
    <row r="26" spans="1:48" x14ac:dyDescent="0.2">
      <c r="A26" s="212"/>
      <c r="B26" s="213">
        <v>21</v>
      </c>
      <c r="C26" s="185" t="str">
        <f>IFERROR(INDEX(Table_Prescript_Meas[Measure Number], MATCH(E26, Table_Prescript_Meas[Measure Description], 0)), "")</f>
        <v/>
      </c>
      <c r="D26" s="222"/>
      <c r="E26" s="223"/>
      <c r="F26" s="185" t="str">
        <f>IFERROR(INDEX(Table_Prescript_Meas[Units], MATCH(Table_PrescriptLights_Input5[[#This Row],[Measure number]], Table_Prescript_Meas[Measure Number], 0)), "")</f>
        <v/>
      </c>
      <c r="G26" s="214"/>
      <c r="H26" s="215"/>
      <c r="I26" s="237"/>
      <c r="J26" s="238"/>
      <c r="K26" s="238"/>
      <c r="L26" s="218"/>
      <c r="M26"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6" s="219" t="str">
        <f>IF(Table_PrescriptLights_Input5[[#This Row],[Unit capacity (tons)]]="","",IFERROR(Table_PrescriptLights_Input5[[#This Row],[Per-unit incentive]]*Table_PrescriptLights_Input5[[#This Row],[Unit capacity (tons)]]*Table_PrescriptLights_Input5[[#This Row],[Number of units]],""))</f>
        <v/>
      </c>
      <c r="O26" s="220" t="str">
        <f>IF(Table_PrescriptLights_Input5[[#This Row],[Unit capacity (tons)]]="","",Table_PrescriptLights_Input5[[#This Row],[Unit capacity (tons)]]*Table_PrescriptLights_Input5[[#This Row],[Number of units]]*Table_PrescriptLights_Input5[[#This Row],[Part load (IPLV) kW/ton]]*VLOOKUP($E$4,References!$L$103:$O$112,2,FALSE)*0.05)</f>
        <v/>
      </c>
      <c r="P26" s="221" t="str">
        <f>IF(Table_PrescriptLights_Input5[[#This Row],[Unit capacity (tons)]]="","",Table_PrescriptLights_Input5[[#This Row],[Unit capacity (tons)]]*Table_PrescriptLights_Input5[[#This Row],[Number of units]]*Table_PrescriptLights_Input5[[#This Row],[Full load kW/ton]]*VLOOKUP($E$4,References!$L$103:$O$112,4,FALSE)*0.05)</f>
        <v/>
      </c>
      <c r="Q26" s="219" t="str">
        <f>IFERROR(Table_PrescriptLights_Input5[[#This Row],[Energy savings (kWh)]]*Input_AvgkWhRate, "")</f>
        <v/>
      </c>
      <c r="R26" s="219" t="str">
        <f>IF(Table_PrescriptLights_Input5[[#This Row],[Unit capacity (tons)]]="", "",Table_PrescriptLights_Input5[[#This Row],[Total equipment + labor cost]])</f>
        <v/>
      </c>
      <c r="S26" s="219" t="str">
        <f>IFERROR(Table_PrescriptLights_Input5[[#This Row],[Gross measure cost]]-Table_PrescriptLights_Input5[[#This Row],[Estimated incentive]], "")</f>
        <v/>
      </c>
      <c r="T26" s="220" t="str">
        <f t="shared" si="0"/>
        <v/>
      </c>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row>
    <row r="27" spans="1:48" x14ac:dyDescent="0.2">
      <c r="A27" s="212"/>
      <c r="B27" s="213">
        <v>22</v>
      </c>
      <c r="C27" s="185" t="str">
        <f>IFERROR(INDEX(Table_Prescript_Meas[Measure Number], MATCH(E27, Table_Prescript_Meas[Measure Description], 0)), "")</f>
        <v/>
      </c>
      <c r="D27" s="222"/>
      <c r="E27" s="223"/>
      <c r="F27" s="185" t="str">
        <f>IFERROR(INDEX(Table_Prescript_Meas[Units], MATCH(Table_PrescriptLights_Input5[[#This Row],[Measure number]], Table_Prescript_Meas[Measure Number], 0)), "")</f>
        <v/>
      </c>
      <c r="G27" s="214"/>
      <c r="H27" s="215"/>
      <c r="I27" s="237"/>
      <c r="J27" s="238"/>
      <c r="K27" s="238"/>
      <c r="L27" s="218"/>
      <c r="M27"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7" s="219" t="str">
        <f>IF(Table_PrescriptLights_Input5[[#This Row],[Unit capacity (tons)]]="","",IFERROR(Table_PrescriptLights_Input5[[#This Row],[Per-unit incentive]]*Table_PrescriptLights_Input5[[#This Row],[Unit capacity (tons)]]*Table_PrescriptLights_Input5[[#This Row],[Number of units]],""))</f>
        <v/>
      </c>
      <c r="O27" s="220" t="str">
        <f>IF(Table_PrescriptLights_Input5[[#This Row],[Unit capacity (tons)]]="","",Table_PrescriptLights_Input5[[#This Row],[Unit capacity (tons)]]*Table_PrescriptLights_Input5[[#This Row],[Number of units]]*Table_PrescriptLights_Input5[[#This Row],[Part load (IPLV) kW/ton]]*VLOOKUP($E$4,References!$L$103:$O$112,2,FALSE)*0.05)</f>
        <v/>
      </c>
      <c r="P27" s="221" t="str">
        <f>IF(Table_PrescriptLights_Input5[[#This Row],[Unit capacity (tons)]]="","",Table_PrescriptLights_Input5[[#This Row],[Unit capacity (tons)]]*Table_PrescriptLights_Input5[[#This Row],[Number of units]]*Table_PrescriptLights_Input5[[#This Row],[Full load kW/ton]]*VLOOKUP($E$4,References!$L$103:$O$112,4,FALSE)*0.05)</f>
        <v/>
      </c>
      <c r="Q27" s="219" t="str">
        <f>IFERROR(Table_PrescriptLights_Input5[[#This Row],[Energy savings (kWh)]]*Input_AvgkWhRate, "")</f>
        <v/>
      </c>
      <c r="R27" s="219" t="str">
        <f>IF(Table_PrescriptLights_Input5[[#This Row],[Unit capacity (tons)]]="", "",Table_PrescriptLights_Input5[[#This Row],[Total equipment + labor cost]])</f>
        <v/>
      </c>
      <c r="S27" s="219" t="str">
        <f>IFERROR(Table_PrescriptLights_Input5[[#This Row],[Gross measure cost]]-Table_PrescriptLights_Input5[[#This Row],[Estimated incentive]], "")</f>
        <v/>
      </c>
      <c r="T27" s="220" t="str">
        <f t="shared" si="0"/>
        <v/>
      </c>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row>
    <row r="28" spans="1:48" x14ac:dyDescent="0.2">
      <c r="A28" s="212"/>
      <c r="B28" s="213">
        <v>23</v>
      </c>
      <c r="C28" s="185" t="str">
        <f>IFERROR(INDEX(Table_Prescript_Meas[Measure Number], MATCH(E28, Table_Prescript_Meas[Measure Description], 0)), "")</f>
        <v/>
      </c>
      <c r="D28" s="222"/>
      <c r="E28" s="223"/>
      <c r="F28" s="185" t="str">
        <f>IFERROR(INDEX(Table_Prescript_Meas[Units], MATCH(Table_PrescriptLights_Input5[[#This Row],[Measure number]], Table_Prescript_Meas[Measure Number], 0)), "")</f>
        <v/>
      </c>
      <c r="G28" s="214"/>
      <c r="H28" s="215"/>
      <c r="I28" s="237"/>
      <c r="J28" s="238"/>
      <c r="K28" s="238"/>
      <c r="L28" s="218"/>
      <c r="M28"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8" s="219" t="str">
        <f>IF(Table_PrescriptLights_Input5[[#This Row],[Unit capacity (tons)]]="","",IFERROR(Table_PrescriptLights_Input5[[#This Row],[Per-unit incentive]]*Table_PrescriptLights_Input5[[#This Row],[Unit capacity (tons)]]*Table_PrescriptLights_Input5[[#This Row],[Number of units]],""))</f>
        <v/>
      </c>
      <c r="O28" s="220" t="str">
        <f>IF(Table_PrescriptLights_Input5[[#This Row],[Unit capacity (tons)]]="","",Table_PrescriptLights_Input5[[#This Row],[Unit capacity (tons)]]*Table_PrescriptLights_Input5[[#This Row],[Number of units]]*Table_PrescriptLights_Input5[[#This Row],[Part load (IPLV) kW/ton]]*VLOOKUP($E$4,References!$L$103:$O$112,2,FALSE)*0.05)</f>
        <v/>
      </c>
      <c r="P28" s="221" t="str">
        <f>IF(Table_PrescriptLights_Input5[[#This Row],[Unit capacity (tons)]]="","",Table_PrescriptLights_Input5[[#This Row],[Unit capacity (tons)]]*Table_PrescriptLights_Input5[[#This Row],[Number of units]]*Table_PrescriptLights_Input5[[#This Row],[Full load kW/ton]]*VLOOKUP($E$4,References!$L$103:$O$112,4,FALSE)*0.05)</f>
        <v/>
      </c>
      <c r="Q28" s="219" t="str">
        <f>IFERROR(Table_PrescriptLights_Input5[[#This Row],[Energy savings (kWh)]]*Input_AvgkWhRate, "")</f>
        <v/>
      </c>
      <c r="R28" s="219" t="str">
        <f>IF(Table_PrescriptLights_Input5[[#This Row],[Unit capacity (tons)]]="", "",Table_PrescriptLights_Input5[[#This Row],[Total equipment + labor cost]])</f>
        <v/>
      </c>
      <c r="S28" s="219" t="str">
        <f>IFERROR(Table_PrescriptLights_Input5[[#This Row],[Gross measure cost]]-Table_PrescriptLights_Input5[[#This Row],[Estimated incentive]], "")</f>
        <v/>
      </c>
      <c r="T28" s="220" t="str">
        <f t="shared" si="0"/>
        <v/>
      </c>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row>
    <row r="29" spans="1:48" x14ac:dyDescent="0.2">
      <c r="A29" s="212"/>
      <c r="B29" s="213">
        <v>24</v>
      </c>
      <c r="C29" s="185" t="str">
        <f>IFERROR(INDEX(Table_Prescript_Meas[Measure Number], MATCH(E29, Table_Prescript_Meas[Measure Description], 0)), "")</f>
        <v/>
      </c>
      <c r="D29" s="222"/>
      <c r="E29" s="223"/>
      <c r="F29" s="185" t="str">
        <f>IFERROR(INDEX(Table_Prescript_Meas[Units], MATCH(Table_PrescriptLights_Input5[[#This Row],[Measure number]], Table_Prescript_Meas[Measure Number], 0)), "")</f>
        <v/>
      </c>
      <c r="G29" s="214"/>
      <c r="H29" s="215"/>
      <c r="I29" s="237"/>
      <c r="J29" s="238"/>
      <c r="K29" s="238"/>
      <c r="L29" s="218"/>
      <c r="M29"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29" s="219" t="str">
        <f>IF(Table_PrescriptLights_Input5[[#This Row],[Unit capacity (tons)]]="","",IFERROR(Table_PrescriptLights_Input5[[#This Row],[Per-unit incentive]]*Table_PrescriptLights_Input5[[#This Row],[Unit capacity (tons)]]*Table_PrescriptLights_Input5[[#This Row],[Number of units]],""))</f>
        <v/>
      </c>
      <c r="O29" s="220" t="str">
        <f>IF(Table_PrescriptLights_Input5[[#This Row],[Unit capacity (tons)]]="","",Table_PrescriptLights_Input5[[#This Row],[Unit capacity (tons)]]*Table_PrescriptLights_Input5[[#This Row],[Number of units]]*Table_PrescriptLights_Input5[[#This Row],[Part load (IPLV) kW/ton]]*VLOOKUP($E$4,References!$L$103:$O$112,2,FALSE)*0.05)</f>
        <v/>
      </c>
      <c r="P29" s="221" t="str">
        <f>IF(Table_PrescriptLights_Input5[[#This Row],[Unit capacity (tons)]]="","",Table_PrescriptLights_Input5[[#This Row],[Unit capacity (tons)]]*Table_PrescriptLights_Input5[[#This Row],[Number of units]]*Table_PrescriptLights_Input5[[#This Row],[Full load kW/ton]]*VLOOKUP($E$4,References!$L$103:$O$112,4,FALSE)*0.05)</f>
        <v/>
      </c>
      <c r="Q29" s="219" t="str">
        <f>IFERROR(Table_PrescriptLights_Input5[[#This Row],[Energy savings (kWh)]]*Input_AvgkWhRate, "")</f>
        <v/>
      </c>
      <c r="R29" s="219" t="str">
        <f>IF(Table_PrescriptLights_Input5[[#This Row],[Unit capacity (tons)]]="", "",Table_PrescriptLights_Input5[[#This Row],[Total equipment + labor cost]])</f>
        <v/>
      </c>
      <c r="S29" s="219" t="str">
        <f>IFERROR(Table_PrescriptLights_Input5[[#This Row],[Gross measure cost]]-Table_PrescriptLights_Input5[[#This Row],[Estimated incentive]], "")</f>
        <v/>
      </c>
      <c r="T29" s="220" t="str">
        <f t="shared" si="0"/>
        <v/>
      </c>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row>
    <row r="30" spans="1:48" x14ac:dyDescent="0.2">
      <c r="A30" s="212"/>
      <c r="B30" s="213">
        <v>25</v>
      </c>
      <c r="C30" s="185" t="str">
        <f>IFERROR(INDEX(Table_Prescript_Meas[Measure Number], MATCH(E30, Table_Prescript_Meas[Measure Description], 0)), "")</f>
        <v/>
      </c>
      <c r="D30" s="222"/>
      <c r="E30" s="223"/>
      <c r="F30" s="185" t="str">
        <f>IFERROR(INDEX(Table_Prescript_Meas[Units], MATCH(Table_PrescriptLights_Input5[[#This Row],[Measure number]], Table_Prescript_Meas[Measure Number], 0)), "")</f>
        <v/>
      </c>
      <c r="G30" s="214"/>
      <c r="H30" s="215"/>
      <c r="I30" s="237"/>
      <c r="J30" s="238"/>
      <c r="K30" s="238"/>
      <c r="L30" s="218"/>
      <c r="M30"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0" s="219" t="str">
        <f>IF(Table_PrescriptLights_Input5[[#This Row],[Unit capacity (tons)]]="","",IFERROR(Table_PrescriptLights_Input5[[#This Row],[Per-unit incentive]]*Table_PrescriptLights_Input5[[#This Row],[Unit capacity (tons)]]*Table_PrescriptLights_Input5[[#This Row],[Number of units]],""))</f>
        <v/>
      </c>
      <c r="O30" s="220" t="str">
        <f>IF(Table_PrescriptLights_Input5[[#This Row],[Unit capacity (tons)]]="","",Table_PrescriptLights_Input5[[#This Row],[Unit capacity (tons)]]*Table_PrescriptLights_Input5[[#This Row],[Number of units]]*Table_PrescriptLights_Input5[[#This Row],[Part load (IPLV) kW/ton]]*VLOOKUP($E$4,References!$L$103:$O$112,2,FALSE)*0.05)</f>
        <v/>
      </c>
      <c r="P30" s="221" t="str">
        <f>IF(Table_PrescriptLights_Input5[[#This Row],[Unit capacity (tons)]]="","",Table_PrescriptLights_Input5[[#This Row],[Unit capacity (tons)]]*Table_PrescriptLights_Input5[[#This Row],[Number of units]]*Table_PrescriptLights_Input5[[#This Row],[Full load kW/ton]]*VLOOKUP($E$4,References!$L$103:$O$112,4,FALSE)*0.05)</f>
        <v/>
      </c>
      <c r="Q30" s="219" t="str">
        <f>IFERROR(Table_PrescriptLights_Input5[[#This Row],[Energy savings (kWh)]]*Input_AvgkWhRate, "")</f>
        <v/>
      </c>
      <c r="R30" s="219" t="str">
        <f>IF(Table_PrescriptLights_Input5[[#This Row],[Unit capacity (tons)]]="", "",Table_PrescriptLights_Input5[[#This Row],[Total equipment + labor cost]])</f>
        <v/>
      </c>
      <c r="S30" s="219" t="str">
        <f>IFERROR(Table_PrescriptLights_Input5[[#This Row],[Gross measure cost]]-Table_PrescriptLights_Input5[[#This Row],[Estimated incentive]], "")</f>
        <v/>
      </c>
      <c r="T30" s="220" t="str">
        <f t="shared" si="0"/>
        <v/>
      </c>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row>
    <row r="31" spans="1:48" x14ac:dyDescent="0.2">
      <c r="A31" s="212"/>
      <c r="B31" s="213">
        <v>26</v>
      </c>
      <c r="C31" s="185" t="str">
        <f>IFERROR(INDEX(Table_Prescript_Meas[Measure Number], MATCH(E31, Table_Prescript_Meas[Measure Description], 0)), "")</f>
        <v/>
      </c>
      <c r="D31" s="222"/>
      <c r="E31" s="223"/>
      <c r="F31" s="185" t="str">
        <f>IFERROR(INDEX(Table_Prescript_Meas[Units], MATCH(Table_PrescriptLights_Input5[[#This Row],[Measure number]], Table_Prescript_Meas[Measure Number], 0)), "")</f>
        <v/>
      </c>
      <c r="G31" s="214"/>
      <c r="H31" s="215"/>
      <c r="I31" s="237"/>
      <c r="J31" s="238"/>
      <c r="K31" s="238"/>
      <c r="L31" s="218"/>
      <c r="M31"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1" s="219" t="str">
        <f>IF(Table_PrescriptLights_Input5[[#This Row],[Unit capacity (tons)]]="","",IFERROR(Table_PrescriptLights_Input5[[#This Row],[Per-unit incentive]]*Table_PrescriptLights_Input5[[#This Row],[Unit capacity (tons)]]*Table_PrescriptLights_Input5[[#This Row],[Number of units]],""))</f>
        <v/>
      </c>
      <c r="O31" s="220" t="str">
        <f>IF(Table_PrescriptLights_Input5[[#This Row],[Unit capacity (tons)]]="","",Table_PrescriptLights_Input5[[#This Row],[Unit capacity (tons)]]*Table_PrescriptLights_Input5[[#This Row],[Number of units]]*Table_PrescriptLights_Input5[[#This Row],[Part load (IPLV) kW/ton]]*VLOOKUP($E$4,References!$L$103:$O$112,2,FALSE)*0.05)</f>
        <v/>
      </c>
      <c r="P31" s="221" t="str">
        <f>IF(Table_PrescriptLights_Input5[[#This Row],[Unit capacity (tons)]]="","",Table_PrescriptLights_Input5[[#This Row],[Unit capacity (tons)]]*Table_PrescriptLights_Input5[[#This Row],[Number of units]]*Table_PrescriptLights_Input5[[#This Row],[Full load kW/ton]]*VLOOKUP($E$4,References!$L$103:$O$112,4,FALSE)*0.05)</f>
        <v/>
      </c>
      <c r="Q31" s="219" t="str">
        <f>IFERROR(Table_PrescriptLights_Input5[[#This Row],[Energy savings (kWh)]]*Input_AvgkWhRate, "")</f>
        <v/>
      </c>
      <c r="R31" s="219" t="str">
        <f>IF(Table_PrescriptLights_Input5[[#This Row],[Unit capacity (tons)]]="", "",Table_PrescriptLights_Input5[[#This Row],[Total equipment + labor cost]])</f>
        <v/>
      </c>
      <c r="S31" s="219" t="str">
        <f>IFERROR(Table_PrescriptLights_Input5[[#This Row],[Gross measure cost]]-Table_PrescriptLights_Input5[[#This Row],[Estimated incentive]], "")</f>
        <v/>
      </c>
      <c r="T31" s="220" t="str">
        <f t="shared" si="0"/>
        <v/>
      </c>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row>
    <row r="32" spans="1:48" x14ac:dyDescent="0.2">
      <c r="A32" s="186"/>
      <c r="B32" s="213">
        <v>27</v>
      </c>
      <c r="C32" s="185" t="str">
        <f>IFERROR(INDEX(Table_Prescript_Meas[Measure Number], MATCH(E32, Table_Prescript_Meas[Measure Description], 0)), "")</f>
        <v/>
      </c>
      <c r="D32" s="222"/>
      <c r="E32" s="223"/>
      <c r="F32" s="185" t="str">
        <f>IFERROR(INDEX(Table_Prescript_Meas[Units], MATCH(Table_PrescriptLights_Input5[[#This Row],[Measure number]], Table_Prescript_Meas[Measure Number], 0)), "")</f>
        <v/>
      </c>
      <c r="G32" s="214"/>
      <c r="H32" s="215"/>
      <c r="I32" s="237"/>
      <c r="J32" s="238"/>
      <c r="K32" s="238"/>
      <c r="L32" s="218"/>
      <c r="M32"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2" s="219" t="str">
        <f>IF(Table_PrescriptLights_Input5[[#This Row],[Unit capacity (tons)]]="","",IFERROR(Table_PrescriptLights_Input5[[#This Row],[Per-unit incentive]]*Table_PrescriptLights_Input5[[#This Row],[Unit capacity (tons)]]*Table_PrescriptLights_Input5[[#This Row],[Number of units]],""))</f>
        <v/>
      </c>
      <c r="O32" s="220" t="str">
        <f>IF(Table_PrescriptLights_Input5[[#This Row],[Unit capacity (tons)]]="","",Table_PrescriptLights_Input5[[#This Row],[Unit capacity (tons)]]*Table_PrescriptLights_Input5[[#This Row],[Number of units]]*Table_PrescriptLights_Input5[[#This Row],[Part load (IPLV) kW/ton]]*VLOOKUP($E$4,References!$L$103:$O$112,2,FALSE)*0.05)</f>
        <v/>
      </c>
      <c r="P32" s="221" t="str">
        <f>IF(Table_PrescriptLights_Input5[[#This Row],[Unit capacity (tons)]]="","",Table_PrescriptLights_Input5[[#This Row],[Unit capacity (tons)]]*Table_PrescriptLights_Input5[[#This Row],[Number of units]]*Table_PrescriptLights_Input5[[#This Row],[Full load kW/ton]]*VLOOKUP($E$4,References!$L$103:$O$112,4,FALSE)*0.05)</f>
        <v/>
      </c>
      <c r="Q32" s="219" t="str">
        <f>IFERROR(Table_PrescriptLights_Input5[[#This Row],[Energy savings (kWh)]]*Input_AvgkWhRate, "")</f>
        <v/>
      </c>
      <c r="R32" s="219" t="str">
        <f>IF(Table_PrescriptLights_Input5[[#This Row],[Unit capacity (tons)]]="", "",Table_PrescriptLights_Input5[[#This Row],[Total equipment + labor cost]])</f>
        <v/>
      </c>
      <c r="S32" s="219" t="str">
        <f>IFERROR(Table_PrescriptLights_Input5[[#This Row],[Gross measure cost]]-Table_PrescriptLights_Input5[[#This Row],[Estimated incentive]], "")</f>
        <v/>
      </c>
      <c r="T32" s="220" t="str">
        <f t="shared" si="0"/>
        <v/>
      </c>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row>
    <row r="33" spans="1:48" x14ac:dyDescent="0.2">
      <c r="A33" s="186"/>
      <c r="B33" s="213">
        <v>28</v>
      </c>
      <c r="C33" s="185" t="str">
        <f>IFERROR(INDEX(Table_Prescript_Meas[Measure Number], MATCH(E33, Table_Prescript_Meas[Measure Description], 0)), "")</f>
        <v/>
      </c>
      <c r="D33" s="222"/>
      <c r="E33" s="223"/>
      <c r="F33" s="185" t="str">
        <f>IFERROR(INDEX(Table_Prescript_Meas[Units], MATCH(Table_PrescriptLights_Input5[[#This Row],[Measure number]], Table_Prescript_Meas[Measure Number], 0)), "")</f>
        <v/>
      </c>
      <c r="G33" s="214"/>
      <c r="H33" s="215"/>
      <c r="I33" s="237"/>
      <c r="J33" s="238"/>
      <c r="K33" s="238"/>
      <c r="L33" s="218"/>
      <c r="M33"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3" s="219" t="str">
        <f>IF(Table_PrescriptLights_Input5[[#This Row],[Unit capacity (tons)]]="","",IFERROR(Table_PrescriptLights_Input5[[#This Row],[Per-unit incentive]]*Table_PrescriptLights_Input5[[#This Row],[Unit capacity (tons)]]*Table_PrescriptLights_Input5[[#This Row],[Number of units]],""))</f>
        <v/>
      </c>
      <c r="O33" s="220" t="str">
        <f>IF(Table_PrescriptLights_Input5[[#This Row],[Unit capacity (tons)]]="","",Table_PrescriptLights_Input5[[#This Row],[Unit capacity (tons)]]*Table_PrescriptLights_Input5[[#This Row],[Number of units]]*Table_PrescriptLights_Input5[[#This Row],[Part load (IPLV) kW/ton]]*VLOOKUP($E$4,References!$L$103:$O$112,2,FALSE)*0.05)</f>
        <v/>
      </c>
      <c r="P33" s="221" t="str">
        <f>IF(Table_PrescriptLights_Input5[[#This Row],[Unit capacity (tons)]]="","",Table_PrescriptLights_Input5[[#This Row],[Unit capacity (tons)]]*Table_PrescriptLights_Input5[[#This Row],[Number of units]]*Table_PrescriptLights_Input5[[#This Row],[Full load kW/ton]]*VLOOKUP($E$4,References!$L$103:$O$112,4,FALSE)*0.05)</f>
        <v/>
      </c>
      <c r="Q33" s="219" t="str">
        <f>IFERROR(Table_PrescriptLights_Input5[[#This Row],[Energy savings (kWh)]]*Input_AvgkWhRate, "")</f>
        <v/>
      </c>
      <c r="R33" s="219" t="str">
        <f>IF(Table_PrescriptLights_Input5[[#This Row],[Unit capacity (tons)]]="", "",Table_PrescriptLights_Input5[[#This Row],[Total equipment + labor cost]])</f>
        <v/>
      </c>
      <c r="S33" s="219" t="str">
        <f>IFERROR(Table_PrescriptLights_Input5[[#This Row],[Gross measure cost]]-Table_PrescriptLights_Input5[[#This Row],[Estimated incentive]], "")</f>
        <v/>
      </c>
      <c r="T33" s="220" t="str">
        <f t="shared" si="0"/>
        <v/>
      </c>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row>
    <row r="34" spans="1:48" x14ac:dyDescent="0.2">
      <c r="A34" s="186"/>
      <c r="B34" s="213">
        <v>29</v>
      </c>
      <c r="C34" s="185" t="str">
        <f>IFERROR(INDEX(Table_Prescript_Meas[Measure Number], MATCH(E34, Table_Prescript_Meas[Measure Description], 0)), "")</f>
        <v/>
      </c>
      <c r="D34" s="222"/>
      <c r="E34" s="223"/>
      <c r="F34" s="185" t="str">
        <f>IFERROR(INDEX(Table_Prescript_Meas[Units], MATCH(Table_PrescriptLights_Input5[[#This Row],[Measure number]], Table_Prescript_Meas[Measure Number], 0)), "")</f>
        <v/>
      </c>
      <c r="G34" s="214"/>
      <c r="H34" s="215"/>
      <c r="I34" s="237"/>
      <c r="J34" s="238"/>
      <c r="K34" s="238"/>
      <c r="L34" s="218"/>
      <c r="M34"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4" s="219" t="str">
        <f>IF(Table_PrescriptLights_Input5[[#This Row],[Unit capacity (tons)]]="","",IFERROR(Table_PrescriptLights_Input5[[#This Row],[Per-unit incentive]]*Table_PrescriptLights_Input5[[#This Row],[Unit capacity (tons)]]*Table_PrescriptLights_Input5[[#This Row],[Number of units]],""))</f>
        <v/>
      </c>
      <c r="O34" s="220" t="str">
        <f>IF(Table_PrescriptLights_Input5[[#This Row],[Unit capacity (tons)]]="","",Table_PrescriptLights_Input5[[#This Row],[Unit capacity (tons)]]*Table_PrescriptLights_Input5[[#This Row],[Number of units]]*Table_PrescriptLights_Input5[[#This Row],[Part load (IPLV) kW/ton]]*VLOOKUP($E$4,References!$L$103:$O$112,2,FALSE)*0.05)</f>
        <v/>
      </c>
      <c r="P34" s="221" t="str">
        <f>IF(Table_PrescriptLights_Input5[[#This Row],[Unit capacity (tons)]]="","",Table_PrescriptLights_Input5[[#This Row],[Unit capacity (tons)]]*Table_PrescriptLights_Input5[[#This Row],[Number of units]]*Table_PrescriptLights_Input5[[#This Row],[Full load kW/ton]]*VLOOKUP($E$4,References!$L$103:$O$112,4,FALSE)*0.05)</f>
        <v/>
      </c>
      <c r="Q34" s="219" t="str">
        <f>IFERROR(Table_PrescriptLights_Input5[[#This Row],[Energy savings (kWh)]]*Input_AvgkWhRate, "")</f>
        <v/>
      </c>
      <c r="R34" s="219" t="str">
        <f>IF(Table_PrescriptLights_Input5[[#This Row],[Unit capacity (tons)]]="", "",Table_PrescriptLights_Input5[[#This Row],[Total equipment + labor cost]])</f>
        <v/>
      </c>
      <c r="S34" s="219" t="str">
        <f>IFERROR(Table_PrescriptLights_Input5[[#This Row],[Gross measure cost]]-Table_PrescriptLights_Input5[[#This Row],[Estimated incentive]], "")</f>
        <v/>
      </c>
      <c r="T34" s="220" t="str">
        <f t="shared" si="0"/>
        <v/>
      </c>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row>
    <row r="35" spans="1:48" x14ac:dyDescent="0.2">
      <c r="A35" s="186"/>
      <c r="B35" s="213">
        <v>30</v>
      </c>
      <c r="C35" s="185" t="str">
        <f>IFERROR(INDEX(Table_Prescript_Meas[Measure Number], MATCH(E35, Table_Prescript_Meas[Measure Description], 0)), "")</f>
        <v/>
      </c>
      <c r="D35" s="222"/>
      <c r="E35" s="223"/>
      <c r="F35" s="185" t="str">
        <f>IFERROR(INDEX(Table_Prescript_Meas[Units], MATCH(Table_PrescriptLights_Input5[[#This Row],[Measure number]], Table_Prescript_Meas[Measure Number], 0)), "")</f>
        <v/>
      </c>
      <c r="G35" s="214"/>
      <c r="H35" s="215"/>
      <c r="I35" s="237"/>
      <c r="J35" s="238"/>
      <c r="K35" s="238"/>
      <c r="L35" s="218"/>
      <c r="M35"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5" s="219" t="str">
        <f>IF(Table_PrescriptLights_Input5[[#This Row],[Unit capacity (tons)]]="","",IFERROR(Table_PrescriptLights_Input5[[#This Row],[Per-unit incentive]]*Table_PrescriptLights_Input5[[#This Row],[Unit capacity (tons)]]*Table_PrescriptLights_Input5[[#This Row],[Number of units]],""))</f>
        <v/>
      </c>
      <c r="O35" s="220" t="str">
        <f>IF(Table_PrescriptLights_Input5[[#This Row],[Unit capacity (tons)]]="","",Table_PrescriptLights_Input5[[#This Row],[Unit capacity (tons)]]*Table_PrescriptLights_Input5[[#This Row],[Number of units]]*Table_PrescriptLights_Input5[[#This Row],[Part load (IPLV) kW/ton]]*VLOOKUP($E$4,References!$L$103:$O$112,2,FALSE)*0.05)</f>
        <v/>
      </c>
      <c r="P35" s="221" t="str">
        <f>IF(Table_PrescriptLights_Input5[[#This Row],[Unit capacity (tons)]]="","",Table_PrescriptLights_Input5[[#This Row],[Unit capacity (tons)]]*Table_PrescriptLights_Input5[[#This Row],[Number of units]]*Table_PrescriptLights_Input5[[#This Row],[Full load kW/ton]]*VLOOKUP($E$4,References!$L$103:$O$112,4,FALSE)*0.05)</f>
        <v/>
      </c>
      <c r="Q35" s="219" t="str">
        <f>IFERROR(Table_PrescriptLights_Input5[[#This Row],[Energy savings (kWh)]]*Input_AvgkWhRate, "")</f>
        <v/>
      </c>
      <c r="R35" s="219" t="str">
        <f>IF(Table_PrescriptLights_Input5[[#This Row],[Unit capacity (tons)]]="", "",Table_PrescriptLights_Input5[[#This Row],[Total equipment + labor cost]])</f>
        <v/>
      </c>
      <c r="S35" s="219" t="str">
        <f>IFERROR(Table_PrescriptLights_Input5[[#This Row],[Gross measure cost]]-Table_PrescriptLights_Input5[[#This Row],[Estimated incentive]], "")</f>
        <v/>
      </c>
      <c r="T35" s="220" t="str">
        <f t="shared" si="0"/>
        <v/>
      </c>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row>
    <row r="36" spans="1:48" x14ac:dyDescent="0.2">
      <c r="A36" s="186"/>
      <c r="B36" s="213">
        <v>31</v>
      </c>
      <c r="C36" s="185" t="str">
        <f>IFERROR(INDEX(Table_Prescript_Meas[Measure Number], MATCH(E36, Table_Prescript_Meas[Measure Description], 0)), "")</f>
        <v/>
      </c>
      <c r="D36" s="222"/>
      <c r="E36" s="223"/>
      <c r="F36" s="185" t="str">
        <f>IFERROR(INDEX(Table_Prescript_Meas[Units], MATCH(Table_PrescriptLights_Input5[[#This Row],[Measure number]], Table_Prescript_Meas[Measure Number], 0)), "")</f>
        <v/>
      </c>
      <c r="G36" s="214"/>
      <c r="H36" s="215"/>
      <c r="I36" s="237"/>
      <c r="J36" s="238"/>
      <c r="K36" s="238"/>
      <c r="L36" s="218"/>
      <c r="M36"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6" s="219" t="str">
        <f>IF(Table_PrescriptLights_Input5[[#This Row],[Unit capacity (tons)]]="","",IFERROR(Table_PrescriptLights_Input5[[#This Row],[Per-unit incentive]]*Table_PrescriptLights_Input5[[#This Row],[Unit capacity (tons)]]*Table_PrescriptLights_Input5[[#This Row],[Number of units]],""))</f>
        <v/>
      </c>
      <c r="O36" s="220" t="str">
        <f>IF(Table_PrescriptLights_Input5[[#This Row],[Unit capacity (tons)]]="","",Table_PrescriptLights_Input5[[#This Row],[Unit capacity (tons)]]*Table_PrescriptLights_Input5[[#This Row],[Number of units]]*Table_PrescriptLights_Input5[[#This Row],[Part load (IPLV) kW/ton]]*VLOOKUP($E$4,References!$L$103:$O$112,2,FALSE)*0.05)</f>
        <v/>
      </c>
      <c r="P36" s="221" t="str">
        <f>IF(Table_PrescriptLights_Input5[[#This Row],[Unit capacity (tons)]]="","",Table_PrescriptLights_Input5[[#This Row],[Unit capacity (tons)]]*Table_PrescriptLights_Input5[[#This Row],[Number of units]]*Table_PrescriptLights_Input5[[#This Row],[Full load kW/ton]]*VLOOKUP($E$4,References!$L$103:$O$112,4,FALSE)*0.05)</f>
        <v/>
      </c>
      <c r="Q36" s="219" t="str">
        <f>IFERROR(Table_PrescriptLights_Input5[[#This Row],[Energy savings (kWh)]]*Input_AvgkWhRate, "")</f>
        <v/>
      </c>
      <c r="R36" s="219" t="str">
        <f>IF(Table_PrescriptLights_Input5[[#This Row],[Unit capacity (tons)]]="", "",Table_PrescriptLights_Input5[[#This Row],[Total equipment + labor cost]])</f>
        <v/>
      </c>
      <c r="S36" s="219" t="str">
        <f>IFERROR(Table_PrescriptLights_Input5[[#This Row],[Gross measure cost]]-Table_PrescriptLights_Input5[[#This Row],[Estimated incentive]], "")</f>
        <v/>
      </c>
      <c r="T36" s="220" t="str">
        <f t="shared" si="0"/>
        <v/>
      </c>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row>
    <row r="37" spans="1:48" x14ac:dyDescent="0.2">
      <c r="A37" s="186"/>
      <c r="B37" s="213">
        <v>32</v>
      </c>
      <c r="C37" s="185" t="str">
        <f>IFERROR(INDEX(Table_Prescript_Meas[Measure Number], MATCH(E37, Table_Prescript_Meas[Measure Description], 0)), "")</f>
        <v/>
      </c>
      <c r="D37" s="222"/>
      <c r="E37" s="223"/>
      <c r="F37" s="185" t="str">
        <f>IFERROR(INDEX(Table_Prescript_Meas[Units], MATCH(Table_PrescriptLights_Input5[[#This Row],[Measure number]], Table_Prescript_Meas[Measure Number], 0)), "")</f>
        <v/>
      </c>
      <c r="G37" s="214"/>
      <c r="H37" s="215"/>
      <c r="I37" s="237"/>
      <c r="J37" s="238"/>
      <c r="K37" s="238"/>
      <c r="L37" s="218"/>
      <c r="M37"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7" s="219" t="str">
        <f>IF(Table_PrescriptLights_Input5[[#This Row],[Unit capacity (tons)]]="","",IFERROR(Table_PrescriptLights_Input5[[#This Row],[Per-unit incentive]]*Table_PrescriptLights_Input5[[#This Row],[Unit capacity (tons)]]*Table_PrescriptLights_Input5[[#This Row],[Number of units]],""))</f>
        <v/>
      </c>
      <c r="O37" s="220" t="str">
        <f>IF(Table_PrescriptLights_Input5[[#This Row],[Unit capacity (tons)]]="","",Table_PrescriptLights_Input5[[#This Row],[Unit capacity (tons)]]*Table_PrescriptLights_Input5[[#This Row],[Number of units]]*Table_PrescriptLights_Input5[[#This Row],[Part load (IPLV) kW/ton]]*VLOOKUP($E$4,References!$L$103:$O$112,2,FALSE)*0.05)</f>
        <v/>
      </c>
      <c r="P37" s="221" t="str">
        <f>IF(Table_PrescriptLights_Input5[[#This Row],[Unit capacity (tons)]]="","",Table_PrescriptLights_Input5[[#This Row],[Unit capacity (tons)]]*Table_PrescriptLights_Input5[[#This Row],[Number of units]]*Table_PrescriptLights_Input5[[#This Row],[Full load kW/ton]]*VLOOKUP($E$4,References!$L$103:$O$112,4,FALSE)*0.05)</f>
        <v/>
      </c>
      <c r="Q37" s="219" t="str">
        <f>IFERROR(Table_PrescriptLights_Input5[[#This Row],[Energy savings (kWh)]]*Input_AvgkWhRate, "")</f>
        <v/>
      </c>
      <c r="R37" s="219" t="str">
        <f>IF(Table_PrescriptLights_Input5[[#This Row],[Unit capacity (tons)]]="", "",Table_PrescriptLights_Input5[[#This Row],[Total equipment + labor cost]])</f>
        <v/>
      </c>
      <c r="S37" s="219" t="str">
        <f>IFERROR(Table_PrescriptLights_Input5[[#This Row],[Gross measure cost]]-Table_PrescriptLights_Input5[[#This Row],[Estimated incentive]], "")</f>
        <v/>
      </c>
      <c r="T37" s="220" t="str">
        <f t="shared" si="0"/>
        <v/>
      </c>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row>
    <row r="38" spans="1:48" x14ac:dyDescent="0.2">
      <c r="A38" s="186"/>
      <c r="B38" s="213">
        <v>33</v>
      </c>
      <c r="C38" s="185" t="str">
        <f>IFERROR(INDEX(Table_Prescript_Meas[Measure Number], MATCH(E38, Table_Prescript_Meas[Measure Description], 0)), "")</f>
        <v/>
      </c>
      <c r="D38" s="222"/>
      <c r="E38" s="223"/>
      <c r="F38" s="185" t="str">
        <f>IFERROR(INDEX(Table_Prescript_Meas[Units], MATCH(Table_PrescriptLights_Input5[[#This Row],[Measure number]], Table_Prescript_Meas[Measure Number], 0)), "")</f>
        <v/>
      </c>
      <c r="G38" s="214"/>
      <c r="H38" s="215"/>
      <c r="I38" s="237"/>
      <c r="J38" s="238"/>
      <c r="K38" s="238"/>
      <c r="L38" s="218"/>
      <c r="M38"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8" s="219" t="str">
        <f>IF(Table_PrescriptLights_Input5[[#This Row],[Unit capacity (tons)]]="","",IFERROR(Table_PrescriptLights_Input5[[#This Row],[Per-unit incentive]]*Table_PrescriptLights_Input5[[#This Row],[Unit capacity (tons)]]*Table_PrescriptLights_Input5[[#This Row],[Number of units]],""))</f>
        <v/>
      </c>
      <c r="O38" s="220" t="str">
        <f>IF(Table_PrescriptLights_Input5[[#This Row],[Unit capacity (tons)]]="","",Table_PrescriptLights_Input5[[#This Row],[Unit capacity (tons)]]*Table_PrescriptLights_Input5[[#This Row],[Number of units]]*Table_PrescriptLights_Input5[[#This Row],[Part load (IPLV) kW/ton]]*VLOOKUP($E$4,References!$L$103:$O$112,2,FALSE)*0.05)</f>
        <v/>
      </c>
      <c r="P38" s="221" t="str">
        <f>IF(Table_PrescriptLights_Input5[[#This Row],[Unit capacity (tons)]]="","",Table_PrescriptLights_Input5[[#This Row],[Unit capacity (tons)]]*Table_PrescriptLights_Input5[[#This Row],[Number of units]]*Table_PrescriptLights_Input5[[#This Row],[Full load kW/ton]]*VLOOKUP($E$4,References!$L$103:$O$112,4,FALSE)*0.05)</f>
        <v/>
      </c>
      <c r="Q38" s="219" t="str">
        <f>IFERROR(Table_PrescriptLights_Input5[[#This Row],[Energy savings (kWh)]]*Input_AvgkWhRate, "")</f>
        <v/>
      </c>
      <c r="R38" s="219" t="str">
        <f>IF(Table_PrescriptLights_Input5[[#This Row],[Unit capacity (tons)]]="", "",Table_PrescriptLights_Input5[[#This Row],[Total equipment + labor cost]])</f>
        <v/>
      </c>
      <c r="S38" s="219" t="str">
        <f>IFERROR(Table_PrescriptLights_Input5[[#This Row],[Gross measure cost]]-Table_PrescriptLights_Input5[[#This Row],[Estimated incentive]], "")</f>
        <v/>
      </c>
      <c r="T38" s="220" t="str">
        <f t="shared" si="0"/>
        <v/>
      </c>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row>
    <row r="39" spans="1:48" x14ac:dyDescent="0.2">
      <c r="A39" s="186"/>
      <c r="B39" s="213">
        <v>34</v>
      </c>
      <c r="C39" s="185" t="str">
        <f>IFERROR(INDEX(Table_Prescript_Meas[Measure Number], MATCH(E39, Table_Prescript_Meas[Measure Description], 0)), "")</f>
        <v/>
      </c>
      <c r="D39" s="222"/>
      <c r="E39" s="223"/>
      <c r="F39" s="185" t="str">
        <f>IFERROR(INDEX(Table_Prescript_Meas[Units], MATCH(Table_PrescriptLights_Input5[[#This Row],[Measure number]], Table_Prescript_Meas[Measure Number], 0)), "")</f>
        <v/>
      </c>
      <c r="G39" s="214"/>
      <c r="H39" s="215"/>
      <c r="I39" s="237"/>
      <c r="J39" s="238"/>
      <c r="K39" s="238"/>
      <c r="L39" s="218"/>
      <c r="M39"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39" s="219" t="str">
        <f>IF(Table_PrescriptLights_Input5[[#This Row],[Unit capacity (tons)]]="","",IFERROR(Table_PrescriptLights_Input5[[#This Row],[Per-unit incentive]]*Table_PrescriptLights_Input5[[#This Row],[Unit capacity (tons)]]*Table_PrescriptLights_Input5[[#This Row],[Number of units]],""))</f>
        <v/>
      </c>
      <c r="O39" s="220" t="str">
        <f>IF(Table_PrescriptLights_Input5[[#This Row],[Unit capacity (tons)]]="","",Table_PrescriptLights_Input5[[#This Row],[Unit capacity (tons)]]*Table_PrescriptLights_Input5[[#This Row],[Number of units]]*Table_PrescriptLights_Input5[[#This Row],[Part load (IPLV) kW/ton]]*VLOOKUP($E$4,References!$L$103:$O$112,2,FALSE)*0.05)</f>
        <v/>
      </c>
      <c r="P39" s="221" t="str">
        <f>IF(Table_PrescriptLights_Input5[[#This Row],[Unit capacity (tons)]]="","",Table_PrescriptLights_Input5[[#This Row],[Unit capacity (tons)]]*Table_PrescriptLights_Input5[[#This Row],[Number of units]]*Table_PrescriptLights_Input5[[#This Row],[Full load kW/ton]]*VLOOKUP($E$4,References!$L$103:$O$112,4,FALSE)*0.05)</f>
        <v/>
      </c>
      <c r="Q39" s="219" t="str">
        <f>IFERROR(Table_PrescriptLights_Input5[[#This Row],[Energy savings (kWh)]]*Input_AvgkWhRate, "")</f>
        <v/>
      </c>
      <c r="R39" s="219" t="str">
        <f>IF(Table_PrescriptLights_Input5[[#This Row],[Unit capacity (tons)]]="", "",Table_PrescriptLights_Input5[[#This Row],[Total equipment + labor cost]])</f>
        <v/>
      </c>
      <c r="S39" s="219" t="str">
        <f>IFERROR(Table_PrescriptLights_Input5[[#This Row],[Gross measure cost]]-Table_PrescriptLights_Input5[[#This Row],[Estimated incentive]], "")</f>
        <v/>
      </c>
      <c r="T39" s="220" t="str">
        <f t="shared" si="0"/>
        <v/>
      </c>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row>
    <row r="40" spans="1:48" x14ac:dyDescent="0.2">
      <c r="A40" s="186"/>
      <c r="B40" s="213">
        <v>35</v>
      </c>
      <c r="C40" s="185" t="str">
        <f>IFERROR(INDEX(Table_Prescript_Meas[Measure Number], MATCH(E40, Table_Prescript_Meas[Measure Description], 0)), "")</f>
        <v/>
      </c>
      <c r="D40" s="222"/>
      <c r="E40" s="223"/>
      <c r="F40" s="185" t="str">
        <f>IFERROR(INDEX(Table_Prescript_Meas[Units], MATCH(Table_PrescriptLights_Input5[[#This Row],[Measure number]], Table_Prescript_Meas[Measure Number], 0)), "")</f>
        <v/>
      </c>
      <c r="G40" s="214"/>
      <c r="H40" s="215"/>
      <c r="I40" s="237"/>
      <c r="J40" s="238"/>
      <c r="K40" s="238"/>
      <c r="L40" s="218"/>
      <c r="M40"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0" s="219" t="str">
        <f>IF(Table_PrescriptLights_Input5[[#This Row],[Unit capacity (tons)]]="","",IFERROR(Table_PrescriptLights_Input5[[#This Row],[Per-unit incentive]]*Table_PrescriptLights_Input5[[#This Row],[Unit capacity (tons)]]*Table_PrescriptLights_Input5[[#This Row],[Number of units]],""))</f>
        <v/>
      </c>
      <c r="O40" s="220" t="str">
        <f>IF(Table_PrescriptLights_Input5[[#This Row],[Unit capacity (tons)]]="","",Table_PrescriptLights_Input5[[#This Row],[Unit capacity (tons)]]*Table_PrescriptLights_Input5[[#This Row],[Number of units]]*Table_PrescriptLights_Input5[[#This Row],[Part load (IPLV) kW/ton]]*VLOOKUP($E$4,References!$L$103:$O$112,2,FALSE)*0.05)</f>
        <v/>
      </c>
      <c r="P40" s="221" t="str">
        <f>IF(Table_PrescriptLights_Input5[[#This Row],[Unit capacity (tons)]]="","",Table_PrescriptLights_Input5[[#This Row],[Unit capacity (tons)]]*Table_PrescriptLights_Input5[[#This Row],[Number of units]]*Table_PrescriptLights_Input5[[#This Row],[Full load kW/ton]]*VLOOKUP($E$4,References!$L$103:$O$112,4,FALSE)*0.05)</f>
        <v/>
      </c>
      <c r="Q40" s="219" t="str">
        <f>IFERROR(Table_PrescriptLights_Input5[[#This Row],[Energy savings (kWh)]]*Input_AvgkWhRate, "")</f>
        <v/>
      </c>
      <c r="R40" s="219" t="str">
        <f>IF(Table_PrescriptLights_Input5[[#This Row],[Unit capacity (tons)]]="", "",Table_PrescriptLights_Input5[[#This Row],[Total equipment + labor cost]])</f>
        <v/>
      </c>
      <c r="S40" s="219" t="str">
        <f>IFERROR(Table_PrescriptLights_Input5[[#This Row],[Gross measure cost]]-Table_PrescriptLights_Input5[[#This Row],[Estimated incentive]], "")</f>
        <v/>
      </c>
      <c r="T40" s="220" t="str">
        <f t="shared" si="0"/>
        <v/>
      </c>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row>
    <row r="41" spans="1:48" x14ac:dyDescent="0.2">
      <c r="A41" s="186"/>
      <c r="B41" s="213">
        <v>36</v>
      </c>
      <c r="C41" s="185" t="str">
        <f>IFERROR(INDEX(Table_Prescript_Meas[Measure Number], MATCH(E41, Table_Prescript_Meas[Measure Description], 0)), "")</f>
        <v/>
      </c>
      <c r="D41" s="222"/>
      <c r="E41" s="223"/>
      <c r="F41" s="185" t="str">
        <f>IFERROR(INDEX(Table_Prescript_Meas[Units], MATCH(Table_PrescriptLights_Input5[[#This Row],[Measure number]], Table_Prescript_Meas[Measure Number], 0)), "")</f>
        <v/>
      </c>
      <c r="G41" s="214"/>
      <c r="H41" s="215"/>
      <c r="I41" s="237"/>
      <c r="J41" s="238"/>
      <c r="K41" s="238"/>
      <c r="L41" s="218"/>
      <c r="M41"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1" s="219" t="str">
        <f>IF(Table_PrescriptLights_Input5[[#This Row],[Unit capacity (tons)]]="","",IFERROR(Table_PrescriptLights_Input5[[#This Row],[Per-unit incentive]]*Table_PrescriptLights_Input5[[#This Row],[Unit capacity (tons)]]*Table_PrescriptLights_Input5[[#This Row],[Number of units]],""))</f>
        <v/>
      </c>
      <c r="O41" s="220" t="str">
        <f>IF(Table_PrescriptLights_Input5[[#This Row],[Unit capacity (tons)]]="","",Table_PrescriptLights_Input5[[#This Row],[Unit capacity (tons)]]*Table_PrescriptLights_Input5[[#This Row],[Number of units]]*Table_PrescriptLights_Input5[[#This Row],[Part load (IPLV) kW/ton]]*VLOOKUP($E$4,References!$L$103:$O$112,2,FALSE)*0.05)</f>
        <v/>
      </c>
      <c r="P41" s="221" t="str">
        <f>IF(Table_PrescriptLights_Input5[[#This Row],[Unit capacity (tons)]]="","",Table_PrescriptLights_Input5[[#This Row],[Unit capacity (tons)]]*Table_PrescriptLights_Input5[[#This Row],[Number of units]]*Table_PrescriptLights_Input5[[#This Row],[Full load kW/ton]]*VLOOKUP($E$4,References!$L$103:$O$112,4,FALSE)*0.05)</f>
        <v/>
      </c>
      <c r="Q41" s="219" t="str">
        <f>IFERROR(Table_PrescriptLights_Input5[[#This Row],[Energy savings (kWh)]]*Input_AvgkWhRate, "")</f>
        <v/>
      </c>
      <c r="R41" s="219" t="str">
        <f>IF(Table_PrescriptLights_Input5[[#This Row],[Unit capacity (tons)]]="", "",Table_PrescriptLights_Input5[[#This Row],[Total equipment + labor cost]])</f>
        <v/>
      </c>
      <c r="S41" s="219" t="str">
        <f>IFERROR(Table_PrescriptLights_Input5[[#This Row],[Gross measure cost]]-Table_PrescriptLights_Input5[[#This Row],[Estimated incentive]], "")</f>
        <v/>
      </c>
      <c r="T41" s="220" t="str">
        <f t="shared" si="0"/>
        <v/>
      </c>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row>
    <row r="42" spans="1:48" x14ac:dyDescent="0.2">
      <c r="A42" s="186"/>
      <c r="B42" s="213">
        <v>37</v>
      </c>
      <c r="C42" s="185" t="str">
        <f>IFERROR(INDEX(Table_Prescript_Meas[Measure Number], MATCH(E42, Table_Prescript_Meas[Measure Description], 0)), "")</f>
        <v/>
      </c>
      <c r="D42" s="222"/>
      <c r="E42" s="223"/>
      <c r="F42" s="185" t="str">
        <f>IFERROR(INDEX(Table_Prescript_Meas[Units], MATCH(Table_PrescriptLights_Input5[[#This Row],[Measure number]], Table_Prescript_Meas[Measure Number], 0)), "")</f>
        <v/>
      </c>
      <c r="G42" s="214"/>
      <c r="H42" s="215"/>
      <c r="I42" s="237"/>
      <c r="J42" s="238"/>
      <c r="K42" s="238"/>
      <c r="L42" s="218"/>
      <c r="M42"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2" s="219" t="str">
        <f>IF(Table_PrescriptLights_Input5[[#This Row],[Unit capacity (tons)]]="","",IFERROR(Table_PrescriptLights_Input5[[#This Row],[Per-unit incentive]]*Table_PrescriptLights_Input5[[#This Row],[Unit capacity (tons)]]*Table_PrescriptLights_Input5[[#This Row],[Number of units]],""))</f>
        <v/>
      </c>
      <c r="O42" s="220" t="str">
        <f>IF(Table_PrescriptLights_Input5[[#This Row],[Unit capacity (tons)]]="","",Table_PrescriptLights_Input5[[#This Row],[Unit capacity (tons)]]*Table_PrescriptLights_Input5[[#This Row],[Number of units]]*Table_PrescriptLights_Input5[[#This Row],[Part load (IPLV) kW/ton]]*VLOOKUP($E$4,References!$L$103:$O$112,2,FALSE)*0.05)</f>
        <v/>
      </c>
      <c r="P42" s="221" t="str">
        <f>IF(Table_PrescriptLights_Input5[[#This Row],[Unit capacity (tons)]]="","",Table_PrescriptLights_Input5[[#This Row],[Unit capacity (tons)]]*Table_PrescriptLights_Input5[[#This Row],[Number of units]]*Table_PrescriptLights_Input5[[#This Row],[Full load kW/ton]]*VLOOKUP($E$4,References!$L$103:$O$112,4,FALSE)*0.05)</f>
        <v/>
      </c>
      <c r="Q42" s="219" t="str">
        <f>IFERROR(Table_PrescriptLights_Input5[[#This Row],[Energy savings (kWh)]]*Input_AvgkWhRate, "")</f>
        <v/>
      </c>
      <c r="R42" s="219" t="str">
        <f>IF(Table_PrescriptLights_Input5[[#This Row],[Unit capacity (tons)]]="", "",Table_PrescriptLights_Input5[[#This Row],[Total equipment + labor cost]])</f>
        <v/>
      </c>
      <c r="S42" s="219" t="str">
        <f>IFERROR(Table_PrescriptLights_Input5[[#This Row],[Gross measure cost]]-Table_PrescriptLights_Input5[[#This Row],[Estimated incentive]], "")</f>
        <v/>
      </c>
      <c r="T42" s="220" t="str">
        <f t="shared" si="0"/>
        <v/>
      </c>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row>
    <row r="43" spans="1:48" x14ac:dyDescent="0.2">
      <c r="A43" s="186"/>
      <c r="B43" s="213">
        <v>38</v>
      </c>
      <c r="C43" s="185" t="str">
        <f>IFERROR(INDEX(Table_Prescript_Meas[Measure Number], MATCH(E43, Table_Prescript_Meas[Measure Description], 0)), "")</f>
        <v/>
      </c>
      <c r="D43" s="222"/>
      <c r="E43" s="223"/>
      <c r="F43" s="185" t="str">
        <f>IFERROR(INDEX(Table_Prescript_Meas[Units], MATCH(Table_PrescriptLights_Input5[[#This Row],[Measure number]], Table_Prescript_Meas[Measure Number], 0)), "")</f>
        <v/>
      </c>
      <c r="G43" s="214"/>
      <c r="H43" s="215"/>
      <c r="I43" s="237"/>
      <c r="J43" s="238"/>
      <c r="K43" s="238"/>
      <c r="L43" s="218"/>
      <c r="M43"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3" s="219" t="str">
        <f>IF(Table_PrescriptLights_Input5[[#This Row],[Unit capacity (tons)]]="","",IFERROR(Table_PrescriptLights_Input5[[#This Row],[Per-unit incentive]]*Table_PrescriptLights_Input5[[#This Row],[Unit capacity (tons)]]*Table_PrescriptLights_Input5[[#This Row],[Number of units]],""))</f>
        <v/>
      </c>
      <c r="O43" s="220" t="str">
        <f>IF(Table_PrescriptLights_Input5[[#This Row],[Unit capacity (tons)]]="","",Table_PrescriptLights_Input5[[#This Row],[Unit capacity (tons)]]*Table_PrescriptLights_Input5[[#This Row],[Number of units]]*Table_PrescriptLights_Input5[[#This Row],[Part load (IPLV) kW/ton]]*VLOOKUP($E$4,References!$L$103:$O$112,2,FALSE)*0.05)</f>
        <v/>
      </c>
      <c r="P43" s="221" t="str">
        <f>IF(Table_PrescriptLights_Input5[[#This Row],[Unit capacity (tons)]]="","",Table_PrescriptLights_Input5[[#This Row],[Unit capacity (tons)]]*Table_PrescriptLights_Input5[[#This Row],[Number of units]]*Table_PrescriptLights_Input5[[#This Row],[Full load kW/ton]]*VLOOKUP($E$4,References!$L$103:$O$112,4,FALSE)*0.05)</f>
        <v/>
      </c>
      <c r="Q43" s="219" t="str">
        <f>IFERROR(Table_PrescriptLights_Input5[[#This Row],[Energy savings (kWh)]]*Input_AvgkWhRate, "")</f>
        <v/>
      </c>
      <c r="R43" s="219" t="str">
        <f>IF(Table_PrescriptLights_Input5[[#This Row],[Unit capacity (tons)]]="", "",Table_PrescriptLights_Input5[[#This Row],[Total equipment + labor cost]])</f>
        <v/>
      </c>
      <c r="S43" s="219" t="str">
        <f>IFERROR(Table_PrescriptLights_Input5[[#This Row],[Gross measure cost]]-Table_PrescriptLights_Input5[[#This Row],[Estimated incentive]], "")</f>
        <v/>
      </c>
      <c r="T43" s="220" t="str">
        <f t="shared" si="0"/>
        <v/>
      </c>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row>
    <row r="44" spans="1:48" x14ac:dyDescent="0.2">
      <c r="A44" s="186"/>
      <c r="B44" s="213">
        <v>39</v>
      </c>
      <c r="C44" s="185" t="str">
        <f>IFERROR(INDEX(Table_Prescript_Meas[Measure Number], MATCH(E44, Table_Prescript_Meas[Measure Description], 0)), "")</f>
        <v/>
      </c>
      <c r="D44" s="222"/>
      <c r="E44" s="223"/>
      <c r="F44" s="185" t="str">
        <f>IFERROR(INDEX(Table_Prescript_Meas[Units], MATCH(Table_PrescriptLights_Input5[[#This Row],[Measure number]], Table_Prescript_Meas[Measure Number], 0)), "")</f>
        <v/>
      </c>
      <c r="G44" s="214"/>
      <c r="H44" s="215"/>
      <c r="I44" s="237"/>
      <c r="J44" s="238"/>
      <c r="K44" s="238"/>
      <c r="L44" s="218"/>
      <c r="M44"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4" s="219" t="str">
        <f>IF(Table_PrescriptLights_Input5[[#This Row],[Unit capacity (tons)]]="","",IFERROR(Table_PrescriptLights_Input5[[#This Row],[Per-unit incentive]]*Table_PrescriptLights_Input5[[#This Row],[Unit capacity (tons)]]*Table_PrescriptLights_Input5[[#This Row],[Number of units]],""))</f>
        <v/>
      </c>
      <c r="O44" s="220" t="str">
        <f>IF(Table_PrescriptLights_Input5[[#This Row],[Unit capacity (tons)]]="","",Table_PrescriptLights_Input5[[#This Row],[Unit capacity (tons)]]*Table_PrescriptLights_Input5[[#This Row],[Number of units]]*Table_PrescriptLights_Input5[[#This Row],[Part load (IPLV) kW/ton]]*VLOOKUP($E$4,References!$L$103:$O$112,2,FALSE)*0.05)</f>
        <v/>
      </c>
      <c r="P44" s="221" t="str">
        <f>IF(Table_PrescriptLights_Input5[[#This Row],[Unit capacity (tons)]]="","",Table_PrescriptLights_Input5[[#This Row],[Unit capacity (tons)]]*Table_PrescriptLights_Input5[[#This Row],[Number of units]]*Table_PrescriptLights_Input5[[#This Row],[Full load kW/ton]]*VLOOKUP($E$4,References!$L$103:$O$112,4,FALSE)*0.05)</f>
        <v/>
      </c>
      <c r="Q44" s="219" t="str">
        <f>IFERROR(Table_PrescriptLights_Input5[[#This Row],[Energy savings (kWh)]]*Input_AvgkWhRate, "")</f>
        <v/>
      </c>
      <c r="R44" s="219" t="str">
        <f>IF(Table_PrescriptLights_Input5[[#This Row],[Unit capacity (tons)]]="", "",Table_PrescriptLights_Input5[[#This Row],[Total equipment + labor cost]])</f>
        <v/>
      </c>
      <c r="S44" s="219" t="str">
        <f>IFERROR(Table_PrescriptLights_Input5[[#This Row],[Gross measure cost]]-Table_PrescriptLights_Input5[[#This Row],[Estimated incentive]], "")</f>
        <v/>
      </c>
      <c r="T44" s="220" t="str">
        <f t="shared" si="0"/>
        <v/>
      </c>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row>
    <row r="45" spans="1:48" x14ac:dyDescent="0.2">
      <c r="A45" s="186"/>
      <c r="B45" s="213">
        <v>40</v>
      </c>
      <c r="C45" s="185" t="str">
        <f>IFERROR(INDEX(Table_Prescript_Meas[Measure Number], MATCH(E45, Table_Prescript_Meas[Measure Description], 0)), "")</f>
        <v/>
      </c>
      <c r="D45" s="222"/>
      <c r="E45" s="223"/>
      <c r="F45" s="185" t="str">
        <f>IFERROR(INDEX(Table_Prescript_Meas[Units], MATCH(Table_PrescriptLights_Input5[[#This Row],[Measure number]], Table_Prescript_Meas[Measure Number], 0)), "")</f>
        <v/>
      </c>
      <c r="G45" s="214"/>
      <c r="H45" s="215"/>
      <c r="I45" s="237"/>
      <c r="J45" s="238"/>
      <c r="K45" s="238"/>
      <c r="L45" s="218"/>
      <c r="M45"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5" s="219" t="str">
        <f>IF(Table_PrescriptLights_Input5[[#This Row],[Unit capacity (tons)]]="","",IFERROR(Table_PrescriptLights_Input5[[#This Row],[Per-unit incentive]]*Table_PrescriptLights_Input5[[#This Row],[Unit capacity (tons)]]*Table_PrescriptLights_Input5[[#This Row],[Number of units]],""))</f>
        <v/>
      </c>
      <c r="O45" s="220" t="str">
        <f>IF(Table_PrescriptLights_Input5[[#This Row],[Unit capacity (tons)]]="","",Table_PrescriptLights_Input5[[#This Row],[Unit capacity (tons)]]*Table_PrescriptLights_Input5[[#This Row],[Number of units]]*Table_PrescriptLights_Input5[[#This Row],[Part load (IPLV) kW/ton]]*VLOOKUP($E$4,References!$L$103:$O$112,2,FALSE)*0.05)</f>
        <v/>
      </c>
      <c r="P45" s="221" t="str">
        <f>IF(Table_PrescriptLights_Input5[[#This Row],[Unit capacity (tons)]]="","",Table_PrescriptLights_Input5[[#This Row],[Unit capacity (tons)]]*Table_PrescriptLights_Input5[[#This Row],[Number of units]]*Table_PrescriptLights_Input5[[#This Row],[Full load kW/ton]]*VLOOKUP($E$4,References!$L$103:$O$112,4,FALSE)*0.05)</f>
        <v/>
      </c>
      <c r="Q45" s="219" t="str">
        <f>IFERROR(Table_PrescriptLights_Input5[[#This Row],[Energy savings (kWh)]]*Input_AvgkWhRate, "")</f>
        <v/>
      </c>
      <c r="R45" s="219" t="str">
        <f>IF(Table_PrescriptLights_Input5[[#This Row],[Unit capacity (tons)]]="", "",Table_PrescriptLights_Input5[[#This Row],[Total equipment + labor cost]])</f>
        <v/>
      </c>
      <c r="S45" s="219" t="str">
        <f>IFERROR(Table_PrescriptLights_Input5[[#This Row],[Gross measure cost]]-Table_PrescriptLights_Input5[[#This Row],[Estimated incentive]], "")</f>
        <v/>
      </c>
      <c r="T45" s="220" t="str">
        <f t="shared" si="0"/>
        <v/>
      </c>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row>
    <row r="46" spans="1:48" x14ac:dyDescent="0.2">
      <c r="A46" s="186"/>
      <c r="B46" s="213">
        <v>41</v>
      </c>
      <c r="C46" s="185" t="str">
        <f>IFERROR(INDEX(Table_Prescript_Meas[Measure Number], MATCH(E46, Table_Prescript_Meas[Measure Description], 0)), "")</f>
        <v/>
      </c>
      <c r="D46" s="222"/>
      <c r="E46" s="223"/>
      <c r="F46" s="185" t="str">
        <f>IFERROR(INDEX(Table_Prescript_Meas[Units], MATCH(Table_PrescriptLights_Input5[[#This Row],[Measure number]], Table_Prescript_Meas[Measure Number], 0)), "")</f>
        <v/>
      </c>
      <c r="G46" s="214"/>
      <c r="H46" s="215"/>
      <c r="I46" s="237"/>
      <c r="J46" s="238"/>
      <c r="K46" s="238"/>
      <c r="L46" s="218"/>
      <c r="M46"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6" s="219" t="str">
        <f>IF(Table_PrescriptLights_Input5[[#This Row],[Unit capacity (tons)]]="","",IFERROR(Table_PrescriptLights_Input5[[#This Row],[Per-unit incentive]]*Table_PrescriptLights_Input5[[#This Row],[Unit capacity (tons)]]*Table_PrescriptLights_Input5[[#This Row],[Number of units]],""))</f>
        <v/>
      </c>
      <c r="O46" s="220" t="str">
        <f>IF(Table_PrescriptLights_Input5[[#This Row],[Unit capacity (tons)]]="","",Table_PrescriptLights_Input5[[#This Row],[Unit capacity (tons)]]*Table_PrescriptLights_Input5[[#This Row],[Number of units]]*Table_PrescriptLights_Input5[[#This Row],[Part load (IPLV) kW/ton]]*VLOOKUP($E$4,References!$L$103:$O$112,2,FALSE)*0.05)</f>
        <v/>
      </c>
      <c r="P46" s="221" t="str">
        <f>IF(Table_PrescriptLights_Input5[[#This Row],[Unit capacity (tons)]]="","",Table_PrescriptLights_Input5[[#This Row],[Unit capacity (tons)]]*Table_PrescriptLights_Input5[[#This Row],[Number of units]]*Table_PrescriptLights_Input5[[#This Row],[Full load kW/ton]]*VLOOKUP($E$4,References!$L$103:$O$112,4,FALSE)*0.05)</f>
        <v/>
      </c>
      <c r="Q46" s="219" t="str">
        <f>IFERROR(Table_PrescriptLights_Input5[[#This Row],[Energy savings (kWh)]]*Input_AvgkWhRate, "")</f>
        <v/>
      </c>
      <c r="R46" s="219" t="str">
        <f>IF(Table_PrescriptLights_Input5[[#This Row],[Unit capacity (tons)]]="", "",Table_PrescriptLights_Input5[[#This Row],[Total equipment + labor cost]])</f>
        <v/>
      </c>
      <c r="S46" s="219" t="str">
        <f>IFERROR(Table_PrescriptLights_Input5[[#This Row],[Gross measure cost]]-Table_PrescriptLights_Input5[[#This Row],[Estimated incentive]], "")</f>
        <v/>
      </c>
      <c r="T46" s="220" t="str">
        <f t="shared" si="0"/>
        <v/>
      </c>
      <c r="U46" s="186"/>
      <c r="V46" s="186"/>
      <c r="W46" s="186"/>
      <c r="X46" s="186"/>
      <c r="Y46" s="186"/>
      <c r="Z46" s="186"/>
      <c r="AA46" s="186"/>
      <c r="AB46" s="186"/>
      <c r="AC46" s="186"/>
      <c r="AD46" s="186"/>
      <c r="AE46" s="186"/>
      <c r="AF46" s="186"/>
      <c r="AG46" s="186"/>
      <c r="AH46" s="186"/>
      <c r="AI46" s="186"/>
      <c r="AJ46" s="186"/>
      <c r="AK46" s="186"/>
      <c r="AL46" s="186"/>
      <c r="AM46" s="186"/>
      <c r="AN46" s="186"/>
      <c r="AO46" s="186"/>
      <c r="AP46" s="186"/>
      <c r="AQ46" s="186"/>
      <c r="AR46" s="186"/>
      <c r="AS46" s="186"/>
      <c r="AT46" s="186"/>
      <c r="AU46" s="186"/>
      <c r="AV46" s="186"/>
    </row>
    <row r="47" spans="1:48" x14ac:dyDescent="0.2">
      <c r="A47" s="186"/>
      <c r="B47" s="213">
        <v>42</v>
      </c>
      <c r="C47" s="185" t="str">
        <f>IFERROR(INDEX(Table_Prescript_Meas[Measure Number], MATCH(E47, Table_Prescript_Meas[Measure Description], 0)), "")</f>
        <v/>
      </c>
      <c r="D47" s="222"/>
      <c r="E47" s="223"/>
      <c r="F47" s="185" t="str">
        <f>IFERROR(INDEX(Table_Prescript_Meas[Units], MATCH(Table_PrescriptLights_Input5[[#This Row],[Measure number]], Table_Prescript_Meas[Measure Number], 0)), "")</f>
        <v/>
      </c>
      <c r="G47" s="214"/>
      <c r="H47" s="215"/>
      <c r="I47" s="237"/>
      <c r="J47" s="238"/>
      <c r="K47" s="238"/>
      <c r="L47" s="218"/>
      <c r="M47"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7" s="219" t="str">
        <f>IF(Table_PrescriptLights_Input5[[#This Row],[Unit capacity (tons)]]="","",IFERROR(Table_PrescriptLights_Input5[[#This Row],[Per-unit incentive]]*Table_PrescriptLights_Input5[[#This Row],[Unit capacity (tons)]]*Table_PrescriptLights_Input5[[#This Row],[Number of units]],""))</f>
        <v/>
      </c>
      <c r="O47" s="220" t="str">
        <f>IF(Table_PrescriptLights_Input5[[#This Row],[Unit capacity (tons)]]="","",Table_PrescriptLights_Input5[[#This Row],[Unit capacity (tons)]]*Table_PrescriptLights_Input5[[#This Row],[Number of units]]*Table_PrescriptLights_Input5[[#This Row],[Part load (IPLV) kW/ton]]*VLOOKUP($E$4,References!$L$103:$O$112,2,FALSE)*0.05)</f>
        <v/>
      </c>
      <c r="P47" s="221" t="str">
        <f>IF(Table_PrescriptLights_Input5[[#This Row],[Unit capacity (tons)]]="","",Table_PrescriptLights_Input5[[#This Row],[Unit capacity (tons)]]*Table_PrescriptLights_Input5[[#This Row],[Number of units]]*Table_PrescriptLights_Input5[[#This Row],[Full load kW/ton]]*VLOOKUP($E$4,References!$L$103:$O$112,4,FALSE)*0.05)</f>
        <v/>
      </c>
      <c r="Q47" s="219" t="str">
        <f>IFERROR(Table_PrescriptLights_Input5[[#This Row],[Energy savings (kWh)]]*Input_AvgkWhRate, "")</f>
        <v/>
      </c>
      <c r="R47" s="219" t="str">
        <f>IF(Table_PrescriptLights_Input5[[#This Row],[Unit capacity (tons)]]="", "",Table_PrescriptLights_Input5[[#This Row],[Total equipment + labor cost]])</f>
        <v/>
      </c>
      <c r="S47" s="219" t="str">
        <f>IFERROR(Table_PrescriptLights_Input5[[#This Row],[Gross measure cost]]-Table_PrescriptLights_Input5[[#This Row],[Estimated incentive]], "")</f>
        <v/>
      </c>
      <c r="T47" s="220" t="str">
        <f t="shared" si="0"/>
        <v/>
      </c>
      <c r="U47" s="186"/>
      <c r="V47" s="186"/>
      <c r="W47" s="186"/>
      <c r="X47" s="186"/>
      <c r="Y47" s="186"/>
      <c r="Z47" s="186"/>
      <c r="AA47" s="186"/>
      <c r="AB47" s="186"/>
      <c r="AC47" s="186"/>
      <c r="AD47" s="186"/>
      <c r="AE47" s="186"/>
      <c r="AF47" s="186"/>
      <c r="AG47" s="186"/>
      <c r="AH47" s="186"/>
      <c r="AI47" s="186"/>
      <c r="AJ47" s="186"/>
      <c r="AK47" s="186"/>
      <c r="AL47" s="186"/>
      <c r="AM47" s="186"/>
      <c r="AN47" s="186"/>
      <c r="AO47" s="186"/>
      <c r="AP47" s="186"/>
      <c r="AQ47" s="186"/>
      <c r="AR47" s="186"/>
      <c r="AS47" s="186"/>
      <c r="AT47" s="186"/>
      <c r="AU47" s="186"/>
      <c r="AV47" s="186"/>
    </row>
    <row r="48" spans="1:48" x14ac:dyDescent="0.2">
      <c r="A48" s="186"/>
      <c r="B48" s="213">
        <v>43</v>
      </c>
      <c r="C48" s="185" t="str">
        <f>IFERROR(INDEX(Table_Prescript_Meas[Measure Number], MATCH(E48, Table_Prescript_Meas[Measure Description], 0)), "")</f>
        <v/>
      </c>
      <c r="D48" s="222"/>
      <c r="E48" s="223"/>
      <c r="F48" s="185" t="str">
        <f>IFERROR(INDEX(Table_Prescript_Meas[Units], MATCH(Table_PrescriptLights_Input5[[#This Row],[Measure number]], Table_Prescript_Meas[Measure Number], 0)), "")</f>
        <v/>
      </c>
      <c r="G48" s="214"/>
      <c r="H48" s="215"/>
      <c r="I48" s="237"/>
      <c r="J48" s="238"/>
      <c r="K48" s="238"/>
      <c r="L48" s="218"/>
      <c r="M48"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8" s="219" t="str">
        <f>IF(Table_PrescriptLights_Input5[[#This Row],[Unit capacity (tons)]]="","",IFERROR(Table_PrescriptLights_Input5[[#This Row],[Per-unit incentive]]*Table_PrescriptLights_Input5[[#This Row],[Unit capacity (tons)]]*Table_PrescriptLights_Input5[[#This Row],[Number of units]],""))</f>
        <v/>
      </c>
      <c r="O48" s="220" t="str">
        <f>IF(Table_PrescriptLights_Input5[[#This Row],[Unit capacity (tons)]]="","",Table_PrescriptLights_Input5[[#This Row],[Unit capacity (tons)]]*Table_PrescriptLights_Input5[[#This Row],[Number of units]]*Table_PrescriptLights_Input5[[#This Row],[Part load (IPLV) kW/ton]]*VLOOKUP($E$4,References!$L$103:$O$112,2,FALSE)*0.05)</f>
        <v/>
      </c>
      <c r="P48" s="221" t="str">
        <f>IF(Table_PrescriptLights_Input5[[#This Row],[Unit capacity (tons)]]="","",Table_PrescriptLights_Input5[[#This Row],[Unit capacity (tons)]]*Table_PrescriptLights_Input5[[#This Row],[Number of units]]*Table_PrescriptLights_Input5[[#This Row],[Full load kW/ton]]*VLOOKUP($E$4,References!$L$103:$O$112,4,FALSE)*0.05)</f>
        <v/>
      </c>
      <c r="Q48" s="219" t="str">
        <f>IFERROR(Table_PrescriptLights_Input5[[#This Row],[Energy savings (kWh)]]*Input_AvgkWhRate, "")</f>
        <v/>
      </c>
      <c r="R48" s="219" t="str">
        <f>IF(Table_PrescriptLights_Input5[[#This Row],[Unit capacity (tons)]]="", "",Table_PrescriptLights_Input5[[#This Row],[Total equipment + labor cost]])</f>
        <v/>
      </c>
      <c r="S48" s="219" t="str">
        <f>IFERROR(Table_PrescriptLights_Input5[[#This Row],[Gross measure cost]]-Table_PrescriptLights_Input5[[#This Row],[Estimated incentive]], "")</f>
        <v/>
      </c>
      <c r="T48" s="220" t="str">
        <f t="shared" si="0"/>
        <v/>
      </c>
      <c r="U48" s="186"/>
      <c r="V48" s="186"/>
      <c r="W48" s="186"/>
      <c r="X48" s="186"/>
      <c r="Y48" s="186"/>
      <c r="Z48" s="186"/>
      <c r="AA48" s="186"/>
      <c r="AB48" s="186"/>
      <c r="AC48" s="186"/>
      <c r="AD48" s="186"/>
      <c r="AE48" s="186"/>
      <c r="AF48" s="186"/>
      <c r="AG48" s="186"/>
      <c r="AH48" s="186"/>
      <c r="AI48" s="186"/>
      <c r="AJ48" s="186"/>
      <c r="AK48" s="186"/>
      <c r="AL48" s="186"/>
      <c r="AM48" s="186"/>
      <c r="AN48" s="186"/>
      <c r="AO48" s="186"/>
      <c r="AP48" s="186"/>
      <c r="AQ48" s="186"/>
      <c r="AR48" s="186"/>
      <c r="AS48" s="186"/>
      <c r="AT48" s="186"/>
      <c r="AU48" s="186"/>
      <c r="AV48" s="186"/>
    </row>
    <row r="49" spans="1:48" x14ac:dyDescent="0.2">
      <c r="A49" s="186"/>
      <c r="B49" s="213">
        <v>44</v>
      </c>
      <c r="C49" s="185" t="str">
        <f>IFERROR(INDEX(Table_Prescript_Meas[Measure Number], MATCH(E49, Table_Prescript_Meas[Measure Description], 0)), "")</f>
        <v/>
      </c>
      <c r="D49" s="222"/>
      <c r="E49" s="223"/>
      <c r="F49" s="185" t="str">
        <f>IFERROR(INDEX(Table_Prescript_Meas[Units], MATCH(Table_PrescriptLights_Input5[[#This Row],[Measure number]], Table_Prescript_Meas[Measure Number], 0)), "")</f>
        <v/>
      </c>
      <c r="G49" s="214"/>
      <c r="H49" s="215"/>
      <c r="I49" s="237"/>
      <c r="J49" s="238"/>
      <c r="K49" s="238"/>
      <c r="L49" s="218"/>
      <c r="M49"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49" s="219" t="str">
        <f>IF(Table_PrescriptLights_Input5[[#This Row],[Unit capacity (tons)]]="","",IFERROR(Table_PrescriptLights_Input5[[#This Row],[Per-unit incentive]]*Table_PrescriptLights_Input5[[#This Row],[Unit capacity (tons)]]*Table_PrescriptLights_Input5[[#This Row],[Number of units]],""))</f>
        <v/>
      </c>
      <c r="O49" s="220" t="str">
        <f>IF(Table_PrescriptLights_Input5[[#This Row],[Unit capacity (tons)]]="","",Table_PrescriptLights_Input5[[#This Row],[Unit capacity (tons)]]*Table_PrescriptLights_Input5[[#This Row],[Number of units]]*Table_PrescriptLights_Input5[[#This Row],[Part load (IPLV) kW/ton]]*VLOOKUP($E$4,References!$L$103:$O$112,2,FALSE)*0.05)</f>
        <v/>
      </c>
      <c r="P49" s="221" t="str">
        <f>IF(Table_PrescriptLights_Input5[[#This Row],[Unit capacity (tons)]]="","",Table_PrescriptLights_Input5[[#This Row],[Unit capacity (tons)]]*Table_PrescriptLights_Input5[[#This Row],[Number of units]]*Table_PrescriptLights_Input5[[#This Row],[Full load kW/ton]]*VLOOKUP($E$4,References!$L$103:$O$112,4,FALSE)*0.05)</f>
        <v/>
      </c>
      <c r="Q49" s="219" t="str">
        <f>IFERROR(Table_PrescriptLights_Input5[[#This Row],[Energy savings (kWh)]]*Input_AvgkWhRate, "")</f>
        <v/>
      </c>
      <c r="R49" s="219" t="str">
        <f>IF(Table_PrescriptLights_Input5[[#This Row],[Unit capacity (tons)]]="", "",Table_PrescriptLights_Input5[[#This Row],[Total equipment + labor cost]])</f>
        <v/>
      </c>
      <c r="S49" s="219" t="str">
        <f>IFERROR(Table_PrescriptLights_Input5[[#This Row],[Gross measure cost]]-Table_PrescriptLights_Input5[[#This Row],[Estimated incentive]], "")</f>
        <v/>
      </c>
      <c r="T49" s="220" t="str">
        <f t="shared" si="0"/>
        <v/>
      </c>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row>
    <row r="50" spans="1:48" x14ac:dyDescent="0.2">
      <c r="A50" s="186"/>
      <c r="B50" s="213">
        <v>45</v>
      </c>
      <c r="C50" s="185" t="str">
        <f>IFERROR(INDEX(Table_Prescript_Meas[Measure Number], MATCH(E50, Table_Prescript_Meas[Measure Description], 0)), "")</f>
        <v/>
      </c>
      <c r="D50" s="222"/>
      <c r="E50" s="223"/>
      <c r="F50" s="185" t="str">
        <f>IFERROR(INDEX(Table_Prescript_Meas[Units], MATCH(Table_PrescriptLights_Input5[[#This Row],[Measure number]], Table_Prescript_Meas[Measure Number], 0)), "")</f>
        <v/>
      </c>
      <c r="G50" s="214"/>
      <c r="H50" s="215"/>
      <c r="I50" s="237"/>
      <c r="J50" s="238"/>
      <c r="K50" s="238"/>
      <c r="L50" s="218"/>
      <c r="M50"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0" s="219" t="str">
        <f>IF(Table_PrescriptLights_Input5[[#This Row],[Unit capacity (tons)]]="","",IFERROR(Table_PrescriptLights_Input5[[#This Row],[Per-unit incentive]]*Table_PrescriptLights_Input5[[#This Row],[Unit capacity (tons)]]*Table_PrescriptLights_Input5[[#This Row],[Number of units]],""))</f>
        <v/>
      </c>
      <c r="O50" s="220" t="str">
        <f>IF(Table_PrescriptLights_Input5[[#This Row],[Unit capacity (tons)]]="","",Table_PrescriptLights_Input5[[#This Row],[Unit capacity (tons)]]*Table_PrescriptLights_Input5[[#This Row],[Number of units]]*Table_PrescriptLights_Input5[[#This Row],[Part load (IPLV) kW/ton]]*VLOOKUP($E$4,References!$L$103:$O$112,2,FALSE)*0.05)</f>
        <v/>
      </c>
      <c r="P50" s="221" t="str">
        <f>IF(Table_PrescriptLights_Input5[[#This Row],[Unit capacity (tons)]]="","",Table_PrescriptLights_Input5[[#This Row],[Unit capacity (tons)]]*Table_PrescriptLights_Input5[[#This Row],[Number of units]]*Table_PrescriptLights_Input5[[#This Row],[Full load kW/ton]]*VLOOKUP($E$4,References!$L$103:$O$112,4,FALSE)*0.05)</f>
        <v/>
      </c>
      <c r="Q50" s="219" t="str">
        <f>IFERROR(Table_PrescriptLights_Input5[[#This Row],[Energy savings (kWh)]]*Input_AvgkWhRate, "")</f>
        <v/>
      </c>
      <c r="R50" s="219" t="str">
        <f>IF(Table_PrescriptLights_Input5[[#This Row],[Unit capacity (tons)]]="", "",Table_PrescriptLights_Input5[[#This Row],[Total equipment + labor cost]])</f>
        <v/>
      </c>
      <c r="S50" s="219" t="str">
        <f>IFERROR(Table_PrescriptLights_Input5[[#This Row],[Gross measure cost]]-Table_PrescriptLights_Input5[[#This Row],[Estimated incentive]], "")</f>
        <v/>
      </c>
      <c r="T50" s="220" t="str">
        <f t="shared" si="0"/>
        <v/>
      </c>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row>
    <row r="51" spans="1:48" x14ac:dyDescent="0.2">
      <c r="A51" s="186"/>
      <c r="B51" s="213">
        <v>46</v>
      </c>
      <c r="C51" s="185" t="str">
        <f>IFERROR(INDEX(Table_Prescript_Meas[Measure Number], MATCH(E51, Table_Prescript_Meas[Measure Description], 0)), "")</f>
        <v/>
      </c>
      <c r="D51" s="222"/>
      <c r="E51" s="223"/>
      <c r="F51" s="185" t="str">
        <f>IFERROR(INDEX(Table_Prescript_Meas[Units], MATCH(Table_PrescriptLights_Input5[[#This Row],[Measure number]], Table_Prescript_Meas[Measure Number], 0)), "")</f>
        <v/>
      </c>
      <c r="G51" s="214"/>
      <c r="H51" s="215"/>
      <c r="I51" s="237"/>
      <c r="J51" s="238"/>
      <c r="K51" s="238"/>
      <c r="L51" s="218"/>
      <c r="M51"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1" s="219" t="str">
        <f>IF(Table_PrescriptLights_Input5[[#This Row],[Unit capacity (tons)]]="","",IFERROR(Table_PrescriptLights_Input5[[#This Row],[Per-unit incentive]]*Table_PrescriptLights_Input5[[#This Row],[Unit capacity (tons)]]*Table_PrescriptLights_Input5[[#This Row],[Number of units]],""))</f>
        <v/>
      </c>
      <c r="O51" s="220" t="str">
        <f>IF(Table_PrescriptLights_Input5[[#This Row],[Unit capacity (tons)]]="","",Table_PrescriptLights_Input5[[#This Row],[Unit capacity (tons)]]*Table_PrescriptLights_Input5[[#This Row],[Number of units]]*Table_PrescriptLights_Input5[[#This Row],[Part load (IPLV) kW/ton]]*VLOOKUP($E$4,References!$L$103:$O$112,2,FALSE)*0.05)</f>
        <v/>
      </c>
      <c r="P51" s="221" t="str">
        <f>IF(Table_PrescriptLights_Input5[[#This Row],[Unit capacity (tons)]]="","",Table_PrescriptLights_Input5[[#This Row],[Unit capacity (tons)]]*Table_PrescriptLights_Input5[[#This Row],[Number of units]]*Table_PrescriptLights_Input5[[#This Row],[Full load kW/ton]]*VLOOKUP($E$4,References!$L$103:$O$112,4,FALSE)*0.05)</f>
        <v/>
      </c>
      <c r="Q51" s="219" t="str">
        <f>IFERROR(Table_PrescriptLights_Input5[[#This Row],[Energy savings (kWh)]]*Input_AvgkWhRate, "")</f>
        <v/>
      </c>
      <c r="R51" s="219" t="str">
        <f>IF(Table_PrescriptLights_Input5[[#This Row],[Unit capacity (tons)]]="", "",Table_PrescriptLights_Input5[[#This Row],[Total equipment + labor cost]])</f>
        <v/>
      </c>
      <c r="S51" s="219" t="str">
        <f>IFERROR(Table_PrescriptLights_Input5[[#This Row],[Gross measure cost]]-Table_PrescriptLights_Input5[[#This Row],[Estimated incentive]], "")</f>
        <v/>
      </c>
      <c r="T51" s="220" t="str">
        <f t="shared" si="0"/>
        <v/>
      </c>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row>
    <row r="52" spans="1:48" x14ac:dyDescent="0.2">
      <c r="A52" s="186"/>
      <c r="B52" s="213">
        <v>47</v>
      </c>
      <c r="C52" s="185" t="str">
        <f>IFERROR(INDEX(Table_Prescript_Meas[Measure Number], MATCH(E52, Table_Prescript_Meas[Measure Description], 0)), "")</f>
        <v/>
      </c>
      <c r="D52" s="222"/>
      <c r="E52" s="223"/>
      <c r="F52" s="185" t="str">
        <f>IFERROR(INDEX(Table_Prescript_Meas[Units], MATCH(Table_PrescriptLights_Input5[[#This Row],[Measure number]], Table_Prescript_Meas[Measure Number], 0)), "")</f>
        <v/>
      </c>
      <c r="G52" s="214"/>
      <c r="H52" s="215"/>
      <c r="I52" s="237"/>
      <c r="J52" s="238"/>
      <c r="K52" s="238"/>
      <c r="L52" s="218"/>
      <c r="M52"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2" s="219" t="str">
        <f>IF(Table_PrescriptLights_Input5[[#This Row],[Unit capacity (tons)]]="","",IFERROR(Table_PrescriptLights_Input5[[#This Row],[Per-unit incentive]]*Table_PrescriptLights_Input5[[#This Row],[Unit capacity (tons)]]*Table_PrescriptLights_Input5[[#This Row],[Number of units]],""))</f>
        <v/>
      </c>
      <c r="O52" s="220" t="str">
        <f>IF(Table_PrescriptLights_Input5[[#This Row],[Unit capacity (tons)]]="","",Table_PrescriptLights_Input5[[#This Row],[Unit capacity (tons)]]*Table_PrescriptLights_Input5[[#This Row],[Number of units]]*Table_PrescriptLights_Input5[[#This Row],[Part load (IPLV) kW/ton]]*VLOOKUP($E$4,References!$L$103:$O$112,2,FALSE)*0.05)</f>
        <v/>
      </c>
      <c r="P52" s="221" t="str">
        <f>IF(Table_PrescriptLights_Input5[[#This Row],[Unit capacity (tons)]]="","",Table_PrescriptLights_Input5[[#This Row],[Unit capacity (tons)]]*Table_PrescriptLights_Input5[[#This Row],[Number of units]]*Table_PrescriptLights_Input5[[#This Row],[Full load kW/ton]]*VLOOKUP($E$4,References!$L$103:$O$112,4,FALSE)*0.05)</f>
        <v/>
      </c>
      <c r="Q52" s="219" t="str">
        <f>IFERROR(Table_PrescriptLights_Input5[[#This Row],[Energy savings (kWh)]]*Input_AvgkWhRate, "")</f>
        <v/>
      </c>
      <c r="R52" s="219" t="str">
        <f>IF(Table_PrescriptLights_Input5[[#This Row],[Unit capacity (tons)]]="", "",Table_PrescriptLights_Input5[[#This Row],[Total equipment + labor cost]])</f>
        <v/>
      </c>
      <c r="S52" s="219" t="str">
        <f>IFERROR(Table_PrescriptLights_Input5[[#This Row],[Gross measure cost]]-Table_PrescriptLights_Input5[[#This Row],[Estimated incentive]], "")</f>
        <v/>
      </c>
      <c r="T52" s="220" t="str">
        <f t="shared" si="0"/>
        <v/>
      </c>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row>
    <row r="53" spans="1:48" x14ac:dyDescent="0.2">
      <c r="A53" s="186"/>
      <c r="B53" s="213">
        <v>48</v>
      </c>
      <c r="C53" s="185" t="str">
        <f>IFERROR(INDEX(Table_Prescript_Meas[Measure Number], MATCH(E53, Table_Prescript_Meas[Measure Description], 0)), "")</f>
        <v/>
      </c>
      <c r="D53" s="222"/>
      <c r="E53" s="223"/>
      <c r="F53" s="185" t="str">
        <f>IFERROR(INDEX(Table_Prescript_Meas[Units], MATCH(Table_PrescriptLights_Input5[[#This Row],[Measure number]], Table_Prescript_Meas[Measure Number], 0)), "")</f>
        <v/>
      </c>
      <c r="G53" s="214"/>
      <c r="H53" s="215"/>
      <c r="I53" s="237"/>
      <c r="J53" s="238"/>
      <c r="K53" s="238"/>
      <c r="L53" s="218"/>
      <c r="M53"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3" s="219" t="str">
        <f>IF(Table_PrescriptLights_Input5[[#This Row],[Unit capacity (tons)]]="","",IFERROR(Table_PrescriptLights_Input5[[#This Row],[Per-unit incentive]]*Table_PrescriptLights_Input5[[#This Row],[Unit capacity (tons)]]*Table_PrescriptLights_Input5[[#This Row],[Number of units]],""))</f>
        <v/>
      </c>
      <c r="O53" s="220" t="str">
        <f>IF(Table_PrescriptLights_Input5[[#This Row],[Unit capacity (tons)]]="","",Table_PrescriptLights_Input5[[#This Row],[Unit capacity (tons)]]*Table_PrescriptLights_Input5[[#This Row],[Number of units]]*Table_PrescriptLights_Input5[[#This Row],[Part load (IPLV) kW/ton]]*VLOOKUP($E$4,References!$L$103:$O$112,2,FALSE)*0.05)</f>
        <v/>
      </c>
      <c r="P53" s="221" t="str">
        <f>IF(Table_PrescriptLights_Input5[[#This Row],[Unit capacity (tons)]]="","",Table_PrescriptLights_Input5[[#This Row],[Unit capacity (tons)]]*Table_PrescriptLights_Input5[[#This Row],[Number of units]]*Table_PrescriptLights_Input5[[#This Row],[Full load kW/ton]]*VLOOKUP($E$4,References!$L$103:$O$112,4,FALSE)*0.05)</f>
        <v/>
      </c>
      <c r="Q53" s="219" t="str">
        <f>IFERROR(Table_PrescriptLights_Input5[[#This Row],[Energy savings (kWh)]]*Input_AvgkWhRate, "")</f>
        <v/>
      </c>
      <c r="R53" s="219" t="str">
        <f>IF(Table_PrescriptLights_Input5[[#This Row],[Unit capacity (tons)]]="", "",Table_PrescriptLights_Input5[[#This Row],[Total equipment + labor cost]])</f>
        <v/>
      </c>
      <c r="S53" s="219" t="str">
        <f>IFERROR(Table_PrescriptLights_Input5[[#This Row],[Gross measure cost]]-Table_PrescriptLights_Input5[[#This Row],[Estimated incentive]], "")</f>
        <v/>
      </c>
      <c r="T53" s="220" t="str">
        <f t="shared" si="0"/>
        <v/>
      </c>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row>
    <row r="54" spans="1:48" x14ac:dyDescent="0.2">
      <c r="A54" s="186"/>
      <c r="B54" s="213">
        <v>49</v>
      </c>
      <c r="C54" s="185" t="str">
        <f>IFERROR(INDEX(Table_Prescript_Meas[Measure Number], MATCH(E54, Table_Prescript_Meas[Measure Description], 0)), "")</f>
        <v/>
      </c>
      <c r="D54" s="222"/>
      <c r="E54" s="223"/>
      <c r="F54" s="185" t="str">
        <f>IFERROR(INDEX(Table_Prescript_Meas[Units], MATCH(Table_PrescriptLights_Input5[[#This Row],[Measure number]], Table_Prescript_Meas[Measure Number], 0)), "")</f>
        <v/>
      </c>
      <c r="G54" s="214"/>
      <c r="H54" s="215"/>
      <c r="I54" s="237"/>
      <c r="J54" s="238"/>
      <c r="K54" s="238"/>
      <c r="L54" s="218"/>
      <c r="M54"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4" s="219" t="str">
        <f>IF(Table_PrescriptLights_Input5[[#This Row],[Unit capacity (tons)]]="","",IFERROR(Table_PrescriptLights_Input5[[#This Row],[Per-unit incentive]]*Table_PrescriptLights_Input5[[#This Row],[Unit capacity (tons)]]*Table_PrescriptLights_Input5[[#This Row],[Number of units]],""))</f>
        <v/>
      </c>
      <c r="O54" s="220" t="str">
        <f>IF(Table_PrescriptLights_Input5[[#This Row],[Unit capacity (tons)]]="","",Table_PrescriptLights_Input5[[#This Row],[Unit capacity (tons)]]*Table_PrescriptLights_Input5[[#This Row],[Number of units]]*Table_PrescriptLights_Input5[[#This Row],[Part load (IPLV) kW/ton]]*VLOOKUP($E$4,References!$L$103:$O$112,2,FALSE)*0.05)</f>
        <v/>
      </c>
      <c r="P54" s="221" t="str">
        <f>IF(Table_PrescriptLights_Input5[[#This Row],[Unit capacity (tons)]]="","",Table_PrescriptLights_Input5[[#This Row],[Unit capacity (tons)]]*Table_PrescriptLights_Input5[[#This Row],[Number of units]]*Table_PrescriptLights_Input5[[#This Row],[Full load kW/ton]]*VLOOKUP($E$4,References!$L$103:$O$112,4,FALSE)*0.05)</f>
        <v/>
      </c>
      <c r="Q54" s="219" t="str">
        <f>IFERROR(Table_PrescriptLights_Input5[[#This Row],[Energy savings (kWh)]]*Input_AvgkWhRate, "")</f>
        <v/>
      </c>
      <c r="R54" s="219" t="str">
        <f>IF(Table_PrescriptLights_Input5[[#This Row],[Unit capacity (tons)]]="", "",Table_PrescriptLights_Input5[[#This Row],[Total equipment + labor cost]])</f>
        <v/>
      </c>
      <c r="S54" s="219" t="str">
        <f>IFERROR(Table_PrescriptLights_Input5[[#This Row],[Gross measure cost]]-Table_PrescriptLights_Input5[[#This Row],[Estimated incentive]], "")</f>
        <v/>
      </c>
      <c r="T54" s="220" t="str">
        <f t="shared" si="0"/>
        <v/>
      </c>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86"/>
      <c r="AV54" s="186"/>
    </row>
    <row r="55" spans="1:48" x14ac:dyDescent="0.2">
      <c r="A55" s="186"/>
      <c r="B55" s="213">
        <v>50</v>
      </c>
      <c r="C55" s="185" t="str">
        <f>IFERROR(INDEX(Table_Prescript_Meas[Measure Number], MATCH(E55, Table_Prescript_Meas[Measure Description], 0)), "")</f>
        <v/>
      </c>
      <c r="D55" s="222"/>
      <c r="E55" s="223"/>
      <c r="F55" s="185" t="str">
        <f>IFERROR(INDEX(Table_Prescript_Meas[Units], MATCH(Table_PrescriptLights_Input5[[#This Row],[Measure number]], Table_Prescript_Meas[Measure Number], 0)), "")</f>
        <v/>
      </c>
      <c r="G55" s="214"/>
      <c r="H55" s="215"/>
      <c r="I55" s="237"/>
      <c r="J55" s="238"/>
      <c r="K55" s="238"/>
      <c r="L55" s="218"/>
      <c r="M55" s="219" t="str">
        <f>IFERROR(IF(Input_ProgramType=References!$X$4, INDEX(Table_Prescript_Meas[Incentive - SC], MATCH(Table_PrescriptLights_Input5[[#This Row],[Measure number]], Table_Prescript_Meas[Measure Number], 0)), INDEX(Table_Prescript_Meas[Incentive - LC], MATCH(Table_PrescriptLights_Input5[[#This Row],[Measure number]], Table_Prescript_Meas[Measure Number], 0))), "")</f>
        <v/>
      </c>
      <c r="N55" s="219" t="str">
        <f>IF(Table_PrescriptLights_Input5[[#This Row],[Unit capacity (tons)]]="","",IFERROR(Table_PrescriptLights_Input5[[#This Row],[Per-unit incentive]]*Table_PrescriptLights_Input5[[#This Row],[Unit capacity (tons)]]*Table_PrescriptLights_Input5[[#This Row],[Number of units]],""))</f>
        <v/>
      </c>
      <c r="O55" s="220" t="str">
        <f>IF(Table_PrescriptLights_Input5[[#This Row],[Unit capacity (tons)]]="","",Table_PrescriptLights_Input5[[#This Row],[Unit capacity (tons)]]*Table_PrescriptLights_Input5[[#This Row],[Number of units]]*Table_PrescriptLights_Input5[[#This Row],[Part load (IPLV) kW/ton]]*VLOOKUP($E$4,References!$L$103:$O$112,2,FALSE)*0.05)</f>
        <v/>
      </c>
      <c r="P55" s="221" t="str">
        <f>IF(Table_PrescriptLights_Input5[[#This Row],[Unit capacity (tons)]]="","",Table_PrescriptLights_Input5[[#This Row],[Unit capacity (tons)]]*Table_PrescriptLights_Input5[[#This Row],[Number of units]]*Table_PrescriptLights_Input5[[#This Row],[Full load kW/ton]]*VLOOKUP($E$4,References!$L$103:$O$112,4,FALSE)*0.05)</f>
        <v/>
      </c>
      <c r="Q55" s="219" t="str">
        <f>IFERROR(Table_PrescriptLights_Input5[[#This Row],[Energy savings (kWh)]]*Input_AvgkWhRate, "")</f>
        <v/>
      </c>
      <c r="R55" s="219" t="str">
        <f>IF(Table_PrescriptLights_Input5[[#This Row],[Unit capacity (tons)]]="", "",Table_PrescriptLights_Input5[[#This Row],[Total equipment + labor cost]])</f>
        <v/>
      </c>
      <c r="S55" s="219" t="str">
        <f>IFERROR(Table_PrescriptLights_Input5[[#This Row],[Gross measure cost]]-Table_PrescriptLights_Input5[[#This Row],[Estimated incentive]], "")</f>
        <v/>
      </c>
      <c r="T55" s="220" t="str">
        <f t="shared" si="0"/>
        <v/>
      </c>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row>
    <row r="56" spans="1:48" x14ac:dyDescent="0.2">
      <c r="A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row>
    <row r="57" spans="1:48" x14ac:dyDescent="0.2">
      <c r="F57" s="183"/>
    </row>
    <row r="58" spans="1:48" x14ac:dyDescent="0.2">
      <c r="B58" s="183" t="s">
        <v>24</v>
      </c>
      <c r="F58" s="183"/>
    </row>
    <row r="59" spans="1:48" x14ac:dyDescent="0.2">
      <c r="B59" s="183" t="str">
        <f>Value_Application_Version</f>
        <v>Version 2.1</v>
      </c>
      <c r="F59" s="183"/>
    </row>
    <row r="60" spans="1:48" x14ac:dyDescent="0.2">
      <c r="F60" s="183"/>
    </row>
    <row r="61" spans="1:48" x14ac:dyDescent="0.2">
      <c r="A61" s="186"/>
      <c r="U61" s="186"/>
      <c r="V61" s="186"/>
      <c r="W61" s="186"/>
      <c r="X61" s="186"/>
      <c r="Y61" s="186"/>
      <c r="Z61" s="186"/>
      <c r="AA61" s="186"/>
      <c r="AB61" s="186"/>
      <c r="AC61" s="186"/>
      <c r="AD61" s="186"/>
      <c r="AE61" s="186"/>
      <c r="AF61" s="186"/>
      <c r="AG61" s="186"/>
      <c r="AH61" s="186"/>
      <c r="AI61" s="186"/>
      <c r="AJ61" s="186"/>
      <c r="AK61" s="186"/>
      <c r="AL61" s="186"/>
      <c r="AM61" s="186"/>
      <c r="AN61" s="186"/>
      <c r="AO61" s="186"/>
      <c r="AP61" s="186"/>
      <c r="AQ61" s="186"/>
      <c r="AR61" s="186"/>
      <c r="AS61" s="186"/>
      <c r="AT61" s="186"/>
      <c r="AU61" s="186"/>
      <c r="AV61" s="186"/>
    </row>
    <row r="62" spans="1:48" x14ac:dyDescent="0.2">
      <c r="A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row>
    <row r="63" spans="1:48" x14ac:dyDescent="0.2">
      <c r="A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86"/>
      <c r="AV63" s="186"/>
    </row>
    <row r="64" spans="1:48" x14ac:dyDescent="0.2">
      <c r="A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row>
    <row r="65" spans="1:48" x14ac:dyDescent="0.2">
      <c r="A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row>
    <row r="66" spans="1:48" x14ac:dyDescent="0.2">
      <c r="A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row>
    <row r="67" spans="1:48" x14ac:dyDescent="0.2">
      <c r="A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row>
    <row r="68" spans="1:48" x14ac:dyDescent="0.2">
      <c r="A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row>
    <row r="69" spans="1:48" x14ac:dyDescent="0.2">
      <c r="A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row>
    <row r="70" spans="1:48" x14ac:dyDescent="0.2">
      <c r="A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row>
    <row r="71" spans="1:48" x14ac:dyDescent="0.2">
      <c r="A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186"/>
      <c r="AT71" s="186"/>
      <c r="AU71" s="186"/>
      <c r="AV71" s="186"/>
    </row>
    <row r="72" spans="1:48" x14ac:dyDescent="0.2">
      <c r="A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row>
    <row r="73" spans="1:48" x14ac:dyDescent="0.2">
      <c r="A73" s="186"/>
      <c r="U73" s="186"/>
      <c r="V73" s="186"/>
      <c r="W73" s="186"/>
      <c r="X73" s="186"/>
      <c r="Y73" s="186"/>
      <c r="Z73" s="186"/>
      <c r="AA73" s="186"/>
      <c r="AB73" s="186"/>
      <c r="AC73" s="186"/>
      <c r="AD73" s="186"/>
      <c r="AE73" s="186"/>
      <c r="AF73" s="186"/>
      <c r="AG73" s="186"/>
      <c r="AH73" s="186"/>
      <c r="AI73" s="186"/>
      <c r="AJ73" s="186"/>
      <c r="AK73" s="186"/>
      <c r="AL73" s="186"/>
      <c r="AM73" s="186"/>
      <c r="AN73" s="186"/>
      <c r="AO73" s="186"/>
      <c r="AP73" s="186"/>
      <c r="AQ73" s="186"/>
      <c r="AR73" s="186"/>
      <c r="AS73" s="186"/>
      <c r="AT73" s="186"/>
      <c r="AU73" s="186"/>
      <c r="AV73" s="186"/>
    </row>
    <row r="74" spans="1:48" x14ac:dyDescent="0.2">
      <c r="A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row>
    <row r="75" spans="1:48" x14ac:dyDescent="0.2">
      <c r="A75" s="186"/>
      <c r="U75" s="186"/>
      <c r="V75" s="186"/>
      <c r="W75" s="186"/>
      <c r="X75" s="186"/>
      <c r="Y75" s="186"/>
      <c r="Z75" s="186"/>
      <c r="AA75" s="186"/>
      <c r="AB75" s="186"/>
      <c r="AC75" s="186"/>
      <c r="AD75" s="186"/>
      <c r="AE75" s="186"/>
      <c r="AF75" s="186"/>
      <c r="AG75" s="186"/>
      <c r="AH75" s="186"/>
      <c r="AI75" s="186"/>
      <c r="AJ75" s="186"/>
      <c r="AK75" s="186"/>
      <c r="AL75" s="186"/>
      <c r="AM75" s="186"/>
      <c r="AN75" s="186"/>
      <c r="AO75" s="186"/>
      <c r="AP75" s="186"/>
      <c r="AQ75" s="186"/>
      <c r="AR75" s="186"/>
      <c r="AS75" s="186"/>
      <c r="AT75" s="186"/>
      <c r="AU75" s="186"/>
      <c r="AV75" s="186"/>
    </row>
    <row r="76" spans="1:48" x14ac:dyDescent="0.2">
      <c r="A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row>
    <row r="77" spans="1:48" x14ac:dyDescent="0.2">
      <c r="A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row>
    <row r="78" spans="1:48" x14ac:dyDescent="0.2">
      <c r="A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row>
    <row r="79" spans="1:48" x14ac:dyDescent="0.2">
      <c r="A79" s="186"/>
      <c r="U79" s="186"/>
      <c r="V79" s="186"/>
      <c r="W79" s="186"/>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row>
    <row r="80" spans="1:48" x14ac:dyDescent="0.2">
      <c r="A80" s="186"/>
      <c r="U80" s="186"/>
      <c r="V80" s="186"/>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row>
    <row r="81" spans="1:48" x14ac:dyDescent="0.2">
      <c r="A81" s="186"/>
      <c r="U81" s="186"/>
      <c r="V81" s="186"/>
      <c r="W81" s="186"/>
      <c r="X81" s="186"/>
      <c r="Y81" s="186"/>
      <c r="Z81" s="186"/>
      <c r="AA81" s="186"/>
      <c r="AB81" s="186"/>
      <c r="AC81" s="186"/>
      <c r="AD81" s="186"/>
      <c r="AE81" s="186"/>
      <c r="AF81" s="186"/>
      <c r="AG81" s="186"/>
      <c r="AH81" s="186"/>
      <c r="AI81" s="186"/>
      <c r="AJ81" s="186"/>
      <c r="AK81" s="186"/>
      <c r="AL81" s="186"/>
      <c r="AM81" s="186"/>
      <c r="AN81" s="186"/>
      <c r="AO81" s="186"/>
      <c r="AP81" s="186"/>
      <c r="AQ81" s="186"/>
      <c r="AR81" s="186"/>
      <c r="AS81" s="186"/>
      <c r="AT81" s="186"/>
      <c r="AU81" s="186"/>
      <c r="AV81" s="186"/>
    </row>
    <row r="82" spans="1:48" x14ac:dyDescent="0.2">
      <c r="A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186"/>
      <c r="AU82" s="186"/>
      <c r="AV82" s="186"/>
    </row>
    <row r="83" spans="1:48" x14ac:dyDescent="0.2">
      <c r="A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186"/>
      <c r="AU83" s="186"/>
      <c r="AV83" s="186"/>
    </row>
    <row r="84" spans="1:48" x14ac:dyDescent="0.2">
      <c r="A84" s="186"/>
      <c r="U84" s="186"/>
      <c r="V84" s="186"/>
      <c r="W84" s="186"/>
      <c r="X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186"/>
      <c r="AU84" s="186"/>
      <c r="AV84" s="186"/>
    </row>
    <row r="85" spans="1:48" x14ac:dyDescent="0.2">
      <c r="A85" s="186"/>
      <c r="U85" s="186"/>
      <c r="V85" s="186"/>
      <c r="W85" s="186"/>
      <c r="X85" s="186"/>
      <c r="Y85" s="186"/>
      <c r="Z85" s="186"/>
      <c r="AA85" s="186"/>
      <c r="AB85" s="186"/>
      <c r="AC85" s="186"/>
      <c r="AD85" s="186"/>
      <c r="AE85" s="186"/>
      <c r="AF85" s="186"/>
      <c r="AG85" s="186"/>
      <c r="AH85" s="186"/>
      <c r="AI85" s="186"/>
      <c r="AJ85" s="186"/>
      <c r="AK85" s="186"/>
      <c r="AL85" s="186"/>
      <c r="AM85" s="186"/>
      <c r="AN85" s="186"/>
      <c r="AO85" s="186"/>
      <c r="AP85" s="186"/>
      <c r="AQ85" s="186"/>
      <c r="AR85" s="186"/>
      <c r="AS85" s="186"/>
      <c r="AT85" s="186"/>
      <c r="AU85" s="186"/>
      <c r="AV85" s="186"/>
    </row>
    <row r="86" spans="1:48" x14ac:dyDescent="0.2">
      <c r="A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row>
    <row r="87" spans="1:48" x14ac:dyDescent="0.2">
      <c r="A87" s="186"/>
      <c r="U87" s="186"/>
      <c r="V87" s="186"/>
      <c r="W87" s="186"/>
      <c r="X87" s="186"/>
      <c r="Y87" s="186"/>
      <c r="Z87" s="186"/>
      <c r="AA87" s="186"/>
      <c r="AB87" s="186"/>
      <c r="AC87" s="186"/>
      <c r="AD87" s="186"/>
      <c r="AE87" s="186"/>
      <c r="AF87" s="186"/>
      <c r="AG87" s="186"/>
      <c r="AH87" s="186"/>
      <c r="AI87" s="186"/>
      <c r="AJ87" s="186"/>
      <c r="AK87" s="186"/>
      <c r="AL87" s="186"/>
      <c r="AM87" s="186"/>
      <c r="AN87" s="186"/>
      <c r="AO87" s="186"/>
      <c r="AP87" s="186"/>
      <c r="AQ87" s="186"/>
      <c r="AR87" s="186"/>
      <c r="AS87" s="186"/>
      <c r="AT87" s="186"/>
      <c r="AU87" s="186"/>
      <c r="AV87" s="186"/>
    </row>
    <row r="88" spans="1:48" x14ac:dyDescent="0.2">
      <c r="A88" s="186"/>
      <c r="U88" s="186"/>
      <c r="V88" s="186"/>
      <c r="W88" s="186"/>
      <c r="X88" s="186"/>
      <c r="Y88" s="186"/>
      <c r="Z88" s="186"/>
      <c r="AA88" s="186"/>
      <c r="AB88" s="186"/>
      <c r="AC88" s="186"/>
      <c r="AD88" s="186"/>
      <c r="AE88" s="186"/>
      <c r="AF88" s="186"/>
      <c r="AG88" s="186"/>
      <c r="AH88" s="186"/>
      <c r="AI88" s="186"/>
      <c r="AJ88" s="186"/>
      <c r="AK88" s="186"/>
      <c r="AL88" s="186"/>
      <c r="AM88" s="186"/>
      <c r="AN88" s="186"/>
      <c r="AO88" s="186"/>
      <c r="AP88" s="186"/>
      <c r="AQ88" s="186"/>
      <c r="AR88" s="186"/>
      <c r="AS88" s="186"/>
      <c r="AT88" s="186"/>
      <c r="AU88" s="186"/>
      <c r="AV88" s="186"/>
    </row>
    <row r="89" spans="1:48" x14ac:dyDescent="0.2">
      <c r="A89" s="186"/>
      <c r="U89" s="186"/>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row>
    <row r="90" spans="1:48" x14ac:dyDescent="0.2">
      <c r="A90" s="186"/>
      <c r="U90" s="186"/>
      <c r="V90" s="186"/>
      <c r="W90" s="186"/>
      <c r="X90" s="186"/>
      <c r="Y90" s="186"/>
      <c r="Z90" s="186"/>
      <c r="AA90" s="186"/>
      <c r="AB90" s="186"/>
      <c r="AC90" s="186"/>
      <c r="AD90" s="186"/>
      <c r="AE90" s="186"/>
      <c r="AF90" s="186"/>
      <c r="AG90" s="186"/>
      <c r="AH90" s="186"/>
      <c r="AI90" s="186"/>
      <c r="AJ90" s="186"/>
      <c r="AK90" s="186"/>
      <c r="AL90" s="186"/>
      <c r="AM90" s="186"/>
      <c r="AN90" s="186"/>
      <c r="AO90" s="186"/>
      <c r="AP90" s="186"/>
      <c r="AQ90" s="186"/>
      <c r="AR90" s="186"/>
      <c r="AS90" s="186"/>
      <c r="AT90" s="186"/>
      <c r="AU90" s="186"/>
      <c r="AV90" s="186"/>
    </row>
    <row r="91" spans="1:48" x14ac:dyDescent="0.2">
      <c r="A91" s="186"/>
      <c r="U91" s="186"/>
      <c r="V91" s="186"/>
      <c r="W91" s="186"/>
      <c r="X91" s="186"/>
      <c r="Y91" s="186"/>
      <c r="Z91" s="186"/>
      <c r="AA91" s="186"/>
      <c r="AB91" s="186"/>
      <c r="AC91" s="186"/>
      <c r="AD91" s="186"/>
      <c r="AE91" s="186"/>
      <c r="AF91" s="186"/>
      <c r="AG91" s="186"/>
      <c r="AH91" s="186"/>
      <c r="AI91" s="186"/>
      <c r="AJ91" s="186"/>
      <c r="AK91" s="186"/>
      <c r="AL91" s="186"/>
      <c r="AM91" s="186"/>
      <c r="AN91" s="186"/>
      <c r="AO91" s="186"/>
      <c r="AP91" s="186"/>
      <c r="AQ91" s="186"/>
      <c r="AR91" s="186"/>
      <c r="AS91" s="186"/>
      <c r="AT91" s="186"/>
      <c r="AU91" s="186"/>
      <c r="AV91" s="186"/>
    </row>
    <row r="92" spans="1:48" x14ac:dyDescent="0.2">
      <c r="A92" s="186"/>
      <c r="U92" s="186"/>
      <c r="V92" s="186"/>
      <c r="W92" s="186"/>
      <c r="X92" s="186"/>
      <c r="Y92" s="186"/>
      <c r="Z92" s="186"/>
      <c r="AA92" s="186"/>
      <c r="AB92" s="186"/>
      <c r="AC92" s="186"/>
      <c r="AD92" s="186"/>
      <c r="AE92" s="186"/>
      <c r="AF92" s="186"/>
      <c r="AG92" s="186"/>
      <c r="AH92" s="186"/>
      <c r="AI92" s="186"/>
      <c r="AJ92" s="186"/>
      <c r="AK92" s="186"/>
      <c r="AL92" s="186"/>
      <c r="AM92" s="186"/>
      <c r="AN92" s="186"/>
      <c r="AO92" s="186"/>
      <c r="AP92" s="186"/>
      <c r="AQ92" s="186"/>
      <c r="AR92" s="186"/>
      <c r="AS92" s="186"/>
      <c r="AT92" s="186"/>
      <c r="AU92" s="186"/>
      <c r="AV92" s="186"/>
    </row>
    <row r="93" spans="1:48" x14ac:dyDescent="0.2">
      <c r="A93" s="186"/>
      <c r="U93" s="186"/>
      <c r="V93" s="186"/>
      <c r="W93" s="186"/>
      <c r="X93" s="186"/>
      <c r="Y93" s="186"/>
      <c r="Z93" s="186"/>
      <c r="AA93" s="186"/>
      <c r="AB93" s="186"/>
      <c r="AC93" s="186"/>
      <c r="AD93" s="186"/>
      <c r="AE93" s="186"/>
      <c r="AF93" s="186"/>
      <c r="AG93" s="186"/>
      <c r="AH93" s="186"/>
      <c r="AI93" s="186"/>
      <c r="AJ93" s="186"/>
      <c r="AK93" s="186"/>
      <c r="AL93" s="186"/>
      <c r="AM93" s="186"/>
      <c r="AN93" s="186"/>
      <c r="AO93" s="186"/>
      <c r="AP93" s="186"/>
      <c r="AQ93" s="186"/>
      <c r="AR93" s="186"/>
      <c r="AS93" s="186"/>
      <c r="AT93" s="186"/>
      <c r="AU93" s="186"/>
      <c r="AV93" s="186"/>
    </row>
    <row r="94" spans="1:48" x14ac:dyDescent="0.2">
      <c r="A94" s="186"/>
      <c r="U94" s="186"/>
      <c r="V94" s="186"/>
      <c r="W94" s="186"/>
      <c r="X94" s="186"/>
      <c r="Y94" s="186"/>
      <c r="Z94" s="186"/>
      <c r="AA94" s="186"/>
      <c r="AB94" s="186"/>
      <c r="AC94" s="186"/>
      <c r="AD94" s="186"/>
      <c r="AE94" s="186"/>
      <c r="AF94" s="186"/>
      <c r="AG94" s="186"/>
      <c r="AH94" s="186"/>
      <c r="AI94" s="186"/>
      <c r="AJ94" s="186"/>
      <c r="AK94" s="186"/>
      <c r="AL94" s="186"/>
      <c r="AM94" s="186"/>
      <c r="AN94" s="186"/>
      <c r="AO94" s="186"/>
      <c r="AP94" s="186"/>
      <c r="AQ94" s="186"/>
      <c r="AR94" s="186"/>
      <c r="AS94" s="186"/>
      <c r="AT94" s="186"/>
      <c r="AU94" s="186"/>
      <c r="AV94" s="186"/>
    </row>
    <row r="95" spans="1:48" x14ac:dyDescent="0.2">
      <c r="A95" s="186"/>
      <c r="U95" s="186"/>
      <c r="V95" s="186"/>
      <c r="W95" s="186"/>
      <c r="X95" s="186"/>
      <c r="Y95" s="186"/>
      <c r="Z95" s="186"/>
      <c r="AA95" s="186"/>
      <c r="AB95" s="186"/>
      <c r="AC95" s="186"/>
      <c r="AD95" s="186"/>
      <c r="AE95" s="186"/>
      <c r="AF95" s="186"/>
      <c r="AG95" s="186"/>
      <c r="AH95" s="186"/>
      <c r="AI95" s="186"/>
      <c r="AJ95" s="186"/>
      <c r="AK95" s="186"/>
      <c r="AL95" s="186"/>
      <c r="AM95" s="186"/>
      <c r="AN95" s="186"/>
      <c r="AO95" s="186"/>
      <c r="AP95" s="186"/>
      <c r="AQ95" s="186"/>
      <c r="AR95" s="186"/>
      <c r="AS95" s="186"/>
      <c r="AT95" s="186"/>
      <c r="AU95" s="186"/>
      <c r="AV95" s="186"/>
    </row>
    <row r="96" spans="1:48" x14ac:dyDescent="0.2">
      <c r="A96" s="186"/>
      <c r="U96" s="186"/>
      <c r="V96" s="186"/>
      <c r="W96" s="186"/>
      <c r="X96" s="186"/>
      <c r="Y96" s="186"/>
      <c r="Z96" s="186"/>
      <c r="AA96" s="186"/>
      <c r="AB96" s="186"/>
      <c r="AC96" s="186"/>
      <c r="AD96" s="186"/>
      <c r="AE96" s="186"/>
      <c r="AF96" s="186"/>
      <c r="AG96" s="186"/>
      <c r="AH96" s="186"/>
      <c r="AI96" s="186"/>
      <c r="AJ96" s="186"/>
      <c r="AK96" s="186"/>
      <c r="AL96" s="186"/>
      <c r="AM96" s="186"/>
      <c r="AN96" s="186"/>
      <c r="AO96" s="186"/>
      <c r="AP96" s="186"/>
      <c r="AQ96" s="186"/>
      <c r="AR96" s="186"/>
      <c r="AS96" s="186"/>
      <c r="AT96" s="186"/>
      <c r="AU96" s="186"/>
      <c r="AV96" s="186"/>
    </row>
    <row r="97" spans="1:48" x14ac:dyDescent="0.2">
      <c r="A97" s="186"/>
      <c r="U97" s="186"/>
      <c r="V97" s="186"/>
      <c r="W97" s="186"/>
      <c r="X97" s="186"/>
      <c r="Y97" s="186"/>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row>
    <row r="98" spans="1:48" x14ac:dyDescent="0.2">
      <c r="A98" s="186"/>
      <c r="U98" s="186"/>
      <c r="V98" s="186"/>
      <c r="W98" s="186"/>
      <c r="X98" s="186"/>
      <c r="Y98" s="186"/>
      <c r="Z98" s="186"/>
      <c r="AA98" s="186"/>
      <c r="AB98" s="186"/>
      <c r="AC98" s="186"/>
      <c r="AD98" s="186"/>
      <c r="AE98" s="186"/>
      <c r="AF98" s="186"/>
      <c r="AG98" s="186"/>
      <c r="AH98" s="186"/>
      <c r="AI98" s="186"/>
      <c r="AJ98" s="186"/>
      <c r="AK98" s="186"/>
      <c r="AL98" s="186"/>
      <c r="AM98" s="186"/>
      <c r="AN98" s="186"/>
      <c r="AO98" s="186"/>
      <c r="AP98" s="186"/>
      <c r="AQ98" s="186"/>
      <c r="AR98" s="186"/>
      <c r="AS98" s="186"/>
      <c r="AT98" s="186"/>
      <c r="AU98" s="186"/>
      <c r="AV98" s="186"/>
    </row>
    <row r="99" spans="1:48" x14ac:dyDescent="0.2">
      <c r="A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row>
    <row r="100" spans="1:48" x14ac:dyDescent="0.2">
      <c r="A100" s="186"/>
      <c r="U100" s="186"/>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row>
    <row r="101" spans="1:48" x14ac:dyDescent="0.2">
      <c r="A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row>
    <row r="102" spans="1:48" x14ac:dyDescent="0.2">
      <c r="A102" s="186"/>
      <c r="U102" s="186"/>
      <c r="V102" s="186"/>
      <c r="W102" s="186"/>
      <c r="X102" s="186"/>
      <c r="Y102" s="186"/>
      <c r="Z102" s="186"/>
      <c r="AA102" s="186"/>
      <c r="AB102" s="186"/>
      <c r="AC102" s="186"/>
      <c r="AD102" s="186"/>
      <c r="AE102" s="186"/>
      <c r="AF102" s="186"/>
      <c r="AG102" s="186"/>
      <c r="AH102" s="186"/>
      <c r="AI102" s="186"/>
      <c r="AJ102" s="186"/>
      <c r="AK102" s="186"/>
      <c r="AL102" s="186"/>
      <c r="AM102" s="186"/>
      <c r="AN102" s="186"/>
      <c r="AO102" s="186"/>
      <c r="AP102" s="186"/>
      <c r="AQ102" s="186"/>
      <c r="AR102" s="186"/>
      <c r="AS102" s="186"/>
      <c r="AT102" s="186"/>
      <c r="AU102" s="186"/>
      <c r="AV102" s="186"/>
    </row>
    <row r="103" spans="1:48" x14ac:dyDescent="0.2">
      <c r="A103" s="186"/>
      <c r="U103" s="186"/>
      <c r="V103" s="186"/>
      <c r="W103" s="186"/>
      <c r="X103" s="186"/>
      <c r="Y103" s="186"/>
      <c r="Z103" s="186"/>
      <c r="AA103" s="186"/>
      <c r="AB103" s="186"/>
      <c r="AC103" s="186"/>
      <c r="AD103" s="186"/>
      <c r="AE103" s="186"/>
      <c r="AF103" s="186"/>
      <c r="AG103" s="186"/>
      <c r="AH103" s="186"/>
      <c r="AI103" s="186"/>
      <c r="AJ103" s="186"/>
      <c r="AK103" s="186"/>
      <c r="AL103" s="186"/>
      <c r="AM103" s="186"/>
      <c r="AN103" s="186"/>
      <c r="AO103" s="186"/>
      <c r="AP103" s="186"/>
      <c r="AQ103" s="186"/>
      <c r="AR103" s="186"/>
      <c r="AS103" s="186"/>
      <c r="AT103" s="186"/>
      <c r="AU103" s="186"/>
      <c r="AV103" s="186"/>
    </row>
    <row r="104" spans="1:48" x14ac:dyDescent="0.2">
      <c r="A104" s="186"/>
      <c r="U104" s="186"/>
      <c r="V104" s="186"/>
      <c r="W104" s="186"/>
      <c r="X104" s="186"/>
      <c r="Y104" s="186"/>
      <c r="Z104" s="186"/>
      <c r="AA104" s="186"/>
      <c r="AB104" s="186"/>
      <c r="AC104" s="186"/>
      <c r="AD104" s="186"/>
      <c r="AE104" s="186"/>
      <c r="AF104" s="186"/>
      <c r="AG104" s="186"/>
      <c r="AH104" s="186"/>
      <c r="AI104" s="186"/>
      <c r="AJ104" s="186"/>
      <c r="AK104" s="186"/>
      <c r="AL104" s="186"/>
      <c r="AM104" s="186"/>
      <c r="AN104" s="186"/>
      <c r="AO104" s="186"/>
      <c r="AP104" s="186"/>
      <c r="AQ104" s="186"/>
      <c r="AR104" s="186"/>
      <c r="AS104" s="186"/>
      <c r="AT104" s="186"/>
      <c r="AU104" s="186"/>
      <c r="AV104" s="186"/>
    </row>
    <row r="105" spans="1:48" x14ac:dyDescent="0.2">
      <c r="A105" s="186"/>
      <c r="U105" s="186"/>
      <c r="V105" s="186"/>
      <c r="W105" s="186"/>
      <c r="X105" s="186"/>
      <c r="Y105" s="186"/>
      <c r="Z105" s="186"/>
      <c r="AA105" s="186"/>
      <c r="AB105" s="186"/>
      <c r="AC105" s="186"/>
      <c r="AD105" s="186"/>
      <c r="AE105" s="186"/>
      <c r="AF105" s="186"/>
      <c r="AG105" s="186"/>
      <c r="AH105" s="186"/>
      <c r="AI105" s="186"/>
      <c r="AJ105" s="186"/>
      <c r="AK105" s="186"/>
      <c r="AL105" s="186"/>
      <c r="AM105" s="186"/>
      <c r="AN105" s="186"/>
      <c r="AO105" s="186"/>
      <c r="AP105" s="186"/>
      <c r="AQ105" s="186"/>
      <c r="AR105" s="186"/>
      <c r="AS105" s="186"/>
      <c r="AT105" s="186"/>
      <c r="AU105" s="186"/>
      <c r="AV105" s="186"/>
    </row>
    <row r="106" spans="1:48" x14ac:dyDescent="0.2">
      <c r="A106" s="186"/>
      <c r="U106" s="186"/>
      <c r="V106" s="186"/>
      <c r="W106" s="186"/>
      <c r="X106" s="186"/>
      <c r="Y106" s="186"/>
      <c r="Z106" s="186"/>
      <c r="AA106" s="186"/>
      <c r="AB106" s="186"/>
      <c r="AC106" s="186"/>
      <c r="AD106" s="186"/>
      <c r="AE106" s="186"/>
      <c r="AF106" s="186"/>
      <c r="AG106" s="186"/>
      <c r="AH106" s="186"/>
      <c r="AI106" s="186"/>
      <c r="AJ106" s="186"/>
      <c r="AK106" s="186"/>
      <c r="AL106" s="186"/>
      <c r="AM106" s="186"/>
      <c r="AN106" s="186"/>
      <c r="AO106" s="186"/>
      <c r="AP106" s="186"/>
      <c r="AQ106" s="186"/>
      <c r="AR106" s="186"/>
      <c r="AS106" s="186"/>
      <c r="AT106" s="186"/>
      <c r="AU106" s="186"/>
      <c r="AV106" s="186"/>
    </row>
    <row r="107" spans="1:48" x14ac:dyDescent="0.2">
      <c r="A107" s="186"/>
      <c r="U107" s="186"/>
      <c r="V107" s="186"/>
      <c r="W107" s="186"/>
      <c r="X107" s="186"/>
      <c r="Y107" s="186"/>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row>
    <row r="108" spans="1:48" x14ac:dyDescent="0.2">
      <c r="A108" s="186"/>
      <c r="U108" s="186"/>
      <c r="V108" s="186"/>
      <c r="W108" s="186"/>
      <c r="X108" s="186"/>
      <c r="Y108" s="186"/>
      <c r="Z108" s="186"/>
      <c r="AA108" s="186"/>
      <c r="AB108" s="186"/>
      <c r="AC108" s="186"/>
      <c r="AD108" s="186"/>
      <c r="AE108" s="186"/>
      <c r="AF108" s="186"/>
      <c r="AG108" s="186"/>
      <c r="AH108" s="186"/>
      <c r="AI108" s="186"/>
      <c r="AJ108" s="186"/>
      <c r="AK108" s="186"/>
      <c r="AL108" s="186"/>
      <c r="AM108" s="186"/>
      <c r="AN108" s="186"/>
      <c r="AO108" s="186"/>
      <c r="AP108" s="186"/>
      <c r="AQ108" s="186"/>
      <c r="AR108" s="186"/>
      <c r="AS108" s="186"/>
      <c r="AT108" s="186"/>
      <c r="AU108" s="186"/>
      <c r="AV108" s="186"/>
    </row>
    <row r="109" spans="1:48" x14ac:dyDescent="0.2">
      <c r="A109" s="186"/>
      <c r="U109" s="186"/>
      <c r="V109" s="186"/>
      <c r="W109" s="186"/>
      <c r="X109" s="186"/>
      <c r="Y109" s="186"/>
      <c r="Z109" s="186"/>
      <c r="AA109" s="186"/>
      <c r="AB109" s="186"/>
      <c r="AC109" s="186"/>
      <c r="AD109" s="186"/>
      <c r="AE109" s="186"/>
      <c r="AF109" s="186"/>
      <c r="AG109" s="186"/>
      <c r="AH109" s="186"/>
      <c r="AI109" s="186"/>
      <c r="AJ109" s="186"/>
      <c r="AK109" s="186"/>
      <c r="AL109" s="186"/>
      <c r="AM109" s="186"/>
      <c r="AN109" s="186"/>
      <c r="AO109" s="186"/>
      <c r="AP109" s="186"/>
      <c r="AQ109" s="186"/>
      <c r="AR109" s="186"/>
      <c r="AS109" s="186"/>
      <c r="AT109" s="186"/>
      <c r="AU109" s="186"/>
      <c r="AV109" s="186"/>
    </row>
    <row r="110" spans="1:48" x14ac:dyDescent="0.2">
      <c r="A110" s="186"/>
      <c r="U110" s="186"/>
      <c r="V110" s="186"/>
      <c r="W110" s="186"/>
      <c r="X110" s="186"/>
      <c r="Y110" s="186"/>
      <c r="Z110" s="186"/>
      <c r="AA110" s="186"/>
      <c r="AB110" s="186"/>
      <c r="AC110" s="186"/>
      <c r="AD110" s="186"/>
      <c r="AE110" s="186"/>
      <c r="AF110" s="186"/>
      <c r="AG110" s="186"/>
      <c r="AH110" s="186"/>
      <c r="AI110" s="186"/>
      <c r="AJ110" s="186"/>
      <c r="AK110" s="186"/>
      <c r="AL110" s="186"/>
      <c r="AM110" s="186"/>
      <c r="AN110" s="186"/>
      <c r="AO110" s="186"/>
      <c r="AP110" s="186"/>
      <c r="AQ110" s="186"/>
      <c r="AR110" s="186"/>
      <c r="AS110" s="186"/>
      <c r="AT110" s="186"/>
      <c r="AU110" s="186"/>
      <c r="AV110" s="186"/>
    </row>
    <row r="111" spans="1:48" x14ac:dyDescent="0.2">
      <c r="A111" s="186"/>
      <c r="U111" s="186"/>
      <c r="V111" s="186"/>
      <c r="W111" s="186"/>
      <c r="X111" s="186"/>
      <c r="Y111" s="186"/>
      <c r="Z111" s="186"/>
      <c r="AA111" s="186"/>
      <c r="AB111" s="186"/>
      <c r="AC111" s="186"/>
      <c r="AD111" s="186"/>
      <c r="AE111" s="186"/>
      <c r="AF111" s="186"/>
      <c r="AG111" s="186"/>
      <c r="AH111" s="186"/>
      <c r="AI111" s="186"/>
      <c r="AJ111" s="186"/>
      <c r="AK111" s="186"/>
      <c r="AL111" s="186"/>
      <c r="AM111" s="186"/>
      <c r="AN111" s="186"/>
      <c r="AO111" s="186"/>
      <c r="AP111" s="186"/>
      <c r="AQ111" s="186"/>
      <c r="AR111" s="186"/>
      <c r="AS111" s="186"/>
      <c r="AT111" s="186"/>
      <c r="AU111" s="186"/>
      <c r="AV111" s="186"/>
    </row>
    <row r="112" spans="1:48" x14ac:dyDescent="0.2">
      <c r="A112" s="186"/>
      <c r="U112" s="186"/>
      <c r="V112" s="186"/>
      <c r="W112" s="186"/>
      <c r="X112" s="186"/>
      <c r="Y112" s="186"/>
      <c r="Z112" s="186"/>
      <c r="AA112" s="186"/>
      <c r="AB112" s="186"/>
      <c r="AC112" s="186"/>
      <c r="AD112" s="186"/>
      <c r="AE112" s="186"/>
      <c r="AF112" s="186"/>
      <c r="AG112" s="186"/>
      <c r="AH112" s="186"/>
      <c r="AI112" s="186"/>
      <c r="AJ112" s="186"/>
      <c r="AK112" s="186"/>
      <c r="AL112" s="186"/>
      <c r="AM112" s="186"/>
      <c r="AN112" s="186"/>
      <c r="AO112" s="186"/>
      <c r="AP112" s="186"/>
      <c r="AQ112" s="186"/>
      <c r="AR112" s="186"/>
      <c r="AS112" s="186"/>
      <c r="AT112" s="186"/>
      <c r="AU112" s="186"/>
      <c r="AV112" s="186"/>
    </row>
    <row r="113" spans="1:48" x14ac:dyDescent="0.2">
      <c r="A113" s="186"/>
      <c r="U113" s="186"/>
      <c r="V113" s="186"/>
      <c r="W113" s="186"/>
      <c r="X113" s="186"/>
      <c r="Y113" s="186"/>
      <c r="Z113" s="186"/>
      <c r="AA113" s="186"/>
      <c r="AB113" s="186"/>
      <c r="AC113" s="186"/>
      <c r="AD113" s="186"/>
      <c r="AE113" s="186"/>
      <c r="AF113" s="186"/>
      <c r="AG113" s="186"/>
      <c r="AH113" s="186"/>
      <c r="AI113" s="186"/>
      <c r="AJ113" s="186"/>
      <c r="AK113" s="186"/>
      <c r="AL113" s="186"/>
      <c r="AM113" s="186"/>
      <c r="AN113" s="186"/>
      <c r="AO113" s="186"/>
      <c r="AP113" s="186"/>
      <c r="AQ113" s="186"/>
      <c r="AR113" s="186"/>
      <c r="AS113" s="186"/>
      <c r="AT113" s="186"/>
      <c r="AU113" s="186"/>
      <c r="AV113" s="186"/>
    </row>
    <row r="114" spans="1:48" x14ac:dyDescent="0.2">
      <c r="A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row>
    <row r="115" spans="1:48" x14ac:dyDescent="0.2">
      <c r="A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86"/>
      <c r="AP115" s="186"/>
      <c r="AQ115" s="186"/>
      <c r="AR115" s="186"/>
      <c r="AS115" s="186"/>
      <c r="AT115" s="186"/>
      <c r="AU115" s="186"/>
      <c r="AV115" s="186"/>
    </row>
    <row r="116" spans="1:48" x14ac:dyDescent="0.2">
      <c r="A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86"/>
      <c r="AP116" s="186"/>
      <c r="AQ116" s="186"/>
      <c r="AR116" s="186"/>
      <c r="AS116" s="186"/>
      <c r="AT116" s="186"/>
      <c r="AU116" s="186"/>
      <c r="AV116" s="186"/>
    </row>
    <row r="117" spans="1:48" x14ac:dyDescent="0.2">
      <c r="A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86"/>
      <c r="AP117" s="186"/>
      <c r="AQ117" s="186"/>
      <c r="AR117" s="186"/>
      <c r="AS117" s="186"/>
      <c r="AT117" s="186"/>
      <c r="AU117" s="186"/>
      <c r="AV117" s="186"/>
    </row>
    <row r="118" spans="1:48" x14ac:dyDescent="0.2">
      <c r="A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row>
    <row r="119" spans="1:48" x14ac:dyDescent="0.2">
      <c r="A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86"/>
      <c r="AP119" s="186"/>
      <c r="AQ119" s="186"/>
      <c r="AR119" s="186"/>
      <c r="AS119" s="186"/>
      <c r="AT119" s="186"/>
      <c r="AU119" s="186"/>
      <c r="AV119" s="186"/>
    </row>
    <row r="120" spans="1:48" x14ac:dyDescent="0.2">
      <c r="A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86"/>
      <c r="AP120" s="186"/>
      <c r="AQ120" s="186"/>
      <c r="AR120" s="186"/>
      <c r="AS120" s="186"/>
      <c r="AT120" s="186"/>
      <c r="AU120" s="186"/>
      <c r="AV120" s="186"/>
    </row>
    <row r="121" spans="1:48" x14ac:dyDescent="0.2">
      <c r="A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86"/>
      <c r="AP121" s="186"/>
      <c r="AQ121" s="186"/>
      <c r="AR121" s="186"/>
      <c r="AS121" s="186"/>
      <c r="AT121" s="186"/>
      <c r="AU121" s="186"/>
      <c r="AV121" s="186"/>
    </row>
    <row r="122" spans="1:48" x14ac:dyDescent="0.2">
      <c r="A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86"/>
      <c r="AP122" s="186"/>
      <c r="AQ122" s="186"/>
      <c r="AR122" s="186"/>
      <c r="AS122" s="186"/>
      <c r="AT122" s="186"/>
      <c r="AU122" s="186"/>
      <c r="AV122" s="186"/>
    </row>
    <row r="123" spans="1:48" x14ac:dyDescent="0.2">
      <c r="A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86"/>
      <c r="AP123" s="186"/>
      <c r="AQ123" s="186"/>
      <c r="AR123" s="186"/>
      <c r="AS123" s="186"/>
      <c r="AT123" s="186"/>
      <c r="AU123" s="186"/>
      <c r="AV123" s="186"/>
    </row>
    <row r="124" spans="1:48" x14ac:dyDescent="0.2">
      <c r="A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86"/>
      <c r="AP124" s="186"/>
      <c r="AQ124" s="186"/>
      <c r="AR124" s="186"/>
      <c r="AS124" s="186"/>
      <c r="AT124" s="186"/>
      <c r="AU124" s="186"/>
      <c r="AV124" s="186"/>
    </row>
    <row r="125" spans="1:48" x14ac:dyDescent="0.2">
      <c r="A125" s="186"/>
      <c r="U125" s="186"/>
      <c r="V125" s="186"/>
      <c r="W125" s="186"/>
      <c r="X125" s="186"/>
      <c r="Y125" s="186"/>
      <c r="Z125" s="186"/>
      <c r="AA125" s="186"/>
      <c r="AB125" s="186"/>
      <c r="AC125" s="186"/>
      <c r="AD125" s="186"/>
      <c r="AE125" s="186"/>
      <c r="AF125" s="186"/>
      <c r="AG125" s="186"/>
      <c r="AH125" s="186"/>
      <c r="AI125" s="186"/>
      <c r="AJ125" s="186"/>
      <c r="AK125" s="186"/>
      <c r="AL125" s="186"/>
      <c r="AM125" s="186"/>
      <c r="AN125" s="186"/>
      <c r="AO125" s="186"/>
      <c r="AP125" s="186"/>
      <c r="AQ125" s="186"/>
      <c r="AR125" s="186"/>
      <c r="AS125" s="186"/>
      <c r="AT125" s="186"/>
      <c r="AU125" s="186"/>
      <c r="AV125" s="186"/>
    </row>
    <row r="126" spans="1:48" x14ac:dyDescent="0.2">
      <c r="A126" s="186"/>
      <c r="U126" s="186"/>
      <c r="V126" s="186"/>
      <c r="W126" s="186"/>
      <c r="X126" s="186"/>
      <c r="Y126" s="186"/>
      <c r="Z126" s="186"/>
      <c r="AA126" s="186"/>
      <c r="AB126" s="186"/>
      <c r="AC126" s="186"/>
      <c r="AD126" s="186"/>
      <c r="AE126" s="186"/>
      <c r="AF126" s="186"/>
      <c r="AG126" s="186"/>
      <c r="AH126" s="186"/>
      <c r="AI126" s="186"/>
      <c r="AJ126" s="186"/>
      <c r="AK126" s="186"/>
      <c r="AL126" s="186"/>
      <c r="AM126" s="186"/>
      <c r="AN126" s="186"/>
      <c r="AO126" s="186"/>
      <c r="AP126" s="186"/>
      <c r="AQ126" s="186"/>
      <c r="AR126" s="186"/>
      <c r="AS126" s="186"/>
      <c r="AT126" s="186"/>
      <c r="AU126" s="186"/>
      <c r="AV126" s="186"/>
    </row>
    <row r="127" spans="1:48" x14ac:dyDescent="0.2">
      <c r="A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86"/>
      <c r="AP127" s="186"/>
      <c r="AQ127" s="186"/>
      <c r="AR127" s="186"/>
      <c r="AS127" s="186"/>
      <c r="AT127" s="186"/>
      <c r="AU127" s="186"/>
      <c r="AV127" s="186"/>
    </row>
    <row r="128" spans="1:48" x14ac:dyDescent="0.2">
      <c r="A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86"/>
      <c r="AP128" s="186"/>
      <c r="AQ128" s="186"/>
      <c r="AR128" s="186"/>
      <c r="AS128" s="186"/>
      <c r="AT128" s="186"/>
      <c r="AU128" s="186"/>
      <c r="AV128" s="186"/>
    </row>
    <row r="129" spans="1:48" x14ac:dyDescent="0.2">
      <c r="A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86"/>
      <c r="AP129" s="186"/>
      <c r="AQ129" s="186"/>
      <c r="AR129" s="186"/>
      <c r="AS129" s="186"/>
      <c r="AT129" s="186"/>
      <c r="AU129" s="186"/>
      <c r="AV129" s="186"/>
    </row>
    <row r="130" spans="1:48" x14ac:dyDescent="0.2">
      <c r="A130" s="186"/>
      <c r="U130" s="186"/>
      <c r="V130" s="186"/>
      <c r="W130" s="186"/>
      <c r="X130" s="186"/>
      <c r="Y130" s="186"/>
      <c r="Z130" s="186"/>
      <c r="AA130" s="186"/>
      <c r="AB130" s="186"/>
      <c r="AC130" s="186"/>
      <c r="AD130" s="186"/>
      <c r="AE130" s="186"/>
      <c r="AF130" s="186"/>
      <c r="AG130" s="186"/>
      <c r="AH130" s="186"/>
      <c r="AI130" s="186"/>
      <c r="AJ130" s="186"/>
      <c r="AK130" s="186"/>
      <c r="AL130" s="186"/>
      <c r="AM130" s="186"/>
      <c r="AN130" s="186"/>
      <c r="AO130" s="186"/>
      <c r="AP130" s="186"/>
      <c r="AQ130" s="186"/>
      <c r="AR130" s="186"/>
      <c r="AS130" s="186"/>
      <c r="AT130" s="186"/>
      <c r="AU130" s="186"/>
      <c r="AV130" s="186"/>
    </row>
    <row r="131" spans="1:48" x14ac:dyDescent="0.2">
      <c r="A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86"/>
      <c r="AP131" s="186"/>
      <c r="AQ131" s="186"/>
      <c r="AR131" s="186"/>
      <c r="AS131" s="186"/>
      <c r="AT131" s="186"/>
      <c r="AU131" s="186"/>
      <c r="AV131" s="186"/>
    </row>
    <row r="132" spans="1:48" x14ac:dyDescent="0.2">
      <c r="A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86"/>
      <c r="AP132" s="186"/>
      <c r="AQ132" s="186"/>
      <c r="AR132" s="186"/>
      <c r="AS132" s="186"/>
      <c r="AT132" s="186"/>
      <c r="AU132" s="186"/>
      <c r="AV132" s="186"/>
    </row>
    <row r="133" spans="1:48" x14ac:dyDescent="0.2">
      <c r="A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86"/>
      <c r="AP133" s="186"/>
      <c r="AQ133" s="186"/>
      <c r="AR133" s="186"/>
      <c r="AS133" s="186"/>
      <c r="AT133" s="186"/>
      <c r="AU133" s="186"/>
      <c r="AV133" s="186"/>
    </row>
    <row r="134" spans="1:48" x14ac:dyDescent="0.2">
      <c r="A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86"/>
      <c r="AP134" s="186"/>
      <c r="AQ134" s="186"/>
      <c r="AR134" s="186"/>
      <c r="AS134" s="186"/>
      <c r="AT134" s="186"/>
      <c r="AU134" s="186"/>
      <c r="AV134" s="186"/>
    </row>
    <row r="135" spans="1:48" x14ac:dyDescent="0.2">
      <c r="A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186"/>
      <c r="AU135" s="186"/>
      <c r="AV135" s="186"/>
    </row>
    <row r="136" spans="1:48" x14ac:dyDescent="0.2">
      <c r="A136" s="186"/>
      <c r="U136" s="186"/>
      <c r="V136" s="186"/>
      <c r="W136" s="186"/>
      <c r="X136" s="186"/>
      <c r="Y136" s="186"/>
      <c r="Z136" s="186"/>
      <c r="AA136" s="186"/>
      <c r="AB136" s="186"/>
      <c r="AC136" s="186"/>
      <c r="AD136" s="186"/>
      <c r="AE136" s="186"/>
      <c r="AF136" s="186"/>
      <c r="AG136" s="186"/>
      <c r="AH136" s="186"/>
      <c r="AI136" s="186"/>
      <c r="AJ136" s="186"/>
      <c r="AK136" s="186"/>
      <c r="AL136" s="186"/>
      <c r="AM136" s="186"/>
      <c r="AN136" s="186"/>
      <c r="AO136" s="186"/>
      <c r="AP136" s="186"/>
      <c r="AQ136" s="186"/>
      <c r="AR136" s="186"/>
      <c r="AS136" s="186"/>
      <c r="AT136" s="186"/>
      <c r="AU136" s="186"/>
      <c r="AV136" s="186"/>
    </row>
    <row r="137" spans="1:48" x14ac:dyDescent="0.2">
      <c r="A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86"/>
      <c r="AP137" s="186"/>
      <c r="AQ137" s="186"/>
      <c r="AR137" s="186"/>
      <c r="AS137" s="186"/>
      <c r="AT137" s="186"/>
      <c r="AU137" s="186"/>
      <c r="AV137" s="186"/>
    </row>
    <row r="138" spans="1:48" x14ac:dyDescent="0.2">
      <c r="A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86"/>
      <c r="AP138" s="186"/>
      <c r="AQ138" s="186"/>
      <c r="AR138" s="186"/>
      <c r="AS138" s="186"/>
      <c r="AT138" s="186"/>
      <c r="AU138" s="186"/>
      <c r="AV138" s="186"/>
    </row>
    <row r="139" spans="1:48" x14ac:dyDescent="0.2">
      <c r="A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86"/>
      <c r="AP139" s="186"/>
      <c r="AQ139" s="186"/>
      <c r="AR139" s="186"/>
      <c r="AS139" s="186"/>
      <c r="AT139" s="186"/>
      <c r="AU139" s="186"/>
      <c r="AV139" s="186"/>
    </row>
    <row r="140" spans="1:48" x14ac:dyDescent="0.2">
      <c r="A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86"/>
      <c r="AP140" s="186"/>
      <c r="AQ140" s="186"/>
      <c r="AR140" s="186"/>
      <c r="AS140" s="186"/>
      <c r="AT140" s="186"/>
      <c r="AU140" s="186"/>
      <c r="AV140" s="186"/>
    </row>
    <row r="141" spans="1:48" x14ac:dyDescent="0.2">
      <c r="A141" s="186"/>
      <c r="U141" s="186"/>
      <c r="V141" s="186"/>
      <c r="W141" s="186"/>
      <c r="X141" s="186"/>
      <c r="Y141" s="186"/>
      <c r="Z141" s="186"/>
      <c r="AA141" s="186"/>
      <c r="AB141" s="186"/>
      <c r="AC141" s="186"/>
      <c r="AD141" s="186"/>
      <c r="AE141" s="186"/>
      <c r="AF141" s="186"/>
      <c r="AG141" s="186"/>
      <c r="AH141" s="186"/>
      <c r="AI141" s="186"/>
      <c r="AJ141" s="186"/>
      <c r="AK141" s="186"/>
      <c r="AL141" s="186"/>
      <c r="AM141" s="186"/>
      <c r="AN141" s="186"/>
      <c r="AO141" s="186"/>
      <c r="AP141" s="186"/>
      <c r="AQ141" s="186"/>
      <c r="AR141" s="186"/>
      <c r="AS141" s="186"/>
      <c r="AT141" s="186"/>
      <c r="AU141" s="186"/>
      <c r="AV141" s="186"/>
    </row>
    <row r="142" spans="1:48" x14ac:dyDescent="0.2">
      <c r="A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86"/>
      <c r="AP142" s="186"/>
      <c r="AQ142" s="186"/>
      <c r="AR142" s="186"/>
      <c r="AS142" s="186"/>
      <c r="AT142" s="186"/>
      <c r="AU142" s="186"/>
      <c r="AV142" s="186"/>
    </row>
    <row r="143" spans="1:48" x14ac:dyDescent="0.2">
      <c r="A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row>
    <row r="144" spans="1:48" x14ac:dyDescent="0.2">
      <c r="A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86"/>
      <c r="AP144" s="186"/>
      <c r="AQ144" s="186"/>
      <c r="AR144" s="186"/>
      <c r="AS144" s="186"/>
      <c r="AT144" s="186"/>
      <c r="AU144" s="186"/>
      <c r="AV144" s="186"/>
    </row>
    <row r="145" spans="1:48" x14ac:dyDescent="0.2">
      <c r="A145" s="186"/>
      <c r="U145" s="186"/>
      <c r="V145" s="186"/>
      <c r="W145" s="186"/>
      <c r="X145" s="186"/>
      <c r="Y145" s="186"/>
      <c r="Z145" s="186"/>
      <c r="AA145" s="186"/>
      <c r="AB145" s="186"/>
      <c r="AC145" s="186"/>
      <c r="AD145" s="186"/>
      <c r="AE145" s="186"/>
      <c r="AF145" s="186"/>
      <c r="AG145" s="186"/>
      <c r="AH145" s="186"/>
      <c r="AI145" s="186"/>
      <c r="AJ145" s="186"/>
      <c r="AK145" s="186"/>
      <c r="AL145" s="186"/>
      <c r="AM145" s="186"/>
      <c r="AN145" s="186"/>
      <c r="AO145" s="186"/>
      <c r="AP145" s="186"/>
      <c r="AQ145" s="186"/>
      <c r="AR145" s="186"/>
      <c r="AS145" s="186"/>
      <c r="AT145" s="186"/>
      <c r="AU145" s="186"/>
      <c r="AV145" s="186"/>
    </row>
    <row r="146" spans="1:48" x14ac:dyDescent="0.2">
      <c r="A146" s="186"/>
      <c r="U146" s="186"/>
      <c r="V146" s="186"/>
      <c r="W146" s="186"/>
      <c r="X146" s="186"/>
      <c r="Y146" s="186"/>
      <c r="Z146" s="186"/>
      <c r="AA146" s="186"/>
      <c r="AB146" s="186"/>
      <c r="AC146" s="186"/>
      <c r="AD146" s="186"/>
      <c r="AE146" s="186"/>
      <c r="AF146" s="186"/>
      <c r="AG146" s="186"/>
      <c r="AH146" s="186"/>
      <c r="AI146" s="186"/>
      <c r="AJ146" s="186"/>
      <c r="AK146" s="186"/>
      <c r="AL146" s="186"/>
      <c r="AM146" s="186"/>
      <c r="AN146" s="186"/>
      <c r="AO146" s="186"/>
      <c r="AP146" s="186"/>
      <c r="AQ146" s="186"/>
      <c r="AR146" s="186"/>
      <c r="AS146" s="186"/>
      <c r="AT146" s="186"/>
      <c r="AU146" s="186"/>
      <c r="AV146" s="186"/>
    </row>
    <row r="147" spans="1:48" x14ac:dyDescent="0.2">
      <c r="A147" s="186"/>
      <c r="U147" s="186"/>
      <c r="V147" s="186"/>
      <c r="W147" s="186"/>
      <c r="X147" s="186"/>
      <c r="Y147" s="186"/>
      <c r="Z147" s="186"/>
      <c r="AA147" s="186"/>
      <c r="AB147" s="186"/>
      <c r="AC147" s="186"/>
      <c r="AD147" s="186"/>
      <c r="AE147" s="186"/>
      <c r="AF147" s="186"/>
      <c r="AG147" s="186"/>
      <c r="AH147" s="186"/>
      <c r="AI147" s="186"/>
      <c r="AJ147" s="186"/>
      <c r="AK147" s="186"/>
      <c r="AL147" s="186"/>
      <c r="AM147" s="186"/>
      <c r="AN147" s="186"/>
      <c r="AO147" s="186"/>
      <c r="AP147" s="186"/>
      <c r="AQ147" s="186"/>
      <c r="AR147" s="186"/>
      <c r="AS147" s="186"/>
      <c r="AT147" s="186"/>
      <c r="AU147" s="186"/>
      <c r="AV147" s="186"/>
    </row>
    <row r="148" spans="1:48" x14ac:dyDescent="0.2">
      <c r="A148" s="186"/>
      <c r="U148" s="186"/>
      <c r="V148" s="186"/>
      <c r="W148" s="186"/>
      <c r="X148" s="186"/>
      <c r="Y148" s="186"/>
      <c r="Z148" s="186"/>
      <c r="AA148" s="186"/>
      <c r="AB148" s="186"/>
      <c r="AC148" s="186"/>
      <c r="AD148" s="186"/>
      <c r="AE148" s="186"/>
      <c r="AF148" s="186"/>
      <c r="AG148" s="186"/>
      <c r="AH148" s="186"/>
      <c r="AI148" s="186"/>
      <c r="AJ148" s="186"/>
      <c r="AK148" s="186"/>
      <c r="AL148" s="186"/>
      <c r="AM148" s="186"/>
      <c r="AN148" s="186"/>
      <c r="AO148" s="186"/>
      <c r="AP148" s="186"/>
      <c r="AQ148" s="186"/>
      <c r="AR148" s="186"/>
      <c r="AS148" s="186"/>
      <c r="AT148" s="186"/>
      <c r="AU148" s="186"/>
      <c r="AV148" s="186"/>
    </row>
    <row r="149" spans="1:48" x14ac:dyDescent="0.2">
      <c r="A149" s="186"/>
      <c r="U149" s="186"/>
      <c r="V149" s="186"/>
      <c r="W149" s="186"/>
      <c r="X149" s="186"/>
      <c r="Y149" s="186"/>
      <c r="Z149" s="186"/>
      <c r="AA149" s="186"/>
      <c r="AB149" s="186"/>
      <c r="AC149" s="186"/>
      <c r="AD149" s="186"/>
      <c r="AE149" s="186"/>
      <c r="AF149" s="186"/>
      <c r="AG149" s="186"/>
      <c r="AH149" s="186"/>
      <c r="AI149" s="186"/>
      <c r="AJ149" s="186"/>
      <c r="AK149" s="186"/>
      <c r="AL149" s="186"/>
      <c r="AM149" s="186"/>
      <c r="AN149" s="186"/>
      <c r="AO149" s="186"/>
      <c r="AP149" s="186"/>
      <c r="AQ149" s="186"/>
      <c r="AR149" s="186"/>
      <c r="AS149" s="186"/>
      <c r="AT149" s="186"/>
      <c r="AU149" s="186"/>
      <c r="AV149" s="186"/>
    </row>
    <row r="150" spans="1:48" x14ac:dyDescent="0.2">
      <c r="A150" s="186"/>
      <c r="U150" s="186"/>
      <c r="V150" s="186"/>
      <c r="W150" s="186"/>
      <c r="X150" s="186"/>
      <c r="Y150" s="186"/>
      <c r="Z150" s="186"/>
      <c r="AA150" s="186"/>
      <c r="AB150" s="186"/>
      <c r="AC150" s="186"/>
      <c r="AD150" s="186"/>
      <c r="AE150" s="186"/>
      <c r="AF150" s="186"/>
      <c r="AG150" s="186"/>
      <c r="AH150" s="186"/>
      <c r="AI150" s="186"/>
      <c r="AJ150" s="186"/>
      <c r="AK150" s="186"/>
      <c r="AL150" s="186"/>
      <c r="AM150" s="186"/>
      <c r="AN150" s="186"/>
      <c r="AO150" s="186"/>
      <c r="AP150" s="186"/>
      <c r="AQ150" s="186"/>
      <c r="AR150" s="186"/>
      <c r="AS150" s="186"/>
      <c r="AT150" s="186"/>
      <c r="AU150" s="186"/>
      <c r="AV150" s="186"/>
    </row>
    <row r="151" spans="1:48" x14ac:dyDescent="0.2">
      <c r="A151" s="186"/>
      <c r="U151" s="186"/>
      <c r="V151" s="186"/>
      <c r="W151" s="186"/>
      <c r="X151" s="186"/>
      <c r="Y151" s="186"/>
      <c r="Z151" s="186"/>
      <c r="AA151" s="186"/>
      <c r="AB151" s="186"/>
      <c r="AC151" s="186"/>
      <c r="AD151" s="186"/>
      <c r="AE151" s="186"/>
      <c r="AF151" s="186"/>
      <c r="AG151" s="186"/>
      <c r="AH151" s="186"/>
      <c r="AI151" s="186"/>
      <c r="AJ151" s="186"/>
      <c r="AK151" s="186"/>
      <c r="AL151" s="186"/>
      <c r="AM151" s="186"/>
      <c r="AN151" s="186"/>
      <c r="AO151" s="186"/>
      <c r="AP151" s="186"/>
      <c r="AQ151" s="186"/>
      <c r="AR151" s="186"/>
      <c r="AS151" s="186"/>
      <c r="AT151" s="186"/>
      <c r="AU151" s="186"/>
      <c r="AV151" s="186"/>
    </row>
    <row r="152" spans="1:48" x14ac:dyDescent="0.2">
      <c r="A152" s="186"/>
      <c r="U152" s="186"/>
      <c r="V152" s="186"/>
      <c r="W152" s="186"/>
      <c r="X152" s="186"/>
      <c r="Y152" s="186"/>
      <c r="Z152" s="186"/>
      <c r="AA152" s="186"/>
      <c r="AB152" s="186"/>
      <c r="AC152" s="186"/>
      <c r="AD152" s="186"/>
      <c r="AE152" s="186"/>
      <c r="AF152" s="186"/>
      <c r="AG152" s="186"/>
      <c r="AH152" s="186"/>
      <c r="AI152" s="186"/>
      <c r="AJ152" s="186"/>
      <c r="AK152" s="186"/>
      <c r="AL152" s="186"/>
      <c r="AM152" s="186"/>
      <c r="AN152" s="186"/>
      <c r="AO152" s="186"/>
      <c r="AP152" s="186"/>
      <c r="AQ152" s="186"/>
      <c r="AR152" s="186"/>
      <c r="AS152" s="186"/>
      <c r="AT152" s="186"/>
      <c r="AU152" s="186"/>
      <c r="AV152" s="186"/>
    </row>
    <row r="153" spans="1:48" x14ac:dyDescent="0.2">
      <c r="A153" s="186"/>
      <c r="U153" s="186"/>
      <c r="V153" s="186"/>
      <c r="W153" s="186"/>
      <c r="X153" s="186"/>
      <c r="Y153" s="186"/>
      <c r="Z153" s="186"/>
      <c r="AA153" s="186"/>
      <c r="AB153" s="186"/>
      <c r="AC153" s="186"/>
      <c r="AD153" s="186"/>
      <c r="AE153" s="186"/>
      <c r="AF153" s="186"/>
      <c r="AG153" s="186"/>
      <c r="AH153" s="186"/>
      <c r="AI153" s="186"/>
      <c r="AJ153" s="186"/>
      <c r="AK153" s="186"/>
      <c r="AL153" s="186"/>
      <c r="AM153" s="186"/>
      <c r="AN153" s="186"/>
      <c r="AO153" s="186"/>
      <c r="AP153" s="186"/>
      <c r="AQ153" s="186"/>
      <c r="AR153" s="186"/>
      <c r="AS153" s="186"/>
      <c r="AT153" s="186"/>
      <c r="AU153" s="186"/>
      <c r="AV153" s="186"/>
    </row>
    <row r="154" spans="1:48" x14ac:dyDescent="0.2">
      <c r="A154" s="186"/>
      <c r="U154" s="186"/>
      <c r="V154" s="186"/>
      <c r="W154" s="186"/>
      <c r="X154" s="186"/>
      <c r="Y154" s="186"/>
      <c r="Z154" s="186"/>
      <c r="AA154" s="186"/>
      <c r="AB154" s="186"/>
      <c r="AC154" s="186"/>
      <c r="AD154" s="186"/>
      <c r="AE154" s="186"/>
      <c r="AF154" s="186"/>
      <c r="AG154" s="186"/>
      <c r="AH154" s="186"/>
      <c r="AI154" s="186"/>
      <c r="AJ154" s="186"/>
      <c r="AK154" s="186"/>
      <c r="AL154" s="186"/>
      <c r="AM154" s="186"/>
      <c r="AN154" s="186"/>
      <c r="AO154" s="186"/>
      <c r="AP154" s="186"/>
      <c r="AQ154" s="186"/>
      <c r="AR154" s="186"/>
      <c r="AS154" s="186"/>
      <c r="AT154" s="186"/>
      <c r="AU154" s="186"/>
      <c r="AV154" s="186"/>
    </row>
    <row r="155" spans="1:48" x14ac:dyDescent="0.2">
      <c r="A155" s="186"/>
      <c r="U155" s="186"/>
      <c r="V155" s="186"/>
      <c r="W155" s="186"/>
      <c r="X155" s="186"/>
      <c r="Y155" s="186"/>
      <c r="Z155" s="186"/>
      <c r="AA155" s="186"/>
      <c r="AB155" s="186"/>
      <c r="AC155" s="186"/>
      <c r="AD155" s="186"/>
      <c r="AE155" s="186"/>
      <c r="AF155" s="186"/>
      <c r="AG155" s="186"/>
      <c r="AH155" s="186"/>
      <c r="AI155" s="186"/>
      <c r="AJ155" s="186"/>
      <c r="AK155" s="186"/>
      <c r="AL155" s="186"/>
      <c r="AM155" s="186"/>
      <c r="AN155" s="186"/>
      <c r="AO155" s="186"/>
      <c r="AP155" s="186"/>
      <c r="AQ155" s="186"/>
      <c r="AR155" s="186"/>
      <c r="AS155" s="186"/>
      <c r="AT155" s="186"/>
      <c r="AU155" s="186"/>
      <c r="AV155" s="186"/>
    </row>
    <row r="156" spans="1:48" x14ac:dyDescent="0.2">
      <c r="A156" s="186"/>
      <c r="U156" s="186"/>
      <c r="V156" s="186"/>
      <c r="W156" s="186"/>
      <c r="X156" s="186"/>
      <c r="Y156" s="186"/>
      <c r="Z156" s="186"/>
      <c r="AA156" s="186"/>
      <c r="AB156" s="186"/>
      <c r="AC156" s="186"/>
      <c r="AD156" s="186"/>
      <c r="AE156" s="186"/>
      <c r="AF156" s="186"/>
      <c r="AG156" s="186"/>
      <c r="AH156" s="186"/>
      <c r="AI156" s="186"/>
      <c r="AJ156" s="186"/>
      <c r="AK156" s="186"/>
      <c r="AL156" s="186"/>
      <c r="AM156" s="186"/>
      <c r="AN156" s="186"/>
      <c r="AO156" s="186"/>
      <c r="AP156" s="186"/>
      <c r="AQ156" s="186"/>
      <c r="AR156" s="186"/>
      <c r="AS156" s="186"/>
      <c r="AT156" s="186"/>
      <c r="AU156" s="186"/>
      <c r="AV156" s="186"/>
    </row>
    <row r="157" spans="1:48" x14ac:dyDescent="0.2">
      <c r="A157" s="186"/>
      <c r="U157" s="186"/>
      <c r="V157" s="186"/>
      <c r="W157" s="186"/>
      <c r="X157" s="186"/>
      <c r="Y157" s="186"/>
      <c r="Z157" s="186"/>
      <c r="AA157" s="186"/>
      <c r="AB157" s="186"/>
      <c r="AC157" s="186"/>
      <c r="AD157" s="186"/>
      <c r="AE157" s="186"/>
      <c r="AF157" s="186"/>
      <c r="AG157" s="186"/>
      <c r="AH157" s="186"/>
      <c r="AI157" s="186"/>
      <c r="AJ157" s="186"/>
      <c r="AK157" s="186"/>
      <c r="AL157" s="186"/>
      <c r="AM157" s="186"/>
      <c r="AN157" s="186"/>
      <c r="AO157" s="186"/>
      <c r="AP157" s="186"/>
      <c r="AQ157" s="186"/>
      <c r="AR157" s="186"/>
      <c r="AS157" s="186"/>
      <c r="AT157" s="186"/>
      <c r="AU157" s="186"/>
      <c r="AV157" s="186"/>
    </row>
    <row r="158" spans="1:48" x14ac:dyDescent="0.2">
      <c r="A158" s="186"/>
      <c r="U158" s="186"/>
      <c r="V158" s="186"/>
      <c r="W158" s="186"/>
      <c r="X158" s="186"/>
      <c r="Y158" s="186"/>
      <c r="Z158" s="186"/>
      <c r="AA158" s="186"/>
      <c r="AB158" s="186"/>
      <c r="AC158" s="186"/>
      <c r="AD158" s="186"/>
      <c r="AE158" s="186"/>
      <c r="AF158" s="186"/>
      <c r="AG158" s="186"/>
      <c r="AH158" s="186"/>
      <c r="AI158" s="186"/>
      <c r="AJ158" s="186"/>
      <c r="AK158" s="186"/>
      <c r="AL158" s="186"/>
      <c r="AM158" s="186"/>
      <c r="AN158" s="186"/>
      <c r="AO158" s="186"/>
      <c r="AP158" s="186"/>
      <c r="AQ158" s="186"/>
      <c r="AR158" s="186"/>
      <c r="AS158" s="186"/>
      <c r="AT158" s="186"/>
      <c r="AU158" s="186"/>
      <c r="AV158" s="186"/>
    </row>
    <row r="159" spans="1:48" x14ac:dyDescent="0.2">
      <c r="A159" s="186"/>
      <c r="U159" s="186"/>
      <c r="V159" s="186"/>
      <c r="W159" s="186"/>
      <c r="X159" s="186"/>
      <c r="Y159" s="186"/>
      <c r="Z159" s="186"/>
      <c r="AA159" s="186"/>
      <c r="AB159" s="186"/>
      <c r="AC159" s="186"/>
      <c r="AD159" s="186"/>
      <c r="AE159" s="186"/>
      <c r="AF159" s="186"/>
      <c r="AG159" s="186"/>
      <c r="AH159" s="186"/>
      <c r="AI159" s="186"/>
      <c r="AJ159" s="186"/>
      <c r="AK159" s="186"/>
      <c r="AL159" s="186"/>
      <c r="AM159" s="186"/>
      <c r="AN159" s="186"/>
      <c r="AO159" s="186"/>
      <c r="AP159" s="186"/>
      <c r="AQ159" s="186"/>
      <c r="AR159" s="186"/>
      <c r="AS159" s="186"/>
      <c r="AT159" s="186"/>
      <c r="AU159" s="186"/>
      <c r="AV159" s="186"/>
    </row>
    <row r="160" spans="1:48" x14ac:dyDescent="0.2">
      <c r="A160" s="186"/>
      <c r="U160" s="186"/>
      <c r="V160" s="186"/>
      <c r="W160" s="186"/>
      <c r="X160" s="186"/>
      <c r="Y160" s="186"/>
      <c r="Z160" s="186"/>
      <c r="AA160" s="186"/>
      <c r="AB160" s="186"/>
      <c r="AC160" s="186"/>
      <c r="AD160" s="186"/>
      <c r="AE160" s="186"/>
      <c r="AF160" s="186"/>
      <c r="AG160" s="186"/>
      <c r="AH160" s="186"/>
      <c r="AI160" s="186"/>
      <c r="AJ160" s="186"/>
      <c r="AK160" s="186"/>
      <c r="AL160" s="186"/>
      <c r="AM160" s="186"/>
      <c r="AN160" s="186"/>
      <c r="AO160" s="186"/>
      <c r="AP160" s="186"/>
      <c r="AQ160" s="186"/>
      <c r="AR160" s="186"/>
      <c r="AS160" s="186"/>
      <c r="AT160" s="186"/>
      <c r="AU160" s="186"/>
      <c r="AV160" s="186"/>
    </row>
    <row r="161" spans="1:48" x14ac:dyDescent="0.2">
      <c r="A161" s="186"/>
      <c r="U161" s="186"/>
      <c r="V161" s="186"/>
      <c r="W161" s="186"/>
      <c r="X161" s="186"/>
      <c r="Y161" s="186"/>
      <c r="Z161" s="186"/>
      <c r="AA161" s="186"/>
      <c r="AB161" s="186"/>
      <c r="AC161" s="186"/>
      <c r="AD161" s="186"/>
      <c r="AE161" s="186"/>
      <c r="AF161" s="186"/>
      <c r="AG161" s="186"/>
      <c r="AH161" s="186"/>
      <c r="AI161" s="186"/>
      <c r="AJ161" s="186"/>
      <c r="AK161" s="186"/>
      <c r="AL161" s="186"/>
      <c r="AM161" s="186"/>
      <c r="AN161" s="186"/>
      <c r="AO161" s="186"/>
      <c r="AP161" s="186"/>
      <c r="AQ161" s="186"/>
      <c r="AR161" s="186"/>
      <c r="AS161" s="186"/>
      <c r="AT161" s="186"/>
      <c r="AU161" s="186"/>
      <c r="AV161" s="186"/>
    </row>
    <row r="162" spans="1:48" x14ac:dyDescent="0.2">
      <c r="A162" s="186"/>
      <c r="U162" s="186"/>
      <c r="V162" s="186"/>
      <c r="W162" s="186"/>
      <c r="X162" s="186"/>
      <c r="Y162" s="186"/>
      <c r="Z162" s="186"/>
      <c r="AA162" s="186"/>
      <c r="AB162" s="186"/>
      <c r="AC162" s="186"/>
      <c r="AD162" s="186"/>
      <c r="AE162" s="186"/>
      <c r="AF162" s="186"/>
      <c r="AG162" s="186"/>
      <c r="AH162" s="186"/>
      <c r="AI162" s="186"/>
      <c r="AJ162" s="186"/>
      <c r="AK162" s="186"/>
      <c r="AL162" s="186"/>
      <c r="AM162" s="186"/>
      <c r="AN162" s="186"/>
      <c r="AO162" s="186"/>
      <c r="AP162" s="186"/>
      <c r="AQ162" s="186"/>
      <c r="AR162" s="186"/>
      <c r="AS162" s="186"/>
      <c r="AT162" s="186"/>
      <c r="AU162" s="186"/>
      <c r="AV162" s="186"/>
    </row>
    <row r="163" spans="1:48" x14ac:dyDescent="0.2">
      <c r="A163" s="186"/>
      <c r="U163" s="186"/>
      <c r="V163" s="186"/>
      <c r="W163" s="186"/>
      <c r="X163" s="186"/>
      <c r="Y163" s="186"/>
      <c r="Z163" s="186"/>
      <c r="AA163" s="186"/>
      <c r="AB163" s="186"/>
      <c r="AC163" s="186"/>
      <c r="AD163" s="186"/>
      <c r="AE163" s="186"/>
      <c r="AF163" s="186"/>
      <c r="AG163" s="186"/>
      <c r="AH163" s="186"/>
      <c r="AI163" s="186"/>
      <c r="AJ163" s="186"/>
      <c r="AK163" s="186"/>
      <c r="AL163" s="186"/>
      <c r="AM163" s="186"/>
      <c r="AN163" s="186"/>
      <c r="AO163" s="186"/>
      <c r="AP163" s="186"/>
      <c r="AQ163" s="186"/>
      <c r="AR163" s="186"/>
      <c r="AS163" s="186"/>
      <c r="AT163" s="186"/>
      <c r="AU163" s="186"/>
      <c r="AV163" s="186"/>
    </row>
    <row r="164" spans="1:48" x14ac:dyDescent="0.2">
      <c r="A164" s="186"/>
      <c r="U164" s="186"/>
      <c r="V164" s="186"/>
      <c r="W164" s="186"/>
      <c r="X164" s="186"/>
      <c r="Y164" s="186"/>
      <c r="Z164" s="186"/>
      <c r="AA164" s="186"/>
      <c r="AB164" s="186"/>
      <c r="AC164" s="186"/>
      <c r="AD164" s="186"/>
      <c r="AE164" s="186"/>
      <c r="AF164" s="186"/>
      <c r="AG164" s="186"/>
      <c r="AH164" s="186"/>
      <c r="AI164" s="186"/>
      <c r="AJ164" s="186"/>
      <c r="AK164" s="186"/>
      <c r="AL164" s="186"/>
      <c r="AM164" s="186"/>
      <c r="AN164" s="186"/>
      <c r="AO164" s="186"/>
      <c r="AP164" s="186"/>
      <c r="AQ164" s="186"/>
      <c r="AR164" s="186"/>
      <c r="AS164" s="186"/>
      <c r="AT164" s="186"/>
      <c r="AU164" s="186"/>
      <c r="AV164" s="186"/>
    </row>
    <row r="165" spans="1:48" x14ac:dyDescent="0.2">
      <c r="A165" s="186"/>
      <c r="U165" s="186"/>
      <c r="V165" s="186"/>
      <c r="W165" s="186"/>
      <c r="X165" s="186"/>
      <c r="Y165" s="186"/>
      <c r="Z165" s="186"/>
      <c r="AA165" s="186"/>
      <c r="AB165" s="186"/>
      <c r="AC165" s="186"/>
      <c r="AD165" s="186"/>
      <c r="AE165" s="186"/>
      <c r="AF165" s="186"/>
      <c r="AG165" s="186"/>
      <c r="AH165" s="186"/>
      <c r="AI165" s="186"/>
      <c r="AJ165" s="186"/>
      <c r="AK165" s="186"/>
      <c r="AL165" s="186"/>
      <c r="AM165" s="186"/>
      <c r="AN165" s="186"/>
      <c r="AO165" s="186"/>
      <c r="AP165" s="186"/>
      <c r="AQ165" s="186"/>
      <c r="AR165" s="186"/>
      <c r="AS165" s="186"/>
      <c r="AT165" s="186"/>
      <c r="AU165" s="186"/>
      <c r="AV165" s="186"/>
    </row>
    <row r="166" spans="1:48" x14ac:dyDescent="0.2">
      <c r="A166" s="186"/>
      <c r="U166" s="186"/>
      <c r="V166" s="186"/>
      <c r="W166" s="186"/>
      <c r="X166" s="186"/>
      <c r="Y166" s="186"/>
      <c r="Z166" s="186"/>
      <c r="AA166" s="186"/>
      <c r="AB166" s="186"/>
      <c r="AC166" s="186"/>
      <c r="AD166" s="186"/>
      <c r="AE166" s="186"/>
      <c r="AF166" s="186"/>
      <c r="AG166" s="186"/>
      <c r="AH166" s="186"/>
      <c r="AI166" s="186"/>
      <c r="AJ166" s="186"/>
      <c r="AK166" s="186"/>
      <c r="AL166" s="186"/>
      <c r="AM166" s="186"/>
      <c r="AN166" s="186"/>
      <c r="AO166" s="186"/>
      <c r="AP166" s="186"/>
      <c r="AQ166" s="186"/>
      <c r="AR166" s="186"/>
      <c r="AS166" s="186"/>
      <c r="AT166" s="186"/>
      <c r="AU166" s="186"/>
      <c r="AV166" s="186"/>
    </row>
    <row r="167" spans="1:48" x14ac:dyDescent="0.2">
      <c r="A167" s="186"/>
      <c r="U167" s="186"/>
      <c r="V167" s="186"/>
      <c r="W167" s="186"/>
      <c r="X167" s="186"/>
      <c r="Y167" s="186"/>
      <c r="Z167" s="186"/>
      <c r="AA167" s="186"/>
      <c r="AB167" s="186"/>
      <c r="AC167" s="186"/>
      <c r="AD167" s="186"/>
      <c r="AE167" s="186"/>
      <c r="AF167" s="186"/>
      <c r="AG167" s="186"/>
      <c r="AH167" s="186"/>
      <c r="AI167" s="186"/>
      <c r="AJ167" s="186"/>
      <c r="AK167" s="186"/>
      <c r="AL167" s="186"/>
      <c r="AM167" s="186"/>
      <c r="AN167" s="186"/>
      <c r="AO167" s="186"/>
      <c r="AP167" s="186"/>
      <c r="AQ167" s="186"/>
      <c r="AR167" s="186"/>
      <c r="AS167" s="186"/>
      <c r="AT167" s="186"/>
      <c r="AU167" s="186"/>
      <c r="AV167" s="186"/>
    </row>
    <row r="168" spans="1:48" x14ac:dyDescent="0.2">
      <c r="A168" s="186"/>
      <c r="U168" s="186"/>
      <c r="V168" s="186"/>
      <c r="W168" s="186"/>
      <c r="X168" s="186"/>
      <c r="Y168" s="186"/>
      <c r="Z168" s="186"/>
      <c r="AA168" s="186"/>
      <c r="AB168" s="186"/>
      <c r="AC168" s="186"/>
      <c r="AD168" s="186"/>
      <c r="AE168" s="186"/>
      <c r="AF168" s="186"/>
      <c r="AG168" s="186"/>
      <c r="AH168" s="186"/>
      <c r="AI168" s="186"/>
      <c r="AJ168" s="186"/>
      <c r="AK168" s="186"/>
      <c r="AL168" s="186"/>
      <c r="AM168" s="186"/>
      <c r="AN168" s="186"/>
      <c r="AO168" s="186"/>
      <c r="AP168" s="186"/>
      <c r="AQ168" s="186"/>
      <c r="AR168" s="186"/>
      <c r="AS168" s="186"/>
      <c r="AT168" s="186"/>
      <c r="AU168" s="186"/>
      <c r="AV168" s="186"/>
    </row>
    <row r="169" spans="1:48" x14ac:dyDescent="0.2">
      <c r="A169" s="186"/>
      <c r="U169" s="186"/>
      <c r="V169" s="186"/>
      <c r="W169" s="186"/>
      <c r="X169" s="186"/>
      <c r="Y169" s="186"/>
      <c r="Z169" s="186"/>
      <c r="AA169" s="186"/>
      <c r="AB169" s="186"/>
      <c r="AC169" s="186"/>
      <c r="AD169" s="186"/>
      <c r="AE169" s="186"/>
      <c r="AF169" s="186"/>
      <c r="AG169" s="186"/>
      <c r="AH169" s="186"/>
      <c r="AI169" s="186"/>
      <c r="AJ169" s="186"/>
      <c r="AK169" s="186"/>
      <c r="AL169" s="186"/>
      <c r="AM169" s="186"/>
      <c r="AN169" s="186"/>
      <c r="AO169" s="186"/>
      <c r="AP169" s="186"/>
      <c r="AQ169" s="186"/>
      <c r="AR169" s="186"/>
      <c r="AS169" s="186"/>
      <c r="AT169" s="186"/>
      <c r="AU169" s="186"/>
      <c r="AV169" s="186"/>
    </row>
    <row r="170" spans="1:48" x14ac:dyDescent="0.2">
      <c r="A170" s="186"/>
      <c r="U170" s="186"/>
      <c r="V170" s="186"/>
      <c r="W170" s="186"/>
      <c r="X170" s="186"/>
      <c r="Y170" s="186"/>
      <c r="Z170" s="186"/>
      <c r="AA170" s="186"/>
      <c r="AB170" s="186"/>
      <c r="AC170" s="186"/>
      <c r="AD170" s="186"/>
      <c r="AE170" s="186"/>
      <c r="AF170" s="186"/>
      <c r="AG170" s="186"/>
      <c r="AH170" s="186"/>
      <c r="AI170" s="186"/>
      <c r="AJ170" s="186"/>
      <c r="AK170" s="186"/>
      <c r="AL170" s="186"/>
      <c r="AM170" s="186"/>
      <c r="AN170" s="186"/>
      <c r="AO170" s="186"/>
      <c r="AP170" s="186"/>
      <c r="AQ170" s="186"/>
      <c r="AR170" s="186"/>
      <c r="AS170" s="186"/>
      <c r="AT170" s="186"/>
      <c r="AU170" s="186"/>
      <c r="AV170" s="186"/>
    </row>
    <row r="171" spans="1:48" x14ac:dyDescent="0.2">
      <c r="A171" s="186"/>
      <c r="U171" s="186"/>
      <c r="V171" s="186"/>
      <c r="W171" s="186"/>
      <c r="X171" s="186"/>
      <c r="Y171" s="186"/>
      <c r="Z171" s="186"/>
      <c r="AA171" s="186"/>
      <c r="AB171" s="186"/>
      <c r="AC171" s="186"/>
      <c r="AD171" s="186"/>
      <c r="AE171" s="186"/>
      <c r="AF171" s="186"/>
      <c r="AG171" s="186"/>
      <c r="AH171" s="186"/>
      <c r="AI171" s="186"/>
      <c r="AJ171" s="186"/>
      <c r="AK171" s="186"/>
      <c r="AL171" s="186"/>
      <c r="AM171" s="186"/>
      <c r="AN171" s="186"/>
      <c r="AO171" s="186"/>
      <c r="AP171" s="186"/>
      <c r="AQ171" s="186"/>
      <c r="AR171" s="186"/>
      <c r="AS171" s="186"/>
      <c r="AT171" s="186"/>
      <c r="AU171" s="186"/>
      <c r="AV171" s="186"/>
    </row>
    <row r="172" spans="1:48" x14ac:dyDescent="0.2">
      <c r="A172" s="186"/>
      <c r="U172" s="186"/>
      <c r="V172" s="186"/>
      <c r="W172" s="186"/>
      <c r="X172" s="186"/>
      <c r="Y172" s="186"/>
      <c r="Z172" s="186"/>
      <c r="AA172" s="186"/>
      <c r="AB172" s="186"/>
      <c r="AC172" s="186"/>
      <c r="AD172" s="186"/>
      <c r="AE172" s="186"/>
      <c r="AF172" s="186"/>
      <c r="AG172" s="186"/>
      <c r="AH172" s="186"/>
      <c r="AI172" s="186"/>
      <c r="AJ172" s="186"/>
      <c r="AK172" s="186"/>
      <c r="AL172" s="186"/>
      <c r="AM172" s="186"/>
      <c r="AN172" s="186"/>
      <c r="AO172" s="186"/>
      <c r="AP172" s="186"/>
      <c r="AQ172" s="186"/>
      <c r="AR172" s="186"/>
      <c r="AS172" s="186"/>
      <c r="AT172" s="186"/>
      <c r="AU172" s="186"/>
      <c r="AV172" s="186"/>
    </row>
    <row r="173" spans="1:48" x14ac:dyDescent="0.2">
      <c r="A173" s="186"/>
      <c r="U173" s="186"/>
      <c r="V173" s="186"/>
      <c r="W173" s="186"/>
      <c r="X173" s="186"/>
      <c r="Y173" s="186"/>
      <c r="Z173" s="186"/>
      <c r="AA173" s="186"/>
      <c r="AB173" s="186"/>
      <c r="AC173" s="186"/>
      <c r="AD173" s="186"/>
      <c r="AE173" s="186"/>
      <c r="AF173" s="186"/>
      <c r="AG173" s="186"/>
      <c r="AH173" s="186"/>
      <c r="AI173" s="186"/>
      <c r="AJ173" s="186"/>
      <c r="AK173" s="186"/>
      <c r="AL173" s="186"/>
      <c r="AM173" s="186"/>
      <c r="AN173" s="186"/>
      <c r="AO173" s="186"/>
      <c r="AP173" s="186"/>
      <c r="AQ173" s="186"/>
      <c r="AR173" s="186"/>
      <c r="AS173" s="186"/>
      <c r="AT173" s="186"/>
      <c r="AU173" s="186"/>
      <c r="AV173" s="186"/>
    </row>
    <row r="174" spans="1:48" x14ac:dyDescent="0.2">
      <c r="A174" s="186"/>
      <c r="U174" s="186"/>
      <c r="V174" s="186"/>
      <c r="W174" s="186"/>
      <c r="X174" s="186"/>
      <c r="Y174" s="186"/>
      <c r="Z174" s="186"/>
      <c r="AA174" s="186"/>
      <c r="AB174" s="186"/>
      <c r="AC174" s="186"/>
      <c r="AD174" s="186"/>
      <c r="AE174" s="186"/>
      <c r="AF174" s="186"/>
      <c r="AG174" s="186"/>
      <c r="AH174" s="186"/>
      <c r="AI174" s="186"/>
      <c r="AJ174" s="186"/>
      <c r="AK174" s="186"/>
      <c r="AL174" s="186"/>
      <c r="AM174" s="186"/>
      <c r="AN174" s="186"/>
      <c r="AO174" s="186"/>
      <c r="AP174" s="186"/>
      <c r="AQ174" s="186"/>
      <c r="AR174" s="186"/>
      <c r="AS174" s="186"/>
      <c r="AT174" s="186"/>
      <c r="AU174" s="186"/>
      <c r="AV174" s="186"/>
    </row>
    <row r="175" spans="1:48" x14ac:dyDescent="0.2">
      <c r="A175" s="186"/>
      <c r="U175" s="186"/>
      <c r="V175" s="186"/>
      <c r="W175" s="186"/>
      <c r="X175" s="186"/>
      <c r="Y175" s="186"/>
      <c r="Z175" s="186"/>
      <c r="AA175" s="186"/>
      <c r="AB175" s="186"/>
      <c r="AC175" s="186"/>
      <c r="AD175" s="186"/>
      <c r="AE175" s="186"/>
      <c r="AF175" s="186"/>
      <c r="AG175" s="186"/>
      <c r="AH175" s="186"/>
      <c r="AI175" s="186"/>
      <c r="AJ175" s="186"/>
      <c r="AK175" s="186"/>
      <c r="AL175" s="186"/>
      <c r="AM175" s="186"/>
      <c r="AN175" s="186"/>
      <c r="AO175" s="186"/>
      <c r="AP175" s="186"/>
      <c r="AQ175" s="186"/>
      <c r="AR175" s="186"/>
      <c r="AS175" s="186"/>
      <c r="AT175" s="186"/>
      <c r="AU175" s="186"/>
      <c r="AV175" s="186"/>
    </row>
    <row r="176" spans="1:48" x14ac:dyDescent="0.2">
      <c r="A176" s="186"/>
      <c r="U176" s="186"/>
      <c r="V176" s="186"/>
      <c r="W176" s="186"/>
      <c r="X176" s="186"/>
      <c r="Y176" s="186"/>
      <c r="Z176" s="186"/>
      <c r="AA176" s="186"/>
      <c r="AB176" s="186"/>
      <c r="AC176" s="186"/>
      <c r="AD176" s="186"/>
      <c r="AE176" s="186"/>
      <c r="AF176" s="186"/>
      <c r="AG176" s="186"/>
      <c r="AH176" s="186"/>
      <c r="AI176" s="186"/>
      <c r="AJ176" s="186"/>
      <c r="AK176" s="186"/>
      <c r="AL176" s="186"/>
      <c r="AM176" s="186"/>
      <c r="AN176" s="186"/>
      <c r="AO176" s="186"/>
      <c r="AP176" s="186"/>
      <c r="AQ176" s="186"/>
      <c r="AR176" s="186"/>
      <c r="AS176" s="186"/>
      <c r="AT176" s="186"/>
      <c r="AU176" s="186"/>
      <c r="AV176" s="186"/>
    </row>
    <row r="177" spans="1:48" x14ac:dyDescent="0.2">
      <c r="A177" s="186"/>
      <c r="U177" s="186"/>
      <c r="V177" s="186"/>
      <c r="W177" s="186"/>
      <c r="X177" s="186"/>
      <c r="Y177" s="186"/>
      <c r="Z177" s="186"/>
      <c r="AA177" s="186"/>
      <c r="AB177" s="186"/>
      <c r="AC177" s="186"/>
      <c r="AD177" s="186"/>
      <c r="AE177" s="186"/>
      <c r="AF177" s="186"/>
      <c r="AG177" s="186"/>
      <c r="AH177" s="186"/>
      <c r="AI177" s="186"/>
      <c r="AJ177" s="186"/>
      <c r="AK177" s="186"/>
      <c r="AL177" s="186"/>
      <c r="AM177" s="186"/>
      <c r="AN177" s="186"/>
      <c r="AO177" s="186"/>
      <c r="AP177" s="186"/>
      <c r="AQ177" s="186"/>
      <c r="AR177" s="186"/>
      <c r="AS177" s="186"/>
      <c r="AT177" s="186"/>
      <c r="AU177" s="186"/>
      <c r="AV177" s="186"/>
    </row>
    <row r="178" spans="1:48" x14ac:dyDescent="0.2">
      <c r="A178" s="186"/>
      <c r="U178" s="186"/>
      <c r="V178" s="186"/>
      <c r="W178" s="186"/>
      <c r="X178" s="186"/>
      <c r="Y178" s="186"/>
      <c r="Z178" s="186"/>
      <c r="AA178" s="186"/>
      <c r="AB178" s="186"/>
      <c r="AC178" s="186"/>
      <c r="AD178" s="186"/>
      <c r="AE178" s="186"/>
      <c r="AF178" s="186"/>
      <c r="AG178" s="186"/>
      <c r="AH178" s="186"/>
      <c r="AI178" s="186"/>
      <c r="AJ178" s="186"/>
      <c r="AK178" s="186"/>
      <c r="AL178" s="186"/>
      <c r="AM178" s="186"/>
      <c r="AN178" s="186"/>
      <c r="AO178" s="186"/>
      <c r="AP178" s="186"/>
      <c r="AQ178" s="186"/>
      <c r="AR178" s="186"/>
      <c r="AS178" s="186"/>
      <c r="AT178" s="186"/>
      <c r="AU178" s="186"/>
      <c r="AV178" s="186"/>
    </row>
    <row r="179" spans="1:48" x14ac:dyDescent="0.2">
      <c r="A179" s="186"/>
      <c r="U179" s="186"/>
      <c r="V179" s="186"/>
      <c r="W179" s="186"/>
      <c r="X179" s="186"/>
      <c r="Y179" s="186"/>
      <c r="Z179" s="186"/>
      <c r="AA179" s="186"/>
      <c r="AB179" s="186"/>
      <c r="AC179" s="186"/>
      <c r="AD179" s="186"/>
      <c r="AE179" s="186"/>
      <c r="AF179" s="186"/>
      <c r="AG179" s="186"/>
      <c r="AH179" s="186"/>
      <c r="AI179" s="186"/>
      <c r="AJ179" s="186"/>
      <c r="AK179" s="186"/>
      <c r="AL179" s="186"/>
      <c r="AM179" s="186"/>
      <c r="AN179" s="186"/>
      <c r="AO179" s="186"/>
      <c r="AP179" s="186"/>
      <c r="AQ179" s="186"/>
      <c r="AR179" s="186"/>
      <c r="AS179" s="186"/>
      <c r="AT179" s="186"/>
      <c r="AU179" s="186"/>
      <c r="AV179" s="186"/>
    </row>
    <row r="180" spans="1:48" x14ac:dyDescent="0.2">
      <c r="A180" s="186"/>
      <c r="U180" s="186"/>
      <c r="V180" s="186"/>
      <c r="W180" s="186"/>
      <c r="X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row>
    <row r="181" spans="1:48" x14ac:dyDescent="0.2">
      <c r="A181" s="186"/>
      <c r="U181" s="186"/>
      <c r="V181" s="186"/>
      <c r="W181" s="186"/>
      <c r="X181" s="186"/>
      <c r="Y181" s="186"/>
      <c r="Z181" s="186"/>
      <c r="AA181" s="186"/>
      <c r="AB181" s="186"/>
      <c r="AC181" s="186"/>
      <c r="AD181" s="186"/>
      <c r="AE181" s="186"/>
      <c r="AF181" s="186"/>
      <c r="AG181" s="186"/>
      <c r="AH181" s="186"/>
      <c r="AI181" s="186"/>
      <c r="AJ181" s="186"/>
      <c r="AK181" s="186"/>
      <c r="AL181" s="186"/>
      <c r="AM181" s="186"/>
      <c r="AN181" s="186"/>
      <c r="AO181" s="186"/>
      <c r="AP181" s="186"/>
      <c r="AQ181" s="186"/>
      <c r="AR181" s="186"/>
      <c r="AS181" s="186"/>
      <c r="AT181" s="186"/>
      <c r="AU181" s="186"/>
      <c r="AV181" s="186"/>
    </row>
    <row r="182" spans="1:48" x14ac:dyDescent="0.2">
      <c r="A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row>
    <row r="183" spans="1:48" x14ac:dyDescent="0.2">
      <c r="A183" s="186"/>
      <c r="U183" s="186"/>
      <c r="V183" s="186"/>
      <c r="W183" s="186"/>
      <c r="X183" s="186"/>
      <c r="Y183" s="186"/>
      <c r="Z183" s="186"/>
      <c r="AA183" s="186"/>
      <c r="AB183" s="186"/>
      <c r="AC183" s="186"/>
      <c r="AD183" s="186"/>
      <c r="AE183" s="186"/>
      <c r="AF183" s="186"/>
      <c r="AG183" s="186"/>
      <c r="AH183" s="186"/>
      <c r="AI183" s="186"/>
      <c r="AJ183" s="186"/>
      <c r="AK183" s="186"/>
      <c r="AL183" s="186"/>
      <c r="AM183" s="186"/>
      <c r="AN183" s="186"/>
      <c r="AO183" s="186"/>
      <c r="AP183" s="186"/>
      <c r="AQ183" s="186"/>
      <c r="AR183" s="186"/>
      <c r="AS183" s="186"/>
      <c r="AT183" s="186"/>
      <c r="AU183" s="186"/>
      <c r="AV183" s="186"/>
    </row>
    <row r="184" spans="1:48" x14ac:dyDescent="0.2">
      <c r="A184" s="186"/>
      <c r="U184" s="186"/>
      <c r="V184" s="186"/>
      <c r="W184" s="186"/>
      <c r="X184" s="186"/>
      <c r="Y184" s="186"/>
      <c r="Z184" s="186"/>
      <c r="AA184" s="186"/>
      <c r="AB184" s="186"/>
      <c r="AC184" s="186"/>
      <c r="AD184" s="186"/>
      <c r="AE184" s="186"/>
      <c r="AF184" s="186"/>
      <c r="AG184" s="186"/>
      <c r="AH184" s="186"/>
      <c r="AI184" s="186"/>
      <c r="AJ184" s="186"/>
      <c r="AK184" s="186"/>
      <c r="AL184" s="186"/>
      <c r="AM184" s="186"/>
      <c r="AN184" s="186"/>
      <c r="AO184" s="186"/>
      <c r="AP184" s="186"/>
      <c r="AQ184" s="186"/>
      <c r="AR184" s="186"/>
      <c r="AS184" s="186"/>
      <c r="AT184" s="186"/>
      <c r="AU184" s="186"/>
      <c r="AV184" s="186"/>
    </row>
    <row r="185" spans="1:48" x14ac:dyDescent="0.2">
      <c r="A185" s="186"/>
      <c r="U185" s="186"/>
      <c r="V185" s="186"/>
      <c r="W185" s="186"/>
      <c r="X185" s="186"/>
      <c r="Y185" s="186"/>
      <c r="Z185" s="186"/>
      <c r="AA185" s="186"/>
      <c r="AB185" s="186"/>
      <c r="AC185" s="186"/>
      <c r="AD185" s="186"/>
      <c r="AE185" s="186"/>
      <c r="AF185" s="186"/>
      <c r="AG185" s="186"/>
      <c r="AH185" s="186"/>
      <c r="AI185" s="186"/>
      <c r="AJ185" s="186"/>
      <c r="AK185" s="186"/>
      <c r="AL185" s="186"/>
      <c r="AM185" s="186"/>
      <c r="AN185" s="186"/>
      <c r="AO185" s="186"/>
      <c r="AP185" s="186"/>
      <c r="AQ185" s="186"/>
      <c r="AR185" s="186"/>
      <c r="AS185" s="186"/>
      <c r="AT185" s="186"/>
      <c r="AU185" s="186"/>
      <c r="AV185" s="186"/>
    </row>
    <row r="186" spans="1:48" x14ac:dyDescent="0.2">
      <c r="A186" s="186"/>
      <c r="U186" s="186"/>
      <c r="V186" s="186"/>
      <c r="W186" s="186"/>
      <c r="X186" s="186"/>
      <c r="Y186" s="186"/>
      <c r="Z186" s="186"/>
      <c r="AA186" s="186"/>
      <c r="AB186" s="186"/>
      <c r="AC186" s="186"/>
      <c r="AD186" s="186"/>
      <c r="AE186" s="186"/>
      <c r="AF186" s="186"/>
      <c r="AG186" s="186"/>
      <c r="AH186" s="186"/>
      <c r="AI186" s="186"/>
      <c r="AJ186" s="186"/>
      <c r="AK186" s="186"/>
      <c r="AL186" s="186"/>
      <c r="AM186" s="186"/>
      <c r="AN186" s="186"/>
      <c r="AO186" s="186"/>
      <c r="AP186" s="186"/>
      <c r="AQ186" s="186"/>
      <c r="AR186" s="186"/>
      <c r="AS186" s="186"/>
      <c r="AT186" s="186"/>
      <c r="AU186" s="186"/>
      <c r="AV186" s="186"/>
    </row>
    <row r="187" spans="1:48" x14ac:dyDescent="0.2">
      <c r="A187" s="186"/>
      <c r="U187" s="186"/>
      <c r="V187" s="186"/>
      <c r="W187" s="186"/>
      <c r="X187" s="186"/>
      <c r="Y187" s="186"/>
      <c r="Z187" s="186"/>
      <c r="AA187" s="186"/>
      <c r="AB187" s="186"/>
      <c r="AC187" s="186"/>
      <c r="AD187" s="186"/>
      <c r="AE187" s="186"/>
      <c r="AF187" s="186"/>
      <c r="AG187" s="186"/>
      <c r="AH187" s="186"/>
      <c r="AI187" s="186"/>
      <c r="AJ187" s="186"/>
      <c r="AK187" s="186"/>
      <c r="AL187" s="186"/>
      <c r="AM187" s="186"/>
      <c r="AN187" s="186"/>
      <c r="AO187" s="186"/>
      <c r="AP187" s="186"/>
      <c r="AQ187" s="186"/>
      <c r="AR187" s="186"/>
      <c r="AS187" s="186"/>
      <c r="AT187" s="186"/>
      <c r="AU187" s="186"/>
      <c r="AV187" s="186"/>
    </row>
    <row r="188" spans="1:48" x14ac:dyDescent="0.2">
      <c r="A188" s="186"/>
      <c r="U188" s="186"/>
      <c r="V188" s="186"/>
      <c r="W188" s="186"/>
      <c r="X188" s="186"/>
      <c r="Y188" s="186"/>
      <c r="Z188" s="186"/>
      <c r="AA188" s="186"/>
      <c r="AB188" s="186"/>
      <c r="AC188" s="186"/>
      <c r="AD188" s="186"/>
      <c r="AE188" s="186"/>
      <c r="AF188" s="186"/>
      <c r="AG188" s="186"/>
      <c r="AH188" s="186"/>
      <c r="AI188" s="186"/>
      <c r="AJ188" s="186"/>
      <c r="AK188" s="186"/>
      <c r="AL188" s="186"/>
      <c r="AM188" s="186"/>
      <c r="AN188" s="186"/>
      <c r="AO188" s="186"/>
      <c r="AP188" s="186"/>
      <c r="AQ188" s="186"/>
      <c r="AR188" s="186"/>
      <c r="AS188" s="186"/>
      <c r="AT188" s="186"/>
      <c r="AU188" s="186"/>
      <c r="AV188" s="186"/>
    </row>
    <row r="189" spans="1:48" x14ac:dyDescent="0.2">
      <c r="A189" s="186"/>
      <c r="U189" s="186"/>
      <c r="V189" s="186"/>
      <c r="W189" s="186"/>
      <c r="X189" s="186"/>
      <c r="Y189" s="186"/>
      <c r="Z189" s="186"/>
      <c r="AA189" s="186"/>
      <c r="AB189" s="186"/>
      <c r="AC189" s="186"/>
      <c r="AD189" s="186"/>
      <c r="AE189" s="186"/>
      <c r="AF189" s="186"/>
      <c r="AG189" s="186"/>
      <c r="AH189" s="186"/>
      <c r="AI189" s="186"/>
      <c r="AJ189" s="186"/>
      <c r="AK189" s="186"/>
      <c r="AL189" s="186"/>
      <c r="AM189" s="186"/>
      <c r="AN189" s="186"/>
      <c r="AO189" s="186"/>
      <c r="AP189" s="186"/>
      <c r="AQ189" s="186"/>
      <c r="AR189" s="186"/>
      <c r="AS189" s="186"/>
      <c r="AT189" s="186"/>
      <c r="AU189" s="186"/>
      <c r="AV189" s="186"/>
    </row>
    <row r="190" spans="1:48" x14ac:dyDescent="0.2">
      <c r="A190" s="186"/>
      <c r="U190" s="186"/>
      <c r="V190" s="186"/>
      <c r="W190" s="186"/>
      <c r="X190" s="186"/>
      <c r="Y190" s="186"/>
      <c r="Z190" s="186"/>
      <c r="AA190" s="186"/>
      <c r="AB190" s="186"/>
      <c r="AC190" s="186"/>
      <c r="AD190" s="186"/>
      <c r="AE190" s="186"/>
      <c r="AF190" s="186"/>
      <c r="AG190" s="186"/>
      <c r="AH190" s="186"/>
      <c r="AI190" s="186"/>
      <c r="AJ190" s="186"/>
      <c r="AK190" s="186"/>
      <c r="AL190" s="186"/>
      <c r="AM190" s="186"/>
      <c r="AN190" s="186"/>
      <c r="AO190" s="186"/>
      <c r="AP190" s="186"/>
      <c r="AQ190" s="186"/>
      <c r="AR190" s="186"/>
      <c r="AS190" s="186"/>
      <c r="AT190" s="186"/>
      <c r="AU190" s="186"/>
      <c r="AV190" s="186"/>
    </row>
    <row r="191" spans="1:48" x14ac:dyDescent="0.2">
      <c r="A191" s="186"/>
      <c r="U191" s="186"/>
      <c r="V191" s="186"/>
      <c r="W191" s="186"/>
      <c r="X191" s="186"/>
      <c r="Y191" s="186"/>
      <c r="Z191" s="186"/>
      <c r="AA191" s="186"/>
      <c r="AB191" s="186"/>
      <c r="AC191" s="186"/>
      <c r="AD191" s="186"/>
      <c r="AE191" s="186"/>
      <c r="AF191" s="186"/>
      <c r="AG191" s="186"/>
      <c r="AH191" s="186"/>
      <c r="AI191" s="186"/>
      <c r="AJ191" s="186"/>
      <c r="AK191" s="186"/>
      <c r="AL191" s="186"/>
      <c r="AM191" s="186"/>
      <c r="AN191" s="186"/>
      <c r="AO191" s="186"/>
      <c r="AP191" s="186"/>
      <c r="AQ191" s="186"/>
      <c r="AR191" s="186"/>
      <c r="AS191" s="186"/>
      <c r="AT191" s="186"/>
      <c r="AU191" s="186"/>
      <c r="AV191" s="186"/>
    </row>
    <row r="192" spans="1:48" x14ac:dyDescent="0.2">
      <c r="A192" s="186"/>
      <c r="U192" s="186"/>
      <c r="V192" s="186"/>
      <c r="W192" s="186"/>
      <c r="X192" s="186"/>
      <c r="Y192" s="186"/>
      <c r="Z192" s="186"/>
      <c r="AA192" s="186"/>
      <c r="AB192" s="186"/>
      <c r="AC192" s="186"/>
      <c r="AD192" s="186"/>
      <c r="AE192" s="186"/>
      <c r="AF192" s="186"/>
      <c r="AG192" s="186"/>
      <c r="AH192" s="186"/>
      <c r="AI192" s="186"/>
      <c r="AJ192" s="186"/>
      <c r="AK192" s="186"/>
      <c r="AL192" s="186"/>
      <c r="AM192" s="186"/>
      <c r="AN192" s="186"/>
      <c r="AO192" s="186"/>
      <c r="AP192" s="186"/>
      <c r="AQ192" s="186"/>
      <c r="AR192" s="186"/>
      <c r="AS192" s="186"/>
      <c r="AT192" s="186"/>
      <c r="AU192" s="186"/>
      <c r="AV192" s="186"/>
    </row>
    <row r="193" spans="1:48" x14ac:dyDescent="0.2">
      <c r="A193" s="186"/>
      <c r="U193" s="186"/>
      <c r="V193" s="186"/>
      <c r="W193" s="186"/>
      <c r="X193" s="186"/>
      <c r="Y193" s="186"/>
      <c r="Z193" s="186"/>
      <c r="AA193" s="186"/>
      <c r="AB193" s="186"/>
      <c r="AC193" s="186"/>
      <c r="AD193" s="186"/>
      <c r="AE193" s="186"/>
      <c r="AF193" s="186"/>
      <c r="AG193" s="186"/>
      <c r="AH193" s="186"/>
      <c r="AI193" s="186"/>
      <c r="AJ193" s="186"/>
      <c r="AK193" s="186"/>
      <c r="AL193" s="186"/>
      <c r="AM193" s="186"/>
      <c r="AN193" s="186"/>
      <c r="AO193" s="186"/>
      <c r="AP193" s="186"/>
      <c r="AQ193" s="186"/>
      <c r="AR193" s="186"/>
      <c r="AS193" s="186"/>
      <c r="AT193" s="186"/>
      <c r="AU193" s="186"/>
      <c r="AV193" s="186"/>
    </row>
    <row r="194" spans="1:48" x14ac:dyDescent="0.2">
      <c r="A194" s="186"/>
      <c r="U194" s="186"/>
      <c r="V194" s="186"/>
      <c r="W194" s="186"/>
      <c r="X194" s="186"/>
      <c r="Y194" s="186"/>
      <c r="Z194" s="186"/>
      <c r="AA194" s="186"/>
      <c r="AB194" s="186"/>
      <c r="AC194" s="186"/>
      <c r="AD194" s="186"/>
      <c r="AE194" s="186"/>
      <c r="AF194" s="186"/>
      <c r="AG194" s="186"/>
      <c r="AH194" s="186"/>
      <c r="AI194" s="186"/>
      <c r="AJ194" s="186"/>
      <c r="AK194" s="186"/>
      <c r="AL194" s="186"/>
      <c r="AM194" s="186"/>
      <c r="AN194" s="186"/>
      <c r="AO194" s="186"/>
      <c r="AP194" s="186"/>
      <c r="AQ194" s="186"/>
      <c r="AR194" s="186"/>
      <c r="AS194" s="186"/>
      <c r="AT194" s="186"/>
      <c r="AU194" s="186"/>
      <c r="AV194" s="186"/>
    </row>
    <row r="195" spans="1:48" x14ac:dyDescent="0.2">
      <c r="A195" s="186"/>
      <c r="U195" s="186"/>
      <c r="V195" s="186"/>
      <c r="W195" s="186"/>
      <c r="X195" s="186"/>
      <c r="Y195" s="186"/>
      <c r="Z195" s="186"/>
      <c r="AA195" s="186"/>
      <c r="AB195" s="186"/>
      <c r="AC195" s="186"/>
      <c r="AD195" s="186"/>
      <c r="AE195" s="186"/>
      <c r="AF195" s="186"/>
      <c r="AG195" s="186"/>
      <c r="AH195" s="186"/>
      <c r="AI195" s="186"/>
      <c r="AJ195" s="186"/>
      <c r="AK195" s="186"/>
      <c r="AL195" s="186"/>
      <c r="AM195" s="186"/>
      <c r="AN195" s="186"/>
      <c r="AO195" s="186"/>
      <c r="AP195" s="186"/>
      <c r="AQ195" s="186"/>
      <c r="AR195" s="186"/>
      <c r="AS195" s="186"/>
      <c r="AT195" s="186"/>
      <c r="AU195" s="186"/>
      <c r="AV195" s="186"/>
    </row>
    <row r="196" spans="1:48" x14ac:dyDescent="0.2">
      <c r="A196" s="186"/>
      <c r="U196" s="186"/>
      <c r="V196" s="186"/>
      <c r="W196" s="186"/>
      <c r="X196" s="186"/>
      <c r="Y196" s="186"/>
      <c r="Z196" s="186"/>
      <c r="AA196" s="186"/>
      <c r="AB196" s="186"/>
      <c r="AC196" s="186"/>
      <c r="AD196" s="186"/>
      <c r="AE196" s="186"/>
      <c r="AF196" s="186"/>
      <c r="AG196" s="186"/>
      <c r="AH196" s="186"/>
      <c r="AI196" s="186"/>
      <c r="AJ196" s="186"/>
      <c r="AK196" s="186"/>
      <c r="AL196" s="186"/>
      <c r="AM196" s="186"/>
      <c r="AN196" s="186"/>
      <c r="AO196" s="186"/>
      <c r="AP196" s="186"/>
      <c r="AQ196" s="186"/>
      <c r="AR196" s="186"/>
      <c r="AS196" s="186"/>
      <c r="AT196" s="186"/>
      <c r="AU196" s="186"/>
      <c r="AV196" s="186"/>
    </row>
    <row r="197" spans="1:48" x14ac:dyDescent="0.2">
      <c r="A197" s="186"/>
      <c r="U197" s="186"/>
      <c r="V197" s="186"/>
      <c r="W197" s="186"/>
      <c r="X197" s="186"/>
      <c r="Y197" s="186"/>
      <c r="Z197" s="186"/>
      <c r="AA197" s="186"/>
      <c r="AB197" s="186"/>
      <c r="AC197" s="186"/>
      <c r="AD197" s="186"/>
      <c r="AE197" s="186"/>
      <c r="AF197" s="186"/>
      <c r="AG197" s="186"/>
      <c r="AH197" s="186"/>
      <c r="AI197" s="186"/>
      <c r="AJ197" s="186"/>
      <c r="AK197" s="186"/>
      <c r="AL197" s="186"/>
      <c r="AM197" s="186"/>
      <c r="AN197" s="186"/>
      <c r="AO197" s="186"/>
      <c r="AP197" s="186"/>
      <c r="AQ197" s="186"/>
      <c r="AR197" s="186"/>
      <c r="AS197" s="186"/>
      <c r="AT197" s="186"/>
      <c r="AU197" s="186"/>
      <c r="AV197" s="186"/>
    </row>
    <row r="198" spans="1:48" x14ac:dyDescent="0.2">
      <c r="A198" s="186"/>
      <c r="U198" s="186"/>
      <c r="V198" s="186"/>
      <c r="W198" s="186"/>
      <c r="X198" s="186"/>
      <c r="Y198" s="186"/>
      <c r="Z198" s="186"/>
      <c r="AA198" s="186"/>
      <c r="AB198" s="186"/>
      <c r="AC198" s="186"/>
      <c r="AD198" s="186"/>
      <c r="AE198" s="186"/>
      <c r="AF198" s="186"/>
      <c r="AG198" s="186"/>
      <c r="AH198" s="186"/>
      <c r="AI198" s="186"/>
      <c r="AJ198" s="186"/>
      <c r="AK198" s="186"/>
      <c r="AL198" s="186"/>
      <c r="AM198" s="186"/>
      <c r="AN198" s="186"/>
      <c r="AO198" s="186"/>
      <c r="AP198" s="186"/>
      <c r="AQ198" s="186"/>
      <c r="AR198" s="186"/>
      <c r="AS198" s="186"/>
      <c r="AT198" s="186"/>
      <c r="AU198" s="186"/>
      <c r="AV198" s="186"/>
    </row>
    <row r="199" spans="1:48" x14ac:dyDescent="0.2">
      <c r="A199" s="186"/>
      <c r="U199" s="186"/>
      <c r="V199" s="186"/>
      <c r="W199" s="186"/>
      <c r="X199" s="186"/>
      <c r="Y199" s="186"/>
      <c r="Z199" s="186"/>
      <c r="AA199" s="186"/>
      <c r="AB199" s="186"/>
      <c r="AC199" s="186"/>
      <c r="AD199" s="186"/>
      <c r="AE199" s="186"/>
      <c r="AF199" s="186"/>
      <c r="AG199" s="186"/>
      <c r="AH199" s="186"/>
      <c r="AI199" s="186"/>
      <c r="AJ199" s="186"/>
      <c r="AK199" s="186"/>
      <c r="AL199" s="186"/>
      <c r="AM199" s="186"/>
      <c r="AN199" s="186"/>
      <c r="AO199" s="186"/>
      <c r="AP199" s="186"/>
      <c r="AQ199" s="186"/>
      <c r="AR199" s="186"/>
      <c r="AS199" s="186"/>
      <c r="AT199" s="186"/>
      <c r="AU199" s="186"/>
      <c r="AV199" s="186"/>
    </row>
    <row r="200" spans="1:48" x14ac:dyDescent="0.2">
      <c r="A200" s="186"/>
      <c r="U200" s="186"/>
      <c r="V200" s="186"/>
      <c r="W200" s="186"/>
      <c r="X200" s="186"/>
      <c r="Y200" s="186"/>
      <c r="Z200" s="186"/>
      <c r="AA200" s="186"/>
      <c r="AB200" s="186"/>
      <c r="AC200" s="186"/>
      <c r="AD200" s="186"/>
      <c r="AE200" s="186"/>
      <c r="AF200" s="186"/>
      <c r="AG200" s="186"/>
      <c r="AH200" s="186"/>
      <c r="AI200" s="186"/>
      <c r="AJ200" s="186"/>
      <c r="AK200" s="186"/>
      <c r="AL200" s="186"/>
      <c r="AM200" s="186"/>
      <c r="AN200" s="186"/>
      <c r="AO200" s="186"/>
      <c r="AP200" s="186"/>
      <c r="AQ200" s="186"/>
      <c r="AR200" s="186"/>
      <c r="AS200" s="186"/>
      <c r="AT200" s="186"/>
      <c r="AU200" s="186"/>
      <c r="AV200" s="186"/>
    </row>
    <row r="201" spans="1:48" x14ac:dyDescent="0.2">
      <c r="A201" s="186"/>
      <c r="U201" s="186"/>
      <c r="V201" s="186"/>
      <c r="W201" s="186"/>
      <c r="X201" s="186"/>
      <c r="Y201" s="186"/>
      <c r="Z201" s="186"/>
      <c r="AA201" s="186"/>
      <c r="AB201" s="186"/>
      <c r="AC201" s="186"/>
      <c r="AD201" s="186"/>
      <c r="AE201" s="186"/>
      <c r="AF201" s="186"/>
      <c r="AG201" s="186"/>
      <c r="AH201" s="186"/>
      <c r="AI201" s="186"/>
      <c r="AJ201" s="186"/>
      <c r="AK201" s="186"/>
      <c r="AL201" s="186"/>
      <c r="AM201" s="186"/>
      <c r="AN201" s="186"/>
      <c r="AO201" s="186"/>
      <c r="AP201" s="186"/>
      <c r="AQ201" s="186"/>
      <c r="AR201" s="186"/>
      <c r="AS201" s="186"/>
      <c r="AT201" s="186"/>
      <c r="AU201" s="186"/>
      <c r="AV201" s="186"/>
    </row>
    <row r="202" spans="1:48" x14ac:dyDescent="0.2">
      <c r="A202" s="186"/>
      <c r="U202" s="186"/>
      <c r="V202" s="186"/>
      <c r="W202" s="186"/>
      <c r="X202" s="186"/>
      <c r="Y202" s="186"/>
      <c r="Z202" s="186"/>
      <c r="AA202" s="186"/>
      <c r="AB202" s="186"/>
      <c r="AC202" s="186"/>
      <c r="AD202" s="186"/>
      <c r="AE202" s="186"/>
      <c r="AF202" s="186"/>
      <c r="AG202" s="186"/>
      <c r="AH202" s="186"/>
      <c r="AI202" s="186"/>
      <c r="AJ202" s="186"/>
      <c r="AK202" s="186"/>
      <c r="AL202" s="186"/>
      <c r="AM202" s="186"/>
      <c r="AN202" s="186"/>
      <c r="AO202" s="186"/>
      <c r="AP202" s="186"/>
      <c r="AQ202" s="186"/>
      <c r="AR202" s="186"/>
      <c r="AS202" s="186"/>
      <c r="AT202" s="186"/>
      <c r="AU202" s="186"/>
      <c r="AV202" s="186"/>
    </row>
    <row r="203" spans="1:48" x14ac:dyDescent="0.2">
      <c r="A203" s="186"/>
      <c r="U203" s="186"/>
      <c r="V203" s="186"/>
      <c r="W203" s="186"/>
      <c r="X203" s="186"/>
      <c r="Y203" s="186"/>
      <c r="Z203" s="186"/>
      <c r="AA203" s="186"/>
      <c r="AB203" s="186"/>
      <c r="AC203" s="186"/>
      <c r="AD203" s="186"/>
      <c r="AE203" s="186"/>
      <c r="AF203" s="186"/>
      <c r="AG203" s="186"/>
      <c r="AH203" s="186"/>
      <c r="AI203" s="186"/>
      <c r="AJ203" s="186"/>
      <c r="AK203" s="186"/>
      <c r="AL203" s="186"/>
      <c r="AM203" s="186"/>
      <c r="AN203" s="186"/>
      <c r="AO203" s="186"/>
      <c r="AP203" s="186"/>
      <c r="AQ203" s="186"/>
      <c r="AR203" s="186"/>
      <c r="AS203" s="186"/>
      <c r="AT203" s="186"/>
      <c r="AU203" s="186"/>
      <c r="AV203" s="186"/>
    </row>
    <row r="204" spans="1:48" x14ac:dyDescent="0.2">
      <c r="A204" s="186"/>
      <c r="U204" s="186"/>
      <c r="V204" s="186"/>
      <c r="W204" s="186"/>
      <c r="X204" s="186"/>
      <c r="Y204" s="186"/>
      <c r="Z204" s="186"/>
      <c r="AA204" s="186"/>
      <c r="AB204" s="186"/>
      <c r="AC204" s="186"/>
      <c r="AD204" s="186"/>
      <c r="AE204" s="186"/>
      <c r="AF204" s="186"/>
      <c r="AG204" s="186"/>
      <c r="AH204" s="186"/>
      <c r="AI204" s="186"/>
      <c r="AJ204" s="186"/>
      <c r="AK204" s="186"/>
      <c r="AL204" s="186"/>
      <c r="AM204" s="186"/>
      <c r="AN204" s="186"/>
      <c r="AO204" s="186"/>
      <c r="AP204" s="186"/>
      <c r="AQ204" s="186"/>
      <c r="AR204" s="186"/>
      <c r="AS204" s="186"/>
      <c r="AT204" s="186"/>
      <c r="AU204" s="186"/>
      <c r="AV204" s="186"/>
    </row>
    <row r="205" spans="1:48" x14ac:dyDescent="0.2">
      <c r="A205" s="186"/>
      <c r="U205" s="186"/>
      <c r="V205" s="186"/>
      <c r="W205" s="186"/>
      <c r="X205" s="186"/>
      <c r="Y205" s="186"/>
      <c r="Z205" s="186"/>
      <c r="AA205" s="186"/>
      <c r="AB205" s="186"/>
      <c r="AC205" s="186"/>
      <c r="AD205" s="186"/>
      <c r="AE205" s="186"/>
      <c r="AF205" s="186"/>
      <c r="AG205" s="186"/>
      <c r="AH205" s="186"/>
      <c r="AI205" s="186"/>
      <c r="AJ205" s="186"/>
      <c r="AK205" s="186"/>
      <c r="AL205" s="186"/>
      <c r="AM205" s="186"/>
      <c r="AN205" s="186"/>
      <c r="AO205" s="186"/>
      <c r="AP205" s="186"/>
      <c r="AQ205" s="186"/>
      <c r="AR205" s="186"/>
      <c r="AS205" s="186"/>
      <c r="AT205" s="186"/>
      <c r="AU205" s="186"/>
      <c r="AV205" s="186"/>
    </row>
  </sheetData>
  <sheetProtection algorithmName="SHA-512" hashValue="GEL+kqzyXUPStclkzf5Uv0bYyrOjAIin+lw5angb6EGkVNmiR5cXbjNLrKzvt2a7nqTidzu7M4dCBs/Z1QBxfA==" saltValue="YQvjmV2ycdwyfwWHIYqZxA==" spinCount="100000" sheet="1" selectLockedCells="1"/>
  <mergeCells count="2">
    <mergeCell ref="B2:Q2"/>
    <mergeCell ref="G4:L4"/>
  </mergeCells>
  <conditionalFormatting sqref="G6:L55">
    <cfRule type="expression" dxfId="114" priority="3">
      <formula>OR($E6="", $F6=0)</formula>
    </cfRule>
  </conditionalFormatting>
  <pageMargins left="0.7" right="0.7" top="0.75" bottom="0.75" header="0.3" footer="0.3"/>
  <pageSetup scale="75" fitToWidth="0" fitToHeight="0" orientation="landscape" verticalDpi="4294967293" r:id="rId1"/>
  <drawing r:id="rId2"/>
  <legacyDrawing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18CBB526-3EFF-4080-BC47-5C93FFFF6F7B}">
          <x14:formula1>
            <xm:f>References!$L$103:$L$112</xm:f>
          </x14:formula1>
          <xm:sqref>E4</xm:sqref>
        </x14:dataValidation>
        <x14:dataValidation type="list" allowBlank="1" showInputMessage="1" showErrorMessage="1" xr:uid="{A94CE329-5015-4A10-91AE-DE8F84789BC4}">
          <x14:formula1>
            <xm:f>References!$G$22:$G$24</xm:f>
          </x14:formula1>
          <xm:sqref>E6:E55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09D1F-2B5C-4746-B042-1CFD649BEC0B}">
  <sheetPr>
    <tabColor rgb="FF002D56"/>
  </sheetPr>
  <dimension ref="B2:L26"/>
  <sheetViews>
    <sheetView showGridLines="0" showRowColHeaders="0" workbookViewId="0">
      <selection activeCell="C2" sqref="C2:D2"/>
    </sheetView>
  </sheetViews>
  <sheetFormatPr defaultRowHeight="12.75" x14ac:dyDescent="0.2"/>
  <cols>
    <col min="1" max="1" width="9.140625" style="187"/>
    <col min="2" max="2" width="29.28515625" style="187" customWidth="1"/>
    <col min="3" max="3" width="19.85546875" style="187" customWidth="1"/>
    <col min="4" max="4" width="18.28515625" style="187" customWidth="1"/>
    <col min="5" max="5" width="9.140625" style="187"/>
    <col min="6" max="6" width="29.28515625" style="187" customWidth="1"/>
    <col min="7" max="7" width="19.42578125" style="187" customWidth="1"/>
    <col min="8" max="8" width="20.28515625" style="187" customWidth="1"/>
    <col min="9" max="9" width="9.140625" style="187"/>
    <col min="10" max="10" width="30" style="187" customWidth="1"/>
    <col min="11" max="12" width="19.5703125" style="187" customWidth="1"/>
    <col min="13" max="16384" width="9.140625" style="187"/>
  </cols>
  <sheetData>
    <row r="2" spans="2:12" x14ac:dyDescent="0.2">
      <c r="B2" s="239" t="s">
        <v>116</v>
      </c>
      <c r="C2" s="292"/>
      <c r="D2" s="292"/>
      <c r="F2" s="239" t="s">
        <v>116</v>
      </c>
      <c r="G2" s="292"/>
      <c r="H2" s="292"/>
      <c r="J2" s="239" t="s">
        <v>116</v>
      </c>
      <c r="K2" s="292"/>
      <c r="L2" s="292"/>
    </row>
    <row r="3" spans="2:12" x14ac:dyDescent="0.2">
      <c r="B3" s="239" t="s">
        <v>117</v>
      </c>
      <c r="C3" s="292"/>
      <c r="D3" s="292"/>
      <c r="F3" s="239" t="s">
        <v>117</v>
      </c>
      <c r="G3" s="292"/>
      <c r="H3" s="292"/>
      <c r="J3" s="239" t="s">
        <v>117</v>
      </c>
      <c r="K3" s="292"/>
      <c r="L3" s="292"/>
    </row>
    <row r="4" spans="2:12" ht="25.5" x14ac:dyDescent="0.2">
      <c r="B4" s="240" t="s">
        <v>118</v>
      </c>
      <c r="C4" s="231" t="s">
        <v>119</v>
      </c>
      <c r="D4" s="231" t="s">
        <v>120</v>
      </c>
      <c r="F4" s="240" t="s">
        <v>118</v>
      </c>
      <c r="G4" s="231" t="s">
        <v>119</v>
      </c>
      <c r="H4" s="231" t="s">
        <v>120</v>
      </c>
      <c r="J4" s="240" t="s">
        <v>121</v>
      </c>
      <c r="K4" s="231" t="s">
        <v>119</v>
      </c>
      <c r="L4" s="231" t="s">
        <v>120</v>
      </c>
    </row>
    <row r="5" spans="2:12" x14ac:dyDescent="0.2">
      <c r="B5" s="241" t="s">
        <v>122</v>
      </c>
      <c r="C5" s="242"/>
      <c r="D5" s="243"/>
      <c r="F5" s="241" t="s">
        <v>122</v>
      </c>
      <c r="G5" s="242"/>
      <c r="H5" s="243"/>
      <c r="J5" s="241" t="s">
        <v>122</v>
      </c>
      <c r="K5" s="242"/>
      <c r="L5" s="243"/>
    </row>
    <row r="6" spans="2:12" x14ac:dyDescent="0.2">
      <c r="B6" s="241" t="s">
        <v>123</v>
      </c>
      <c r="C6" s="242"/>
      <c r="D6" s="243"/>
      <c r="F6" s="241" t="s">
        <v>123</v>
      </c>
      <c r="G6" s="242"/>
      <c r="H6" s="243"/>
      <c r="J6" s="241" t="s">
        <v>123</v>
      </c>
      <c r="K6" s="242"/>
      <c r="L6" s="243"/>
    </row>
    <row r="7" spans="2:12" x14ac:dyDescent="0.2">
      <c r="B7" s="241" t="s">
        <v>124</v>
      </c>
      <c r="C7" s="242"/>
      <c r="D7" s="243"/>
      <c r="F7" s="241" t="s">
        <v>124</v>
      </c>
      <c r="G7" s="242"/>
      <c r="H7" s="243"/>
      <c r="J7" s="241" t="s">
        <v>124</v>
      </c>
      <c r="K7" s="242"/>
      <c r="L7" s="243"/>
    </row>
    <row r="8" spans="2:12" x14ac:dyDescent="0.2">
      <c r="B8" s="241" t="s">
        <v>125</v>
      </c>
      <c r="C8" s="242"/>
      <c r="D8" s="243"/>
      <c r="F8" s="241" t="s">
        <v>125</v>
      </c>
      <c r="G8" s="242"/>
      <c r="H8" s="243"/>
      <c r="J8" s="241" t="s">
        <v>125</v>
      </c>
      <c r="K8" s="242"/>
      <c r="L8" s="243"/>
    </row>
    <row r="9" spans="2:12" x14ac:dyDescent="0.2">
      <c r="B9" s="241" t="s">
        <v>126</v>
      </c>
      <c r="C9" s="242"/>
      <c r="D9" s="243"/>
      <c r="F9" s="241" t="s">
        <v>126</v>
      </c>
      <c r="G9" s="242"/>
      <c r="H9" s="243"/>
      <c r="J9" s="241" t="s">
        <v>126</v>
      </c>
      <c r="K9" s="242"/>
      <c r="L9" s="243"/>
    </row>
    <row r="10" spans="2:12" x14ac:dyDescent="0.2">
      <c r="B10" s="241" t="s">
        <v>127</v>
      </c>
      <c r="C10" s="242"/>
      <c r="D10" s="243"/>
      <c r="F10" s="241" t="s">
        <v>127</v>
      </c>
      <c r="G10" s="242"/>
      <c r="H10" s="243"/>
      <c r="J10" s="241" t="s">
        <v>127</v>
      </c>
      <c r="K10" s="242"/>
      <c r="L10" s="243"/>
    </row>
    <row r="11" spans="2:12" x14ac:dyDescent="0.2">
      <c r="B11" s="241" t="s">
        <v>128</v>
      </c>
      <c r="C11" s="242"/>
      <c r="D11" s="243"/>
      <c r="F11" s="241" t="s">
        <v>128</v>
      </c>
      <c r="G11" s="242"/>
      <c r="H11" s="243"/>
      <c r="J11" s="241" t="s">
        <v>128</v>
      </c>
      <c r="K11" s="242"/>
      <c r="L11" s="243"/>
    </row>
    <row r="12" spans="2:12" x14ac:dyDescent="0.2">
      <c r="B12" s="241" t="s">
        <v>129</v>
      </c>
      <c r="C12" s="242"/>
      <c r="D12" s="243"/>
      <c r="F12" s="241" t="s">
        <v>129</v>
      </c>
      <c r="G12" s="242"/>
      <c r="H12" s="243"/>
      <c r="J12" s="241" t="s">
        <v>129</v>
      </c>
      <c r="K12" s="242"/>
      <c r="L12" s="243"/>
    </row>
    <row r="13" spans="2:12" x14ac:dyDescent="0.2">
      <c r="B13" s="241" t="s">
        <v>130</v>
      </c>
      <c r="C13" s="242"/>
      <c r="D13" s="243"/>
      <c r="F13" s="241" t="s">
        <v>130</v>
      </c>
      <c r="G13" s="242"/>
      <c r="H13" s="243"/>
      <c r="J13" s="241" t="s">
        <v>130</v>
      </c>
      <c r="K13" s="242"/>
      <c r="L13" s="243"/>
    </row>
    <row r="15" spans="2:12" x14ac:dyDescent="0.2">
      <c r="B15" s="239" t="s">
        <v>116</v>
      </c>
      <c r="C15" s="292"/>
      <c r="D15" s="292"/>
      <c r="F15" s="239" t="s">
        <v>116</v>
      </c>
      <c r="G15" s="292"/>
      <c r="H15" s="292"/>
      <c r="J15" s="239" t="s">
        <v>116</v>
      </c>
      <c r="K15" s="292"/>
      <c r="L15" s="292"/>
    </row>
    <row r="16" spans="2:12" x14ac:dyDescent="0.2">
      <c r="B16" s="239" t="s">
        <v>117</v>
      </c>
      <c r="C16" s="292"/>
      <c r="D16" s="292"/>
      <c r="F16" s="239" t="s">
        <v>117</v>
      </c>
      <c r="G16" s="292"/>
      <c r="H16" s="292"/>
      <c r="J16" s="239" t="s">
        <v>117</v>
      </c>
      <c r="K16" s="292"/>
      <c r="L16" s="292"/>
    </row>
    <row r="17" spans="2:12" ht="25.5" x14ac:dyDescent="0.2">
      <c r="B17" s="240" t="s">
        <v>118</v>
      </c>
      <c r="C17" s="231" t="s">
        <v>119</v>
      </c>
      <c r="D17" s="231" t="s">
        <v>120</v>
      </c>
      <c r="F17" s="240" t="s">
        <v>118</v>
      </c>
      <c r="G17" s="231" t="s">
        <v>119</v>
      </c>
      <c r="H17" s="231" t="s">
        <v>120</v>
      </c>
      <c r="J17" s="240" t="s">
        <v>121</v>
      </c>
      <c r="K17" s="231" t="s">
        <v>119</v>
      </c>
      <c r="L17" s="231" t="s">
        <v>120</v>
      </c>
    </row>
    <row r="18" spans="2:12" x14ac:dyDescent="0.2">
      <c r="B18" s="241" t="s">
        <v>122</v>
      </c>
      <c r="C18" s="242"/>
      <c r="D18" s="243"/>
      <c r="F18" s="241" t="s">
        <v>122</v>
      </c>
      <c r="G18" s="242"/>
      <c r="H18" s="243"/>
      <c r="J18" s="241" t="s">
        <v>122</v>
      </c>
      <c r="K18" s="242"/>
      <c r="L18" s="243"/>
    </row>
    <row r="19" spans="2:12" x14ac:dyDescent="0.2">
      <c r="B19" s="241" t="s">
        <v>123</v>
      </c>
      <c r="C19" s="242"/>
      <c r="D19" s="243"/>
      <c r="F19" s="241" t="s">
        <v>123</v>
      </c>
      <c r="G19" s="242"/>
      <c r="H19" s="243"/>
      <c r="J19" s="241" t="s">
        <v>123</v>
      </c>
      <c r="K19" s="242"/>
      <c r="L19" s="243"/>
    </row>
    <row r="20" spans="2:12" x14ac:dyDescent="0.2">
      <c r="B20" s="241" t="s">
        <v>124</v>
      </c>
      <c r="C20" s="242"/>
      <c r="D20" s="243"/>
      <c r="F20" s="241" t="s">
        <v>124</v>
      </c>
      <c r="G20" s="242"/>
      <c r="H20" s="243"/>
      <c r="J20" s="241" t="s">
        <v>124</v>
      </c>
      <c r="K20" s="242"/>
      <c r="L20" s="243"/>
    </row>
    <row r="21" spans="2:12" x14ac:dyDescent="0.2">
      <c r="B21" s="241" t="s">
        <v>125</v>
      </c>
      <c r="C21" s="242"/>
      <c r="D21" s="243"/>
      <c r="F21" s="241" t="s">
        <v>125</v>
      </c>
      <c r="G21" s="242"/>
      <c r="H21" s="243"/>
      <c r="J21" s="241" t="s">
        <v>125</v>
      </c>
      <c r="K21" s="242"/>
      <c r="L21" s="243"/>
    </row>
    <row r="22" spans="2:12" x14ac:dyDescent="0.2">
      <c r="B22" s="241" t="s">
        <v>126</v>
      </c>
      <c r="C22" s="242"/>
      <c r="D22" s="243"/>
      <c r="F22" s="241" t="s">
        <v>126</v>
      </c>
      <c r="G22" s="242"/>
      <c r="H22" s="243"/>
      <c r="J22" s="241" t="s">
        <v>126</v>
      </c>
      <c r="K22" s="242"/>
      <c r="L22" s="243"/>
    </row>
    <row r="23" spans="2:12" x14ac:dyDescent="0.2">
      <c r="B23" s="241" t="s">
        <v>127</v>
      </c>
      <c r="C23" s="242"/>
      <c r="D23" s="243"/>
      <c r="F23" s="241" t="s">
        <v>127</v>
      </c>
      <c r="G23" s="242"/>
      <c r="H23" s="243"/>
      <c r="J23" s="241" t="s">
        <v>127</v>
      </c>
      <c r="K23" s="242"/>
      <c r="L23" s="243"/>
    </row>
    <row r="24" spans="2:12" x14ac:dyDescent="0.2">
      <c r="B24" s="241" t="s">
        <v>128</v>
      </c>
      <c r="C24" s="242"/>
      <c r="D24" s="243"/>
      <c r="F24" s="241" t="s">
        <v>128</v>
      </c>
      <c r="G24" s="242"/>
      <c r="H24" s="243"/>
      <c r="J24" s="241" t="s">
        <v>128</v>
      </c>
      <c r="K24" s="242"/>
      <c r="L24" s="243"/>
    </row>
    <row r="25" spans="2:12" x14ac:dyDescent="0.2">
      <c r="B25" s="241" t="s">
        <v>129</v>
      </c>
      <c r="C25" s="242"/>
      <c r="D25" s="243"/>
      <c r="F25" s="241" t="s">
        <v>129</v>
      </c>
      <c r="G25" s="242"/>
      <c r="H25" s="243"/>
      <c r="J25" s="241" t="s">
        <v>129</v>
      </c>
      <c r="K25" s="242"/>
      <c r="L25" s="243"/>
    </row>
    <row r="26" spans="2:12" x14ac:dyDescent="0.2">
      <c r="B26" s="241" t="s">
        <v>130</v>
      </c>
      <c r="C26" s="242"/>
      <c r="D26" s="243"/>
      <c r="F26" s="241" t="s">
        <v>130</v>
      </c>
      <c r="G26" s="242"/>
      <c r="H26" s="243"/>
      <c r="J26" s="241" t="s">
        <v>130</v>
      </c>
      <c r="K26" s="242"/>
      <c r="L26" s="243"/>
    </row>
  </sheetData>
  <sheetProtection algorithmName="SHA-512" hashValue="ZeNYmyw9TFfAprZ4Avd9dnew5uZFA5FRfsaX8eAu4WoWX+zAKn6ryTbNk1wqaKfwlL/WHRgo0AHmOXhsL9W/YQ==" saltValue="5kF+JZTs2wSy2qaD869JoA==" spinCount="100000" sheet="1" objects="1" scenarios="1"/>
  <mergeCells count="12">
    <mergeCell ref="K16:L16"/>
    <mergeCell ref="C3:D3"/>
    <mergeCell ref="C2:D2"/>
    <mergeCell ref="C15:D15"/>
    <mergeCell ref="C16:D16"/>
    <mergeCell ref="K2:L2"/>
    <mergeCell ref="K3:L3"/>
    <mergeCell ref="G2:H2"/>
    <mergeCell ref="G3:H3"/>
    <mergeCell ref="G15:H15"/>
    <mergeCell ref="G16:H16"/>
    <mergeCell ref="K15:L15"/>
  </mergeCells>
  <conditionalFormatting sqref="C5:D13">
    <cfRule type="expression" dxfId="89" priority="6">
      <formula>$B5=""</formula>
    </cfRule>
  </conditionalFormatting>
  <conditionalFormatting sqref="C18:D26">
    <cfRule type="expression" dxfId="88" priority="5">
      <formula>$B18=""</formula>
    </cfRule>
  </conditionalFormatting>
  <conditionalFormatting sqref="G5:H13">
    <cfRule type="expression" dxfId="87" priority="3">
      <formula>$B5=""</formula>
    </cfRule>
  </conditionalFormatting>
  <conditionalFormatting sqref="G18:H26">
    <cfRule type="expression" dxfId="86" priority="2">
      <formula>$B18=""</formula>
    </cfRule>
  </conditionalFormatting>
  <conditionalFormatting sqref="K5:L13">
    <cfRule type="expression" dxfId="85" priority="32">
      <formula>$J5=""</formula>
    </cfRule>
  </conditionalFormatting>
  <conditionalFormatting sqref="K18:L26">
    <cfRule type="expression" dxfId="84" priority="33">
      <formula>$J5=""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8F2B1-05F7-435A-A75E-B1B4A700E1E1}">
  <sheetPr codeName="Sheet3">
    <tabColor theme="2"/>
  </sheetPr>
  <dimension ref="B1:G29"/>
  <sheetViews>
    <sheetView showGridLines="0" showRowColHeaders="0" workbookViewId="0">
      <selection activeCell="B7" sqref="B7:B8"/>
    </sheetView>
  </sheetViews>
  <sheetFormatPr defaultRowHeight="12.75" x14ac:dyDescent="0.2"/>
  <cols>
    <col min="1" max="1" width="1.7109375" style="187" customWidth="1"/>
    <col min="2" max="2" width="29.28515625" style="187" customWidth="1"/>
    <col min="3" max="7" width="17.85546875" style="187" customWidth="1"/>
    <col min="8" max="8" width="14.7109375" style="187" customWidth="1"/>
    <col min="9" max="16384" width="9.140625" style="187"/>
  </cols>
  <sheetData>
    <row r="1" spans="2:7" ht="63" customHeight="1" x14ac:dyDescent="0.2"/>
    <row r="2" spans="2:7" s="200" customFormat="1" ht="21" customHeight="1" x14ac:dyDescent="0.2">
      <c r="B2" s="285" t="s">
        <v>131</v>
      </c>
      <c r="C2" s="285"/>
      <c r="D2" s="285"/>
      <c r="E2" s="285"/>
      <c r="F2" s="194"/>
      <c r="G2" s="194"/>
    </row>
    <row r="4" spans="2:7" ht="12.75" customHeight="1" x14ac:dyDescent="0.2">
      <c r="B4" s="294" t="s">
        <v>132</v>
      </c>
      <c r="C4" s="294"/>
      <c r="D4" s="294"/>
      <c r="E4" s="294"/>
      <c r="F4" s="294"/>
      <c r="G4" s="294"/>
    </row>
    <row r="5" spans="2:7" x14ac:dyDescent="0.2">
      <c r="B5" s="294"/>
      <c r="C5" s="294"/>
      <c r="D5" s="294"/>
      <c r="E5" s="294"/>
      <c r="F5" s="294"/>
      <c r="G5" s="294"/>
    </row>
    <row r="7" spans="2:7" ht="28.5" customHeight="1" x14ac:dyDescent="0.2">
      <c r="B7" s="293" t="s">
        <v>133</v>
      </c>
      <c r="C7" s="257" t="s">
        <v>134</v>
      </c>
      <c r="D7" s="257" t="s">
        <v>135</v>
      </c>
      <c r="E7" s="257" t="s">
        <v>136</v>
      </c>
      <c r="F7" s="257" t="s">
        <v>137</v>
      </c>
    </row>
    <row r="8" spans="2:7" ht="28.5" customHeight="1" x14ac:dyDescent="0.2">
      <c r="B8" s="293"/>
      <c r="C8" s="244">
        <f>Table15[[#Totals],[Gross project cost]]</f>
        <v>0</v>
      </c>
      <c r="D8" s="244" t="e">
        <f>Table15[[#Totals],[Estimated Incentive]]</f>
        <v>#DIV/0!</v>
      </c>
      <c r="E8" s="244" t="e">
        <f>Table15[[#Totals],[Net project cost]]</f>
        <v>#DIV/0!</v>
      </c>
      <c r="F8" s="245">
        <f>Table16[[#Totals],[Energy savings (kWh)]]</f>
        <v>0</v>
      </c>
    </row>
    <row r="10" spans="2:7" ht="15.75" x14ac:dyDescent="0.25">
      <c r="B10" s="298" t="s">
        <v>138</v>
      </c>
      <c r="C10" s="299"/>
      <c r="D10" s="299"/>
      <c r="E10" s="299"/>
      <c r="F10" s="299"/>
    </row>
    <row r="11" spans="2:7" ht="12.75" customHeight="1" x14ac:dyDescent="0.2">
      <c r="B11" s="203" t="s">
        <v>139</v>
      </c>
      <c r="C11" s="300" t="str">
        <f>_xlfn.CONCAT('Fill in the Application'!C$6, ", ",'Fill in the Application'!$C$5, ", ",'Fill in the Application'!$C$11, ", ",'Fill in the Application'!$C$12)</f>
        <v xml:space="preserve">, , , </v>
      </c>
      <c r="D11" s="300"/>
      <c r="E11" s="300"/>
      <c r="F11" s="300"/>
    </row>
    <row r="12" spans="2:7" ht="25.5" customHeight="1" x14ac:dyDescent="0.2">
      <c r="B12" s="203" t="s">
        <v>140</v>
      </c>
      <c r="C12" s="300" t="str">
        <f>_xlfn.CONCAT('Fill in the Application'!$C$18, ", ",'Fill in the Application'!$C$17, ", ",'Fill in the Application'!$C$23, ", ",'Fill in the Application'!$C$24)</f>
        <v xml:space="preserve">, , , </v>
      </c>
      <c r="D12" s="300"/>
      <c r="E12" s="300"/>
      <c r="F12" s="300"/>
    </row>
    <row r="13" spans="2:7" ht="15" customHeight="1" x14ac:dyDescent="0.2">
      <c r="B13" s="203" t="s">
        <v>141</v>
      </c>
      <c r="C13" s="300" t="str">
        <f>_xlfn.CONCAT('Fill in the Application'!$C$28, ", ",'Fill in the Application'!$C$27, ", ",'Fill in the Application'!$C$33, ", ",'Fill in the Application'!$C$34)</f>
        <v xml:space="preserve">, , , </v>
      </c>
      <c r="D13" s="300"/>
      <c r="E13" s="300"/>
      <c r="F13" s="300"/>
    </row>
    <row r="15" spans="2:7" ht="15.75" x14ac:dyDescent="0.25">
      <c r="B15" s="296" t="s">
        <v>142</v>
      </c>
      <c r="C15" s="297"/>
      <c r="D15" s="297"/>
    </row>
    <row r="16" spans="2:7" ht="25.5" x14ac:dyDescent="0.2">
      <c r="B16" s="256" t="s">
        <v>143</v>
      </c>
      <c r="C16" s="256" t="s">
        <v>104</v>
      </c>
      <c r="D16" s="256" t="s">
        <v>144</v>
      </c>
    </row>
    <row r="17" spans="2:7" x14ac:dyDescent="0.2">
      <c r="B17" s="246" t="str">
        <f>Caps!B3</f>
        <v>Prescriptive HVAC Tune-Up</v>
      </c>
      <c r="C17" s="245">
        <f>Caps!D3</f>
        <v>0</v>
      </c>
      <c r="D17" s="247">
        <f>Caps!E3</f>
        <v>0</v>
      </c>
    </row>
    <row r="18" spans="2:7" x14ac:dyDescent="0.2">
      <c r="B18" s="246" t="str">
        <f>Caps!B4</f>
        <v>Prescriptive Chiller Tune-Up</v>
      </c>
      <c r="C18" s="245">
        <f>Caps!D4</f>
        <v>0</v>
      </c>
      <c r="D18" s="247">
        <f>Caps!E4</f>
        <v>0</v>
      </c>
    </row>
    <row r="19" spans="2:7" x14ac:dyDescent="0.2">
      <c r="B19" s="248" t="s">
        <v>145</v>
      </c>
      <c r="C19" s="249">
        <f>SUBTOTAL(109,Table16[Energy savings (kWh)])</f>
        <v>0</v>
      </c>
      <c r="D19" s="250">
        <f>SUBTOTAL(109,Table16[kW reduction])</f>
        <v>0</v>
      </c>
    </row>
    <row r="21" spans="2:7" ht="15.75" x14ac:dyDescent="0.25">
      <c r="B21" s="295" t="s">
        <v>146</v>
      </c>
      <c r="C21" s="295"/>
      <c r="D21" s="295"/>
      <c r="E21" s="295"/>
      <c r="F21" s="295"/>
      <c r="G21" s="295"/>
    </row>
    <row r="22" spans="2:7" ht="25.5" x14ac:dyDescent="0.2">
      <c r="B22" s="256" t="s">
        <v>143</v>
      </c>
      <c r="C22" s="256" t="s">
        <v>106</v>
      </c>
      <c r="D22" s="256" t="s">
        <v>147</v>
      </c>
      <c r="E22" s="256" t="s">
        <v>148</v>
      </c>
      <c r="F22" s="256" t="s">
        <v>136</v>
      </c>
      <c r="G22" s="256" t="s">
        <v>109</v>
      </c>
    </row>
    <row r="23" spans="2:7" x14ac:dyDescent="0.2">
      <c r="B23" s="246" t="str">
        <f>Caps!B3</f>
        <v>Prescriptive HVAC Tune-Up</v>
      </c>
      <c r="C23" s="251">
        <f>INDEX(Table_Measure_Caps[Cost Savings Total], MATCH(Table15[[#This Row],[Incentive type]],Table_Measure_Caps[Measure Type], 0))</f>
        <v>0</v>
      </c>
      <c r="D23" s="251">
        <f>INDEX(Table_Measure_Caps[Gross Measure Cost Total], MATCH(Table15[[#This Row],[Incentive type]],Table_Measure_Caps[Measure Type], 0))</f>
        <v>0</v>
      </c>
      <c r="E23" s="251" t="e">
        <f>Caps!J3</f>
        <v>#DIV/0!</v>
      </c>
      <c r="F23" s="251" t="e">
        <f>Table15[[#This Row],[Gross project cost]]-Table15[[#This Row],[Estimated Incentive]]</f>
        <v>#DIV/0!</v>
      </c>
      <c r="G23" s="252" t="str">
        <f>IFERROR(Table15[[#This Row],[Net project cost]]/Table15[[#This Row],[Cost savings]],"")</f>
        <v/>
      </c>
    </row>
    <row r="24" spans="2:7" x14ac:dyDescent="0.2">
      <c r="B24" s="246" t="str">
        <f>Caps!B4</f>
        <v>Prescriptive Chiller Tune-Up</v>
      </c>
      <c r="C24" s="251">
        <f>INDEX(Table_Measure_Caps[Cost Savings Total], MATCH(Table15[[#This Row],[Incentive type]],Table_Measure_Caps[Measure Type], 0))</f>
        <v>0</v>
      </c>
      <c r="D24" s="251">
        <f>INDEX(Table_Measure_Caps[Gross Measure Cost Total], MATCH(Table15[[#This Row],[Incentive type]],Table_Measure_Caps[Measure Type], 0))</f>
        <v>0</v>
      </c>
      <c r="E24" s="251" t="e">
        <f>Caps!J4</f>
        <v>#DIV/0!</v>
      </c>
      <c r="F24" s="251" t="e">
        <f>Table15[[#This Row],[Gross project cost]]-Table15[[#This Row],[Estimated Incentive]]</f>
        <v>#DIV/0!</v>
      </c>
      <c r="G24" s="252" t="str">
        <f>IFERROR(Table15[[#This Row],[Net project cost]]/Table15[[#This Row],[Cost savings]],"")</f>
        <v/>
      </c>
    </row>
    <row r="25" spans="2:7" ht="12.75" customHeight="1" x14ac:dyDescent="0.2">
      <c r="B25" s="253"/>
      <c r="C25" s="253"/>
      <c r="D25" s="253"/>
      <c r="E25" s="253"/>
      <c r="F25" s="253"/>
      <c r="G25" s="253"/>
    </row>
    <row r="26" spans="2:7" x14ac:dyDescent="0.2">
      <c r="B26" s="248" t="s">
        <v>145</v>
      </c>
      <c r="C26" s="254">
        <f>SUBTOTAL(109,Table15[Cost savings])</f>
        <v>0</v>
      </c>
      <c r="D26" s="254">
        <f>SUBTOTAL(109,Table15[Gross project cost])</f>
        <v>0</v>
      </c>
      <c r="E26" s="254" t="e">
        <f>MIN(Value_Project_CAP,SUBTOTAL(109,Table15[Estimated Incentive]))</f>
        <v>#DIV/0!</v>
      </c>
      <c r="F26" s="254" t="e">
        <f>SUBTOTAL(109,Table15[Net project cost])</f>
        <v>#DIV/0!</v>
      </c>
      <c r="G26" s="255" t="e">
        <f>Table15[[#Totals],[Net project cost]]/Table15[[#Totals],[Cost savings]]</f>
        <v>#DIV/0!</v>
      </c>
    </row>
    <row r="28" spans="2:7" x14ac:dyDescent="0.2">
      <c r="B28" s="187" t="s">
        <v>24</v>
      </c>
    </row>
    <row r="29" spans="2:7" x14ac:dyDescent="0.2">
      <c r="B29" s="187" t="str">
        <f>Value_Application_Version</f>
        <v>Version 2.1</v>
      </c>
    </row>
  </sheetData>
  <sheetProtection algorithmName="SHA-512" hashValue="0bRVoh0hgWFFMQyqv6MFtAMtTtdiI4U0Mb0NCB/biRrGhAMuLzUijU36j8sKDrX6YoJJ3sUEUfSfVhr2xafj5Q==" saltValue="FCG/M7fme1yATWA5imvUmA==" spinCount="100000" sheet="1" objects="1" scenarios="1"/>
  <mergeCells count="9">
    <mergeCell ref="B7:B8"/>
    <mergeCell ref="B4:G5"/>
    <mergeCell ref="B21:G21"/>
    <mergeCell ref="B2:E2"/>
    <mergeCell ref="B15:D15"/>
    <mergeCell ref="B10:F10"/>
    <mergeCell ref="C11:F11"/>
    <mergeCell ref="C12:F12"/>
    <mergeCell ref="C13:F13"/>
  </mergeCells>
  <pageMargins left="0.25" right="0.25" top="0.75" bottom="0.75" header="0.3" footer="0.3"/>
  <pageSetup orientation="portrait" r:id="rId1"/>
  <ignoredErrors>
    <ignoredError sqref="C24:E24" calculatedColumn="1"/>
  </ignoredErrors>
  <drawing r:id="rId2"/>
  <legacyDrawing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B2A8-96D8-477A-8D12-8FE8C63DDC38}">
  <sheetPr>
    <tabColor rgb="FFFF0000"/>
  </sheetPr>
  <dimension ref="B1:G58"/>
  <sheetViews>
    <sheetView showGridLines="0" workbookViewId="0">
      <selection activeCell="D35" sqref="D35:D36"/>
    </sheetView>
  </sheetViews>
  <sheetFormatPr defaultRowHeight="12.75" x14ac:dyDescent="0.2"/>
  <cols>
    <col min="1" max="1" width="1.7109375" customWidth="1"/>
    <col min="2" max="2" width="18.85546875" customWidth="1"/>
    <col min="3" max="7" width="17.85546875" customWidth="1"/>
    <col min="8" max="8" width="14.7109375" customWidth="1"/>
  </cols>
  <sheetData>
    <row r="1" spans="2:7" ht="21" customHeight="1" x14ac:dyDescent="0.2">
      <c r="B1" s="301" t="s">
        <v>149</v>
      </c>
      <c r="C1" s="301"/>
      <c r="D1" s="301"/>
      <c r="E1" s="301"/>
      <c r="F1" s="47"/>
      <c r="G1" s="47"/>
    </row>
    <row r="2" spans="2:7" ht="12.75" customHeight="1" x14ac:dyDescent="0.2"/>
    <row r="3" spans="2:7" ht="12.75" customHeight="1" x14ac:dyDescent="0.2"/>
    <row r="4" spans="2:7" ht="12.75" customHeight="1" x14ac:dyDescent="0.2"/>
    <row r="5" spans="2:7" ht="12.75" customHeight="1" x14ac:dyDescent="0.2"/>
    <row r="6" spans="2:7" ht="12.75" customHeight="1" x14ac:dyDescent="0.2"/>
    <row r="7" spans="2:7" x14ac:dyDescent="0.2">
      <c r="B7" s="302" t="s">
        <v>150</v>
      </c>
      <c r="C7" s="302"/>
      <c r="D7" s="302"/>
      <c r="E7" s="302"/>
      <c r="F7" s="302"/>
      <c r="G7" s="302"/>
    </row>
    <row r="8" spans="2:7" x14ac:dyDescent="0.2">
      <c r="B8" s="302"/>
      <c r="C8" s="302"/>
      <c r="D8" s="302"/>
      <c r="E8" s="302"/>
      <c r="F8" s="302"/>
      <c r="G8" s="302"/>
    </row>
    <row r="9" spans="2:7" x14ac:dyDescent="0.2">
      <c r="B9" s="42"/>
      <c r="C9" s="42"/>
      <c r="D9" s="42"/>
      <c r="E9" s="42"/>
      <c r="F9" s="42"/>
      <c r="G9" s="42"/>
    </row>
    <row r="10" spans="2:7" ht="26.25" customHeight="1" x14ac:dyDescent="0.2">
      <c r="B10" s="305" t="s">
        <v>151</v>
      </c>
      <c r="C10" s="305"/>
      <c r="D10" s="305"/>
      <c r="E10" s="305"/>
      <c r="F10" s="305"/>
      <c r="G10" s="305"/>
    </row>
    <row r="12" spans="2:7" ht="28.5" customHeight="1" x14ac:dyDescent="0.2">
      <c r="B12" s="303" t="s">
        <v>152</v>
      </c>
      <c r="C12" s="41" t="s">
        <v>153</v>
      </c>
      <c r="D12" s="41" t="s">
        <v>154</v>
      </c>
      <c r="E12" s="41" t="s">
        <v>155</v>
      </c>
      <c r="F12" s="41" t="s">
        <v>156</v>
      </c>
    </row>
    <row r="13" spans="2:7" ht="19.5" customHeight="1" x14ac:dyDescent="0.2">
      <c r="B13" s="303"/>
      <c r="C13" s="122">
        <f>Gross_Proj_Cost</f>
        <v>0</v>
      </c>
      <c r="D13" s="122" t="e">
        <f>Total_Incentive</f>
        <v>#DIV/0!</v>
      </c>
      <c r="E13" s="122" t="e">
        <f>Net_Project_Cost</f>
        <v>#DIV/0!</v>
      </c>
      <c r="F13" s="123">
        <f>Project_Energy_Savings</f>
        <v>0</v>
      </c>
    </row>
    <row r="15" spans="2:7" ht="15.75" x14ac:dyDescent="0.25">
      <c r="B15" s="304" t="str">
        <f>'Fill in the Application'!B4</f>
        <v>Entergy New Orleans customer information</v>
      </c>
      <c r="C15" s="304"/>
      <c r="D15" s="304"/>
      <c r="E15" s="304"/>
      <c r="F15" s="304"/>
    </row>
    <row r="16" spans="2:7" x14ac:dyDescent="0.2">
      <c r="B16" s="307" t="s">
        <v>157</v>
      </c>
      <c r="C16" s="307"/>
      <c r="D16" s="308">
        <f>'Fill in the Application'!C5</f>
        <v>0</v>
      </c>
      <c r="E16" s="308"/>
      <c r="F16" s="308"/>
    </row>
    <row r="17" spans="2:6" x14ac:dyDescent="0.2">
      <c r="B17" s="307" t="s">
        <v>158</v>
      </c>
      <c r="C17" s="307"/>
      <c r="D17" s="308">
        <f>'Fill in the Application'!C6</f>
        <v>0</v>
      </c>
      <c r="E17" s="308"/>
      <c r="F17" s="308"/>
    </row>
    <row r="18" spans="2:6" ht="12.75" customHeight="1" x14ac:dyDescent="0.2">
      <c r="B18" s="307" t="s">
        <v>52</v>
      </c>
      <c r="C18" s="307"/>
      <c r="D18" s="308" t="str">
        <f>_xlfn.CONCAT('Fill in the Application'!C7,", ",'Fill in the Application'!C8,", ",'Fill in the Application'!C9,", ",'Fill in the Application'!C10)</f>
        <v xml:space="preserve">, , , </v>
      </c>
      <c r="E18" s="308"/>
      <c r="F18" s="308"/>
    </row>
    <row r="19" spans="2:6" x14ac:dyDescent="0.2">
      <c r="B19" s="307" t="s">
        <v>159</v>
      </c>
      <c r="C19" s="307"/>
      <c r="D19" s="308">
        <f>'Fill in the Application'!C13</f>
        <v>0</v>
      </c>
      <c r="E19" s="308"/>
      <c r="F19" s="308"/>
    </row>
    <row r="21" spans="2:6" ht="15.75" customHeight="1" x14ac:dyDescent="0.2">
      <c r="B21" s="306" t="s">
        <v>160</v>
      </c>
      <c r="C21" s="306"/>
      <c r="D21" s="306"/>
      <c r="E21" s="306"/>
      <c r="F21" s="306"/>
    </row>
    <row r="22" spans="2:6" x14ac:dyDescent="0.2">
      <c r="B22" s="307" t="s">
        <v>161</v>
      </c>
      <c r="C22" s="307"/>
      <c r="D22" s="308">
        <f>'Fill in the Application'!C17</f>
        <v>0</v>
      </c>
      <c r="E22" s="308"/>
      <c r="F22" s="308"/>
    </row>
    <row r="23" spans="2:6" x14ac:dyDescent="0.2">
      <c r="B23" s="307" t="s">
        <v>162</v>
      </c>
      <c r="C23" s="307"/>
      <c r="D23" s="308">
        <f>'Fill in the Application'!C18</f>
        <v>0</v>
      </c>
      <c r="E23" s="308"/>
      <c r="F23" s="308"/>
    </row>
    <row r="24" spans="2:6" ht="12.75" customHeight="1" x14ac:dyDescent="0.2">
      <c r="B24" s="307" t="s">
        <v>52</v>
      </c>
      <c r="C24" s="307"/>
      <c r="D24" s="308" t="str">
        <f>_xlfn.CONCAT('Fill in the Application'!C19,", ",'Fill in the Application'!C20,", ",'Fill in the Application'!C21,", ",'Fill in the Application'!C22)</f>
        <v xml:space="preserve">, , , </v>
      </c>
      <c r="E24" s="308"/>
      <c r="F24" s="308"/>
    </row>
    <row r="25" spans="2:6" x14ac:dyDescent="0.2">
      <c r="B25" s="307" t="s">
        <v>163</v>
      </c>
      <c r="C25" s="307"/>
      <c r="D25" s="308">
        <f>'Fill in the Application'!C25</f>
        <v>0</v>
      </c>
      <c r="E25" s="308"/>
      <c r="F25" s="308"/>
    </row>
    <row r="27" spans="2:6" ht="15.75" customHeight="1" x14ac:dyDescent="0.2">
      <c r="B27" s="306" t="s">
        <v>164</v>
      </c>
      <c r="C27" s="306"/>
      <c r="D27" s="306"/>
      <c r="E27" s="306"/>
      <c r="F27" s="306"/>
    </row>
    <row r="28" spans="2:6" x14ac:dyDescent="0.2">
      <c r="B28" s="307" t="s">
        <v>165</v>
      </c>
      <c r="C28" s="307"/>
      <c r="D28" s="308">
        <f>'Fill in the Application'!F33</f>
        <v>0</v>
      </c>
      <c r="E28" s="308"/>
      <c r="F28" s="308"/>
    </row>
    <row r="29" spans="2:6" x14ac:dyDescent="0.2">
      <c r="B29" s="307" t="s">
        <v>166</v>
      </c>
      <c r="C29" s="307"/>
      <c r="D29" s="308">
        <f>'Fill in the Application'!F34</f>
        <v>0</v>
      </c>
      <c r="E29" s="308"/>
      <c r="F29" s="308"/>
    </row>
    <row r="30" spans="2:6" x14ac:dyDescent="0.2">
      <c r="B30" s="307" t="s">
        <v>52</v>
      </c>
      <c r="C30" s="307"/>
      <c r="D30" s="308" t="str">
        <f>IF(D28="Customer",D18,IF(D28="Trade Ally/Contractor",D24,IF(D28="Additional Contact",_xlfn.CONCAT('Fill in the Application'!C29,", ",'Fill in the Application'!C30,", ",'Fill in the Application'!C31,", ",'Fill in the Application'!C32),IF(D28="Job Site",_xlfn.CONCAT('Fill in the Application'!F17,", ",'Fill in the Application'!F18,", ",'Fill in the Application'!F19,", ",'Fill in the Application'!F20),""))))</f>
        <v/>
      </c>
      <c r="E30" s="308"/>
      <c r="F30" s="308"/>
    </row>
    <row r="31" spans="2:6" x14ac:dyDescent="0.2">
      <c r="B31" s="307" t="s">
        <v>167</v>
      </c>
      <c r="C31" s="307"/>
      <c r="D31" s="308">
        <f>'Fill in the Application'!F35</f>
        <v>0</v>
      </c>
      <c r="E31" s="308"/>
      <c r="F31" s="308"/>
    </row>
    <row r="32" spans="2:6" x14ac:dyDescent="0.2">
      <c r="B32" s="307" t="s">
        <v>168</v>
      </c>
      <c r="C32" s="307"/>
      <c r="D32" s="308">
        <f>'Fill in the Application'!F36</f>
        <v>0</v>
      </c>
      <c r="E32" s="308"/>
      <c r="F32" s="308"/>
    </row>
    <row r="33" spans="2:7" x14ac:dyDescent="0.2">
      <c r="B33" s="307" t="s">
        <v>169</v>
      </c>
      <c r="C33" s="307"/>
      <c r="D33" s="308">
        <f>'Fill in the Application'!F37</f>
        <v>0</v>
      </c>
      <c r="E33" s="308"/>
      <c r="F33" s="308"/>
    </row>
    <row r="35" spans="2:7" ht="12.75" customHeight="1" x14ac:dyDescent="0.2">
      <c r="B35" s="311" t="s">
        <v>170</v>
      </c>
      <c r="C35" s="311"/>
      <c r="D35" s="312"/>
    </row>
    <row r="36" spans="2:7" x14ac:dyDescent="0.2">
      <c r="B36" s="311"/>
      <c r="C36" s="311"/>
      <c r="D36" s="312"/>
    </row>
    <row r="38" spans="2:7" ht="11.25" customHeight="1" x14ac:dyDescent="0.2">
      <c r="B38" s="310" t="s">
        <v>171</v>
      </c>
      <c r="C38" s="310"/>
      <c r="D38" s="310"/>
      <c r="E38" s="310"/>
      <c r="F38" s="310"/>
      <c r="G38" s="310"/>
    </row>
    <row r="39" spans="2:7" x14ac:dyDescent="0.2">
      <c r="B39" s="310"/>
      <c r="C39" s="310"/>
      <c r="D39" s="310"/>
      <c r="E39" s="310"/>
      <c r="F39" s="310"/>
      <c r="G39" s="310"/>
    </row>
    <row r="40" spans="2:7" x14ac:dyDescent="0.2">
      <c r="B40" s="310"/>
      <c r="C40" s="310"/>
      <c r="D40" s="310"/>
      <c r="E40" s="310"/>
      <c r="F40" s="310"/>
      <c r="G40" s="310"/>
    </row>
    <row r="41" spans="2:7" x14ac:dyDescent="0.2">
      <c r="B41" s="310"/>
      <c r="C41" s="310"/>
      <c r="D41" s="310"/>
      <c r="E41" s="310"/>
      <c r="F41" s="310"/>
      <c r="G41" s="310"/>
    </row>
    <row r="42" spans="2:7" x14ac:dyDescent="0.2">
      <c r="B42" s="310"/>
      <c r="C42" s="310"/>
      <c r="D42" s="310"/>
      <c r="E42" s="310"/>
      <c r="F42" s="310"/>
      <c r="G42" s="310"/>
    </row>
    <row r="43" spans="2:7" x14ac:dyDescent="0.2">
      <c r="B43" s="48" t="s">
        <v>172</v>
      </c>
      <c r="C43" s="48"/>
      <c r="F43" s="48" t="s">
        <v>82</v>
      </c>
      <c r="G43" s="54"/>
    </row>
    <row r="44" spans="2:7" x14ac:dyDescent="0.2">
      <c r="B44" s="309"/>
      <c r="C44" s="309"/>
      <c r="D44" s="309"/>
      <c r="F44" s="40"/>
      <c r="G44" s="54"/>
    </row>
    <row r="45" spans="2:7" x14ac:dyDescent="0.2">
      <c r="B45" s="54"/>
      <c r="C45" s="54"/>
      <c r="D45" s="54"/>
      <c r="E45" s="54"/>
      <c r="F45" s="54"/>
      <c r="G45" s="54"/>
    </row>
    <row r="46" spans="2:7" x14ac:dyDescent="0.2">
      <c r="B46" t="s">
        <v>24</v>
      </c>
    </row>
    <row r="47" spans="2:7" x14ac:dyDescent="0.2">
      <c r="B47" t="str">
        <f>Value_Application_Version</f>
        <v>Version 2.1</v>
      </c>
    </row>
    <row r="49" spans="3:5" x14ac:dyDescent="0.2">
      <c r="C49" s="29"/>
    </row>
    <row r="51" spans="3:5" x14ac:dyDescent="0.2">
      <c r="C51" s="27"/>
    </row>
    <row r="54" spans="3:5" x14ac:dyDescent="0.2">
      <c r="D54" s="29"/>
      <c r="E54" s="29"/>
    </row>
    <row r="57" spans="3:5" x14ac:dyDescent="0.2">
      <c r="D57" s="29"/>
    </row>
    <row r="58" spans="3:5" x14ac:dyDescent="0.2">
      <c r="D58" s="29"/>
    </row>
  </sheetData>
  <mergeCells count="39">
    <mergeCell ref="B35:C36"/>
    <mergeCell ref="D35:D36"/>
    <mergeCell ref="D28:F28"/>
    <mergeCell ref="D30:F30"/>
    <mergeCell ref="D31:F31"/>
    <mergeCell ref="D32:F32"/>
    <mergeCell ref="D33:F33"/>
    <mergeCell ref="B29:C29"/>
    <mergeCell ref="B27:F27"/>
    <mergeCell ref="D29:F29"/>
    <mergeCell ref="B44:D44"/>
    <mergeCell ref="D16:F16"/>
    <mergeCell ref="D17:F17"/>
    <mergeCell ref="D18:F18"/>
    <mergeCell ref="D19:F19"/>
    <mergeCell ref="D22:F22"/>
    <mergeCell ref="D23:F23"/>
    <mergeCell ref="B31:C31"/>
    <mergeCell ref="B32:C32"/>
    <mergeCell ref="B33:C33"/>
    <mergeCell ref="B38:G42"/>
    <mergeCell ref="B28:C28"/>
    <mergeCell ref="B30:C30"/>
    <mergeCell ref="B25:C25"/>
    <mergeCell ref="B22:C22"/>
    <mergeCell ref="B23:C23"/>
    <mergeCell ref="B24:C24"/>
    <mergeCell ref="D24:F24"/>
    <mergeCell ref="D25:F25"/>
    <mergeCell ref="B21:F21"/>
    <mergeCell ref="B19:C19"/>
    <mergeCell ref="B16:C16"/>
    <mergeCell ref="B17:C17"/>
    <mergeCell ref="B18:C18"/>
    <mergeCell ref="B1:E1"/>
    <mergeCell ref="B7:G8"/>
    <mergeCell ref="B12:B13"/>
    <mergeCell ref="B15:F15"/>
    <mergeCell ref="B10:G10"/>
  </mergeCells>
  <pageMargins left="0.25" right="0.25"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DE4C34D9-E893-4CDB-A55A-D9856690557F}">
            <xm:f>'Fill in the Application'!$F$12="Pre-Retrofit"</xm:f>
            <x14:dxf>
              <fill>
                <patternFill>
                  <bgColor theme="2"/>
                </patternFill>
              </fill>
            </x14:dxf>
          </x14:cfRule>
          <xm:sqref>D35:D36 B44:D44 F44</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C664-E8F0-4FE6-8393-91616EE9FA2E}">
  <sheetPr codeName="Sheet11">
    <tabColor rgb="FFFF0000"/>
  </sheetPr>
  <dimension ref="A1:AY251"/>
  <sheetViews>
    <sheetView zoomScaleNormal="100" workbookViewId="0">
      <selection activeCell="B9" sqref="B9"/>
    </sheetView>
  </sheetViews>
  <sheetFormatPr defaultRowHeight="12.75" x14ac:dyDescent="0.2"/>
  <cols>
    <col min="1" max="1" width="26.28515625" bestFit="1" customWidth="1"/>
    <col min="2" max="2" width="14.28515625" bestFit="1" customWidth="1"/>
    <col min="3" max="3" width="2.85546875" customWidth="1"/>
    <col min="5" max="5" width="16.85546875" bestFit="1" customWidth="1"/>
    <col min="6" max="6" width="17.42578125" bestFit="1" customWidth="1"/>
    <col min="7" max="7" width="64" customWidth="1"/>
    <col min="8" max="9" width="11" customWidth="1"/>
    <col min="10" max="10" width="13.7109375" bestFit="1" customWidth="1"/>
    <col min="11" max="11" width="23.42578125" bestFit="1" customWidth="1"/>
    <col min="12" max="12" width="69.28515625" customWidth="1"/>
    <col min="13" max="13" width="20.28515625" bestFit="1" customWidth="1"/>
    <col min="14" max="14" width="14.85546875" bestFit="1" customWidth="1"/>
    <col min="15" max="15" width="17.85546875" bestFit="1" customWidth="1"/>
    <col min="16" max="16" width="17.85546875" customWidth="1"/>
    <col min="17" max="17" width="15.42578125" bestFit="1" customWidth="1"/>
    <col min="18" max="18" width="53.85546875" bestFit="1" customWidth="1"/>
    <col min="19" max="19" width="17" customWidth="1"/>
    <col min="20" max="20" width="44.5703125" bestFit="1" customWidth="1"/>
    <col min="21" max="21" width="19.85546875" customWidth="1"/>
    <col min="22" max="22" width="18.85546875" customWidth="1"/>
    <col min="23" max="23" width="2" customWidth="1"/>
    <col min="24" max="24" width="64.5703125" bestFit="1" customWidth="1"/>
    <col min="25" max="25" width="21.5703125" bestFit="1" customWidth="1"/>
    <col min="27" max="27" width="25.7109375" bestFit="1" customWidth="1"/>
    <col min="28" max="28" width="25.7109375" customWidth="1"/>
    <col min="29" max="29" width="9.7109375" bestFit="1" customWidth="1"/>
    <col min="30" max="30" width="7.7109375" bestFit="1" customWidth="1"/>
    <col min="31" max="31" width="46.28515625" bestFit="1" customWidth="1"/>
    <col min="32" max="32" width="15.42578125" bestFit="1" customWidth="1"/>
    <col min="33" max="33" width="15.140625" bestFit="1" customWidth="1"/>
    <col min="34" max="34" width="13.28515625" bestFit="1" customWidth="1"/>
    <col min="35" max="35" width="36.42578125" bestFit="1" customWidth="1"/>
    <col min="36" max="36" width="26.85546875" bestFit="1" customWidth="1"/>
    <col min="37" max="37" width="16.5703125" bestFit="1" customWidth="1"/>
    <col min="38" max="38" width="30.140625" bestFit="1" customWidth="1"/>
    <col min="39" max="39" width="16.85546875" bestFit="1" customWidth="1"/>
    <col min="41" max="41" width="62.140625" bestFit="1" customWidth="1"/>
    <col min="42" max="42" width="44.7109375" bestFit="1" customWidth="1"/>
    <col min="43" max="43" width="43" bestFit="1" customWidth="1"/>
    <col min="44" max="44" width="39.28515625" bestFit="1" customWidth="1"/>
    <col min="45" max="45" width="39.28515625" customWidth="1"/>
    <col min="46" max="46" width="38.85546875" bestFit="1" customWidth="1"/>
    <col min="47" max="47" width="19.85546875" bestFit="1" customWidth="1"/>
    <col min="48" max="48" width="22" bestFit="1" customWidth="1"/>
    <col min="49" max="49" width="15.5703125" bestFit="1" customWidth="1"/>
    <col min="50" max="50" width="51" bestFit="1" customWidth="1"/>
    <col min="51" max="51" width="26.7109375" bestFit="1" customWidth="1"/>
  </cols>
  <sheetData>
    <row r="1" spans="1:51" ht="13.5" thickBot="1" x14ac:dyDescent="0.25"/>
    <row r="2" spans="1:51" ht="40.5" customHeight="1" thickTop="1" thickBot="1" x14ac:dyDescent="0.3">
      <c r="A2" s="43" t="s">
        <v>173</v>
      </c>
      <c r="D2" s="336" t="s">
        <v>174</v>
      </c>
      <c r="E2" s="337"/>
      <c r="F2" s="337"/>
      <c r="G2" s="338"/>
      <c r="Q2" s="44"/>
      <c r="X2" s="44" t="s">
        <v>175</v>
      </c>
    </row>
    <row r="3" spans="1:51" s="6" customFormat="1" ht="14.25" customHeight="1" thickTop="1" thickBot="1" x14ac:dyDescent="0.25">
      <c r="A3" s="44" t="s">
        <v>176</v>
      </c>
      <c r="B3" s="49">
        <v>200000</v>
      </c>
      <c r="D3" s="6" t="s">
        <v>177</v>
      </c>
      <c r="E3" s="6" t="s">
        <v>178</v>
      </c>
      <c r="F3" t="s">
        <v>179</v>
      </c>
      <c r="G3" t="s">
        <v>180</v>
      </c>
      <c r="H3" t="s">
        <v>181</v>
      </c>
      <c r="I3" t="s">
        <v>182</v>
      </c>
      <c r="J3" t="s">
        <v>183</v>
      </c>
      <c r="K3" t="s">
        <v>184</v>
      </c>
      <c r="L3" t="s">
        <v>185</v>
      </c>
      <c r="M3" t="s">
        <v>186</v>
      </c>
      <c r="N3" t="s">
        <v>187</v>
      </c>
      <c r="R3" s="329" t="s">
        <v>188</v>
      </c>
      <c r="S3" s="329"/>
      <c r="T3" s="329"/>
      <c r="U3" s="134"/>
      <c r="X3" s="44" t="s">
        <v>189</v>
      </c>
      <c r="Y3" t="s">
        <v>190</v>
      </c>
      <c r="Z3"/>
      <c r="AA3" s="45" t="s">
        <v>191</v>
      </c>
      <c r="AB3" s="45" t="s">
        <v>192</v>
      </c>
      <c r="AC3" s="45" t="s">
        <v>193</v>
      </c>
      <c r="AD3" s="45" t="s">
        <v>194</v>
      </c>
      <c r="AE3" s="45" t="s">
        <v>195</v>
      </c>
      <c r="AF3" s="45" t="s">
        <v>196</v>
      </c>
      <c r="AG3" s="45" t="s">
        <v>197</v>
      </c>
      <c r="AH3" s="45" t="s">
        <v>198</v>
      </c>
      <c r="AI3" s="45" t="s">
        <v>199</v>
      </c>
      <c r="AJ3" s="45" t="s">
        <v>200</v>
      </c>
      <c r="AK3" s="45" t="s">
        <v>201</v>
      </c>
      <c r="AL3" s="45" t="s">
        <v>202</v>
      </c>
      <c r="AM3" s="45" t="s">
        <v>203</v>
      </c>
      <c r="AN3"/>
      <c r="AO3" s="45" t="s">
        <v>204</v>
      </c>
      <c r="AP3" s="45"/>
      <c r="AQ3" s="45"/>
      <c r="AR3" s="45"/>
      <c r="AS3" s="45"/>
      <c r="AT3" s="45"/>
      <c r="AU3" s="45"/>
      <c r="AV3" s="45"/>
      <c r="AW3" s="45"/>
      <c r="AX3" s="45"/>
      <c r="AY3" s="45"/>
    </row>
    <row r="4" spans="1:51" ht="16.5" thickTop="1" thickBot="1" x14ac:dyDescent="0.25">
      <c r="A4" s="44" t="s">
        <v>205</v>
      </c>
      <c r="B4" s="49">
        <v>200000</v>
      </c>
      <c r="D4">
        <v>1</v>
      </c>
      <c r="E4" t="s">
        <v>206</v>
      </c>
      <c r="F4">
        <v>220330</v>
      </c>
      <c r="G4" t="s">
        <v>207</v>
      </c>
      <c r="H4" s="29">
        <v>225</v>
      </c>
      <c r="I4" s="29">
        <v>225</v>
      </c>
      <c r="J4" s="170">
        <f>(1.5+3.5)/2</f>
        <v>2.5</v>
      </c>
      <c r="K4" t="s">
        <v>208</v>
      </c>
      <c r="L4" s="116" t="e">
        <f>Table_Prescript_Meas[[#This Row],[Average Tons]]*VLOOKUP('Input A-C &amp; Heat Pump Measures'!$E$3,References!$R$5:$T$15,2,FALSE)</f>
        <v>#N/A</v>
      </c>
      <c r="M4" s="117" t="e">
        <f>Table_Prescript_Meas[[#This Row],[Average Tons]]*VLOOKUP('Input A-C &amp; Heat Pump Measures'!$E$3,References!$R$5:$T$15,3,FALSE)</f>
        <v>#N/A</v>
      </c>
      <c r="R4" s="131" t="s">
        <v>209</v>
      </c>
      <c r="S4" s="132" t="s">
        <v>210</v>
      </c>
      <c r="T4" s="136" t="s">
        <v>211</v>
      </c>
      <c r="U4" s="142"/>
      <c r="V4" s="141"/>
      <c r="X4" t="s">
        <v>212</v>
      </c>
      <c r="Y4" s="126">
        <f>0.12*1.25</f>
        <v>0.15</v>
      </c>
      <c r="AA4" t="s">
        <v>213</v>
      </c>
      <c r="AB4" t="s">
        <v>214</v>
      </c>
      <c r="AC4" t="s">
        <v>215</v>
      </c>
      <c r="AD4" t="s">
        <v>215</v>
      </c>
      <c r="AE4" t="s">
        <v>216</v>
      </c>
      <c r="AF4" t="s">
        <v>217</v>
      </c>
      <c r="AG4" t="s">
        <v>218</v>
      </c>
      <c r="AH4" t="s">
        <v>219</v>
      </c>
      <c r="AI4" t="s">
        <v>220</v>
      </c>
      <c r="AJ4" t="s">
        <v>221</v>
      </c>
      <c r="AK4" t="s">
        <v>222</v>
      </c>
      <c r="AL4" t="s">
        <v>139</v>
      </c>
      <c r="AM4" t="s">
        <v>223</v>
      </c>
      <c r="AO4" s="46" t="str">
        <f>Table_Prescript_Meas[[#This Row],[Measure Description]]</f>
        <v>A/C Tune-Up (1.5 to 3.5 Tons)</v>
      </c>
      <c r="AP4" s="46"/>
      <c r="AQ4" s="46"/>
      <c r="AR4" s="46"/>
      <c r="AS4" s="46"/>
      <c r="AT4" s="46"/>
      <c r="AU4" s="46"/>
      <c r="AV4" s="46"/>
      <c r="AW4" s="46"/>
      <c r="AX4" s="46"/>
      <c r="AY4" s="46"/>
    </row>
    <row r="5" spans="1:51" ht="16.5" thickTop="1" thickBot="1" x14ac:dyDescent="0.25">
      <c r="A5" s="44" t="s">
        <v>224</v>
      </c>
      <c r="B5" s="49">
        <v>5000</v>
      </c>
      <c r="D5">
        <v>2</v>
      </c>
      <c r="E5" t="s">
        <v>206</v>
      </c>
      <c r="F5">
        <v>220430</v>
      </c>
      <c r="G5" t="s">
        <v>225</v>
      </c>
      <c r="H5" s="29">
        <v>275</v>
      </c>
      <c r="I5" s="29">
        <v>275</v>
      </c>
      <c r="J5" s="170">
        <f>(3.6+5)/2</f>
        <v>4.3</v>
      </c>
      <c r="K5" t="s">
        <v>208</v>
      </c>
      <c r="L5" s="116" t="e">
        <f>Table_Prescript_Meas[[#This Row],[Average Tons]]*VLOOKUP('Input A-C &amp; Heat Pump Measures'!$E$3,References!$R$5:$T$15,2,FALSE)</f>
        <v>#N/A</v>
      </c>
      <c r="M5" s="117" t="e">
        <f>Table_Prescript_Meas[[#This Row],[Average Tons]]*VLOOKUP('Input A-C &amp; Heat Pump Measures'!$E$3,References!$R$5:$T$15,3,FALSE)</f>
        <v>#N/A</v>
      </c>
      <c r="R5" s="133" t="s">
        <v>226</v>
      </c>
      <c r="S5" s="135">
        <v>457</v>
      </c>
      <c r="T5" s="137">
        <v>0.1502</v>
      </c>
      <c r="U5" s="140"/>
      <c r="V5" s="139"/>
      <c r="X5" t="s">
        <v>227</v>
      </c>
      <c r="Y5" s="126">
        <f>0.12*1.25</f>
        <v>0.15</v>
      </c>
      <c r="AA5" t="s">
        <v>228</v>
      </c>
      <c r="AB5" t="s">
        <v>229</v>
      </c>
      <c r="AC5" t="s">
        <v>216</v>
      </c>
      <c r="AD5" t="s">
        <v>216</v>
      </c>
      <c r="AE5" t="s">
        <v>230</v>
      </c>
      <c r="AF5" t="s">
        <v>231</v>
      </c>
      <c r="AG5" t="s">
        <v>232</v>
      </c>
      <c r="AH5" t="s">
        <v>233</v>
      </c>
      <c r="AI5" t="s">
        <v>234</v>
      </c>
      <c r="AJ5" t="s">
        <v>235</v>
      </c>
      <c r="AK5" t="s">
        <v>236</v>
      </c>
      <c r="AL5" t="s">
        <v>237</v>
      </c>
      <c r="AM5" t="s">
        <v>238</v>
      </c>
      <c r="AO5" s="46" t="str">
        <f>Table_Prescript_Meas[[#This Row],[Measure Description]]</f>
        <v>A/C Tune-Up (3.6 to 5.0 Tons)</v>
      </c>
      <c r="AP5" s="46"/>
      <c r="AQ5" s="46"/>
      <c r="AR5" s="46"/>
      <c r="AS5" s="46"/>
      <c r="AT5" s="46"/>
      <c r="AU5" s="46"/>
      <c r="AV5" s="46"/>
      <c r="AW5" s="46"/>
      <c r="AX5" s="46"/>
      <c r="AY5" s="46"/>
    </row>
    <row r="6" spans="1:51" ht="16.5" thickTop="1" thickBot="1" x14ac:dyDescent="0.25">
      <c r="A6" s="44" t="s">
        <v>239</v>
      </c>
      <c r="B6" s="125" t="e">
        <f>INDEX(Table_Programs_Rates[Custom Incentive Rate], MATCH(Input_ProgramType, Table_Programs_Rates[List_Programs], 0))</f>
        <v>#N/A</v>
      </c>
      <c r="D6">
        <v>3</v>
      </c>
      <c r="E6" t="s">
        <v>206</v>
      </c>
      <c r="F6">
        <v>220530</v>
      </c>
      <c r="G6" t="s">
        <v>240</v>
      </c>
      <c r="H6" s="29">
        <v>450</v>
      </c>
      <c r="I6" s="29">
        <v>450</v>
      </c>
      <c r="J6" s="170">
        <f>(5.1+10)/2</f>
        <v>7.55</v>
      </c>
      <c r="K6" t="s">
        <v>208</v>
      </c>
      <c r="L6" s="116" t="e">
        <f>Table_Prescript_Meas[[#This Row],[Average Tons]]*VLOOKUP('Input A-C &amp; Heat Pump Measures'!$E$3,References!$R$5:$T$15,2,FALSE)</f>
        <v>#N/A</v>
      </c>
      <c r="M6" s="117" t="e">
        <f>Table_Prescript_Meas[[#This Row],[Average Tons]]*VLOOKUP('Input A-C &amp; Heat Pump Measures'!$E$3,References!$R$5:$T$15,3,FALSE)</f>
        <v>#N/A</v>
      </c>
      <c r="R6" s="133" t="s">
        <v>241</v>
      </c>
      <c r="S6" s="135">
        <v>294</v>
      </c>
      <c r="T6" s="137">
        <v>0.17330000000000001</v>
      </c>
      <c r="U6" s="140"/>
      <c r="V6" s="139"/>
      <c r="AA6" t="s">
        <v>242</v>
      </c>
      <c r="AB6" t="s">
        <v>243</v>
      </c>
      <c r="AC6" t="s">
        <v>230</v>
      </c>
      <c r="AE6" t="s">
        <v>244</v>
      </c>
      <c r="AG6" t="s">
        <v>245</v>
      </c>
      <c r="AI6" t="s">
        <v>246</v>
      </c>
      <c r="AJ6" t="s">
        <v>247</v>
      </c>
      <c r="AK6" t="s">
        <v>248</v>
      </c>
      <c r="AL6" t="s">
        <v>249</v>
      </c>
      <c r="AM6" t="s">
        <v>250</v>
      </c>
      <c r="AO6" s="46" t="str">
        <f>Table_Prescript_Meas[[#This Row],[Measure Description]]</f>
        <v>A/C Tune-Up (5.1 to 10 Tons)</v>
      </c>
      <c r="AP6" s="46"/>
      <c r="AQ6" s="46"/>
      <c r="AR6" s="46"/>
      <c r="AS6" s="46"/>
      <c r="AT6" s="46"/>
      <c r="AU6" s="46"/>
      <c r="AV6" s="46"/>
      <c r="AW6" s="46"/>
      <c r="AX6" s="46"/>
      <c r="AY6" s="46"/>
    </row>
    <row r="7" spans="1:51" ht="16.5" thickTop="1" thickBot="1" x14ac:dyDescent="0.25">
      <c r="A7" s="44" t="s">
        <v>251</v>
      </c>
      <c r="B7" s="53">
        <v>1</v>
      </c>
      <c r="D7">
        <v>4</v>
      </c>
      <c r="E7" t="s">
        <v>206</v>
      </c>
      <c r="F7">
        <v>220630</v>
      </c>
      <c r="G7" t="s">
        <v>252</v>
      </c>
      <c r="H7" s="29">
        <v>650</v>
      </c>
      <c r="I7" s="29">
        <v>650</v>
      </c>
      <c r="J7" s="170">
        <f>(10.1+15)/2</f>
        <v>12.55</v>
      </c>
      <c r="K7" t="s">
        <v>208</v>
      </c>
      <c r="L7" s="116" t="e">
        <f>Table_Prescript_Meas[[#This Row],[Average Tons]]*VLOOKUP('Input A-C &amp; Heat Pump Measures'!$E$3,References!$R$5:$T$15,2,FALSE)</f>
        <v>#N/A</v>
      </c>
      <c r="M7" s="117" t="e">
        <f>Table_Prescript_Meas[[#This Row],[Average Tons]]*VLOOKUP('Input A-C &amp; Heat Pump Measures'!$E$3,References!$R$5:$T$15,3,FALSE)</f>
        <v>#N/A</v>
      </c>
      <c r="R7" s="133" t="s">
        <v>253</v>
      </c>
      <c r="S7" s="135">
        <v>383</v>
      </c>
      <c r="T7" s="137">
        <v>0.1636</v>
      </c>
      <c r="U7" s="140"/>
      <c r="V7" s="139"/>
      <c r="AA7" t="s">
        <v>254</v>
      </c>
      <c r="AB7" t="s">
        <v>254</v>
      </c>
      <c r="AE7" t="s">
        <v>255</v>
      </c>
      <c r="AG7" t="s">
        <v>256</v>
      </c>
      <c r="AI7" t="s">
        <v>257</v>
      </c>
      <c r="AJ7" t="s">
        <v>258</v>
      </c>
      <c r="AK7" t="s">
        <v>259</v>
      </c>
      <c r="AL7" t="s">
        <v>260</v>
      </c>
      <c r="AM7" t="s">
        <v>261</v>
      </c>
      <c r="AO7" s="46" t="str">
        <f>Table_Prescript_Meas[[#This Row],[Measure Description]]</f>
        <v>A/C Tune-Up (10.1 to 15 Tons)</v>
      </c>
      <c r="AP7" s="46"/>
      <c r="AQ7" s="46"/>
      <c r="AS7" s="46"/>
      <c r="AT7" s="46"/>
      <c r="AV7" s="46"/>
      <c r="AX7" s="46"/>
    </row>
    <row r="8" spans="1:51" ht="16.5" thickTop="1" thickBot="1" x14ac:dyDescent="0.25">
      <c r="A8" s="44" t="s">
        <v>262</v>
      </c>
      <c r="B8" s="65" t="s">
        <v>527</v>
      </c>
      <c r="D8">
        <v>5</v>
      </c>
      <c r="E8" t="s">
        <v>206</v>
      </c>
      <c r="F8">
        <v>220730</v>
      </c>
      <c r="G8" t="s">
        <v>263</v>
      </c>
      <c r="H8" s="29">
        <v>800</v>
      </c>
      <c r="I8" s="29">
        <v>800</v>
      </c>
      <c r="J8" s="171">
        <f>(15.1+25)/2</f>
        <v>20.05</v>
      </c>
      <c r="K8" t="s">
        <v>208</v>
      </c>
      <c r="L8" s="116" t="e">
        <f>Table_Prescript_Meas[[#This Row],[Average Tons]]*VLOOKUP('Input A-C &amp; Heat Pump Measures'!$E$3,References!$R$5:$T$15,2,FALSE)</f>
        <v>#N/A</v>
      </c>
      <c r="M8" s="117" t="e">
        <f>Table_Prescript_Meas[[#This Row],[Average Tons]]*VLOOKUP('Input A-C &amp; Heat Pump Measures'!$E$3,References!$R$5:$T$15,3,FALSE)</f>
        <v>#N/A</v>
      </c>
      <c r="R8" s="133" t="s">
        <v>264</v>
      </c>
      <c r="S8" s="135">
        <v>285</v>
      </c>
      <c r="T8" s="137">
        <v>0.16170000000000001</v>
      </c>
      <c r="U8" s="140"/>
      <c r="V8" s="139"/>
      <c r="AA8" t="s">
        <v>265</v>
      </c>
      <c r="AB8" t="s">
        <v>266</v>
      </c>
      <c r="AE8" t="s">
        <v>267</v>
      </c>
      <c r="AI8" t="s">
        <v>268</v>
      </c>
      <c r="AJ8" t="s">
        <v>269</v>
      </c>
      <c r="AK8" t="s">
        <v>270</v>
      </c>
      <c r="AM8" t="s">
        <v>271</v>
      </c>
      <c r="AO8" s="46" t="str">
        <f>Table_Prescript_Meas[[#This Row],[Measure Description]]</f>
        <v>A/C Tune-Up (15.1 to 25 Tons)</v>
      </c>
      <c r="AP8" s="46"/>
      <c r="AQ8" s="46"/>
      <c r="AS8" s="46"/>
      <c r="AT8" s="46"/>
      <c r="AX8" s="46"/>
    </row>
    <row r="9" spans="1:51" ht="16.5" thickTop="1" thickBot="1" x14ac:dyDescent="0.25">
      <c r="A9" s="44" t="s">
        <v>272</v>
      </c>
      <c r="B9" s="66"/>
      <c r="D9">
        <v>6</v>
      </c>
      <c r="E9" t="s">
        <v>206</v>
      </c>
      <c r="F9">
        <v>220830</v>
      </c>
      <c r="G9" t="s">
        <v>273</v>
      </c>
      <c r="H9" s="29">
        <v>850</v>
      </c>
      <c r="I9" s="29">
        <v>850</v>
      </c>
      <c r="J9" s="171">
        <f>(25.1+30)/2</f>
        <v>27.55</v>
      </c>
      <c r="K9" t="s">
        <v>208</v>
      </c>
      <c r="L9" s="116" t="e">
        <f>Table_Prescript_Meas[[#This Row],[Average Tons]]*VLOOKUP('Input A-C &amp; Heat Pump Measures'!$E$3,References!$R$5:$T$15,2,FALSE)</f>
        <v>#N/A</v>
      </c>
      <c r="M9" s="117" t="e">
        <f>Table_Prescript_Meas[[#This Row],[Average Tons]]*VLOOKUP('Input A-C &amp; Heat Pump Measures'!$E$3,References!$R$5:$T$15,3,FALSE)</f>
        <v>#N/A</v>
      </c>
      <c r="R9" s="133" t="s">
        <v>274</v>
      </c>
      <c r="S9" s="135">
        <v>403</v>
      </c>
      <c r="T9" s="137">
        <v>0.1482</v>
      </c>
      <c r="U9" s="140"/>
      <c r="V9" s="139"/>
      <c r="AA9" t="s">
        <v>275</v>
      </c>
      <c r="AB9" t="s">
        <v>276</v>
      </c>
      <c r="AE9" t="s">
        <v>277</v>
      </c>
      <c r="AI9" t="s">
        <v>278</v>
      </c>
      <c r="AJ9" t="s">
        <v>279</v>
      </c>
      <c r="AK9" t="s">
        <v>256</v>
      </c>
      <c r="AM9" t="s">
        <v>280</v>
      </c>
      <c r="AO9" s="46" t="str">
        <f>Table_Prescript_Meas[[#This Row],[Measure Description]]</f>
        <v>A/C Tune-Up (25.1 to 30 Tons)</v>
      </c>
      <c r="AP9" s="46"/>
      <c r="AQ9" s="46"/>
      <c r="AS9" s="46"/>
      <c r="AT9" s="46"/>
      <c r="AX9" s="46"/>
    </row>
    <row r="10" spans="1:51" ht="15.75" thickTop="1" x14ac:dyDescent="0.2">
      <c r="D10">
        <v>7</v>
      </c>
      <c r="E10" t="s">
        <v>206</v>
      </c>
      <c r="F10">
        <v>220930</v>
      </c>
      <c r="G10" t="s">
        <v>281</v>
      </c>
      <c r="H10" s="29">
        <v>1400</v>
      </c>
      <c r="I10" s="29">
        <v>1400</v>
      </c>
      <c r="J10" s="170">
        <f>(30.1+50)/2</f>
        <v>40.049999999999997</v>
      </c>
      <c r="K10" t="s">
        <v>208</v>
      </c>
      <c r="L10" s="116" t="e">
        <f>Table_Prescript_Meas[[#This Row],[Average Tons]]*VLOOKUP('Input A-C &amp; Heat Pump Measures'!$E$3,References!$R$5:$T$15,2,FALSE)</f>
        <v>#N/A</v>
      </c>
      <c r="M10" s="117" t="e">
        <f>Table_Prescript_Meas[[#This Row],[Average Tons]]*VLOOKUP('Input A-C &amp; Heat Pump Measures'!$E$3,References!$R$5:$T$15,3,FALSE)</f>
        <v>#N/A</v>
      </c>
      <c r="R10" s="133" t="s">
        <v>282</v>
      </c>
      <c r="S10" s="135">
        <v>384</v>
      </c>
      <c r="T10" s="137">
        <v>0.1636</v>
      </c>
      <c r="U10" s="140"/>
      <c r="V10" s="139"/>
      <c r="AA10" t="s">
        <v>256</v>
      </c>
      <c r="AE10" t="s">
        <v>283</v>
      </c>
      <c r="AI10" t="s">
        <v>284</v>
      </c>
      <c r="AJ10" t="s">
        <v>285</v>
      </c>
      <c r="AK10" t="s">
        <v>286</v>
      </c>
      <c r="AM10" t="s">
        <v>287</v>
      </c>
      <c r="AO10" s="46" t="str">
        <f>Table_Prescript_Meas[[#This Row],[Measure Description]]</f>
        <v>A/C Tune-Up (30.1 to 50 Tons)</v>
      </c>
      <c r="AP10" s="46"/>
      <c r="AQ10" s="46"/>
      <c r="AS10" s="46"/>
      <c r="AX10" s="46"/>
    </row>
    <row r="11" spans="1:51" ht="15" x14ac:dyDescent="0.2">
      <c r="D11">
        <v>8</v>
      </c>
      <c r="E11" t="s">
        <v>206</v>
      </c>
      <c r="F11">
        <v>221030</v>
      </c>
      <c r="G11" t="s">
        <v>288</v>
      </c>
      <c r="H11" s="29">
        <v>2000</v>
      </c>
      <c r="I11" s="29">
        <v>2000</v>
      </c>
      <c r="J11" s="170">
        <f>(50.1+80)/2</f>
        <v>65.05</v>
      </c>
      <c r="K11" t="s">
        <v>208</v>
      </c>
      <c r="L11" s="116" t="e">
        <f>Table_Prescript_Meas[[#This Row],[Average Tons]]*VLOOKUP('Input A-C &amp; Heat Pump Measures'!$E$3,References!$R$5:$T$15,2,FALSE)</f>
        <v>#N/A</v>
      </c>
      <c r="M11" s="117" t="e">
        <f>Table_Prescript_Meas[[#This Row],[Average Tons]]*VLOOKUP('Input A-C &amp; Heat Pump Measures'!$E$3,References!$R$5:$T$15,3,FALSE)</f>
        <v>#N/A</v>
      </c>
      <c r="R11" s="133" t="s">
        <v>289</v>
      </c>
      <c r="S11" s="135">
        <v>614</v>
      </c>
      <c r="T11" s="137">
        <v>0.1694</v>
      </c>
      <c r="U11" s="140"/>
      <c r="V11" s="139"/>
      <c r="AE11" t="s">
        <v>290</v>
      </c>
      <c r="AI11" t="s">
        <v>291</v>
      </c>
      <c r="AM11" t="s">
        <v>292</v>
      </c>
      <c r="AO11" s="46" t="str">
        <f>Table_Prescript_Meas[[#This Row],[Measure Description]]</f>
        <v>A/C Tune-Up (50.1 to 80 Tons)</v>
      </c>
      <c r="AP11" s="46"/>
      <c r="AS11" s="46"/>
      <c r="AX11" s="46"/>
    </row>
    <row r="12" spans="1:51" ht="15" x14ac:dyDescent="0.2">
      <c r="D12">
        <v>9</v>
      </c>
      <c r="E12" t="s">
        <v>206</v>
      </c>
      <c r="F12">
        <v>221130</v>
      </c>
      <c r="G12" t="s">
        <v>293</v>
      </c>
      <c r="H12" s="29">
        <v>2500</v>
      </c>
      <c r="I12" s="29">
        <v>2500</v>
      </c>
      <c r="J12" s="170">
        <f>80.1</f>
        <v>80.099999999999994</v>
      </c>
      <c r="K12" t="s">
        <v>208</v>
      </c>
      <c r="L12" s="116" t="e">
        <f>Table_Prescript_Meas[[#This Row],[Average Tons]]*VLOOKUP('Input A-C &amp; Heat Pump Measures'!$E$3,References!$R$5:$T$15,2,FALSE)</f>
        <v>#N/A</v>
      </c>
      <c r="M12" s="117" t="e">
        <f>Table_Prescript_Meas[[#This Row],[Average Tons]]*VLOOKUP('Input A-C &amp; Heat Pump Measures'!$E$3,References!$R$5:$T$15,3,FALSE)</f>
        <v>#N/A</v>
      </c>
      <c r="R12" s="133" t="s">
        <v>294</v>
      </c>
      <c r="S12" s="135">
        <v>448</v>
      </c>
      <c r="T12" s="137">
        <v>0.13669999999999999</v>
      </c>
      <c r="U12" s="140"/>
      <c r="V12" s="139"/>
      <c r="AE12" t="s">
        <v>295</v>
      </c>
      <c r="AI12" t="s">
        <v>296</v>
      </c>
      <c r="AM12" t="s">
        <v>297</v>
      </c>
      <c r="AO12" s="46" t="str">
        <f>Table_Prescript_Meas[[#This Row],[Measure Description]]</f>
        <v>A/C Tune-Up (80.1+ Tons)</v>
      </c>
      <c r="AP12" s="46"/>
      <c r="AX12" s="46"/>
    </row>
    <row r="13" spans="1:51" ht="15.75" thickBot="1" x14ac:dyDescent="0.25">
      <c r="D13">
        <v>10</v>
      </c>
      <c r="E13" t="s">
        <v>206</v>
      </c>
      <c r="F13">
        <v>221230</v>
      </c>
      <c r="G13" t="s">
        <v>298</v>
      </c>
      <c r="H13" s="29">
        <v>225</v>
      </c>
      <c r="I13" s="29">
        <v>225</v>
      </c>
      <c r="J13" s="170">
        <f>(1.5+3.5)/2</f>
        <v>2.5</v>
      </c>
      <c r="K13" t="s">
        <v>208</v>
      </c>
      <c r="L13" s="116" t="e">
        <f>Table_Prescript_Meas[[#This Row],[Average Tons]]*VLOOKUP('Input A-C &amp; Heat Pump Measures'!$E$3,$R$19:$T$29,2,FALSE)</f>
        <v>#N/A</v>
      </c>
      <c r="M13" s="117" t="e">
        <f>Table_Prescript_Meas[[#This Row],[Average Tons]]*VLOOKUP('Input A-C &amp; Heat Pump Measures'!$E$3,$R$19:$T$29,3,FALSE)</f>
        <v>#N/A</v>
      </c>
      <c r="R13" s="133" t="s">
        <v>299</v>
      </c>
      <c r="S13" s="135">
        <v>397</v>
      </c>
      <c r="T13" s="137">
        <v>0.16170000000000001</v>
      </c>
      <c r="U13" s="140"/>
      <c r="V13" s="139"/>
      <c r="AE13" t="s">
        <v>300</v>
      </c>
      <c r="AI13" t="s">
        <v>301</v>
      </c>
      <c r="AM13" t="s">
        <v>256</v>
      </c>
      <c r="AO13" s="46" t="str">
        <f>Table_Prescript_Meas[[#This Row],[Measure Description]]</f>
        <v>Heat Pump Tune-Up (1.5 to 3.5 Tons)</v>
      </c>
      <c r="AP13" s="46"/>
      <c r="AX13" s="46"/>
    </row>
    <row r="14" spans="1:51" ht="16.5" thickTop="1" thickBot="1" x14ac:dyDescent="0.25">
      <c r="D14">
        <v>11</v>
      </c>
      <c r="E14" t="s">
        <v>206</v>
      </c>
      <c r="F14">
        <v>221330</v>
      </c>
      <c r="G14" t="s">
        <v>302</v>
      </c>
      <c r="H14" s="29">
        <v>275</v>
      </c>
      <c r="I14" s="29">
        <v>275</v>
      </c>
      <c r="J14" s="170">
        <f>(3.6+5)/2</f>
        <v>4.3</v>
      </c>
      <c r="K14" t="s">
        <v>208</v>
      </c>
      <c r="L14" s="116" t="e">
        <f>Table_Prescript_Meas[[#This Row],[Average Tons]]*VLOOKUP('Input A-C &amp; Heat Pump Measures'!$E$3,$R$19:$T$29,2,FALSE)</f>
        <v>#N/A</v>
      </c>
      <c r="M14" s="117" t="e">
        <f>Table_Prescript_Meas[[#This Row],[Average Tons]]*VLOOKUP('Input A-C &amp; Heat Pump Measures'!$E$3,$R$19:$T$29,3,FALSE)</f>
        <v>#N/A</v>
      </c>
      <c r="Q14" s="44"/>
      <c r="R14" s="133" t="s">
        <v>303</v>
      </c>
      <c r="S14" s="135">
        <v>291</v>
      </c>
      <c r="T14" s="137">
        <v>0.16170000000000001</v>
      </c>
      <c r="U14" s="140"/>
      <c r="V14" s="139"/>
      <c r="AE14" t="s">
        <v>304</v>
      </c>
      <c r="AI14" t="s">
        <v>305</v>
      </c>
      <c r="AO14" s="46" t="str">
        <f>Table_Prescript_Meas[[#This Row],[Measure Description]]</f>
        <v>Heat Pump Tune-Up (3.6 to 5.0 Tons)</v>
      </c>
      <c r="AP14" s="46"/>
      <c r="AX14" s="46"/>
    </row>
    <row r="15" spans="1:51" ht="15.75" thickTop="1" x14ac:dyDescent="0.2">
      <c r="D15">
        <v>12</v>
      </c>
      <c r="E15" t="s">
        <v>206</v>
      </c>
      <c r="F15">
        <v>221430</v>
      </c>
      <c r="G15" t="s">
        <v>306</v>
      </c>
      <c r="H15" s="29">
        <v>450</v>
      </c>
      <c r="I15" s="29">
        <v>450</v>
      </c>
      <c r="J15" s="170">
        <f>(5.1+10)/2</f>
        <v>7.55</v>
      </c>
      <c r="K15" t="s">
        <v>208</v>
      </c>
      <c r="L15" s="116" t="e">
        <f>Table_Prescript_Meas[[#This Row],[Average Tons]]*VLOOKUP('Input A-C &amp; Heat Pump Measures'!$E$3,$R$19:$T$29,2,FALSE)</f>
        <v>#N/A</v>
      </c>
      <c r="M15" s="117" t="e">
        <f>Table_Prescript_Meas[[#This Row],[Average Tons]]*VLOOKUP('Input A-C &amp; Heat Pump Measures'!$E$3,$R$19:$T$29,3,FALSE)</f>
        <v>#N/A</v>
      </c>
      <c r="Q15" s="6"/>
      <c r="R15" s="133" t="s">
        <v>230</v>
      </c>
      <c r="S15" s="135">
        <v>396</v>
      </c>
      <c r="T15" s="138">
        <v>0.159</v>
      </c>
      <c r="U15" s="140"/>
      <c r="V15" s="139"/>
      <c r="AI15" t="s">
        <v>307</v>
      </c>
      <c r="AO15" s="46" t="str">
        <f>Table_Prescript_Meas[[#This Row],[Measure Description]]</f>
        <v>Heat Pump Tune-Up (5.1 to 10 Tons)</v>
      </c>
      <c r="AP15" s="46"/>
      <c r="AX15" s="46"/>
    </row>
    <row r="16" spans="1:51" x14ac:dyDescent="0.2">
      <c r="D16">
        <v>13</v>
      </c>
      <c r="E16" t="s">
        <v>206</v>
      </c>
      <c r="F16">
        <v>221530</v>
      </c>
      <c r="G16" t="s">
        <v>308</v>
      </c>
      <c r="H16" s="29">
        <v>650</v>
      </c>
      <c r="I16" s="29">
        <v>650</v>
      </c>
      <c r="J16" s="170">
        <f>(10.1+15)/2</f>
        <v>12.55</v>
      </c>
      <c r="K16" t="s">
        <v>208</v>
      </c>
      <c r="L16" s="116" t="e">
        <f>Table_Prescript_Meas[[#This Row],[Average Tons]]*VLOOKUP('Input A-C &amp; Heat Pump Measures'!$E$3,$R$19:$T$29,2,FALSE)</f>
        <v>#N/A</v>
      </c>
      <c r="M16" s="117" t="e">
        <f>Table_Prescript_Meas[[#This Row],[Average Tons]]*VLOOKUP('Input A-C &amp; Heat Pump Measures'!$E$3,$R$19:$T$29,3,FALSE)</f>
        <v>#N/A</v>
      </c>
      <c r="T16" s="35"/>
      <c r="AI16" t="s">
        <v>309</v>
      </c>
      <c r="AO16" s="46" t="str">
        <f>Table_Prescript_Meas[[#This Row],[Measure Description]]</f>
        <v>Heat Pump Tune-Up (10.1 to 15 Tons)</v>
      </c>
      <c r="AP16" s="46"/>
      <c r="AX16" s="46"/>
    </row>
    <row r="17" spans="4:50" ht="15" customHeight="1" x14ac:dyDescent="0.2">
      <c r="D17">
        <v>14</v>
      </c>
      <c r="E17" t="s">
        <v>206</v>
      </c>
      <c r="F17">
        <v>221630</v>
      </c>
      <c r="G17" t="s">
        <v>310</v>
      </c>
      <c r="H17" s="29">
        <v>800</v>
      </c>
      <c r="I17" s="29">
        <v>800</v>
      </c>
      <c r="J17" s="171">
        <f>(15.1+25)/2</f>
        <v>20.05</v>
      </c>
      <c r="K17" t="s">
        <v>208</v>
      </c>
      <c r="L17" s="116" t="e">
        <f>Table_Prescript_Meas[[#This Row],[Average Tons]]*VLOOKUP('Input A-C &amp; Heat Pump Measures'!$E$3,$R$19:$T$29,2,FALSE)</f>
        <v>#N/A</v>
      </c>
      <c r="M17" s="117" t="e">
        <f>Table_Prescript_Meas[[#This Row],[Average Tons]]*VLOOKUP('Input A-C &amp; Heat Pump Measures'!$E$3,$R$19:$T$29,3,FALSE)</f>
        <v>#N/A</v>
      </c>
      <c r="R17" s="329" t="s">
        <v>311</v>
      </c>
      <c r="S17" s="329"/>
      <c r="T17" s="329"/>
      <c r="U17" s="134"/>
      <c r="AI17" t="s">
        <v>312</v>
      </c>
      <c r="AO17" s="46" t="str">
        <f>Table_Prescript_Meas[[#This Row],[Measure Description]]</f>
        <v>Heat Pump Tune-Up (15.1 to 25 Tons)</v>
      </c>
      <c r="AP17" s="46"/>
      <c r="AX17" s="46"/>
    </row>
    <row r="18" spans="4:50" ht="15" x14ac:dyDescent="0.2">
      <c r="D18">
        <v>15</v>
      </c>
      <c r="E18" t="s">
        <v>206</v>
      </c>
      <c r="F18">
        <v>221730</v>
      </c>
      <c r="G18" t="s">
        <v>313</v>
      </c>
      <c r="H18" s="29">
        <v>850</v>
      </c>
      <c r="I18" s="29">
        <v>850</v>
      </c>
      <c r="J18" s="171">
        <f>(25.1+30)/2</f>
        <v>27.55</v>
      </c>
      <c r="K18" t="s">
        <v>208</v>
      </c>
      <c r="L18" s="116" t="e">
        <f>Table_Prescript_Meas[[#This Row],[Average Tons]]*VLOOKUP('Input A-C &amp; Heat Pump Measures'!$E$3,$R$19:$T$29,2,FALSE)</f>
        <v>#N/A</v>
      </c>
      <c r="M18" s="117" t="e">
        <f>Table_Prescript_Meas[[#This Row],[Average Tons]]*VLOOKUP('Input A-C &amp; Heat Pump Measures'!$E$3,$R$19:$T$29,3,FALSE)</f>
        <v>#N/A</v>
      </c>
      <c r="R18" s="131" t="s">
        <v>209</v>
      </c>
      <c r="S18" s="132" t="s">
        <v>210</v>
      </c>
      <c r="T18" s="136" t="s">
        <v>211</v>
      </c>
      <c r="U18" s="143"/>
      <c r="V18" s="141"/>
      <c r="AI18" t="s">
        <v>314</v>
      </c>
      <c r="AO18" s="46" t="str">
        <f>Table_Prescript_Meas[[#This Row],[Measure Description]]</f>
        <v>Heat Pump Tune-Up (25.1 to 30 Tons)</v>
      </c>
      <c r="AP18" s="46"/>
      <c r="AX18" s="46"/>
    </row>
    <row r="19" spans="4:50" ht="15" x14ac:dyDescent="0.2">
      <c r="D19">
        <v>16</v>
      </c>
      <c r="E19" t="s">
        <v>206</v>
      </c>
      <c r="F19">
        <v>221830</v>
      </c>
      <c r="G19" t="s">
        <v>315</v>
      </c>
      <c r="H19" s="29">
        <v>1400</v>
      </c>
      <c r="I19" s="29">
        <v>1400</v>
      </c>
      <c r="J19" s="170">
        <f>(30.1+50)/2</f>
        <v>40.049999999999997</v>
      </c>
      <c r="K19" t="s">
        <v>208</v>
      </c>
      <c r="L19" s="116" t="e">
        <f>Table_Prescript_Meas[[#This Row],[Average Tons]]*VLOOKUP('Input A-C &amp; Heat Pump Measures'!$E$3,$R$19:$T$29,2,FALSE)</f>
        <v>#N/A</v>
      </c>
      <c r="M19" s="117" t="e">
        <f>Table_Prescript_Meas[[#This Row],[Average Tons]]*VLOOKUP('Input A-C &amp; Heat Pump Measures'!$E$3,$R$19:$T$29,3,FALSE)</f>
        <v>#N/A</v>
      </c>
      <c r="R19" s="133" t="s">
        <v>226</v>
      </c>
      <c r="S19" s="135">
        <v>538</v>
      </c>
      <c r="T19" s="137">
        <v>0.15290000000000001</v>
      </c>
      <c r="U19" s="140"/>
      <c r="V19" s="139"/>
      <c r="AI19" t="s">
        <v>316</v>
      </c>
      <c r="AO19" s="46" t="str">
        <f>Table_Prescript_Meas[[#This Row],[Measure Description]]</f>
        <v>Heat Pump Tune-Up (30.1 to 50 Tons)</v>
      </c>
      <c r="AX19" s="46"/>
    </row>
    <row r="20" spans="4:50" ht="15" x14ac:dyDescent="0.2">
      <c r="D20">
        <v>17</v>
      </c>
      <c r="E20" t="s">
        <v>206</v>
      </c>
      <c r="F20">
        <v>221930</v>
      </c>
      <c r="G20" t="s">
        <v>317</v>
      </c>
      <c r="H20" s="29">
        <v>2000</v>
      </c>
      <c r="I20" s="29">
        <v>2000</v>
      </c>
      <c r="J20" s="170">
        <f>(50.1+80)/2</f>
        <v>65.05</v>
      </c>
      <c r="K20" t="s">
        <v>208</v>
      </c>
      <c r="L20" s="116" t="e">
        <f>Table_Prescript_Meas[[#This Row],[Average Tons]]*VLOOKUP('Input A-C &amp; Heat Pump Measures'!$E$3,$R$19:$T$29,2,FALSE)</f>
        <v>#N/A</v>
      </c>
      <c r="M20" s="117" t="e">
        <f>Table_Prescript_Meas[[#This Row],[Average Tons]]*VLOOKUP('Input A-C &amp; Heat Pump Measures'!$E$3,$R$19:$T$29,3,FALSE)</f>
        <v>#N/A</v>
      </c>
      <c r="R20" s="133" t="s">
        <v>241</v>
      </c>
      <c r="S20" s="135">
        <v>340</v>
      </c>
      <c r="T20" s="137">
        <v>0.17649999999999999</v>
      </c>
      <c r="U20" s="140"/>
      <c r="V20" s="139"/>
      <c r="AI20" t="s">
        <v>318</v>
      </c>
      <c r="AO20" s="46" t="str">
        <f>Table_Prescript_Meas[[#This Row],[Measure Description]]</f>
        <v>Heat Pump Tune-Up (50.1 to 80 Tons)</v>
      </c>
      <c r="AX20" s="46"/>
    </row>
    <row r="21" spans="4:50" ht="15" x14ac:dyDescent="0.2">
      <c r="D21">
        <v>18</v>
      </c>
      <c r="E21" t="s">
        <v>206</v>
      </c>
      <c r="F21">
        <v>222030</v>
      </c>
      <c r="G21" t="s">
        <v>319</v>
      </c>
      <c r="H21" s="29">
        <v>2500</v>
      </c>
      <c r="I21" s="29">
        <v>2500</v>
      </c>
      <c r="J21" s="170">
        <f>80.1</f>
        <v>80.099999999999994</v>
      </c>
      <c r="K21" t="s">
        <v>208</v>
      </c>
      <c r="L21" s="116" t="e">
        <f>Table_Prescript_Meas[[#This Row],[Average Tons]]*VLOOKUP('Input A-C &amp; Heat Pump Measures'!$E$3,$R$19:$T$29,2,FALSE)</f>
        <v>#N/A</v>
      </c>
      <c r="M21" s="117" t="e">
        <f>Table_Prescript_Meas[[#This Row],[Average Tons]]*VLOOKUP('Input A-C &amp; Heat Pump Measures'!$E$3,$R$19:$T$29,3,FALSE)</f>
        <v>#N/A</v>
      </c>
      <c r="R21" s="133" t="s">
        <v>253</v>
      </c>
      <c r="S21" s="135">
        <v>420</v>
      </c>
      <c r="T21" s="137">
        <v>0.16669999999999999</v>
      </c>
      <c r="U21" s="140"/>
      <c r="V21" s="139"/>
      <c r="AI21" t="s">
        <v>320</v>
      </c>
      <c r="AO21" s="46" t="str">
        <f>Table_Prescript_Meas[[#This Row],[Measure Description]]</f>
        <v>Heat Pump Tune-Up (80.1+ Tons)</v>
      </c>
      <c r="AX21" s="46"/>
    </row>
    <row r="22" spans="4:50" ht="15" x14ac:dyDescent="0.2">
      <c r="D22">
        <v>19</v>
      </c>
      <c r="E22" t="s">
        <v>206</v>
      </c>
      <c r="F22">
        <v>222130</v>
      </c>
      <c r="G22" t="s">
        <v>321</v>
      </c>
      <c r="H22" s="29">
        <v>15</v>
      </c>
      <c r="I22" s="29">
        <v>15</v>
      </c>
      <c r="J22" s="29"/>
      <c r="K22" t="s">
        <v>322</v>
      </c>
      <c r="L22" s="116"/>
      <c r="M22" s="117"/>
      <c r="R22" s="133" t="s">
        <v>264</v>
      </c>
      <c r="S22" s="135">
        <v>395</v>
      </c>
      <c r="T22" s="137">
        <v>0.16470000000000001</v>
      </c>
      <c r="U22" s="140"/>
      <c r="V22" s="139"/>
      <c r="AI22" t="s">
        <v>323</v>
      </c>
      <c r="AO22" s="46" t="str">
        <f>Table_Prescript_Meas[[#This Row],[Measure Description]]</f>
        <v>Tune-Up of Air-Cooled Chiller</v>
      </c>
      <c r="AX22" s="46"/>
    </row>
    <row r="23" spans="4:50" ht="15" x14ac:dyDescent="0.2">
      <c r="D23">
        <v>20</v>
      </c>
      <c r="E23" t="s">
        <v>206</v>
      </c>
      <c r="F23">
        <v>222230</v>
      </c>
      <c r="G23" t="s">
        <v>324</v>
      </c>
      <c r="H23" s="29">
        <v>9</v>
      </c>
      <c r="I23" s="29">
        <v>9</v>
      </c>
      <c r="J23" s="29"/>
      <c r="K23" t="s">
        <v>322</v>
      </c>
      <c r="L23" s="116"/>
      <c r="M23" s="117"/>
      <c r="R23" s="133" t="s">
        <v>274</v>
      </c>
      <c r="S23" s="135">
        <v>519</v>
      </c>
      <c r="T23" s="138">
        <v>0.151</v>
      </c>
      <c r="U23" s="140"/>
      <c r="V23" s="139"/>
      <c r="AI23" t="s">
        <v>325</v>
      </c>
      <c r="AO23" s="46" t="str">
        <f>Table_Prescript_Meas[[#This Row],[Measure Description]]</f>
        <v>Tune-Up of Water-Cooled Chiller (Reciprocating, Rotary Screw, Scroll)</v>
      </c>
      <c r="AX23" s="46"/>
    </row>
    <row r="24" spans="4:50" ht="15" x14ac:dyDescent="0.2">
      <c r="D24">
        <v>21</v>
      </c>
      <c r="E24" t="s">
        <v>206</v>
      </c>
      <c r="F24">
        <v>222330</v>
      </c>
      <c r="G24" t="s">
        <v>326</v>
      </c>
      <c r="H24" s="29">
        <v>9</v>
      </c>
      <c r="I24" s="29">
        <v>9</v>
      </c>
      <c r="J24" s="29"/>
      <c r="K24" t="s">
        <v>322</v>
      </c>
      <c r="L24" s="116"/>
      <c r="M24" s="117"/>
      <c r="R24" s="133" t="s">
        <v>282</v>
      </c>
      <c r="S24" s="135">
        <v>436</v>
      </c>
      <c r="T24" s="137">
        <v>0.16669999999999999</v>
      </c>
      <c r="U24" s="140"/>
      <c r="V24" s="139"/>
      <c r="AI24" t="s">
        <v>327</v>
      </c>
      <c r="AO24" s="46" t="str">
        <f>Table_Prescript_Meas[[#This Row],[Measure Description]]</f>
        <v>Tune-Up of Water-Cooled Chiller (Centrifugal)</v>
      </c>
      <c r="AX24" s="46"/>
    </row>
    <row r="25" spans="4:50" ht="15" x14ac:dyDescent="0.2">
      <c r="H25" s="29"/>
      <c r="I25" s="29"/>
      <c r="J25" s="29"/>
      <c r="M25" s="116"/>
      <c r="R25" s="133" t="s">
        <v>289</v>
      </c>
      <c r="S25" s="135">
        <v>761</v>
      </c>
      <c r="T25" s="137">
        <v>0.17249999999999999</v>
      </c>
      <c r="U25" s="140"/>
      <c r="V25" s="139"/>
      <c r="AI25" t="s">
        <v>328</v>
      </c>
      <c r="AX25" s="46"/>
    </row>
    <row r="26" spans="4:50" ht="15" x14ac:dyDescent="0.2">
      <c r="H26" s="29"/>
      <c r="I26" s="29"/>
      <c r="J26" s="29"/>
      <c r="M26" s="116"/>
      <c r="R26" s="133" t="s">
        <v>294</v>
      </c>
      <c r="S26" s="135">
        <v>494</v>
      </c>
      <c r="T26" s="137">
        <v>0.13919999999999999</v>
      </c>
      <c r="U26" s="140"/>
      <c r="V26" s="139"/>
      <c r="AI26" t="s">
        <v>329</v>
      </c>
      <c r="AX26" s="46"/>
    </row>
    <row r="27" spans="4:50" ht="15" x14ac:dyDescent="0.2">
      <c r="H27" s="29"/>
      <c r="I27" s="29"/>
      <c r="J27" s="29"/>
      <c r="M27" s="116"/>
      <c r="R27" s="133" t="s">
        <v>299</v>
      </c>
      <c r="S27" s="135">
        <v>471</v>
      </c>
      <c r="T27" s="137">
        <v>0.16470000000000001</v>
      </c>
      <c r="U27" s="140"/>
      <c r="V27" s="139"/>
      <c r="AI27" t="s">
        <v>330</v>
      </c>
      <c r="AX27" s="46"/>
    </row>
    <row r="28" spans="4:50" ht="15" x14ac:dyDescent="0.2">
      <c r="H28" s="29"/>
      <c r="I28" s="29"/>
      <c r="J28" s="29"/>
      <c r="M28" s="116"/>
      <c r="R28" s="133" t="s">
        <v>303</v>
      </c>
      <c r="S28" s="135">
        <v>456</v>
      </c>
      <c r="T28" s="137">
        <v>0.16470000000000001</v>
      </c>
      <c r="U28" s="140"/>
      <c r="V28" s="139"/>
      <c r="AI28" t="s">
        <v>331</v>
      </c>
      <c r="AX28" s="46"/>
    </row>
    <row r="29" spans="4:50" ht="15" x14ac:dyDescent="0.2">
      <c r="H29" s="29"/>
      <c r="I29" s="29"/>
      <c r="J29" s="29"/>
      <c r="M29" s="116"/>
      <c r="R29" s="133" t="s">
        <v>230</v>
      </c>
      <c r="S29" s="135">
        <v>483</v>
      </c>
      <c r="T29" s="138">
        <v>0.16200000000000001</v>
      </c>
      <c r="U29" s="140"/>
      <c r="V29" s="139"/>
      <c r="AI29" t="s">
        <v>332</v>
      </c>
      <c r="AX29" s="46"/>
    </row>
    <row r="30" spans="4:50" x14ac:dyDescent="0.2">
      <c r="H30" s="29"/>
      <c r="I30" s="29"/>
      <c r="J30" s="29"/>
      <c r="M30" s="116"/>
      <c r="AI30" t="s">
        <v>333</v>
      </c>
      <c r="AX30" s="46"/>
    </row>
    <row r="31" spans="4:50" x14ac:dyDescent="0.2">
      <c r="H31" s="29"/>
      <c r="I31" s="29"/>
      <c r="J31" s="29"/>
      <c r="M31" s="116"/>
      <c r="AI31" t="s">
        <v>334</v>
      </c>
      <c r="AX31" s="46"/>
    </row>
    <row r="32" spans="4:50" x14ac:dyDescent="0.2">
      <c r="H32" s="29"/>
      <c r="I32" s="29"/>
      <c r="J32" s="29"/>
      <c r="M32" s="116"/>
      <c r="AI32" t="s">
        <v>335</v>
      </c>
      <c r="AX32" s="46"/>
    </row>
    <row r="33" spans="8:50" x14ac:dyDescent="0.2">
      <c r="H33" s="29"/>
      <c r="I33" s="29"/>
      <c r="J33" s="29"/>
      <c r="M33" s="116"/>
      <c r="AI33" t="s">
        <v>336</v>
      </c>
      <c r="AX33" s="46"/>
    </row>
    <row r="34" spans="8:50" x14ac:dyDescent="0.2">
      <c r="H34" s="29"/>
      <c r="I34" s="29"/>
      <c r="J34" s="29"/>
      <c r="M34" s="116"/>
      <c r="AI34" t="s">
        <v>337</v>
      </c>
      <c r="AX34" s="46"/>
    </row>
    <row r="35" spans="8:50" x14ac:dyDescent="0.2">
      <c r="H35" s="29"/>
      <c r="I35" s="29"/>
      <c r="J35" s="29"/>
      <c r="M35" s="116"/>
      <c r="AI35" t="s">
        <v>338</v>
      </c>
      <c r="AX35" s="46"/>
    </row>
    <row r="36" spans="8:50" x14ac:dyDescent="0.2">
      <c r="H36" s="29"/>
      <c r="I36" s="29"/>
      <c r="J36" s="29"/>
      <c r="M36" s="116"/>
      <c r="AI36" t="s">
        <v>339</v>
      </c>
      <c r="AX36" s="46"/>
    </row>
    <row r="37" spans="8:50" x14ac:dyDescent="0.2">
      <c r="H37" s="29"/>
      <c r="I37" s="29"/>
      <c r="J37" s="29"/>
      <c r="M37" s="116"/>
      <c r="AX37" s="46"/>
    </row>
    <row r="38" spans="8:50" x14ac:dyDescent="0.2">
      <c r="H38" s="29"/>
      <c r="I38" s="29"/>
      <c r="J38" s="29"/>
      <c r="L38" s="67"/>
      <c r="M38" s="116"/>
      <c r="AX38" s="46"/>
    </row>
    <row r="39" spans="8:50" x14ac:dyDescent="0.2">
      <c r="H39" s="29"/>
      <c r="I39" s="29"/>
      <c r="J39" s="29"/>
      <c r="M39" s="116"/>
      <c r="AX39" s="46"/>
    </row>
    <row r="40" spans="8:50" x14ac:dyDescent="0.2">
      <c r="H40" s="29"/>
      <c r="I40" s="29"/>
      <c r="J40" s="29"/>
      <c r="M40" s="116"/>
      <c r="AX40" s="46"/>
    </row>
    <row r="41" spans="8:50" x14ac:dyDescent="0.2">
      <c r="H41" s="29"/>
      <c r="I41" s="29"/>
      <c r="J41" s="29"/>
      <c r="M41" s="116"/>
      <c r="AX41" s="46"/>
    </row>
    <row r="42" spans="8:50" x14ac:dyDescent="0.2">
      <c r="H42" s="29"/>
      <c r="I42" s="29"/>
      <c r="J42" s="29"/>
      <c r="M42" s="116"/>
    </row>
    <row r="43" spans="8:50" ht="15" x14ac:dyDescent="0.2">
      <c r="H43" s="29"/>
      <c r="I43" s="29"/>
      <c r="J43" s="29"/>
      <c r="M43" s="116"/>
      <c r="Q43" t="s">
        <v>340</v>
      </c>
      <c r="R43" s="145" t="s">
        <v>341</v>
      </c>
    </row>
    <row r="44" spans="8:50" ht="15" x14ac:dyDescent="0.2">
      <c r="H44" s="29"/>
      <c r="I44" s="29"/>
      <c r="J44" s="29"/>
      <c r="M44" s="116"/>
      <c r="Q44" t="s">
        <v>342</v>
      </c>
      <c r="R44" s="145" t="s">
        <v>343</v>
      </c>
    </row>
    <row r="45" spans="8:50" x14ac:dyDescent="0.2">
      <c r="H45" s="29"/>
      <c r="I45" s="29"/>
      <c r="J45" s="29"/>
      <c r="M45" s="116"/>
    </row>
    <row r="46" spans="8:50" ht="15" x14ac:dyDescent="0.2">
      <c r="H46" s="29"/>
      <c r="I46" s="29"/>
      <c r="J46" s="29"/>
      <c r="M46" s="116"/>
      <c r="R46" s="329" t="s">
        <v>344</v>
      </c>
      <c r="S46" s="329"/>
      <c r="T46" s="329"/>
    </row>
    <row r="47" spans="8:50" ht="30" x14ac:dyDescent="0.2">
      <c r="H47" s="29"/>
      <c r="I47" s="29"/>
      <c r="J47" s="29"/>
      <c r="M47" s="116"/>
      <c r="R47" s="132" t="s">
        <v>345</v>
      </c>
      <c r="S47" s="150" t="s">
        <v>346</v>
      </c>
      <c r="T47" s="150"/>
      <c r="U47" s="150" t="s">
        <v>347</v>
      </c>
      <c r="V47" s="150"/>
    </row>
    <row r="48" spans="8:50" ht="15" x14ac:dyDescent="0.2">
      <c r="H48" s="29"/>
      <c r="I48" s="29"/>
      <c r="J48" s="29"/>
      <c r="M48" s="116"/>
      <c r="Q48" s="116">
        <f>65000/12000</f>
        <v>5.416666666666667</v>
      </c>
      <c r="R48" s="148" t="s">
        <v>348</v>
      </c>
      <c r="S48" s="151">
        <v>11</v>
      </c>
      <c r="T48" s="154"/>
      <c r="U48" s="115">
        <f>(1-AVERAGE($S$82,$S$93))*S48</f>
        <v>9.8656249999999996</v>
      </c>
      <c r="V48" s="115"/>
    </row>
    <row r="49" spans="8:23" ht="15" x14ac:dyDescent="0.2">
      <c r="H49" s="29"/>
      <c r="I49" s="29"/>
      <c r="J49" s="29"/>
      <c r="L49" s="35"/>
      <c r="M49" s="116"/>
      <c r="Q49" s="116">
        <f>135000/12000</f>
        <v>11.25</v>
      </c>
      <c r="R49" s="149" t="s">
        <v>349</v>
      </c>
      <c r="S49" s="151">
        <v>10.8</v>
      </c>
      <c r="T49" s="154"/>
      <c r="U49" s="115">
        <f>(1-AVERAGE($S$82,$S$93))*S49</f>
        <v>9.6862500000000011</v>
      </c>
      <c r="V49" s="115"/>
    </row>
    <row r="50" spans="8:23" ht="15" x14ac:dyDescent="0.2">
      <c r="H50" s="29"/>
      <c r="I50" s="29"/>
      <c r="J50" s="29"/>
      <c r="M50" s="116"/>
      <c r="P50">
        <v>19.989999999999998</v>
      </c>
      <c r="Q50" s="116">
        <f>240000/12000</f>
        <v>20</v>
      </c>
      <c r="R50" s="149" t="s">
        <v>350</v>
      </c>
      <c r="S50" s="151">
        <v>9.8000000000000007</v>
      </c>
      <c r="T50" s="154"/>
      <c r="U50" s="115">
        <f>(1-AVERAGE($S$82,$S$93))*S50</f>
        <v>8.7893749999999997</v>
      </c>
      <c r="V50" s="115"/>
    </row>
    <row r="51" spans="8:23" ht="15" x14ac:dyDescent="0.2">
      <c r="H51" s="29"/>
      <c r="I51" s="29"/>
      <c r="J51" s="29"/>
      <c r="M51" s="116"/>
      <c r="Q51" s="116">
        <f>760000/12000</f>
        <v>63.333333333333336</v>
      </c>
      <c r="R51" s="149" t="s">
        <v>351</v>
      </c>
      <c r="S51" s="151">
        <v>9.5</v>
      </c>
      <c r="T51" s="154"/>
      <c r="U51" s="115">
        <f>(1-AVERAGE($S$82,$S$93))*S51</f>
        <v>8.5203124999999993</v>
      </c>
      <c r="V51" s="115"/>
    </row>
    <row r="52" spans="8:23" x14ac:dyDescent="0.2">
      <c r="H52" s="29"/>
      <c r="I52" s="29"/>
      <c r="J52" s="29"/>
      <c r="M52" s="116"/>
    </row>
    <row r="53" spans="8:23" ht="15" x14ac:dyDescent="0.25">
      <c r="H53" s="29"/>
      <c r="I53" s="29"/>
      <c r="J53" s="29"/>
      <c r="M53" s="116"/>
      <c r="R53" s="341" t="s">
        <v>352</v>
      </c>
      <c r="S53" s="341"/>
      <c r="T53" s="341"/>
    </row>
    <row r="54" spans="8:23" ht="15" customHeight="1" x14ac:dyDescent="0.2">
      <c r="H54" s="29"/>
      <c r="I54" s="29"/>
      <c r="J54" s="29"/>
      <c r="M54" s="116"/>
      <c r="R54" s="132" t="s">
        <v>345</v>
      </c>
      <c r="S54" s="136" t="s">
        <v>346</v>
      </c>
      <c r="T54" s="150" t="s">
        <v>353</v>
      </c>
      <c r="U54" s="150" t="s">
        <v>347</v>
      </c>
      <c r="V54" s="150" t="s">
        <v>354</v>
      </c>
    </row>
    <row r="55" spans="8:23" ht="14.25" customHeight="1" x14ac:dyDescent="0.2">
      <c r="H55" s="29"/>
      <c r="I55" s="29"/>
      <c r="J55" s="29"/>
      <c r="M55" s="116"/>
      <c r="Q55" s="116">
        <f>65000/12000</f>
        <v>5.416666666666667</v>
      </c>
      <c r="R55" s="148" t="s">
        <v>348</v>
      </c>
      <c r="S55" s="151">
        <v>11.8</v>
      </c>
      <c r="T55" s="154">
        <f>AVERAGE($U$64:$U$65)</f>
        <v>8.1</v>
      </c>
      <c r="U55" s="115">
        <f>(1-AVERAGE($S$82,$S$93))*S55</f>
        <v>10.583125000000001</v>
      </c>
      <c r="V55" s="115">
        <f>(1-AVERAGE($S$93,$S$82))*T55</f>
        <v>7.2646874999999991</v>
      </c>
    </row>
    <row r="56" spans="8:23" ht="14.25" customHeight="1" x14ac:dyDescent="0.2">
      <c r="H56" s="29"/>
      <c r="I56" s="29"/>
      <c r="J56" s="29"/>
      <c r="M56" s="116"/>
      <c r="Q56" s="116">
        <f>135000/12000</f>
        <v>11.25</v>
      </c>
      <c r="R56" s="149" t="s">
        <v>349</v>
      </c>
      <c r="S56" s="151">
        <v>10.8</v>
      </c>
      <c r="T56" s="154">
        <f>$U$66</f>
        <v>11.3</v>
      </c>
      <c r="U56" s="115">
        <f>(1-AVERAGE($S$82,$S$93))*S56</f>
        <v>9.6862500000000011</v>
      </c>
      <c r="V56" s="115">
        <f>(1-AVERAGE($S$93,$S$82))*T56</f>
        <v>10.1346875</v>
      </c>
    </row>
    <row r="57" spans="8:23" ht="15" customHeight="1" x14ac:dyDescent="0.2">
      <c r="H57" s="29"/>
      <c r="I57" s="29"/>
      <c r="J57" s="29"/>
      <c r="M57" s="116"/>
      <c r="P57">
        <v>19.989999999999998</v>
      </c>
      <c r="Q57" s="116">
        <f>240000/12000</f>
        <v>20</v>
      </c>
      <c r="R57" s="149" t="s">
        <v>350</v>
      </c>
      <c r="S57" s="151">
        <v>10.4</v>
      </c>
      <c r="T57" s="154">
        <f>$U$68</f>
        <v>10.9</v>
      </c>
      <c r="U57" s="115">
        <f>(1-AVERAGE($S$82,$S$93))*S57</f>
        <v>9.3275000000000006</v>
      </c>
      <c r="V57" s="115">
        <f>(1-AVERAGE($S$93,$S$82))*T57</f>
        <v>9.7759374999999995</v>
      </c>
    </row>
    <row r="58" spans="8:23" ht="15" customHeight="1" x14ac:dyDescent="0.2">
      <c r="H58" s="29"/>
      <c r="I58" s="29"/>
      <c r="J58" s="29"/>
      <c r="M58" s="116"/>
      <c r="Q58" s="116">
        <f>760000/12000</f>
        <v>63.333333333333336</v>
      </c>
      <c r="R58" s="149" t="s">
        <v>355</v>
      </c>
      <c r="S58" s="151">
        <v>9.3000000000000007</v>
      </c>
      <c r="T58" s="154">
        <f>$U$68</f>
        <v>10.9</v>
      </c>
      <c r="U58" s="115">
        <f>(1-AVERAGE($S$82,$S$93))*S58</f>
        <v>8.3409375000000008</v>
      </c>
      <c r="V58" s="115">
        <f>(1-AVERAGE($S$93,$S$82))*T58</f>
        <v>9.7759374999999995</v>
      </c>
    </row>
    <row r="59" spans="8:23" ht="14.25" customHeight="1" x14ac:dyDescent="0.2">
      <c r="H59" s="29"/>
      <c r="I59" s="29"/>
      <c r="J59" s="29"/>
      <c r="M59" s="116"/>
    </row>
    <row r="60" spans="8:23" ht="14.25" customHeight="1" x14ac:dyDescent="0.2">
      <c r="H60" s="29"/>
      <c r="I60" s="29"/>
      <c r="J60" s="29"/>
      <c r="M60" s="116"/>
    </row>
    <row r="61" spans="8:23" x14ac:dyDescent="0.2">
      <c r="H61" s="29"/>
      <c r="I61" s="29"/>
      <c r="J61" s="29"/>
      <c r="M61" s="116"/>
    </row>
    <row r="62" spans="8:23" ht="12.75" customHeight="1" x14ac:dyDescent="0.2">
      <c r="H62" s="29"/>
      <c r="I62" s="29"/>
      <c r="J62" s="29"/>
      <c r="M62" s="116"/>
      <c r="R62" s="134" t="s">
        <v>356</v>
      </c>
      <c r="S62" s="134"/>
      <c r="T62" s="134"/>
      <c r="U62" s="134"/>
      <c r="V62" s="134"/>
      <c r="W62" s="134"/>
    </row>
    <row r="63" spans="8:23" ht="12.75" customHeight="1" x14ac:dyDescent="0.2">
      <c r="H63" s="29"/>
      <c r="I63" s="29"/>
      <c r="J63" s="29"/>
      <c r="M63" s="116"/>
      <c r="R63" s="136" t="s">
        <v>345</v>
      </c>
      <c r="S63" s="172" t="s">
        <v>357</v>
      </c>
      <c r="T63" s="172"/>
      <c r="U63" s="172" t="s">
        <v>353</v>
      </c>
      <c r="V63" s="172"/>
      <c r="W63" s="152"/>
    </row>
    <row r="64" spans="8:23" ht="15" customHeight="1" x14ac:dyDescent="0.2">
      <c r="H64" s="29"/>
      <c r="I64" s="29"/>
      <c r="J64" s="29"/>
      <c r="M64" s="116"/>
      <c r="R64" s="339" t="s">
        <v>348</v>
      </c>
      <c r="S64" s="174" t="s">
        <v>358</v>
      </c>
      <c r="T64" s="174"/>
      <c r="U64" s="153">
        <v>8.1999999999999993</v>
      </c>
      <c r="V64" s="174"/>
      <c r="W64" s="146"/>
    </row>
    <row r="65" spans="8:23" ht="15" customHeight="1" x14ac:dyDescent="0.2">
      <c r="H65" s="29"/>
      <c r="I65" s="29"/>
      <c r="J65" s="29"/>
      <c r="M65" s="116"/>
      <c r="R65" s="340"/>
      <c r="S65" s="174" t="s">
        <v>359</v>
      </c>
      <c r="T65" s="174"/>
      <c r="U65" s="153">
        <v>8</v>
      </c>
      <c r="V65" s="174"/>
      <c r="W65" s="146"/>
    </row>
    <row r="66" spans="8:23" ht="30" x14ac:dyDescent="0.2">
      <c r="H66" s="29"/>
      <c r="I66" s="29"/>
      <c r="J66" s="29"/>
      <c r="M66" s="116"/>
      <c r="R66" s="321" t="s">
        <v>349</v>
      </c>
      <c r="S66" s="173" t="s">
        <v>360</v>
      </c>
      <c r="T66" s="173"/>
      <c r="U66" s="153">
        <v>11.3</v>
      </c>
      <c r="V66" s="174"/>
      <c r="W66" s="146"/>
    </row>
    <row r="67" spans="8:23" ht="30" x14ac:dyDescent="0.2">
      <c r="H67" s="29"/>
      <c r="I67" s="29"/>
      <c r="J67" s="29"/>
      <c r="M67" s="116"/>
      <c r="R67" s="322"/>
      <c r="S67" s="173" t="s">
        <v>361</v>
      </c>
      <c r="T67" s="173"/>
      <c r="U67" s="153">
        <v>7.7</v>
      </c>
      <c r="V67" s="174"/>
      <c r="W67" s="146"/>
    </row>
    <row r="68" spans="8:23" ht="30" x14ac:dyDescent="0.2">
      <c r="H68" s="29"/>
      <c r="I68" s="29"/>
      <c r="J68" s="29"/>
      <c r="M68" s="116"/>
      <c r="R68" s="321" t="s">
        <v>362</v>
      </c>
      <c r="S68" s="173" t="s">
        <v>360</v>
      </c>
      <c r="T68" s="173"/>
      <c r="U68" s="153">
        <v>10.9</v>
      </c>
      <c r="V68" s="174"/>
      <c r="W68" s="146"/>
    </row>
    <row r="69" spans="8:23" ht="30" x14ac:dyDescent="0.2">
      <c r="H69" s="29"/>
      <c r="I69" s="29"/>
      <c r="J69" s="29"/>
      <c r="M69" s="116"/>
      <c r="R69" s="322"/>
      <c r="S69" s="173" t="s">
        <v>361</v>
      </c>
      <c r="T69" s="173"/>
      <c r="U69" s="153">
        <v>7</v>
      </c>
      <c r="V69" s="174"/>
      <c r="W69" s="146"/>
    </row>
    <row r="70" spans="8:23" x14ac:dyDescent="0.2">
      <c r="H70" s="29"/>
      <c r="I70" s="29"/>
      <c r="J70" s="29"/>
      <c r="M70" s="116"/>
    </row>
    <row r="71" spans="8:23" ht="15" x14ac:dyDescent="0.25">
      <c r="H71" s="29"/>
      <c r="I71" s="29"/>
      <c r="J71" s="29"/>
      <c r="M71" s="116"/>
      <c r="S71" s="175"/>
      <c r="T71" s="175"/>
    </row>
    <row r="72" spans="8:23" ht="30" x14ac:dyDescent="0.25">
      <c r="H72" s="29"/>
      <c r="I72" s="29"/>
      <c r="J72" s="29"/>
      <c r="M72" s="116"/>
      <c r="R72" s="178" t="s">
        <v>363</v>
      </c>
      <c r="S72" s="175"/>
      <c r="T72" s="175"/>
    </row>
    <row r="73" spans="8:23" ht="15" x14ac:dyDescent="0.2">
      <c r="H73" s="29"/>
      <c r="I73" s="29"/>
      <c r="J73" s="29"/>
      <c r="M73" s="116"/>
      <c r="R73" s="176" t="s">
        <v>364</v>
      </c>
      <c r="S73" s="132" t="s">
        <v>365</v>
      </c>
      <c r="T73" s="146"/>
    </row>
    <row r="74" spans="8:23" ht="15" customHeight="1" x14ac:dyDescent="0.2">
      <c r="H74" s="29"/>
      <c r="I74" s="29"/>
      <c r="J74" s="29"/>
      <c r="M74" s="116"/>
      <c r="R74" s="147" t="s">
        <v>366</v>
      </c>
      <c r="S74" s="158">
        <v>0.37</v>
      </c>
      <c r="T74" s="156"/>
    </row>
    <row r="75" spans="8:23" ht="14.25" x14ac:dyDescent="0.2">
      <c r="H75" s="29"/>
      <c r="I75" s="29"/>
      <c r="J75" s="29"/>
      <c r="M75" s="116"/>
      <c r="R75" s="157">
        <v>75</v>
      </c>
      <c r="S75" s="158">
        <v>0.28999999999999998</v>
      </c>
      <c r="T75" s="146"/>
    </row>
    <row r="76" spans="8:23" ht="14.25" x14ac:dyDescent="0.2">
      <c r="H76" s="29"/>
      <c r="I76" s="29"/>
      <c r="J76" s="29"/>
      <c r="M76" s="116"/>
      <c r="R76" s="157">
        <v>80</v>
      </c>
      <c r="S76" s="158">
        <v>0.2</v>
      </c>
      <c r="T76" s="146"/>
    </row>
    <row r="77" spans="8:23" ht="14.25" x14ac:dyDescent="0.2">
      <c r="H77" s="29"/>
      <c r="I77" s="29"/>
      <c r="J77" s="29"/>
      <c r="M77" s="116"/>
      <c r="R77" s="157">
        <v>85</v>
      </c>
      <c r="S77" s="158">
        <v>0.15</v>
      </c>
    </row>
    <row r="78" spans="8:23" ht="14.25" x14ac:dyDescent="0.2">
      <c r="H78" s="29"/>
      <c r="I78" s="29"/>
      <c r="J78" s="29"/>
      <c r="M78" s="116"/>
      <c r="R78" s="157">
        <v>90</v>
      </c>
      <c r="S78" s="158">
        <v>0.1</v>
      </c>
    </row>
    <row r="79" spans="8:23" ht="14.25" x14ac:dyDescent="0.2">
      <c r="H79" s="29"/>
      <c r="I79" s="29"/>
      <c r="J79" s="29"/>
      <c r="M79" s="116"/>
      <c r="R79" s="157">
        <v>95</v>
      </c>
      <c r="S79" s="158">
        <v>0.05</v>
      </c>
    </row>
    <row r="80" spans="8:23" ht="14.25" x14ac:dyDescent="0.2">
      <c r="H80" s="29"/>
      <c r="I80" s="29"/>
      <c r="J80" s="29"/>
      <c r="M80" s="116"/>
      <c r="R80" s="157">
        <v>100</v>
      </c>
      <c r="S80" s="158">
        <v>0</v>
      </c>
    </row>
    <row r="81" spans="8:20" ht="15" x14ac:dyDescent="0.2">
      <c r="H81" s="29"/>
      <c r="I81" s="29"/>
      <c r="J81" s="29"/>
      <c r="M81" s="116"/>
      <c r="R81" s="147" t="s">
        <v>367</v>
      </c>
      <c r="S81" s="158">
        <v>0.03</v>
      </c>
    </row>
    <row r="82" spans="8:20" x14ac:dyDescent="0.2">
      <c r="H82" s="29"/>
      <c r="I82" s="29"/>
      <c r="J82" s="29"/>
      <c r="M82" s="116"/>
      <c r="S82" s="35">
        <f>AVERAGE(S74:S81)</f>
        <v>0.14874999999999999</v>
      </c>
    </row>
    <row r="83" spans="8:20" ht="30" x14ac:dyDescent="0.2">
      <c r="H83" s="29"/>
      <c r="I83" s="29"/>
      <c r="J83" s="29"/>
      <c r="M83" s="116"/>
      <c r="R83" s="177" t="s">
        <v>368</v>
      </c>
      <c r="S83" s="134"/>
      <c r="T83" s="134"/>
    </row>
    <row r="84" spans="8:20" ht="15" x14ac:dyDescent="0.2">
      <c r="H84" s="29"/>
      <c r="I84" s="29"/>
      <c r="J84" s="29"/>
      <c r="M84" s="116"/>
      <c r="R84" s="176" t="s">
        <v>364</v>
      </c>
      <c r="S84" s="132" t="s">
        <v>365</v>
      </c>
      <c r="T84" s="146"/>
    </row>
    <row r="85" spans="8:20" ht="15" x14ac:dyDescent="0.2">
      <c r="H85" s="29"/>
      <c r="I85" s="29"/>
      <c r="J85" s="29"/>
      <c r="M85" s="116"/>
      <c r="R85" s="147" t="s">
        <v>366</v>
      </c>
      <c r="S85" s="155">
        <v>0.12</v>
      </c>
      <c r="T85" s="146"/>
    </row>
    <row r="86" spans="8:20" ht="14.25" x14ac:dyDescent="0.2">
      <c r="H86" s="29"/>
      <c r="I86" s="29"/>
      <c r="J86" s="29"/>
      <c r="M86" s="116"/>
      <c r="R86" s="157">
        <v>75</v>
      </c>
      <c r="S86" s="155">
        <v>0.09</v>
      </c>
      <c r="T86" s="146"/>
    </row>
    <row r="87" spans="8:20" ht="14.25" x14ac:dyDescent="0.2">
      <c r="H87" s="29"/>
      <c r="I87" s="29"/>
      <c r="J87" s="29"/>
      <c r="M87" s="116"/>
      <c r="R87" s="157">
        <v>80</v>
      </c>
      <c r="S87" s="155">
        <v>7.0000000000000007E-2</v>
      </c>
      <c r="T87" s="146"/>
    </row>
    <row r="88" spans="8:20" ht="14.25" x14ac:dyDescent="0.2">
      <c r="H88" s="29"/>
      <c r="I88" s="29"/>
      <c r="J88" s="29"/>
      <c r="M88" s="116"/>
      <c r="R88" s="157">
        <v>85</v>
      </c>
      <c r="S88" s="155">
        <v>0.06</v>
      </c>
      <c r="T88" s="146"/>
    </row>
    <row r="89" spans="8:20" ht="14.25" x14ac:dyDescent="0.2">
      <c r="H89" s="29"/>
      <c r="I89" s="29"/>
      <c r="J89" s="29"/>
      <c r="M89" s="116"/>
      <c r="R89" s="157">
        <v>90</v>
      </c>
      <c r="S89" s="155">
        <v>0.05</v>
      </c>
      <c r="T89" s="146"/>
    </row>
    <row r="90" spans="8:20" ht="14.25" x14ac:dyDescent="0.2">
      <c r="H90" s="29"/>
      <c r="I90" s="29"/>
      <c r="J90" s="29"/>
      <c r="M90" s="116"/>
      <c r="R90" s="157">
        <v>95</v>
      </c>
      <c r="S90" s="155">
        <v>0.03</v>
      </c>
      <c r="T90" s="146"/>
    </row>
    <row r="91" spans="8:20" ht="14.25" x14ac:dyDescent="0.2">
      <c r="H91" s="29"/>
      <c r="I91" s="29"/>
      <c r="J91" s="29"/>
      <c r="M91" s="116"/>
      <c r="R91" s="157">
        <v>100</v>
      </c>
      <c r="S91" s="155">
        <v>0</v>
      </c>
      <c r="T91" s="146"/>
    </row>
    <row r="92" spans="8:20" ht="15" x14ac:dyDescent="0.2">
      <c r="H92" s="29"/>
      <c r="I92" s="29"/>
      <c r="J92" s="29"/>
      <c r="M92" s="116"/>
      <c r="R92" s="147" t="s">
        <v>367</v>
      </c>
      <c r="S92" s="155">
        <v>0.04</v>
      </c>
      <c r="T92" s="146"/>
    </row>
    <row r="93" spans="8:20" x14ac:dyDescent="0.2">
      <c r="H93" s="29"/>
      <c r="I93" s="29"/>
      <c r="J93" s="29"/>
      <c r="M93" s="116"/>
      <c r="S93" s="35">
        <f>AVERAGE(S85:S92)</f>
        <v>5.7500000000000002E-2</v>
      </c>
    </row>
    <row r="94" spans="8:20" x14ac:dyDescent="0.2">
      <c r="H94" s="29"/>
      <c r="I94" s="29"/>
      <c r="J94" s="29"/>
      <c r="M94" s="116"/>
    </row>
    <row r="95" spans="8:20" x14ac:dyDescent="0.2">
      <c r="H95" s="29"/>
      <c r="I95" s="29"/>
      <c r="J95" s="29"/>
      <c r="M95" s="116"/>
    </row>
    <row r="96" spans="8:20" x14ac:dyDescent="0.2">
      <c r="H96" s="29"/>
      <c r="I96" s="29"/>
      <c r="J96" s="29"/>
      <c r="M96" s="116"/>
    </row>
    <row r="97" spans="8:22" x14ac:dyDescent="0.2">
      <c r="H97" s="29"/>
      <c r="I97" s="29"/>
      <c r="J97" s="29"/>
      <c r="M97" s="116"/>
    </row>
    <row r="98" spans="8:22" x14ac:dyDescent="0.2">
      <c r="H98" s="29"/>
      <c r="I98" s="29"/>
      <c r="J98" s="29"/>
      <c r="M98" s="116"/>
    </row>
    <row r="99" spans="8:22" x14ac:dyDescent="0.2">
      <c r="H99" s="29"/>
      <c r="I99" s="29"/>
      <c r="J99" s="29"/>
    </row>
    <row r="101" spans="8:22" ht="15.75" thickBot="1" x14ac:dyDescent="0.3">
      <c r="L101" s="100" t="s">
        <v>369</v>
      </c>
      <c r="Q101" s="101"/>
      <c r="R101" s="101"/>
      <c r="S101" s="101"/>
      <c r="T101" s="101"/>
      <c r="U101" s="101"/>
      <c r="V101" s="101"/>
    </row>
    <row r="102" spans="8:22" ht="30.75" thickBot="1" x14ac:dyDescent="0.3">
      <c r="L102" s="102" t="s">
        <v>209</v>
      </c>
      <c r="M102" s="103" t="s">
        <v>370</v>
      </c>
      <c r="N102" s="103" t="s">
        <v>371</v>
      </c>
      <c r="O102" s="103" t="s">
        <v>372</v>
      </c>
      <c r="P102" s="118"/>
      <c r="Q102" s="101"/>
      <c r="R102" s="101"/>
      <c r="S102" s="101"/>
      <c r="T102" s="101"/>
      <c r="U102" s="101"/>
      <c r="V102" s="101"/>
    </row>
    <row r="103" spans="8:22" ht="15.75" thickBot="1" x14ac:dyDescent="0.3">
      <c r="L103" s="104" t="s">
        <v>226</v>
      </c>
      <c r="M103" s="105">
        <v>2375</v>
      </c>
      <c r="N103" s="106">
        <v>272</v>
      </c>
      <c r="O103" s="106">
        <v>0.78</v>
      </c>
      <c r="P103" s="119"/>
      <c r="Q103" s="101"/>
      <c r="R103" s="101"/>
      <c r="S103" s="101"/>
      <c r="T103" s="101"/>
      <c r="U103" s="101"/>
      <c r="V103" s="101"/>
    </row>
    <row r="104" spans="8:22" ht="15.75" thickBot="1" x14ac:dyDescent="0.3">
      <c r="L104" s="104" t="s">
        <v>241</v>
      </c>
      <c r="M104" s="105">
        <v>1526</v>
      </c>
      <c r="N104" s="106">
        <v>153</v>
      </c>
      <c r="O104" s="107">
        <v>0.9</v>
      </c>
      <c r="P104" s="120"/>
      <c r="Q104" s="101"/>
      <c r="R104" s="101"/>
      <c r="S104" s="101"/>
      <c r="T104" s="101"/>
      <c r="U104" s="101"/>
      <c r="V104" s="101"/>
    </row>
    <row r="105" spans="8:22" ht="15.75" thickBot="1" x14ac:dyDescent="0.3">
      <c r="L105" s="104" t="s">
        <v>253</v>
      </c>
      <c r="M105" s="105">
        <v>1989</v>
      </c>
      <c r="N105" s="106">
        <v>115</v>
      </c>
      <c r="O105" s="106">
        <v>0.85</v>
      </c>
      <c r="P105" s="119"/>
      <c r="Q105" s="101"/>
      <c r="R105" s="101"/>
      <c r="S105" s="101"/>
      <c r="T105" s="101"/>
      <c r="U105" s="101"/>
      <c r="V105" s="101"/>
    </row>
    <row r="106" spans="8:22" ht="15.75" thickBot="1" x14ac:dyDescent="0.3">
      <c r="L106" s="104" t="s">
        <v>264</v>
      </c>
      <c r="M106" s="105">
        <v>1483</v>
      </c>
      <c r="N106" s="106">
        <v>392</v>
      </c>
      <c r="O106" s="106">
        <v>0.84</v>
      </c>
      <c r="P106" s="119"/>
      <c r="Q106" s="101"/>
      <c r="R106" s="101"/>
      <c r="S106" s="101"/>
      <c r="T106" s="101"/>
      <c r="U106" s="101"/>
      <c r="V106" s="101"/>
    </row>
    <row r="107" spans="8:22" ht="15.75" thickBot="1" x14ac:dyDescent="0.3">
      <c r="L107" s="104" t="s">
        <v>274</v>
      </c>
      <c r="M107" s="105">
        <v>2095</v>
      </c>
      <c r="N107" s="106">
        <v>409</v>
      </c>
      <c r="O107" s="106">
        <v>0.77</v>
      </c>
      <c r="P107" s="119"/>
      <c r="Q107" s="101"/>
      <c r="R107" s="101"/>
      <c r="S107" s="101"/>
      <c r="T107" s="101"/>
      <c r="U107" s="101"/>
      <c r="V107" s="101"/>
    </row>
    <row r="108" spans="8:22" ht="15.75" thickBot="1" x14ac:dyDescent="0.3">
      <c r="L108" s="104" t="s">
        <v>282</v>
      </c>
      <c r="M108" s="105">
        <v>1997</v>
      </c>
      <c r="N108" s="106">
        <v>166</v>
      </c>
      <c r="O108" s="106">
        <v>0.85</v>
      </c>
      <c r="P108" s="119"/>
      <c r="Q108" s="101"/>
      <c r="R108" s="101"/>
      <c r="S108" s="101"/>
      <c r="T108" s="101"/>
      <c r="U108" s="101"/>
      <c r="V108" s="101"/>
    </row>
    <row r="109" spans="8:22" ht="15.75" thickBot="1" x14ac:dyDescent="0.3">
      <c r="L109" s="104" t="s">
        <v>289</v>
      </c>
      <c r="M109" s="105">
        <v>3191</v>
      </c>
      <c r="N109" s="106">
        <v>513</v>
      </c>
      <c r="O109" s="106">
        <v>0.88</v>
      </c>
      <c r="P109" s="119"/>
      <c r="Q109" s="101"/>
      <c r="R109" s="101"/>
      <c r="S109" s="101"/>
      <c r="T109" s="101"/>
      <c r="U109" s="101"/>
      <c r="V109" s="101"/>
    </row>
    <row r="110" spans="8:22" ht="15.75" thickBot="1" x14ac:dyDescent="0.3">
      <c r="L110" s="104" t="s">
        <v>294</v>
      </c>
      <c r="M110" s="105">
        <v>2329</v>
      </c>
      <c r="N110" s="106">
        <v>140</v>
      </c>
      <c r="O110" s="106">
        <v>0.71</v>
      </c>
      <c r="P110" s="119"/>
      <c r="Q110" s="101"/>
      <c r="R110" s="101"/>
      <c r="S110" s="101"/>
      <c r="T110" s="101"/>
      <c r="U110" s="101"/>
      <c r="V110" s="101"/>
    </row>
    <row r="111" spans="8:22" ht="15.75" thickBot="1" x14ac:dyDescent="0.3">
      <c r="L111" s="104" t="s">
        <v>299</v>
      </c>
      <c r="M111" s="105">
        <v>2060</v>
      </c>
      <c r="N111" s="106">
        <v>255</v>
      </c>
      <c r="O111" s="106">
        <v>0.84</v>
      </c>
      <c r="P111" s="119"/>
      <c r="Q111" s="101"/>
      <c r="R111" s="101"/>
      <c r="S111" s="101"/>
      <c r="T111" s="101"/>
      <c r="U111" s="101"/>
      <c r="V111" s="101"/>
    </row>
    <row r="112" spans="8:22" ht="15.75" thickBot="1" x14ac:dyDescent="0.3">
      <c r="L112" s="104" t="s">
        <v>303</v>
      </c>
      <c r="M112" s="105">
        <v>1510</v>
      </c>
      <c r="N112" s="106">
        <v>604</v>
      </c>
      <c r="O112" s="106">
        <v>0.84</v>
      </c>
      <c r="P112" s="119"/>
      <c r="Q112" s="101"/>
      <c r="R112" s="101"/>
      <c r="S112" s="101"/>
      <c r="T112" s="101"/>
      <c r="U112" s="101"/>
      <c r="V112" s="101"/>
    </row>
    <row r="113" spans="12:22" ht="15" x14ac:dyDescent="0.25">
      <c r="L113" s="101"/>
      <c r="M113" s="101"/>
      <c r="N113" s="101"/>
      <c r="O113" s="101"/>
      <c r="P113" s="101"/>
      <c r="Q113" s="101"/>
      <c r="R113" s="101"/>
      <c r="S113" s="101"/>
      <c r="T113" s="101"/>
      <c r="U113" s="101"/>
      <c r="V113" s="101"/>
    </row>
    <row r="114" spans="12:22" ht="15" x14ac:dyDescent="0.25">
      <c r="M114" s="108" t="s">
        <v>373</v>
      </c>
      <c r="N114" s="108"/>
      <c r="O114" s="108"/>
      <c r="P114" s="108"/>
      <c r="Q114" s="108" t="s">
        <v>374</v>
      </c>
      <c r="R114" s="108"/>
      <c r="S114" s="108"/>
      <c r="T114" s="109" t="s">
        <v>375</v>
      </c>
      <c r="U114" s="110"/>
      <c r="V114" s="101"/>
    </row>
    <row r="115" spans="12:22" ht="15" x14ac:dyDescent="0.25">
      <c r="L115" s="111" t="s">
        <v>376</v>
      </c>
      <c r="M115" s="111" t="s">
        <v>377</v>
      </c>
      <c r="N115" s="111" t="s">
        <v>378</v>
      </c>
      <c r="O115" s="111" t="s">
        <v>379</v>
      </c>
      <c r="P115" s="111"/>
      <c r="Q115" s="111" t="s">
        <v>377</v>
      </c>
      <c r="R115" s="111" t="s">
        <v>378</v>
      </c>
      <c r="S115" s="111" t="s">
        <v>379</v>
      </c>
      <c r="T115" s="112" t="s">
        <v>380</v>
      </c>
      <c r="U115" s="112" t="s">
        <v>381</v>
      </c>
      <c r="V115" s="101"/>
    </row>
    <row r="116" spans="12:22" ht="15" x14ac:dyDescent="0.25">
      <c r="L116" s="113" t="s">
        <v>382</v>
      </c>
      <c r="M116" s="113">
        <v>11.8</v>
      </c>
      <c r="N116" s="113">
        <v>13.4</v>
      </c>
      <c r="O116" s="4"/>
      <c r="P116" s="4"/>
      <c r="Q116" s="113">
        <v>12.3</v>
      </c>
      <c r="R116" s="168">
        <v>14.5</v>
      </c>
      <c r="S116" s="4"/>
      <c r="T116" s="113">
        <v>0</v>
      </c>
      <c r="U116" s="113">
        <v>5.4199900000000003</v>
      </c>
      <c r="V116" s="101"/>
    </row>
    <row r="117" spans="12:22" ht="15" x14ac:dyDescent="0.25">
      <c r="L117" s="113" t="s">
        <v>383</v>
      </c>
      <c r="M117" s="113">
        <v>11.1</v>
      </c>
      <c r="N117" s="113">
        <v>14.7</v>
      </c>
      <c r="O117" s="4"/>
      <c r="P117" s="4"/>
      <c r="Q117" s="113">
        <v>12.2</v>
      </c>
      <c r="R117" s="113">
        <v>14.8</v>
      </c>
      <c r="S117" s="4"/>
      <c r="T117" s="113">
        <v>5.42</v>
      </c>
      <c r="U117" s="113">
        <v>11.24</v>
      </c>
      <c r="V117" s="101"/>
    </row>
    <row r="118" spans="12:22" ht="15" x14ac:dyDescent="0.25">
      <c r="L118" s="113" t="s">
        <v>384</v>
      </c>
      <c r="M118" s="113">
        <v>10.9</v>
      </c>
      <c r="N118" s="113">
        <v>14.1</v>
      </c>
      <c r="O118" s="4"/>
      <c r="P118" s="4"/>
      <c r="Q118" s="113">
        <v>12.2</v>
      </c>
      <c r="R118" s="113">
        <v>14.8</v>
      </c>
      <c r="S118" s="4"/>
      <c r="T118" s="113">
        <v>11.25</v>
      </c>
      <c r="U118" s="113">
        <v>19.998999999999999</v>
      </c>
      <c r="V118" s="101"/>
    </row>
    <row r="119" spans="12:22" ht="15" x14ac:dyDescent="0.25">
      <c r="L119" s="113" t="s">
        <v>385</v>
      </c>
      <c r="M119" s="113">
        <v>9.9</v>
      </c>
      <c r="N119" s="113">
        <v>13.1</v>
      </c>
      <c r="O119" s="4"/>
      <c r="P119" s="4"/>
      <c r="Q119" s="113">
        <v>10.8</v>
      </c>
      <c r="R119" s="113">
        <v>13.5</v>
      </c>
      <c r="S119" s="4"/>
      <c r="T119" s="113">
        <v>20</v>
      </c>
      <c r="U119" s="114">
        <v>63.3</v>
      </c>
      <c r="V119" s="101"/>
    </row>
    <row r="120" spans="12:22" ht="15" x14ac:dyDescent="0.25">
      <c r="L120" s="114" t="s">
        <v>386</v>
      </c>
      <c r="M120" s="114">
        <v>9.6</v>
      </c>
      <c r="N120" s="114">
        <v>12.4</v>
      </c>
      <c r="O120" s="114"/>
      <c r="P120" s="114"/>
      <c r="Q120" s="114">
        <v>10.4</v>
      </c>
      <c r="R120" s="169">
        <v>13</v>
      </c>
      <c r="S120" s="114"/>
      <c r="T120" s="114">
        <v>63.4</v>
      </c>
      <c r="U120" s="113">
        <v>999999</v>
      </c>
      <c r="V120" s="101"/>
    </row>
    <row r="121" spans="12:22" ht="15" x14ac:dyDescent="0.25">
      <c r="L121" s="113" t="s">
        <v>387</v>
      </c>
      <c r="M121" s="115">
        <v>11.8</v>
      </c>
      <c r="N121" s="115">
        <v>13.4</v>
      </c>
      <c r="O121" s="115">
        <v>7.1</v>
      </c>
      <c r="P121" s="115"/>
      <c r="Q121" s="115">
        <v>12.3</v>
      </c>
      <c r="R121" s="115">
        <v>14.5</v>
      </c>
      <c r="S121" s="115">
        <v>8</v>
      </c>
      <c r="T121" s="113">
        <v>0</v>
      </c>
      <c r="U121" s="113">
        <v>5.4199900000000003</v>
      </c>
      <c r="V121" s="101"/>
    </row>
    <row r="122" spans="12:22" ht="15" x14ac:dyDescent="0.25">
      <c r="L122" s="113" t="s">
        <v>388</v>
      </c>
      <c r="M122" s="115">
        <f>AVERAGE(11,10.8)</f>
        <v>10.9</v>
      </c>
      <c r="N122" s="115">
        <v>14</v>
      </c>
      <c r="O122" s="115">
        <f>3.4*3.412</f>
        <v>11.6008</v>
      </c>
      <c r="P122" s="115"/>
      <c r="Q122" s="115">
        <v>11.3</v>
      </c>
      <c r="R122" s="115">
        <v>14.5</v>
      </c>
      <c r="S122" s="115">
        <v>12</v>
      </c>
      <c r="T122" s="113">
        <v>5.42</v>
      </c>
      <c r="U122" s="113">
        <v>11.24</v>
      </c>
      <c r="V122" s="101"/>
    </row>
    <row r="123" spans="12:22" ht="15" x14ac:dyDescent="0.25">
      <c r="L123" s="113" t="s">
        <v>389</v>
      </c>
      <c r="M123" s="115">
        <f>AVERAGE(10.6,10.4)</f>
        <v>10.5</v>
      </c>
      <c r="N123" s="115">
        <v>13.4</v>
      </c>
      <c r="O123" s="115">
        <f>3.3*3.412</f>
        <v>11.259599999999999</v>
      </c>
      <c r="P123" s="115"/>
      <c r="Q123" s="115">
        <v>10.9</v>
      </c>
      <c r="R123" s="115">
        <v>14</v>
      </c>
      <c r="S123" s="115">
        <v>12</v>
      </c>
      <c r="T123" s="113">
        <v>11.25</v>
      </c>
      <c r="U123" s="113">
        <v>19.9999</v>
      </c>
      <c r="V123" s="101"/>
    </row>
    <row r="124" spans="12:22" ht="15" x14ac:dyDescent="0.25">
      <c r="L124" s="113" t="s">
        <v>390</v>
      </c>
      <c r="M124" s="115">
        <f>AVERAGE(9.5,9.3)</f>
        <v>9.4</v>
      </c>
      <c r="N124" s="115">
        <v>12.4</v>
      </c>
      <c r="O124" s="115">
        <f>3.2*3.412</f>
        <v>10.9184</v>
      </c>
      <c r="P124" s="115"/>
      <c r="Q124" s="115">
        <v>10.3</v>
      </c>
      <c r="R124" s="115">
        <v>13</v>
      </c>
      <c r="S124" s="115">
        <v>12</v>
      </c>
      <c r="T124" s="113">
        <v>20</v>
      </c>
      <c r="U124" s="113">
        <v>999999</v>
      </c>
      <c r="V124" s="101"/>
    </row>
    <row r="125" spans="12:22" ht="15" x14ac:dyDescent="0.25">
      <c r="L125" s="101"/>
      <c r="M125" s="101"/>
      <c r="N125" s="101"/>
      <c r="O125" s="101"/>
      <c r="P125" s="101"/>
      <c r="Q125" s="101"/>
      <c r="R125" s="101"/>
      <c r="S125" s="101"/>
      <c r="T125" s="101"/>
      <c r="U125" s="101"/>
      <c r="V125" s="101"/>
    </row>
    <row r="126" spans="12:22" ht="15" x14ac:dyDescent="0.25">
      <c r="L126" s="329" t="s">
        <v>391</v>
      </c>
      <c r="M126" s="329"/>
      <c r="N126" s="329"/>
      <c r="O126" s="329"/>
      <c r="P126" s="329"/>
      <c r="Q126" s="329"/>
      <c r="R126" s="329"/>
      <c r="S126" s="329"/>
      <c r="T126" s="101"/>
      <c r="U126" s="101"/>
      <c r="V126" s="101"/>
    </row>
    <row r="127" spans="12:22" ht="15" x14ac:dyDescent="0.25">
      <c r="L127" s="330"/>
      <c r="M127" s="332" t="s">
        <v>392</v>
      </c>
      <c r="N127" s="332" t="s">
        <v>184</v>
      </c>
      <c r="O127" s="334" t="s">
        <v>393</v>
      </c>
      <c r="P127" s="335"/>
      <c r="Q127" s="334" t="s">
        <v>394</v>
      </c>
      <c r="R127" s="335"/>
      <c r="S127" s="146"/>
      <c r="T127" s="101"/>
      <c r="U127" s="101"/>
      <c r="V127" s="101"/>
    </row>
    <row r="128" spans="12:22" ht="15" x14ac:dyDescent="0.25">
      <c r="L128" s="331"/>
      <c r="M128" s="333"/>
      <c r="N128" s="333"/>
      <c r="O128" s="179"/>
      <c r="P128" s="179"/>
      <c r="Q128" s="179"/>
      <c r="R128" s="179"/>
      <c r="S128" s="146"/>
      <c r="T128" s="101"/>
      <c r="U128" s="101"/>
      <c r="V128" s="101"/>
    </row>
    <row r="129" spans="12:22" ht="15" x14ac:dyDescent="0.25">
      <c r="L129" s="315" t="s">
        <v>395</v>
      </c>
      <c r="M129" s="180" t="s">
        <v>396</v>
      </c>
      <c r="N129" s="180" t="s">
        <v>95</v>
      </c>
      <c r="O129" s="180" t="s">
        <v>397</v>
      </c>
      <c r="P129" s="180" t="s">
        <v>398</v>
      </c>
      <c r="Q129" s="181" t="s">
        <v>399</v>
      </c>
      <c r="R129" s="181" t="s">
        <v>399</v>
      </c>
      <c r="S129" s="146"/>
      <c r="T129" s="101"/>
      <c r="U129" s="101"/>
      <c r="V129" s="101"/>
    </row>
    <row r="130" spans="12:22" ht="15" x14ac:dyDescent="0.25">
      <c r="L130" s="317"/>
      <c r="M130" s="180" t="s">
        <v>400</v>
      </c>
      <c r="N130" s="180" t="s">
        <v>95</v>
      </c>
      <c r="O130" s="180" t="s">
        <v>401</v>
      </c>
      <c r="P130" s="180" t="s">
        <v>402</v>
      </c>
      <c r="Q130" s="181" t="s">
        <v>399</v>
      </c>
      <c r="R130" s="181" t="s">
        <v>399</v>
      </c>
      <c r="S130" s="146"/>
      <c r="T130" s="101"/>
      <c r="U130" s="101"/>
      <c r="V130" s="101"/>
    </row>
    <row r="131" spans="12:22" ht="15" x14ac:dyDescent="0.25">
      <c r="L131" s="181" t="s">
        <v>403</v>
      </c>
      <c r="M131" s="181" t="s">
        <v>404</v>
      </c>
      <c r="N131" s="181" t="s">
        <v>95</v>
      </c>
      <c r="O131" s="323" t="s">
        <v>405</v>
      </c>
      <c r="P131" s="324"/>
      <c r="Q131" s="324"/>
      <c r="R131" s="325"/>
      <c r="S131" s="152"/>
      <c r="T131" s="101"/>
      <c r="U131" s="101"/>
      <c r="V131" s="101"/>
    </row>
    <row r="132" spans="12:22" ht="30" x14ac:dyDescent="0.25">
      <c r="L132" s="182" t="s">
        <v>406</v>
      </c>
      <c r="M132" s="181" t="s">
        <v>404</v>
      </c>
      <c r="N132" s="181" t="s">
        <v>407</v>
      </c>
      <c r="O132" s="326" t="s">
        <v>408</v>
      </c>
      <c r="P132" s="327"/>
      <c r="Q132" s="327"/>
      <c r="R132" s="328"/>
      <c r="S132" s="152"/>
      <c r="T132" s="101"/>
      <c r="U132" s="101"/>
      <c r="V132" s="101"/>
    </row>
    <row r="133" spans="12:22" ht="15" x14ac:dyDescent="0.25">
      <c r="L133" s="315" t="s">
        <v>409</v>
      </c>
      <c r="M133" s="180" t="s">
        <v>410</v>
      </c>
      <c r="N133" s="180" t="s">
        <v>407</v>
      </c>
      <c r="O133" s="180" t="s">
        <v>411</v>
      </c>
      <c r="P133" s="180" t="s">
        <v>412</v>
      </c>
      <c r="Q133" s="181" t="s">
        <v>413</v>
      </c>
      <c r="R133" s="181" t="s">
        <v>414</v>
      </c>
      <c r="S133" s="146"/>
      <c r="T133" s="101"/>
      <c r="U133" s="101"/>
      <c r="V133" s="101"/>
    </row>
    <row r="134" spans="12:22" ht="30" x14ac:dyDescent="0.25">
      <c r="L134" s="316"/>
      <c r="M134" s="180" t="s">
        <v>415</v>
      </c>
      <c r="N134" s="180" t="s">
        <v>407</v>
      </c>
      <c r="O134" s="180" t="s">
        <v>416</v>
      </c>
      <c r="P134" s="180" t="s">
        <v>417</v>
      </c>
      <c r="Q134" s="181" t="s">
        <v>418</v>
      </c>
      <c r="R134" s="181" t="s">
        <v>419</v>
      </c>
      <c r="S134" s="146"/>
      <c r="T134" s="101"/>
      <c r="U134" s="101"/>
      <c r="V134" s="101"/>
    </row>
    <row r="135" spans="12:22" ht="30" x14ac:dyDescent="0.25">
      <c r="L135" s="316"/>
      <c r="M135" s="180" t="s">
        <v>420</v>
      </c>
      <c r="N135" s="180" t="s">
        <v>407</v>
      </c>
      <c r="O135" s="180" t="s">
        <v>421</v>
      </c>
      <c r="P135" s="180" t="s">
        <v>422</v>
      </c>
      <c r="Q135" s="181" t="s">
        <v>423</v>
      </c>
      <c r="R135" s="181" t="s">
        <v>424</v>
      </c>
      <c r="S135" s="146"/>
      <c r="T135" s="101"/>
      <c r="U135" s="101"/>
      <c r="V135" s="101"/>
    </row>
    <row r="136" spans="12:22" ht="15" x14ac:dyDescent="0.25">
      <c r="L136" s="317"/>
      <c r="M136" s="180" t="s">
        <v>425</v>
      </c>
      <c r="N136" s="180" t="s">
        <v>407</v>
      </c>
      <c r="O136" s="180" t="s">
        <v>426</v>
      </c>
      <c r="P136" s="180" t="s">
        <v>424</v>
      </c>
      <c r="Q136" s="181" t="s">
        <v>427</v>
      </c>
      <c r="R136" s="181" t="s">
        <v>428</v>
      </c>
      <c r="S136" s="156"/>
      <c r="T136" s="101"/>
      <c r="U136" s="101"/>
      <c r="V136" s="101"/>
    </row>
    <row r="137" spans="12:22" ht="15" x14ac:dyDescent="0.25">
      <c r="L137" s="318" t="s">
        <v>429</v>
      </c>
      <c r="M137" s="180" t="s">
        <v>396</v>
      </c>
      <c r="N137" s="180" t="s">
        <v>407</v>
      </c>
      <c r="O137" s="315" t="s">
        <v>430</v>
      </c>
      <c r="P137" s="315" t="s">
        <v>431</v>
      </c>
      <c r="Q137" s="313" t="s">
        <v>427</v>
      </c>
      <c r="R137" s="313" t="s">
        <v>432</v>
      </c>
      <c r="S137" s="146"/>
      <c r="T137" s="101"/>
      <c r="U137" s="101"/>
      <c r="V137" s="101"/>
    </row>
    <row r="138" spans="12:22" ht="30" x14ac:dyDescent="0.25">
      <c r="L138" s="319"/>
      <c r="M138" s="180" t="s">
        <v>420</v>
      </c>
      <c r="N138" s="180" t="s">
        <v>407</v>
      </c>
      <c r="O138" s="317"/>
      <c r="P138" s="317"/>
      <c r="Q138" s="314"/>
      <c r="R138" s="314"/>
      <c r="S138" s="146"/>
      <c r="T138" s="101"/>
      <c r="U138" s="101"/>
      <c r="V138" s="101"/>
    </row>
    <row r="139" spans="12:22" ht="30" x14ac:dyDescent="0.25">
      <c r="L139" s="319"/>
      <c r="M139" s="180" t="s">
        <v>433</v>
      </c>
      <c r="N139" s="180" t="s">
        <v>407</v>
      </c>
      <c r="O139" s="180" t="s">
        <v>434</v>
      </c>
      <c r="P139" s="180" t="s">
        <v>435</v>
      </c>
      <c r="Q139" s="181" t="s">
        <v>414</v>
      </c>
      <c r="R139" s="181" t="s">
        <v>436</v>
      </c>
      <c r="S139" s="146"/>
      <c r="T139" s="101"/>
      <c r="U139" s="101"/>
      <c r="V139" s="101"/>
    </row>
    <row r="140" spans="12:22" ht="15" x14ac:dyDescent="0.25">
      <c r="L140" s="320"/>
      <c r="M140" s="180" t="s">
        <v>437</v>
      </c>
      <c r="N140" s="180" t="s">
        <v>407</v>
      </c>
      <c r="O140" s="180" t="s">
        <v>438</v>
      </c>
      <c r="P140" s="180" t="s">
        <v>439</v>
      </c>
      <c r="Q140" s="181" t="s">
        <v>440</v>
      </c>
      <c r="R140" s="181" t="s">
        <v>436</v>
      </c>
      <c r="S140" s="156"/>
      <c r="T140" s="101"/>
      <c r="U140" s="101"/>
      <c r="V140" s="101"/>
    </row>
    <row r="141" spans="12:22" ht="15" x14ac:dyDescent="0.25">
      <c r="L141" s="159"/>
      <c r="M141" s="160"/>
      <c r="N141" s="160"/>
      <c r="O141" s="101"/>
      <c r="P141" s="101"/>
      <c r="Q141" s="101"/>
      <c r="R141" s="101"/>
      <c r="S141" s="101"/>
      <c r="T141" s="101"/>
      <c r="U141" s="101"/>
      <c r="V141" s="101"/>
    </row>
    <row r="142" spans="12:22" ht="15" x14ac:dyDescent="0.25">
      <c r="L142" s="159"/>
      <c r="M142" s="160"/>
      <c r="N142" s="160"/>
      <c r="O142" s="101"/>
      <c r="P142" s="101"/>
      <c r="Q142" s="101"/>
      <c r="R142" s="101"/>
      <c r="S142" s="101"/>
      <c r="T142" s="101"/>
      <c r="U142" s="101"/>
      <c r="V142" s="101"/>
    </row>
    <row r="143" spans="12:22" ht="15" x14ac:dyDescent="0.25">
      <c r="L143" s="159"/>
      <c r="M143" s="160"/>
      <c r="N143" s="160"/>
      <c r="O143" s="101"/>
      <c r="P143" s="101"/>
      <c r="Q143" s="101"/>
      <c r="R143" s="101"/>
      <c r="S143" s="101"/>
      <c r="T143" s="101"/>
      <c r="U143" s="101"/>
      <c r="V143" s="101"/>
    </row>
    <row r="144" spans="12:22" ht="15" x14ac:dyDescent="0.25">
      <c r="L144" s="159"/>
      <c r="M144" s="160"/>
      <c r="N144" s="160"/>
      <c r="O144" s="101"/>
      <c r="P144" s="101"/>
      <c r="Q144" s="101"/>
      <c r="R144" s="101"/>
      <c r="S144" s="101"/>
      <c r="T144" s="101"/>
      <c r="U144" s="101"/>
      <c r="V144" s="101"/>
    </row>
    <row r="145" spans="12:22" ht="15" x14ac:dyDescent="0.25">
      <c r="L145" s="159"/>
      <c r="M145" s="160"/>
      <c r="N145" s="160"/>
      <c r="O145" s="101"/>
      <c r="P145" s="101"/>
      <c r="Q145" s="101"/>
      <c r="R145" s="101"/>
      <c r="S145" s="101"/>
      <c r="T145" s="101"/>
      <c r="U145" s="101"/>
      <c r="V145" s="101"/>
    </row>
    <row r="146" spans="12:22" ht="15" x14ac:dyDescent="0.25">
      <c r="L146" s="159"/>
      <c r="M146" s="160"/>
      <c r="N146" s="160"/>
      <c r="O146" s="101"/>
      <c r="P146" s="101"/>
      <c r="Q146" s="101"/>
      <c r="R146" s="101"/>
      <c r="S146" s="101"/>
      <c r="T146" s="101"/>
      <c r="U146" s="101"/>
      <c r="V146" s="101"/>
    </row>
    <row r="147" spans="12:22" ht="15" x14ac:dyDescent="0.25">
      <c r="L147" s="159"/>
      <c r="M147" s="160"/>
      <c r="N147" s="160"/>
      <c r="O147" s="101"/>
      <c r="P147" s="101"/>
      <c r="Q147" s="101"/>
      <c r="R147" s="101"/>
      <c r="S147" s="101"/>
      <c r="T147" s="101"/>
      <c r="U147" s="101"/>
      <c r="V147" s="101"/>
    </row>
    <row r="148" spans="12:22" ht="15" x14ac:dyDescent="0.25">
      <c r="L148" s="159"/>
      <c r="M148" s="160"/>
      <c r="N148" s="160"/>
      <c r="O148" s="101"/>
      <c r="P148" s="101"/>
      <c r="Q148" s="101"/>
      <c r="R148" s="101"/>
      <c r="S148" s="101"/>
      <c r="T148" s="101"/>
      <c r="U148" s="101"/>
      <c r="V148" s="101"/>
    </row>
    <row r="149" spans="12:22" ht="15" x14ac:dyDescent="0.25">
      <c r="L149" s="159"/>
      <c r="M149" s="160"/>
      <c r="N149" s="160"/>
      <c r="O149" s="101"/>
      <c r="P149" s="101"/>
      <c r="Q149" s="101"/>
      <c r="R149" s="101"/>
      <c r="S149" s="101"/>
      <c r="T149" s="101"/>
      <c r="U149" s="101"/>
      <c r="V149" s="101"/>
    </row>
    <row r="150" spans="12:22" ht="15" x14ac:dyDescent="0.25">
      <c r="L150" s="159"/>
      <c r="M150" s="160"/>
      <c r="N150" s="160"/>
      <c r="O150" s="101"/>
      <c r="P150" s="101"/>
      <c r="Q150" s="101"/>
      <c r="R150" s="101"/>
      <c r="S150" s="101"/>
      <c r="T150" s="101"/>
      <c r="U150" s="101"/>
      <c r="V150" s="101"/>
    </row>
    <row r="151" spans="12:22" ht="15" x14ac:dyDescent="0.25">
      <c r="L151" s="159"/>
      <c r="M151" s="160"/>
      <c r="N151" s="160"/>
      <c r="O151" s="101"/>
      <c r="P151" s="101"/>
      <c r="Q151" s="101"/>
      <c r="R151" s="101"/>
      <c r="S151" s="101"/>
      <c r="T151" s="101"/>
      <c r="U151" s="101"/>
      <c r="V151" s="101"/>
    </row>
    <row r="152" spans="12:22" ht="15" x14ac:dyDescent="0.25">
      <c r="L152" s="101"/>
      <c r="M152" s="101"/>
      <c r="N152" s="101"/>
      <c r="O152" s="101"/>
      <c r="P152" s="101"/>
      <c r="Q152" s="101"/>
      <c r="R152" s="101"/>
      <c r="S152" s="101"/>
      <c r="T152" s="101"/>
      <c r="U152" s="101"/>
      <c r="V152" s="101"/>
    </row>
    <row r="153" spans="12:22" ht="15" x14ac:dyDescent="0.25">
      <c r="L153" s="100"/>
      <c r="N153" s="161"/>
      <c r="O153" s="161"/>
      <c r="P153" s="161"/>
      <c r="Q153" s="101"/>
      <c r="R153" s="161"/>
      <c r="S153" s="161"/>
      <c r="T153" s="101"/>
      <c r="U153" s="101"/>
      <c r="V153" s="101"/>
    </row>
    <row r="154" spans="12:22" ht="15" x14ac:dyDescent="0.2">
      <c r="L154" s="161"/>
      <c r="M154" s="161"/>
      <c r="N154" s="167"/>
      <c r="O154" s="167"/>
      <c r="P154" s="167"/>
      <c r="Q154" s="167"/>
      <c r="R154" s="167"/>
      <c r="S154" s="167"/>
      <c r="T154" s="167"/>
      <c r="U154" s="162"/>
      <c r="V154" s="162"/>
    </row>
    <row r="155" spans="12:22" ht="15" x14ac:dyDescent="0.2">
      <c r="L155" s="161"/>
      <c r="M155" s="161"/>
      <c r="N155" s="118"/>
      <c r="O155" s="118"/>
      <c r="P155" s="118"/>
      <c r="Q155" s="118"/>
      <c r="R155" s="118"/>
      <c r="S155" s="118"/>
      <c r="T155" s="118"/>
      <c r="U155" s="163"/>
      <c r="V155" s="163"/>
    </row>
    <row r="156" spans="12:22" ht="15" x14ac:dyDescent="0.25">
      <c r="L156" s="119"/>
      <c r="M156" s="161"/>
      <c r="N156" s="3"/>
      <c r="O156" s="3"/>
      <c r="P156" s="3"/>
      <c r="Q156" s="121"/>
      <c r="R156" s="3"/>
      <c r="S156" s="3"/>
      <c r="T156" s="121"/>
      <c r="U156" s="3"/>
      <c r="V156" s="3"/>
    </row>
    <row r="157" spans="12:22" ht="15" x14ac:dyDescent="0.25">
      <c r="L157" s="119"/>
      <c r="M157" s="161"/>
      <c r="N157" s="101"/>
      <c r="O157" s="101"/>
      <c r="P157" s="101"/>
      <c r="Q157" s="121"/>
      <c r="R157" s="101"/>
      <c r="S157" s="101"/>
      <c r="T157" s="121"/>
      <c r="U157" s="3"/>
      <c r="V157" s="3"/>
    </row>
    <row r="158" spans="12:22" ht="15" x14ac:dyDescent="0.25">
      <c r="L158" s="119"/>
      <c r="M158" s="161"/>
      <c r="N158" s="3"/>
      <c r="O158" s="3"/>
      <c r="P158" s="3"/>
      <c r="Q158" s="121"/>
      <c r="R158" s="3"/>
      <c r="S158" s="3"/>
      <c r="T158" s="121"/>
      <c r="U158" s="3"/>
      <c r="V158" s="3"/>
    </row>
    <row r="159" spans="12:22" ht="15" x14ac:dyDescent="0.25">
      <c r="L159" s="119"/>
      <c r="M159" s="161"/>
      <c r="N159" s="101"/>
      <c r="O159" s="101"/>
      <c r="P159" s="101"/>
      <c r="Q159" s="121"/>
      <c r="R159" s="101"/>
      <c r="S159" s="101"/>
      <c r="T159" s="121"/>
      <c r="U159" s="3"/>
      <c r="V159" s="3"/>
    </row>
    <row r="160" spans="12:22" ht="15" x14ac:dyDescent="0.25">
      <c r="L160" s="119"/>
      <c r="M160" s="161"/>
      <c r="N160" s="3"/>
      <c r="O160" s="3"/>
      <c r="P160" s="3"/>
      <c r="Q160" s="121"/>
      <c r="R160" s="3"/>
      <c r="S160" s="3"/>
      <c r="T160" s="121"/>
      <c r="U160" s="3"/>
      <c r="V160" s="3"/>
    </row>
    <row r="161" spans="12:22" ht="15" x14ac:dyDescent="0.25">
      <c r="L161" s="119"/>
      <c r="M161" s="161"/>
      <c r="N161" s="101"/>
      <c r="O161" s="101"/>
      <c r="P161" s="101"/>
      <c r="Q161" s="121"/>
      <c r="R161" s="101"/>
      <c r="S161" s="101"/>
      <c r="T161" s="121"/>
      <c r="U161" s="3"/>
      <c r="V161" s="3"/>
    </row>
    <row r="162" spans="12:22" ht="15" x14ac:dyDescent="0.25">
      <c r="L162" s="119"/>
      <c r="M162" s="161"/>
      <c r="N162" s="3"/>
      <c r="O162" s="3"/>
      <c r="P162" s="3"/>
      <c r="Q162" s="121"/>
      <c r="R162" s="3"/>
      <c r="S162" s="3"/>
      <c r="T162" s="121"/>
      <c r="U162" s="3"/>
      <c r="V162" s="3"/>
    </row>
    <row r="163" spans="12:22" ht="15" x14ac:dyDescent="0.25">
      <c r="L163" s="119"/>
      <c r="M163" s="161"/>
      <c r="N163" s="101"/>
      <c r="O163" s="101"/>
      <c r="P163" s="101"/>
      <c r="Q163" s="121"/>
      <c r="R163" s="101"/>
      <c r="S163" s="101"/>
      <c r="T163" s="121"/>
      <c r="U163" s="3"/>
      <c r="V163" s="3"/>
    </row>
    <row r="164" spans="12:22" ht="15" x14ac:dyDescent="0.25">
      <c r="L164" s="119"/>
      <c r="M164" s="161"/>
      <c r="N164" s="3"/>
      <c r="O164" s="3"/>
      <c r="P164" s="3"/>
      <c r="Q164" s="121"/>
      <c r="R164" s="3"/>
      <c r="S164" s="3"/>
      <c r="T164" s="121"/>
      <c r="U164" s="3"/>
      <c r="V164" s="3"/>
    </row>
    <row r="165" spans="12:22" ht="15" x14ac:dyDescent="0.25">
      <c r="L165" s="119"/>
      <c r="M165" s="161"/>
      <c r="N165" s="101"/>
      <c r="O165" s="101"/>
      <c r="P165" s="101"/>
      <c r="Q165" s="121"/>
      <c r="R165" s="101"/>
      <c r="S165" s="101"/>
      <c r="T165" s="121"/>
      <c r="U165" s="3"/>
      <c r="V165" s="3"/>
    </row>
    <row r="166" spans="12:22" ht="15" x14ac:dyDescent="0.25">
      <c r="L166" s="119"/>
      <c r="M166" s="161"/>
      <c r="N166" s="3"/>
      <c r="O166" s="3"/>
      <c r="P166" s="3"/>
      <c r="Q166" s="121"/>
      <c r="R166" s="3"/>
      <c r="S166" s="3"/>
      <c r="T166" s="121"/>
      <c r="U166" s="3"/>
      <c r="V166" s="3"/>
    </row>
    <row r="167" spans="12:22" ht="15" x14ac:dyDescent="0.25">
      <c r="L167" s="119"/>
      <c r="M167" s="161"/>
      <c r="N167" s="101"/>
      <c r="O167" s="101"/>
      <c r="P167" s="101"/>
      <c r="Q167" s="121"/>
      <c r="R167" s="101"/>
      <c r="S167" s="101"/>
      <c r="T167" s="121"/>
      <c r="U167" s="3"/>
      <c r="V167" s="3"/>
    </row>
    <row r="168" spans="12:22" ht="15" x14ac:dyDescent="0.25">
      <c r="L168" s="119"/>
      <c r="M168" s="161"/>
      <c r="N168" s="3"/>
      <c r="O168" s="3"/>
      <c r="P168" s="3"/>
      <c r="Q168" s="121"/>
      <c r="R168" s="3"/>
      <c r="S168" s="3"/>
      <c r="T168" s="121"/>
      <c r="U168" s="3"/>
      <c r="V168" s="3"/>
    </row>
    <row r="169" spans="12:22" ht="15" x14ac:dyDescent="0.25">
      <c r="L169" s="119"/>
      <c r="M169" s="161"/>
      <c r="N169" s="101"/>
      <c r="O169" s="101"/>
      <c r="P169" s="101"/>
      <c r="Q169" s="121"/>
      <c r="R169" s="101"/>
      <c r="S169" s="101"/>
      <c r="T169" s="121"/>
      <c r="U169" s="3"/>
      <c r="V169" s="3"/>
    </row>
    <row r="170" spans="12:22" ht="15" x14ac:dyDescent="0.25">
      <c r="L170" s="119"/>
      <c r="M170" s="161"/>
      <c r="N170" s="3"/>
      <c r="O170" s="3"/>
      <c r="P170" s="3"/>
      <c r="Q170" s="121"/>
      <c r="R170" s="3"/>
      <c r="S170" s="3"/>
      <c r="T170" s="121"/>
      <c r="U170" s="3"/>
      <c r="V170" s="3"/>
    </row>
    <row r="171" spans="12:22" ht="15" x14ac:dyDescent="0.25">
      <c r="L171" s="119"/>
      <c r="M171" s="161"/>
      <c r="N171" s="101"/>
      <c r="O171" s="101"/>
      <c r="P171" s="101"/>
      <c r="Q171" s="121"/>
      <c r="R171" s="101"/>
      <c r="S171" s="101"/>
      <c r="T171" s="121"/>
      <c r="U171" s="3"/>
      <c r="V171" s="3"/>
    </row>
    <row r="172" spans="12:22" ht="15" x14ac:dyDescent="0.25">
      <c r="L172" s="119"/>
      <c r="M172" s="161"/>
      <c r="N172" s="3"/>
      <c r="O172" s="3"/>
      <c r="P172" s="3"/>
      <c r="Q172" s="121"/>
      <c r="R172" s="3"/>
      <c r="S172" s="3"/>
      <c r="T172" s="121"/>
      <c r="U172" s="3"/>
      <c r="V172" s="3"/>
    </row>
    <row r="173" spans="12:22" ht="15" x14ac:dyDescent="0.25">
      <c r="L173" s="119"/>
      <c r="M173" s="161"/>
      <c r="N173" s="101"/>
      <c r="O173" s="101"/>
      <c r="P173" s="101"/>
      <c r="Q173" s="121"/>
      <c r="R173" s="101"/>
      <c r="S173" s="101"/>
      <c r="T173" s="121"/>
      <c r="U173" s="3"/>
      <c r="V173" s="3"/>
    </row>
    <row r="174" spans="12:22" ht="15" x14ac:dyDescent="0.25">
      <c r="L174" s="119"/>
      <c r="M174" s="161"/>
      <c r="N174" s="3"/>
      <c r="O174" s="3"/>
      <c r="P174" s="3"/>
      <c r="Q174" s="121"/>
      <c r="R174" s="3"/>
      <c r="S174" s="3"/>
      <c r="T174" s="121"/>
      <c r="U174" s="3"/>
      <c r="V174" s="3"/>
    </row>
    <row r="175" spans="12:22" ht="15" x14ac:dyDescent="0.25">
      <c r="L175" s="119"/>
      <c r="M175" s="161"/>
      <c r="N175" s="101"/>
      <c r="O175" s="101"/>
      <c r="P175" s="101"/>
      <c r="Q175" s="101"/>
      <c r="R175" s="101"/>
      <c r="S175" s="101"/>
      <c r="T175" s="101"/>
      <c r="U175" s="3"/>
      <c r="V175" s="3"/>
    </row>
    <row r="176" spans="12:22" ht="15" x14ac:dyDescent="0.25">
      <c r="S176" s="101"/>
      <c r="T176" s="101"/>
      <c r="U176" s="101"/>
      <c r="V176" s="101"/>
    </row>
    <row r="177" spans="12:22" ht="15" x14ac:dyDescent="0.25">
      <c r="L177" s="167"/>
      <c r="M177" s="167"/>
      <c r="N177" s="167"/>
      <c r="O177" s="167"/>
      <c r="P177" s="167"/>
      <c r="Q177" s="167"/>
      <c r="R177" s="167"/>
      <c r="S177" s="167"/>
      <c r="T177" s="167"/>
      <c r="U177" s="101"/>
      <c r="V177" s="101"/>
    </row>
    <row r="178" spans="12:22" ht="15" x14ac:dyDescent="0.25">
      <c r="L178" s="167"/>
      <c r="M178" s="167"/>
      <c r="N178" s="118"/>
      <c r="O178" s="118"/>
      <c r="P178" s="163"/>
      <c r="Q178" s="118"/>
      <c r="R178" s="118"/>
      <c r="S178" s="163"/>
      <c r="T178" s="163"/>
      <c r="U178" s="101"/>
      <c r="V178" s="101"/>
    </row>
    <row r="179" spans="12:22" ht="15" x14ac:dyDescent="0.25">
      <c r="L179" s="161"/>
      <c r="M179" s="161"/>
      <c r="N179" s="3"/>
      <c r="O179" s="164"/>
      <c r="P179" s="164"/>
      <c r="Q179" s="3"/>
      <c r="R179" s="165"/>
      <c r="S179" s="3"/>
      <c r="T179" s="3"/>
      <c r="U179" s="101"/>
      <c r="V179" s="101"/>
    </row>
    <row r="180" spans="12:22" ht="15" x14ac:dyDescent="0.25">
      <c r="L180" s="161"/>
      <c r="M180" s="161"/>
      <c r="N180" s="3"/>
      <c r="O180" s="101"/>
      <c r="P180" s="101"/>
      <c r="Q180" s="3"/>
      <c r="R180" s="166"/>
      <c r="S180" s="3"/>
      <c r="T180" s="3"/>
      <c r="U180" s="101"/>
      <c r="V180" s="101"/>
    </row>
    <row r="181" spans="12:22" ht="15" x14ac:dyDescent="0.25">
      <c r="L181" s="161"/>
      <c r="M181" s="161"/>
      <c r="N181" s="3"/>
      <c r="O181" s="101"/>
      <c r="P181" s="101"/>
      <c r="Q181" s="3"/>
      <c r="R181" s="166"/>
      <c r="S181" s="3"/>
      <c r="T181" s="3"/>
      <c r="U181" s="101"/>
      <c r="V181" s="101"/>
    </row>
    <row r="182" spans="12:22" ht="15" x14ac:dyDescent="0.25">
      <c r="L182" s="161"/>
      <c r="M182" s="161"/>
      <c r="N182" s="3"/>
      <c r="O182" s="101"/>
      <c r="P182" s="101"/>
      <c r="Q182" s="3"/>
      <c r="R182" s="166"/>
      <c r="S182" s="3"/>
      <c r="T182" s="3"/>
      <c r="U182" s="101"/>
      <c r="V182" s="101"/>
    </row>
    <row r="183" spans="12:22" ht="15" x14ac:dyDescent="0.25">
      <c r="L183" s="161"/>
      <c r="M183" s="161"/>
      <c r="N183" s="3"/>
      <c r="O183" s="164"/>
      <c r="P183" s="164"/>
      <c r="Q183" s="3"/>
      <c r="R183" s="165"/>
      <c r="S183" s="3"/>
      <c r="T183" s="3"/>
      <c r="U183" s="101"/>
      <c r="V183" s="101"/>
    </row>
    <row r="184" spans="12:22" ht="15" x14ac:dyDescent="0.25">
      <c r="L184" s="161"/>
      <c r="M184" s="161"/>
      <c r="N184" s="3"/>
      <c r="O184" s="101"/>
      <c r="P184" s="101"/>
      <c r="Q184" s="3"/>
      <c r="R184" s="166"/>
      <c r="S184" s="3"/>
      <c r="T184" s="3"/>
      <c r="U184" s="101"/>
      <c r="V184" s="101"/>
    </row>
    <row r="185" spans="12:22" ht="15" x14ac:dyDescent="0.25">
      <c r="L185" s="161"/>
      <c r="M185" s="161"/>
      <c r="N185" s="3"/>
      <c r="O185" s="101"/>
      <c r="P185" s="101"/>
      <c r="Q185" s="3"/>
      <c r="R185" s="166"/>
      <c r="S185" s="3"/>
      <c r="T185" s="3"/>
      <c r="U185" s="101"/>
      <c r="V185" s="101"/>
    </row>
    <row r="186" spans="12:22" ht="15" x14ac:dyDescent="0.25">
      <c r="L186" s="161"/>
      <c r="M186" s="161"/>
      <c r="N186" s="3"/>
      <c r="O186" s="101"/>
      <c r="P186" s="101"/>
      <c r="Q186" s="3"/>
      <c r="R186" s="166"/>
      <c r="S186" s="3"/>
      <c r="T186" s="3"/>
      <c r="U186" s="101"/>
      <c r="V186" s="101"/>
    </row>
    <row r="187" spans="12:22" ht="15" x14ac:dyDescent="0.25">
      <c r="L187" s="161"/>
      <c r="M187" s="161"/>
      <c r="N187" s="3"/>
      <c r="O187" s="164"/>
      <c r="P187" s="164"/>
      <c r="Q187" s="3"/>
      <c r="R187" s="165"/>
      <c r="S187" s="3"/>
      <c r="T187" s="3"/>
      <c r="U187" s="101"/>
      <c r="V187" s="101"/>
    </row>
    <row r="188" spans="12:22" ht="15" x14ac:dyDescent="0.25">
      <c r="L188" s="161"/>
      <c r="M188" s="161"/>
      <c r="N188" s="3"/>
      <c r="O188" s="101"/>
      <c r="P188" s="101"/>
      <c r="Q188" s="3"/>
      <c r="R188" s="166"/>
      <c r="S188" s="3"/>
      <c r="T188" s="3"/>
      <c r="U188" s="101"/>
      <c r="V188" s="101"/>
    </row>
    <row r="189" spans="12:22" ht="15" x14ac:dyDescent="0.25">
      <c r="L189" s="161"/>
      <c r="M189" s="161"/>
      <c r="N189" s="3"/>
      <c r="O189" s="101"/>
      <c r="P189" s="101"/>
      <c r="Q189" s="3"/>
      <c r="R189" s="166"/>
      <c r="S189" s="3"/>
      <c r="T189" s="3"/>
      <c r="U189" s="101"/>
      <c r="V189" s="101"/>
    </row>
    <row r="190" spans="12:22" ht="15" x14ac:dyDescent="0.25">
      <c r="L190" s="161"/>
      <c r="M190" s="161"/>
      <c r="N190" s="3"/>
      <c r="O190" s="101"/>
      <c r="P190" s="101"/>
      <c r="Q190" s="3"/>
      <c r="R190" s="166"/>
      <c r="S190" s="3"/>
      <c r="T190" s="3"/>
      <c r="U190" s="101"/>
      <c r="V190" s="101"/>
    </row>
    <row r="191" spans="12:22" ht="15" x14ac:dyDescent="0.25">
      <c r="L191" s="161"/>
      <c r="M191" s="161"/>
      <c r="N191" s="3"/>
      <c r="O191" s="164"/>
      <c r="P191" s="164"/>
      <c r="Q191" s="3"/>
      <c r="R191" s="165"/>
      <c r="S191" s="3"/>
      <c r="T191" s="3"/>
      <c r="U191" s="101"/>
      <c r="V191" s="101"/>
    </row>
    <row r="192" spans="12:22" ht="15" x14ac:dyDescent="0.25">
      <c r="L192" s="161"/>
      <c r="M192" s="161"/>
      <c r="N192" s="3"/>
      <c r="O192" s="101"/>
      <c r="P192" s="101"/>
      <c r="Q192" s="3"/>
      <c r="R192" s="166"/>
      <c r="S192" s="3"/>
      <c r="T192" s="3"/>
      <c r="U192" s="101"/>
      <c r="V192" s="101"/>
    </row>
    <row r="193" spans="12:22" ht="15" x14ac:dyDescent="0.25">
      <c r="L193" s="161"/>
      <c r="M193" s="161"/>
      <c r="N193" s="3"/>
      <c r="O193" s="101"/>
      <c r="P193" s="101"/>
      <c r="Q193" s="3"/>
      <c r="R193" s="166"/>
      <c r="S193" s="3"/>
      <c r="T193" s="3"/>
      <c r="U193" s="101"/>
      <c r="V193" s="101"/>
    </row>
    <row r="194" spans="12:22" ht="15" x14ac:dyDescent="0.25">
      <c r="L194" s="161"/>
      <c r="M194" s="161"/>
      <c r="N194" s="3"/>
      <c r="O194" s="101"/>
      <c r="P194" s="101"/>
      <c r="Q194" s="3"/>
      <c r="R194" s="166"/>
      <c r="S194" s="3"/>
      <c r="T194" s="3"/>
      <c r="U194" s="101"/>
      <c r="V194" s="101"/>
    </row>
    <row r="195" spans="12:22" ht="15" x14ac:dyDescent="0.25">
      <c r="L195" s="161"/>
      <c r="M195" s="161"/>
      <c r="N195" s="3"/>
      <c r="O195" s="164"/>
      <c r="P195" s="164"/>
      <c r="Q195" s="3"/>
      <c r="R195" s="165"/>
      <c r="S195" s="3"/>
      <c r="T195" s="3"/>
      <c r="U195" s="101"/>
      <c r="V195" s="101"/>
    </row>
    <row r="196" spans="12:22" ht="15" x14ac:dyDescent="0.25">
      <c r="L196" s="161"/>
      <c r="M196" s="161"/>
      <c r="N196" s="3"/>
      <c r="O196" s="101"/>
      <c r="P196" s="101"/>
      <c r="Q196" s="3"/>
      <c r="R196" s="166"/>
      <c r="S196" s="3"/>
      <c r="T196" s="3"/>
      <c r="U196" s="101"/>
      <c r="V196" s="101"/>
    </row>
    <row r="197" spans="12:22" ht="15" x14ac:dyDescent="0.25">
      <c r="L197" s="161"/>
      <c r="M197" s="161"/>
      <c r="N197" s="3"/>
      <c r="O197" s="101"/>
      <c r="P197" s="101"/>
      <c r="Q197" s="3"/>
      <c r="R197" s="166"/>
      <c r="S197" s="3"/>
      <c r="T197" s="3"/>
      <c r="U197" s="101"/>
      <c r="V197" s="101"/>
    </row>
    <row r="198" spans="12:22" ht="15" x14ac:dyDescent="0.25">
      <c r="L198" s="161"/>
      <c r="M198" s="161"/>
      <c r="N198" s="3"/>
      <c r="O198" s="101"/>
      <c r="P198" s="101"/>
      <c r="Q198" s="3"/>
      <c r="R198" s="166"/>
      <c r="S198" s="3"/>
      <c r="T198" s="3"/>
      <c r="U198" s="101"/>
      <c r="V198" s="101"/>
    </row>
    <row r="199" spans="12:22" ht="15" x14ac:dyDescent="0.25">
      <c r="L199" s="161"/>
      <c r="M199" s="161"/>
      <c r="N199" s="3"/>
      <c r="O199" s="164"/>
      <c r="P199" s="164"/>
      <c r="Q199" s="3"/>
      <c r="R199" s="165"/>
      <c r="S199" s="3"/>
      <c r="T199" s="3"/>
      <c r="U199" s="101"/>
      <c r="V199" s="101"/>
    </row>
    <row r="200" spans="12:22" ht="15" x14ac:dyDescent="0.25">
      <c r="L200" s="161"/>
      <c r="M200" s="161"/>
      <c r="N200" s="3"/>
      <c r="O200" s="101"/>
      <c r="P200" s="101"/>
      <c r="Q200" s="3"/>
      <c r="R200" s="166"/>
      <c r="S200" s="3"/>
      <c r="T200" s="3"/>
      <c r="U200" s="101"/>
      <c r="V200" s="101"/>
    </row>
    <row r="201" spans="12:22" ht="15" x14ac:dyDescent="0.25">
      <c r="L201" s="161"/>
      <c r="M201" s="161"/>
      <c r="N201" s="3"/>
      <c r="O201" s="101"/>
      <c r="P201" s="101"/>
      <c r="Q201" s="3"/>
      <c r="R201" s="166"/>
      <c r="S201" s="3"/>
      <c r="T201" s="3"/>
      <c r="U201" s="101"/>
      <c r="V201" s="101"/>
    </row>
    <row r="202" spans="12:22" ht="15" x14ac:dyDescent="0.25">
      <c r="L202" s="161"/>
      <c r="M202" s="161"/>
      <c r="N202" s="3"/>
      <c r="O202" s="101"/>
      <c r="P202" s="101"/>
      <c r="Q202" s="3"/>
      <c r="R202" s="166"/>
      <c r="S202" s="3"/>
      <c r="T202" s="3"/>
      <c r="U202" s="101"/>
      <c r="V202" s="101"/>
    </row>
    <row r="203" spans="12:22" ht="15" x14ac:dyDescent="0.25">
      <c r="L203" s="161"/>
      <c r="M203" s="161"/>
      <c r="N203" s="3"/>
      <c r="O203" s="164"/>
      <c r="P203" s="164"/>
      <c r="Q203" s="3"/>
      <c r="R203" s="165"/>
      <c r="S203" s="3"/>
      <c r="T203" s="3"/>
      <c r="U203" s="101"/>
      <c r="V203" s="101"/>
    </row>
    <row r="204" spans="12:22" ht="15" x14ac:dyDescent="0.25">
      <c r="L204" s="161"/>
      <c r="M204" s="161"/>
      <c r="N204" s="3"/>
      <c r="O204" s="101"/>
      <c r="P204" s="101"/>
      <c r="Q204" s="3"/>
      <c r="R204" s="166"/>
      <c r="S204" s="3"/>
      <c r="T204" s="3"/>
      <c r="U204" s="101"/>
      <c r="V204" s="101"/>
    </row>
    <row r="205" spans="12:22" ht="15" x14ac:dyDescent="0.25">
      <c r="L205" s="161"/>
      <c r="M205" s="161"/>
      <c r="N205" s="3"/>
      <c r="O205" s="101"/>
      <c r="P205" s="101"/>
      <c r="Q205" s="3"/>
      <c r="R205" s="166"/>
      <c r="S205" s="3"/>
      <c r="T205" s="3"/>
      <c r="U205" s="101"/>
      <c r="V205" s="101"/>
    </row>
    <row r="206" spans="12:22" ht="15" x14ac:dyDescent="0.25">
      <c r="L206" s="161"/>
      <c r="M206" s="161"/>
      <c r="N206" s="3"/>
      <c r="O206" s="101"/>
      <c r="P206" s="101"/>
      <c r="Q206" s="3"/>
      <c r="R206" s="166"/>
      <c r="S206" s="3"/>
      <c r="T206" s="3"/>
      <c r="U206" s="101"/>
      <c r="V206" s="101"/>
    </row>
    <row r="207" spans="12:22" ht="15" x14ac:dyDescent="0.25">
      <c r="L207" s="161"/>
      <c r="M207" s="161"/>
      <c r="N207" s="3"/>
      <c r="O207" s="164"/>
      <c r="P207" s="164"/>
      <c r="Q207" s="3"/>
      <c r="R207" s="165"/>
      <c r="S207" s="3"/>
      <c r="T207" s="3"/>
      <c r="U207" s="101"/>
      <c r="V207" s="101"/>
    </row>
    <row r="208" spans="12:22" ht="15" x14ac:dyDescent="0.25">
      <c r="L208" s="161"/>
      <c r="M208" s="161"/>
      <c r="N208" s="3"/>
      <c r="O208" s="101"/>
      <c r="P208" s="101"/>
      <c r="Q208" s="3"/>
      <c r="R208" s="166"/>
      <c r="S208" s="3"/>
      <c r="T208" s="3"/>
      <c r="U208" s="101"/>
      <c r="V208" s="101"/>
    </row>
    <row r="209" spans="12:22" ht="15" x14ac:dyDescent="0.25">
      <c r="L209" s="161"/>
      <c r="M209" s="161"/>
      <c r="N209" s="3"/>
      <c r="O209" s="101"/>
      <c r="P209" s="101"/>
      <c r="Q209" s="3"/>
      <c r="R209" s="166"/>
      <c r="S209" s="3"/>
      <c r="T209" s="3"/>
      <c r="U209" s="101"/>
      <c r="V209" s="101"/>
    </row>
    <row r="210" spans="12:22" ht="15" x14ac:dyDescent="0.25">
      <c r="L210" s="161"/>
      <c r="M210" s="161"/>
      <c r="N210" s="3"/>
      <c r="O210" s="101"/>
      <c r="P210" s="101"/>
      <c r="Q210" s="3"/>
      <c r="R210" s="166"/>
      <c r="S210" s="3"/>
      <c r="T210" s="3"/>
      <c r="U210" s="101"/>
      <c r="V210" s="101"/>
    </row>
    <row r="211" spans="12:22" ht="15" x14ac:dyDescent="0.25">
      <c r="L211" s="161"/>
      <c r="M211" s="161"/>
      <c r="N211" s="3"/>
      <c r="O211" s="164"/>
      <c r="P211" s="164"/>
      <c r="Q211" s="3"/>
      <c r="R211" s="165"/>
      <c r="S211" s="3"/>
      <c r="T211" s="3"/>
      <c r="U211" s="101"/>
      <c r="V211" s="101"/>
    </row>
    <row r="212" spans="12:22" ht="15" x14ac:dyDescent="0.25">
      <c r="L212" s="161"/>
      <c r="M212" s="161"/>
      <c r="N212" s="3"/>
      <c r="O212" s="101"/>
      <c r="P212" s="101"/>
      <c r="Q212" s="3"/>
      <c r="R212" s="166"/>
      <c r="S212" s="3"/>
      <c r="T212" s="3"/>
      <c r="U212" s="101"/>
      <c r="V212" s="101"/>
    </row>
    <row r="213" spans="12:22" ht="15" x14ac:dyDescent="0.25">
      <c r="L213" s="161"/>
      <c r="M213" s="161"/>
      <c r="N213" s="3"/>
      <c r="O213" s="101"/>
      <c r="P213" s="101"/>
      <c r="Q213" s="3"/>
      <c r="R213" s="166"/>
      <c r="S213" s="3"/>
      <c r="T213" s="3"/>
      <c r="U213" s="101"/>
      <c r="V213" s="101"/>
    </row>
    <row r="214" spans="12:22" ht="15" x14ac:dyDescent="0.25">
      <c r="L214" s="161"/>
      <c r="M214" s="161"/>
      <c r="N214" s="3"/>
      <c r="O214" s="101"/>
      <c r="P214" s="101"/>
      <c r="Q214" s="3"/>
      <c r="R214" s="166"/>
      <c r="S214" s="3"/>
      <c r="T214" s="3"/>
      <c r="U214" s="101"/>
      <c r="V214" s="101"/>
    </row>
    <row r="215" spans="12:22" ht="15" x14ac:dyDescent="0.25">
      <c r="L215" s="161"/>
      <c r="M215" s="161"/>
      <c r="N215" s="3"/>
      <c r="O215" s="164"/>
      <c r="P215" s="164"/>
      <c r="Q215" s="3"/>
      <c r="R215" s="165"/>
      <c r="S215" s="3"/>
      <c r="T215" s="3"/>
      <c r="U215" s="101"/>
      <c r="V215" s="101"/>
    </row>
    <row r="216" spans="12:22" ht="15" x14ac:dyDescent="0.25">
      <c r="L216" s="161"/>
      <c r="M216" s="161"/>
      <c r="N216" s="3"/>
      <c r="O216" s="101"/>
      <c r="P216" s="101"/>
      <c r="Q216" s="3"/>
      <c r="R216" s="166"/>
      <c r="S216" s="3"/>
      <c r="T216" s="3"/>
      <c r="U216" s="101"/>
      <c r="V216" s="101"/>
    </row>
    <row r="217" spans="12:22" ht="15" x14ac:dyDescent="0.25">
      <c r="L217" s="161"/>
      <c r="M217" s="161"/>
      <c r="N217" s="3"/>
      <c r="O217" s="101"/>
      <c r="P217" s="101"/>
      <c r="Q217" s="3"/>
      <c r="R217" s="166"/>
      <c r="S217" s="3"/>
      <c r="T217" s="3"/>
      <c r="U217" s="101"/>
      <c r="V217" s="101"/>
    </row>
    <row r="218" spans="12:22" ht="15" x14ac:dyDescent="0.25">
      <c r="L218" s="161"/>
      <c r="M218" s="161"/>
      <c r="N218" s="161"/>
      <c r="O218" s="101"/>
      <c r="P218" s="101"/>
      <c r="Q218" s="161"/>
      <c r="R218" s="166"/>
      <c r="S218" s="161"/>
      <c r="T218" s="161"/>
      <c r="U218" s="101"/>
      <c r="V218" s="101"/>
    </row>
    <row r="219" spans="12:22" ht="15" x14ac:dyDescent="0.25">
      <c r="L219" s="100"/>
      <c r="S219" s="101"/>
      <c r="T219" s="101"/>
      <c r="U219" s="101"/>
      <c r="V219" s="101"/>
    </row>
    <row r="220" spans="12:22" ht="15" x14ac:dyDescent="0.25">
      <c r="L220" s="167"/>
      <c r="M220" s="167"/>
      <c r="N220" s="167"/>
      <c r="O220" s="167"/>
      <c r="P220" s="167"/>
      <c r="Q220" s="167"/>
      <c r="R220" s="167"/>
      <c r="S220" s="167"/>
      <c r="T220" s="167"/>
      <c r="U220" s="101"/>
      <c r="V220" s="101"/>
    </row>
    <row r="221" spans="12:22" ht="15" x14ac:dyDescent="0.25">
      <c r="L221" s="167"/>
      <c r="M221" s="167"/>
      <c r="N221" s="118"/>
      <c r="O221" s="118"/>
      <c r="P221" s="163"/>
      <c r="Q221" s="118"/>
      <c r="R221" s="118"/>
      <c r="S221" s="163"/>
      <c r="T221" s="163"/>
      <c r="U221" s="101"/>
      <c r="V221" s="101"/>
    </row>
    <row r="222" spans="12:22" ht="15" x14ac:dyDescent="0.25">
      <c r="L222" s="161"/>
      <c r="M222" s="161"/>
      <c r="N222" s="3"/>
      <c r="O222" s="164"/>
      <c r="P222" s="164"/>
      <c r="Q222" s="3"/>
      <c r="R222" s="165"/>
      <c r="S222" s="3"/>
      <c r="T222" s="3"/>
      <c r="U222" s="101"/>
      <c r="V222" s="101"/>
    </row>
    <row r="223" spans="12:22" ht="15" x14ac:dyDescent="0.25">
      <c r="L223" s="161"/>
      <c r="M223" s="161"/>
      <c r="N223" s="3"/>
      <c r="O223" s="121"/>
      <c r="P223" s="121"/>
      <c r="Q223" s="3"/>
      <c r="R223" s="165"/>
      <c r="S223" s="3"/>
      <c r="T223" s="3"/>
      <c r="U223" s="101"/>
      <c r="V223" s="101"/>
    </row>
    <row r="224" spans="12:22" ht="15" x14ac:dyDescent="0.25">
      <c r="L224" s="161"/>
      <c r="M224" s="161"/>
      <c r="N224" s="3"/>
      <c r="O224" s="121"/>
      <c r="P224" s="121"/>
      <c r="Q224" s="3"/>
      <c r="R224" s="165"/>
      <c r="S224" s="3"/>
      <c r="T224" s="3"/>
      <c r="U224" s="101"/>
      <c r="V224" s="101"/>
    </row>
    <row r="225" spans="12:22" ht="15" x14ac:dyDescent="0.25">
      <c r="L225" s="161"/>
      <c r="M225" s="161"/>
      <c r="N225" s="3"/>
      <c r="O225" s="164"/>
      <c r="P225" s="164"/>
      <c r="Q225" s="3"/>
      <c r="R225" s="165"/>
      <c r="S225" s="3"/>
      <c r="T225" s="3"/>
      <c r="U225" s="101"/>
      <c r="V225" s="101"/>
    </row>
    <row r="226" spans="12:22" ht="15" x14ac:dyDescent="0.25">
      <c r="L226" s="161"/>
      <c r="M226" s="161"/>
      <c r="N226" s="3"/>
      <c r="O226" s="121"/>
      <c r="P226" s="121"/>
      <c r="Q226" s="3"/>
      <c r="R226" s="165"/>
      <c r="S226" s="3"/>
      <c r="T226" s="3"/>
      <c r="U226" s="101"/>
      <c r="V226" s="101"/>
    </row>
    <row r="227" spans="12:22" ht="15" x14ac:dyDescent="0.25">
      <c r="L227" s="161"/>
      <c r="M227" s="161"/>
      <c r="N227" s="3"/>
      <c r="O227" s="121"/>
      <c r="P227" s="121"/>
      <c r="Q227" s="3"/>
      <c r="R227" s="165"/>
      <c r="S227" s="3"/>
      <c r="T227" s="3"/>
      <c r="U227" s="101"/>
      <c r="V227" s="101"/>
    </row>
    <row r="228" spans="12:22" ht="15" x14ac:dyDescent="0.25">
      <c r="L228" s="161"/>
      <c r="M228" s="161"/>
      <c r="N228" s="3"/>
      <c r="O228" s="164"/>
      <c r="P228" s="164"/>
      <c r="Q228" s="3"/>
      <c r="R228" s="165"/>
      <c r="S228" s="3"/>
      <c r="T228" s="3"/>
      <c r="U228" s="101"/>
      <c r="V228" s="101"/>
    </row>
    <row r="229" spans="12:22" ht="15" x14ac:dyDescent="0.25">
      <c r="L229" s="161"/>
      <c r="M229" s="161"/>
      <c r="N229" s="3"/>
      <c r="O229" s="121"/>
      <c r="P229" s="121"/>
      <c r="Q229" s="3"/>
      <c r="R229" s="165"/>
      <c r="S229" s="3"/>
      <c r="T229" s="3"/>
      <c r="U229" s="101"/>
      <c r="V229" s="101"/>
    </row>
    <row r="230" spans="12:22" ht="15" x14ac:dyDescent="0.25">
      <c r="L230" s="161"/>
      <c r="M230" s="161"/>
      <c r="N230" s="3"/>
      <c r="O230" s="121"/>
      <c r="P230" s="121"/>
      <c r="Q230" s="3"/>
      <c r="R230" s="165"/>
      <c r="S230" s="3"/>
      <c r="T230" s="3"/>
      <c r="U230" s="101"/>
      <c r="V230" s="101"/>
    </row>
    <row r="231" spans="12:22" ht="15" x14ac:dyDescent="0.25">
      <c r="L231" s="161"/>
      <c r="M231" s="161"/>
      <c r="N231" s="3"/>
      <c r="O231" s="164"/>
      <c r="P231" s="164"/>
      <c r="Q231" s="3"/>
      <c r="R231" s="165"/>
      <c r="S231" s="3"/>
      <c r="T231" s="3"/>
      <c r="U231" s="101"/>
      <c r="V231" s="101"/>
    </row>
    <row r="232" spans="12:22" ht="15" x14ac:dyDescent="0.25">
      <c r="L232" s="161"/>
      <c r="M232" s="161"/>
      <c r="N232" s="3"/>
      <c r="O232" s="121"/>
      <c r="P232" s="121"/>
      <c r="Q232" s="3"/>
      <c r="R232" s="165"/>
      <c r="S232" s="3"/>
      <c r="T232" s="3"/>
      <c r="U232" s="101"/>
      <c r="V232" s="101"/>
    </row>
    <row r="233" spans="12:22" ht="15" x14ac:dyDescent="0.25">
      <c r="L233" s="161"/>
      <c r="M233" s="161"/>
      <c r="N233" s="3"/>
      <c r="O233" s="121"/>
      <c r="P233" s="121"/>
      <c r="Q233" s="3"/>
      <c r="R233" s="165"/>
      <c r="S233" s="3"/>
      <c r="T233" s="3"/>
      <c r="U233" s="101"/>
      <c r="V233" s="101"/>
    </row>
    <row r="234" spans="12:22" ht="15" x14ac:dyDescent="0.25">
      <c r="L234" s="161"/>
      <c r="M234" s="161"/>
      <c r="N234" s="3"/>
      <c r="O234" s="164"/>
      <c r="P234" s="164"/>
      <c r="Q234" s="3"/>
      <c r="R234" s="165"/>
      <c r="S234" s="3"/>
      <c r="T234" s="3"/>
      <c r="U234" s="101"/>
      <c r="V234" s="101"/>
    </row>
    <row r="235" spans="12:22" ht="15" x14ac:dyDescent="0.25">
      <c r="L235" s="161"/>
      <c r="M235" s="161"/>
      <c r="N235" s="3"/>
      <c r="O235" s="121"/>
      <c r="P235" s="121"/>
      <c r="Q235" s="3"/>
      <c r="R235" s="165"/>
      <c r="S235" s="3"/>
      <c r="T235" s="3"/>
      <c r="U235" s="101"/>
      <c r="V235" s="101"/>
    </row>
    <row r="236" spans="12:22" ht="15" x14ac:dyDescent="0.25">
      <c r="L236" s="161"/>
      <c r="M236" s="161"/>
      <c r="N236" s="3"/>
      <c r="O236" s="121"/>
      <c r="P236" s="121"/>
      <c r="Q236" s="3"/>
      <c r="R236" s="165"/>
      <c r="S236" s="3"/>
      <c r="T236" s="3"/>
      <c r="U236" s="101"/>
      <c r="V236" s="101"/>
    </row>
    <row r="237" spans="12:22" ht="15" x14ac:dyDescent="0.25">
      <c r="L237" s="161"/>
      <c r="M237" s="161"/>
      <c r="N237" s="3"/>
      <c r="O237" s="164"/>
      <c r="P237" s="164"/>
      <c r="Q237" s="3"/>
      <c r="R237" s="165"/>
      <c r="S237" s="3"/>
      <c r="T237" s="3"/>
      <c r="U237" s="101"/>
      <c r="V237" s="101"/>
    </row>
    <row r="238" spans="12:22" ht="15" x14ac:dyDescent="0.25">
      <c r="L238" s="161"/>
      <c r="M238" s="161"/>
      <c r="N238" s="3"/>
      <c r="O238" s="121"/>
      <c r="P238" s="121"/>
      <c r="Q238" s="3"/>
      <c r="R238" s="165"/>
      <c r="S238" s="3"/>
      <c r="T238" s="3"/>
      <c r="U238" s="101"/>
      <c r="V238" s="101"/>
    </row>
    <row r="239" spans="12:22" ht="15" x14ac:dyDescent="0.25">
      <c r="L239" s="161"/>
      <c r="M239" s="161"/>
      <c r="N239" s="3"/>
      <c r="O239" s="121"/>
      <c r="P239" s="121"/>
      <c r="Q239" s="3"/>
      <c r="R239" s="165"/>
      <c r="S239" s="3"/>
      <c r="T239" s="3"/>
      <c r="U239" s="101"/>
      <c r="V239" s="101"/>
    </row>
    <row r="240" spans="12:22" ht="15" x14ac:dyDescent="0.25">
      <c r="L240" s="161"/>
      <c r="M240" s="161"/>
      <c r="N240" s="3"/>
      <c r="O240" s="164"/>
      <c r="P240" s="164"/>
      <c r="Q240" s="3"/>
      <c r="R240" s="165"/>
      <c r="S240" s="3"/>
      <c r="T240" s="3"/>
      <c r="U240" s="101"/>
      <c r="V240" s="101"/>
    </row>
    <row r="241" spans="12:22" ht="15" x14ac:dyDescent="0.25">
      <c r="L241" s="161"/>
      <c r="M241" s="161"/>
      <c r="N241" s="3"/>
      <c r="O241" s="121"/>
      <c r="P241" s="121"/>
      <c r="Q241" s="3"/>
      <c r="R241" s="165"/>
      <c r="S241" s="3"/>
      <c r="T241" s="3"/>
      <c r="U241" s="101"/>
      <c r="V241" s="101"/>
    </row>
    <row r="242" spans="12:22" ht="15" x14ac:dyDescent="0.25">
      <c r="L242" s="161"/>
      <c r="M242" s="161"/>
      <c r="N242" s="3"/>
      <c r="O242" s="121"/>
      <c r="P242" s="121"/>
      <c r="Q242" s="3"/>
      <c r="R242" s="165"/>
      <c r="S242" s="3"/>
      <c r="T242" s="3"/>
      <c r="U242" s="101"/>
      <c r="V242" s="101"/>
    </row>
    <row r="243" spans="12:22" ht="15" x14ac:dyDescent="0.25">
      <c r="L243" s="161"/>
      <c r="M243" s="161"/>
      <c r="N243" s="3"/>
      <c r="O243" s="164"/>
      <c r="P243" s="164"/>
      <c r="Q243" s="3"/>
      <c r="R243" s="165"/>
      <c r="S243" s="3"/>
      <c r="T243" s="3"/>
      <c r="U243" s="101"/>
      <c r="V243" s="101"/>
    </row>
    <row r="244" spans="12:22" ht="15" x14ac:dyDescent="0.25">
      <c r="L244" s="161"/>
      <c r="M244" s="161"/>
      <c r="N244" s="3"/>
      <c r="O244" s="121"/>
      <c r="P244" s="121"/>
      <c r="Q244" s="3"/>
      <c r="R244" s="165"/>
      <c r="S244" s="3"/>
      <c r="T244" s="3"/>
      <c r="U244" s="101"/>
      <c r="V244" s="101"/>
    </row>
    <row r="245" spans="12:22" ht="15" x14ac:dyDescent="0.25">
      <c r="L245" s="161"/>
      <c r="M245" s="161"/>
      <c r="N245" s="3"/>
      <c r="O245" s="121"/>
      <c r="P245" s="121"/>
      <c r="Q245" s="3"/>
      <c r="R245" s="165"/>
      <c r="S245" s="3"/>
      <c r="T245" s="3"/>
      <c r="U245" s="101"/>
      <c r="V245" s="101"/>
    </row>
    <row r="246" spans="12:22" ht="15" x14ac:dyDescent="0.25">
      <c r="L246" s="161"/>
      <c r="M246" s="161"/>
      <c r="N246" s="3"/>
      <c r="O246" s="164"/>
      <c r="P246" s="164"/>
      <c r="Q246" s="3"/>
      <c r="R246" s="165"/>
      <c r="S246" s="3"/>
      <c r="T246" s="3"/>
      <c r="U246" s="101"/>
      <c r="V246" s="101"/>
    </row>
    <row r="247" spans="12:22" ht="15" x14ac:dyDescent="0.25">
      <c r="L247" s="161"/>
      <c r="M247" s="161"/>
      <c r="N247" s="3"/>
      <c r="O247" s="121"/>
      <c r="P247" s="121"/>
      <c r="Q247" s="3"/>
      <c r="R247" s="165"/>
      <c r="S247" s="3"/>
      <c r="T247" s="3"/>
      <c r="U247" s="101"/>
      <c r="V247" s="101"/>
    </row>
    <row r="248" spans="12:22" ht="15" x14ac:dyDescent="0.25">
      <c r="L248" s="161"/>
      <c r="M248" s="161"/>
      <c r="N248" s="3"/>
      <c r="O248" s="121"/>
      <c r="P248" s="121"/>
      <c r="Q248" s="3"/>
      <c r="R248" s="165"/>
      <c r="S248" s="3"/>
      <c r="T248" s="3"/>
      <c r="U248" s="101"/>
      <c r="V248" s="101"/>
    </row>
    <row r="249" spans="12:22" ht="15" x14ac:dyDescent="0.25">
      <c r="L249" s="161"/>
      <c r="M249" s="161"/>
      <c r="N249" s="3"/>
      <c r="O249" s="164"/>
      <c r="P249" s="164"/>
      <c r="Q249" s="3"/>
      <c r="R249" s="165"/>
      <c r="S249" s="3"/>
      <c r="T249" s="3"/>
      <c r="U249" s="101"/>
      <c r="V249" s="101"/>
    </row>
    <row r="250" spans="12:22" ht="15" x14ac:dyDescent="0.25">
      <c r="L250" s="161"/>
      <c r="M250" s="161"/>
      <c r="N250" s="3"/>
      <c r="O250" s="101"/>
      <c r="P250" s="101"/>
      <c r="Q250" s="3"/>
      <c r="R250" s="101"/>
      <c r="S250" s="3"/>
      <c r="T250" s="3"/>
      <c r="U250" s="101"/>
      <c r="V250" s="101"/>
    </row>
    <row r="251" spans="12:22" ht="15" x14ac:dyDescent="0.25">
      <c r="L251" s="161"/>
      <c r="M251" s="161"/>
      <c r="N251" s="3"/>
      <c r="O251" s="101"/>
      <c r="P251" s="101"/>
      <c r="Q251" s="3"/>
      <c r="R251" s="101"/>
      <c r="S251" s="3"/>
      <c r="T251" s="3"/>
      <c r="U251" s="101"/>
      <c r="V251" s="101"/>
    </row>
  </sheetData>
  <mergeCells count="23">
    <mergeCell ref="D2:G2"/>
    <mergeCell ref="R3:T3"/>
    <mergeCell ref="R17:T17"/>
    <mergeCell ref="R46:T46"/>
    <mergeCell ref="R64:R65"/>
    <mergeCell ref="R53:T53"/>
    <mergeCell ref="R66:R67"/>
    <mergeCell ref="R68:R69"/>
    <mergeCell ref="L129:L130"/>
    <mergeCell ref="O131:R131"/>
    <mergeCell ref="O132:R132"/>
    <mergeCell ref="L126:S126"/>
    <mergeCell ref="L127:L128"/>
    <mergeCell ref="M127:M128"/>
    <mergeCell ref="N127:N128"/>
    <mergeCell ref="O127:P127"/>
    <mergeCell ref="Q127:R127"/>
    <mergeCell ref="R137:R138"/>
    <mergeCell ref="L133:L136"/>
    <mergeCell ref="L137:L140"/>
    <mergeCell ref="O137:O138"/>
    <mergeCell ref="P137:P138"/>
    <mergeCell ref="Q137:Q138"/>
  </mergeCells>
  <phoneticPr fontId="8" type="noConversion"/>
  <pageMargins left="0.7" right="0.7" top="0.75" bottom="0.75" header="0.3" footer="0.3"/>
  <pageSetup orientation="portrait" horizontalDpi="0" verticalDpi="0" r:id="rId1"/>
  <drawing r:id="rId2"/>
  <legacyDrawing r:id="rId3"/>
  <tableParts count="2">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b2b484f-4c19-4c24-b89d-0399ef7e60bb" xsi:nil="true"/>
    <lcf76f155ced4ddcb4097134ff3c332f xmlns="85505c59-dd07-406a-b084-d82c82dccc24">
      <Terms xmlns="http://schemas.microsoft.com/office/infopath/2007/PartnerControls"/>
    </lcf76f155ced4ddcb4097134ff3c332f>
  </documentManagement>
</p:properties>
</file>

<file path=customXml/item3.xml><?xml version="1.0" encoding="utf-8"?>
<?mso-contentType ?>
<SharedContentType xmlns="Microsoft.SharePoint.Taxonomy.ContentTypeSync" SourceId="daf5a3b8-19fe-4aaf-8551-0b725c993cda" ContentTypeId="0x0101" PreviousValue="false" LastSyncTimeStamp="2018-06-04T21:34:05.493Z"/>
</file>

<file path=customXml/item4.xml><?xml version="1.0" encoding="utf-8"?>
<ct:contentTypeSchema xmlns:ct="http://schemas.microsoft.com/office/2006/metadata/contentType" xmlns:ma="http://schemas.microsoft.com/office/2006/metadata/properties/metaAttributes" ct:_="" ma:_="" ma:contentTypeName="Document" ma:contentTypeID="0x0101000A4F8625AB2A8540BE2E0A7DBE8531C1" ma:contentTypeVersion="14" ma:contentTypeDescription="Create a new document." ma:contentTypeScope="" ma:versionID="3e5bd69cf7eac842f2477d36a80894ff">
  <xsd:schema xmlns:xsd="http://www.w3.org/2001/XMLSchema" xmlns:xs="http://www.w3.org/2001/XMLSchema" xmlns:p="http://schemas.microsoft.com/office/2006/metadata/properties" xmlns:ns2="85505c59-dd07-406a-b084-d82c82dccc24" xmlns:ns3="6b2b484f-4c19-4c24-b89d-0399ef7e60bb" xmlns:ns4="08b87bea-166c-4b49-8da3-b6b44dc13847" targetNamespace="http://schemas.microsoft.com/office/2006/metadata/properties" ma:root="true" ma:fieldsID="5bf1b26fde6c6f4f7d93bdcf78322bd5" ns2:_="" ns3:_="" ns4:_="">
    <xsd:import namespace="85505c59-dd07-406a-b084-d82c82dccc24"/>
    <xsd:import namespace="6b2b484f-4c19-4c24-b89d-0399ef7e60bb"/>
    <xsd:import namespace="08b87bea-166c-4b49-8da3-b6b44dc1384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4:SharedWithUsers" minOccurs="0"/>
                <xsd:element ref="ns4: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05c59-dd07-406a-b084-d82c82dccc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af5a3b8-19fe-4aaf-8551-0b725c993cda"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b2b484f-4c19-4c24-b89d-0399ef7e60b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0c359fd-0401-4fb7-b333-7fe9b6ff300f}" ma:internalName="TaxCatchAll" ma:showField="CatchAllData" ma:web="6b2b484f-4c19-4c24-b89d-0399ef7e60b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8b87bea-166c-4b49-8da3-b6b44dc1384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F538E9-556C-4740-9384-70820DA6A959}">
  <ds:schemaRefs>
    <ds:schemaRef ds:uri="http://schemas.microsoft.com/sharepoint/v3/contenttype/forms"/>
  </ds:schemaRefs>
</ds:datastoreItem>
</file>

<file path=customXml/itemProps2.xml><?xml version="1.0" encoding="utf-8"?>
<ds:datastoreItem xmlns:ds="http://schemas.openxmlformats.org/officeDocument/2006/customXml" ds:itemID="{6CB6706F-DDF4-41B7-B137-65BA3C1C0B78}">
  <ds:schemaRefs>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31dec9db-5195-47be-9e82-d05353a30672"/>
    <ds:schemaRef ds:uri="6b2b484f-4c19-4c24-b89d-0399ef7e60bb"/>
    <ds:schemaRef ds:uri="405923a6-f60e-469d-8560-ac7b1a3d2c54"/>
    <ds:schemaRef ds:uri="http://www.w3.org/XML/1998/namespace"/>
  </ds:schemaRefs>
</ds:datastoreItem>
</file>

<file path=customXml/itemProps3.xml><?xml version="1.0" encoding="utf-8"?>
<ds:datastoreItem xmlns:ds="http://schemas.openxmlformats.org/officeDocument/2006/customXml" ds:itemID="{5BBF944D-5828-4B61-9DE6-C957663D1CF9}"/>
</file>

<file path=customXml/itemProps4.xml><?xml version="1.0" encoding="utf-8"?>
<ds:datastoreItem xmlns:ds="http://schemas.openxmlformats.org/officeDocument/2006/customXml" ds:itemID="{37286347-919B-4802-BE65-B1A7DCB2D8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45</vt:i4>
      </vt:variant>
    </vt:vector>
  </HeadingPairs>
  <TitlesOfParts>
    <vt:vector size="59" baseType="lpstr">
      <vt:lpstr>Review the Intro Tab</vt:lpstr>
      <vt:lpstr>Fill in the Application</vt:lpstr>
      <vt:lpstr>Place Your Signature</vt:lpstr>
      <vt:lpstr>Input A-C &amp; Heat Pump Measures</vt:lpstr>
      <vt:lpstr>Input Chiller Measures</vt:lpstr>
      <vt:lpstr>Input Chiller Data Measurements</vt:lpstr>
      <vt:lpstr>Review the Summary</vt:lpstr>
      <vt:lpstr>Completion</vt:lpstr>
      <vt:lpstr>References</vt:lpstr>
      <vt:lpstr>HVAC Calcs - OLD</vt:lpstr>
      <vt:lpstr>Caps</vt:lpstr>
      <vt:lpstr>QC</vt:lpstr>
      <vt:lpstr>Proj Data</vt:lpstr>
      <vt:lpstr>APTracks Export Data</vt:lpstr>
      <vt:lpstr>Gross_Proj_Cost</vt:lpstr>
      <vt:lpstr>Input_AvgkWhRate</vt:lpstr>
      <vt:lpstr>Input_BldgType</vt:lpstr>
      <vt:lpstr>Input_Bonus</vt:lpstr>
      <vt:lpstr>Input_BonusMeasureNumber</vt:lpstr>
      <vt:lpstr>Input_HVACType</vt:lpstr>
      <vt:lpstr>Input_ProgramType</vt:lpstr>
      <vt:lpstr>Input_ProjectNumber</vt:lpstr>
      <vt:lpstr>Input_Usage</vt:lpstr>
      <vt:lpstr>List_Biz_Class</vt:lpstr>
      <vt:lpstr>List_Bldg_Types</vt:lpstr>
      <vt:lpstr>List_ComKitch_Measure</vt:lpstr>
      <vt:lpstr>List_Contacts</vt:lpstr>
      <vt:lpstr>List_Custom_Class</vt:lpstr>
      <vt:lpstr>List_Custom_HVAC</vt:lpstr>
      <vt:lpstr>List_Custom_Type</vt:lpstr>
      <vt:lpstr>List_DBE_Option</vt:lpstr>
      <vt:lpstr>List_EffWindow_Direction</vt:lpstr>
      <vt:lpstr>List_EffWindow_Measure</vt:lpstr>
      <vt:lpstr>List_HVAC</vt:lpstr>
      <vt:lpstr>List_HVAC_Measure</vt:lpstr>
      <vt:lpstr>List_Install_Type</vt:lpstr>
      <vt:lpstr>List_Misc_Measure</vt:lpstr>
      <vt:lpstr>List_Ownership</vt:lpstr>
      <vt:lpstr>'Input Chiller Measures'!List_Program_Names</vt:lpstr>
      <vt:lpstr>List_Program_Names</vt:lpstr>
      <vt:lpstr>List_Project_Stage</vt:lpstr>
      <vt:lpstr>List_Refrig_Measure</vt:lpstr>
      <vt:lpstr>List_Source</vt:lpstr>
      <vt:lpstr>List_Tax_Entity</vt:lpstr>
      <vt:lpstr>List_Water_Heating</vt:lpstr>
      <vt:lpstr>List_WinFilm_Direction</vt:lpstr>
      <vt:lpstr>List_WinFilm_Measure</vt:lpstr>
      <vt:lpstr>List_Y_N</vt:lpstr>
      <vt:lpstr>List_Y_N_U</vt:lpstr>
      <vt:lpstr>Net_Project_Cost</vt:lpstr>
      <vt:lpstr>Project_Energy_Savings</vt:lpstr>
      <vt:lpstr>Subtotal_CustomIncentive</vt:lpstr>
      <vt:lpstr>Total_Incentive</vt:lpstr>
      <vt:lpstr>Value_Application_Version</vt:lpstr>
      <vt:lpstr>Value_Bonus_Rate</vt:lpstr>
      <vt:lpstr>Value_Cus_IncentRate</vt:lpstr>
      <vt:lpstr>Value_FastTrack_Limit</vt:lpstr>
      <vt:lpstr>Value_Measure_CAP</vt:lpstr>
      <vt:lpstr>Value_Project_CAP</vt:lpstr>
    </vt:vector>
  </TitlesOfParts>
  <Manager/>
  <Company>Chicago Bridge &amp; Iron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Kurtz, Spencer</dc:creator>
  <cp:keywords/>
  <dc:description/>
  <cp:lastModifiedBy>Kurtz, Spencer</cp:lastModifiedBy>
  <cp:revision/>
  <dcterms:created xsi:type="dcterms:W3CDTF">2017-02-21T18:38:33Z</dcterms:created>
  <dcterms:modified xsi:type="dcterms:W3CDTF">2024-09-23T21:17:47Z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0x0101000A4F8625AB2A8540BE2E0A7DBE8531C1</vt:lpwstr>
  </property>
  <property fmtid="{D5CDD505-2E9C-101B-9397-08002B2CF9AE}" pid="3" name="MediaServiceImageTags">
    <vt:lpwstr/>
  </property>
</Properties>
</file>