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1.xml" ContentType="application/vnd.ms-excel.namedsheetviews+xml"/>
  <Override PartName="/xl/drawings/drawing7.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2.xml" ContentType="application/vnd.ms-excel.namedsheetviews+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5.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NO Program Files/Program Calculator Templates/2024/Re-Branded for 2024/"/>
    </mc:Choice>
  </mc:AlternateContent>
  <xr:revisionPtr revIDLastSave="24" documentId="8_{17C704EF-E8FA-4AD2-898A-35DB7CE1FDE7}" xr6:coauthVersionLast="47" xr6:coauthVersionMax="47" xr10:uidLastSave="{8D43C705-7F85-4EED-A4C7-17519AB996DC}"/>
  <workbookProtection workbookAlgorithmName="SHA-512" workbookHashValue="QuVaSqCnRkv2wt+eqh7lPA1IFaosSp4N1Mdju8GohKIE7wYUWIc7q6Twq/yjWFJJ7WqNB7sg4BZYA4X2mJLWMQ==" workbookSaltValue="LOjgzlfizSXUYu9IzVoDkA==" workbookSpinCount="100000" lockStructure="1"/>
  <bookViews>
    <workbookView xWindow="28680" yWindow="-120" windowWidth="29040" windowHeight="15840" xr2:uid="{C5A0D24E-48C1-4F78-8BF4-BE9E512EE7FE}"/>
  </bookViews>
  <sheets>
    <sheet name="Review the Intro Tab" sheetId="41" r:id="rId1"/>
    <sheet name="Review the Project Eligibility" sheetId="4" r:id="rId2"/>
    <sheet name="Fill in the Application" sheetId="37" r:id="rId3"/>
    <sheet name="Place Your Signature" sheetId="44" r:id="rId4"/>
    <sheet name="Input the Compressors Info" sheetId="58" r:id="rId5"/>
    <sheet name="Input Leak Survey Details (1)" sheetId="1" r:id="rId6"/>
    <sheet name="Input Leak Survey Details (2)" sheetId="59" r:id="rId7"/>
    <sheet name="Review the Summary" sheetId="26" r:id="rId8"/>
    <sheet name="Sign Off On Project Completion" sheetId="52" r:id="rId9"/>
    <sheet name="References" sheetId="22" state="hidden" r:id="rId10"/>
    <sheet name="Caps" sheetId="51" state="hidden" r:id="rId11"/>
    <sheet name="QC" sheetId="33" state="hidden" r:id="rId12"/>
    <sheet name="Proj Data" sheetId="53" state="hidden" r:id="rId13"/>
    <sheet name="APTracks Export Data" sheetId="28" state="hidden" r:id="rId14"/>
  </sheets>
  <definedNames>
    <definedName name="_xlnm._FilterDatabase" localSheetId="13" hidden="1">'APTracks Export Data'!$A$1:$M$3</definedName>
    <definedName name="Gross_Proj_Cost">'Review the Summary'!$C$7</definedName>
    <definedName name="Input_AvgkWhRate">'Fill in the Application'!$F$27</definedName>
    <definedName name="Input_BldgType">'Fill in the Application'!$F$28</definedName>
    <definedName name="Input_Bonus">QC!$F$18</definedName>
    <definedName name="Input_BonusMeasureNumber">QC!$G$18</definedName>
    <definedName name="Input_HVACType">'Fill in the Application'!$F$29</definedName>
    <definedName name="Input_ProgramType">'Fill in the Application'!$F$10</definedName>
    <definedName name="Input_ProjectNumber">QC!$B$1</definedName>
    <definedName name="Input_Usage">QC!$B$2</definedName>
    <definedName name="List_Biz_Class">References!$Y$4:$Y$10</definedName>
    <definedName name="List_Bldg_Types">References!$AH$4:$AH$36</definedName>
    <definedName name="List_Comp_ShiftType">Table_Shift_Hours[List_Comp_ShiftType]</definedName>
    <definedName name="List_Contacts">References!$AK$4:$AK$7</definedName>
    <definedName name="List_Control_Type">Table_Control_Eff[List_Control_Type]</definedName>
    <definedName name="List_DBE_Option">References!$AC$4:$AC$14</definedName>
    <definedName name="List_HVAC">References!$AI$4:$AI$10</definedName>
    <definedName name="List_Install_Type">References!$AF$4:$AF$7</definedName>
    <definedName name="List_Operating_Mode">Table_Load_Mode[List_Operating_Mode]</definedName>
    <definedName name="List_Ownership">References!$AG$4:$AG$5</definedName>
    <definedName name="List_Programs">References!$AD$4:$AD$5</definedName>
    <definedName name="List_Project_Stage">References!$AE$4:$AE$5</definedName>
    <definedName name="List_Source">References!$AL$4:$AL$13</definedName>
    <definedName name="List_Sys_ShiftType">References!$H$4:$H$7</definedName>
    <definedName name="List_Tax_Entity">References!$Z$4:$Z$9</definedName>
    <definedName name="List_Water_Heating">References!$AJ$4:$AJ$10</definedName>
    <definedName name="List_Y_N">References!$AB$4:$AB$5</definedName>
    <definedName name="List_Y_N_U">References!$AA$4:$AA$6</definedName>
    <definedName name="Net_Project_Cost">'Review the Summary'!$E$7</definedName>
    <definedName name="Project_Energy_Savings">'Review the Summary'!$F$7</definedName>
    <definedName name="Subtotal_OtherCosts">SUM('Review the Summary'!#REF!)</definedName>
    <definedName name="Total_Incentive">'Review the Summary'!$D$7</definedName>
    <definedName name="Value_Application_Version">References!$B$7</definedName>
    <definedName name="Value_Bonus_Rate">References!$B$8</definedName>
    <definedName name="Value_CALeaksIR">References!$B$9</definedName>
    <definedName name="Value_CASysAOH">'Input the Compressors Info'!$B$4</definedName>
    <definedName name="Value_Default_Eff">References!$B$10</definedName>
    <definedName name="Value_Default_PostLeakRate">References!$B$12</definedName>
    <definedName name="Value_Default_PreLeakRate">References!$B$11</definedName>
    <definedName name="Value_ExitSign_BaselineW">25.1</definedName>
    <definedName name="Value_ExitSign_LEDW">3</definedName>
    <definedName name="Value_FastTrack_Limit">References!$B$5</definedName>
    <definedName name="Value_LeakRepairIR">References!$E$3</definedName>
    <definedName name="Value_LtgControls_CF">0.26</definedName>
    <definedName name="Value_MaxIncent_perHP">References!$E$6</definedName>
    <definedName name="Value_Measure_CAP">References!$B$4</definedName>
    <definedName name="Value_Project_CAP">References!$B$3</definedName>
    <definedName name="Value_SysAOH">References!$E$4</definedName>
    <definedName name="Value_SysMaxIncent">References!$E$7</definedName>
    <definedName name="Value_WeightAvgCompEff">References!$E$5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3" l="1"/>
  <c r="M3" i="51" s="1"/>
  <c r="D23" i="52"/>
  <c r="D22" i="52"/>
  <c r="D24" i="52" s="1"/>
  <c r="A20" i="58"/>
  <c r="E6" i="22"/>
  <c r="M11" i="58" l="1"/>
  <c r="N11" i="58" s="1"/>
  <c r="J10" i="58"/>
  <c r="E4" i="22"/>
  <c r="E3" i="22"/>
  <c r="L6" i="1" s="1"/>
  <c r="E6" i="58"/>
  <c r="E5" i="58"/>
  <c r="J4" i="1"/>
  <c r="I4" i="1"/>
  <c r="B207" i="59"/>
  <c r="T204" i="59"/>
  <c r="S204" i="59"/>
  <c r="P204" i="59"/>
  <c r="T203" i="59"/>
  <c r="S203" i="59"/>
  <c r="P203" i="59"/>
  <c r="T202" i="59"/>
  <c r="S202" i="59"/>
  <c r="P202" i="59"/>
  <c r="T201" i="59"/>
  <c r="S201" i="59"/>
  <c r="P201" i="59"/>
  <c r="T200" i="59"/>
  <c r="S200" i="59"/>
  <c r="P200" i="59"/>
  <c r="T199" i="59"/>
  <c r="S199" i="59"/>
  <c r="P199" i="59"/>
  <c r="T198" i="59"/>
  <c r="S198" i="59"/>
  <c r="P198" i="59"/>
  <c r="T197" i="59"/>
  <c r="S197" i="59"/>
  <c r="P197" i="59"/>
  <c r="T196" i="59"/>
  <c r="S196" i="59"/>
  <c r="P196" i="59"/>
  <c r="T195" i="59"/>
  <c r="S195" i="59"/>
  <c r="P195" i="59"/>
  <c r="T194" i="59"/>
  <c r="S194" i="59"/>
  <c r="P194" i="59"/>
  <c r="T193" i="59"/>
  <c r="S193" i="59"/>
  <c r="P193" i="59"/>
  <c r="T192" i="59"/>
  <c r="S192" i="59"/>
  <c r="P192" i="59"/>
  <c r="T191" i="59"/>
  <c r="S191" i="59"/>
  <c r="P191" i="59"/>
  <c r="T190" i="59"/>
  <c r="S190" i="59"/>
  <c r="P190" i="59"/>
  <c r="T189" i="59"/>
  <c r="S189" i="59"/>
  <c r="P189" i="59"/>
  <c r="T188" i="59"/>
  <c r="S188" i="59"/>
  <c r="P188" i="59"/>
  <c r="T187" i="59"/>
  <c r="S187" i="59"/>
  <c r="P187" i="59"/>
  <c r="T186" i="59"/>
  <c r="S186" i="59"/>
  <c r="P186" i="59"/>
  <c r="T185" i="59"/>
  <c r="S185" i="59"/>
  <c r="P185" i="59"/>
  <c r="T184" i="59"/>
  <c r="S184" i="59"/>
  <c r="P184" i="59"/>
  <c r="T183" i="59"/>
  <c r="S183" i="59"/>
  <c r="P183" i="59"/>
  <c r="T182" i="59"/>
  <c r="S182" i="59"/>
  <c r="P182" i="59"/>
  <c r="T181" i="59"/>
  <c r="S181" i="59"/>
  <c r="P181" i="59"/>
  <c r="T180" i="59"/>
  <c r="S180" i="59"/>
  <c r="P180" i="59"/>
  <c r="T179" i="59"/>
  <c r="S179" i="59"/>
  <c r="P179" i="59"/>
  <c r="T178" i="59"/>
  <c r="S178" i="59"/>
  <c r="P178" i="59"/>
  <c r="T177" i="59"/>
  <c r="S177" i="59"/>
  <c r="P177" i="59"/>
  <c r="T176" i="59"/>
  <c r="S176" i="59"/>
  <c r="P176" i="59"/>
  <c r="T175" i="59"/>
  <c r="S175" i="59"/>
  <c r="P175" i="59"/>
  <c r="T174" i="59"/>
  <c r="S174" i="59"/>
  <c r="P174" i="59"/>
  <c r="T173" i="59"/>
  <c r="S173" i="59"/>
  <c r="P173" i="59"/>
  <c r="T172" i="59"/>
  <c r="S172" i="59"/>
  <c r="P172" i="59"/>
  <c r="T171" i="59"/>
  <c r="S171" i="59"/>
  <c r="P171" i="59"/>
  <c r="T170" i="59"/>
  <c r="S170" i="59"/>
  <c r="P170" i="59"/>
  <c r="T169" i="59"/>
  <c r="S169" i="59"/>
  <c r="P169" i="59"/>
  <c r="T168" i="59"/>
  <c r="S168" i="59"/>
  <c r="P168" i="59"/>
  <c r="T167" i="59"/>
  <c r="S167" i="59"/>
  <c r="P167" i="59"/>
  <c r="T166" i="59"/>
  <c r="S166" i="59"/>
  <c r="P166" i="59"/>
  <c r="T165" i="59"/>
  <c r="S165" i="59"/>
  <c r="P165" i="59"/>
  <c r="T164" i="59"/>
  <c r="S164" i="59"/>
  <c r="P164" i="59"/>
  <c r="T163" i="59"/>
  <c r="S163" i="59"/>
  <c r="P163" i="59"/>
  <c r="T162" i="59"/>
  <c r="S162" i="59"/>
  <c r="P162" i="59"/>
  <c r="T161" i="59"/>
  <c r="S161" i="59"/>
  <c r="P161" i="59"/>
  <c r="T160" i="59"/>
  <c r="S160" i="59"/>
  <c r="P160" i="59"/>
  <c r="T159" i="59"/>
  <c r="S159" i="59"/>
  <c r="P159" i="59"/>
  <c r="T158" i="59"/>
  <c r="S158" i="59"/>
  <c r="P158" i="59"/>
  <c r="T157" i="59"/>
  <c r="S157" i="59"/>
  <c r="P157" i="59"/>
  <c r="T156" i="59"/>
  <c r="S156" i="59"/>
  <c r="P156" i="59"/>
  <c r="T155" i="59"/>
  <c r="S155" i="59"/>
  <c r="P155" i="59"/>
  <c r="T154" i="59"/>
  <c r="S154" i="59"/>
  <c r="P154" i="59"/>
  <c r="T153" i="59"/>
  <c r="S153" i="59"/>
  <c r="P153" i="59"/>
  <c r="T152" i="59"/>
  <c r="S152" i="59"/>
  <c r="P152" i="59"/>
  <c r="T151" i="59"/>
  <c r="S151" i="59"/>
  <c r="P151" i="59"/>
  <c r="T150" i="59"/>
  <c r="S150" i="59"/>
  <c r="P150" i="59"/>
  <c r="T149" i="59"/>
  <c r="S149" i="59"/>
  <c r="P149" i="59"/>
  <c r="T148" i="59"/>
  <c r="S148" i="59"/>
  <c r="P148" i="59"/>
  <c r="T147" i="59"/>
  <c r="S147" i="59"/>
  <c r="P147" i="59"/>
  <c r="T146" i="59"/>
  <c r="S146" i="59"/>
  <c r="P146" i="59"/>
  <c r="T145" i="59"/>
  <c r="S145" i="59"/>
  <c r="P145" i="59"/>
  <c r="T144" i="59"/>
  <c r="S144" i="59"/>
  <c r="P144" i="59"/>
  <c r="T143" i="59"/>
  <c r="S143" i="59"/>
  <c r="P143" i="59"/>
  <c r="T142" i="59"/>
  <c r="S142" i="59"/>
  <c r="P142" i="59"/>
  <c r="T141" i="59"/>
  <c r="S141" i="59"/>
  <c r="P141" i="59"/>
  <c r="T140" i="59"/>
  <c r="S140" i="59"/>
  <c r="P140" i="59"/>
  <c r="T139" i="59"/>
  <c r="S139" i="59"/>
  <c r="P139" i="59"/>
  <c r="T138" i="59"/>
  <c r="S138" i="59"/>
  <c r="P138" i="59"/>
  <c r="T137" i="59"/>
  <c r="S137" i="59"/>
  <c r="P137" i="59"/>
  <c r="T136" i="59"/>
  <c r="S136" i="59"/>
  <c r="P136" i="59"/>
  <c r="T135" i="59"/>
  <c r="S135" i="59"/>
  <c r="P135" i="59"/>
  <c r="T134" i="59"/>
  <c r="S134" i="59"/>
  <c r="P134" i="59"/>
  <c r="T133" i="59"/>
  <c r="S133" i="59"/>
  <c r="P133" i="59"/>
  <c r="T132" i="59"/>
  <c r="S132" i="59"/>
  <c r="P132" i="59"/>
  <c r="T131" i="59"/>
  <c r="S131" i="59"/>
  <c r="P131" i="59"/>
  <c r="T130" i="59"/>
  <c r="S130" i="59"/>
  <c r="P130" i="59"/>
  <c r="T129" i="59"/>
  <c r="S129" i="59"/>
  <c r="P129" i="59"/>
  <c r="T128" i="59"/>
  <c r="S128" i="59"/>
  <c r="P128" i="59"/>
  <c r="T127" i="59"/>
  <c r="S127" i="59"/>
  <c r="P127" i="59"/>
  <c r="T126" i="59"/>
  <c r="S126" i="59"/>
  <c r="P126" i="59"/>
  <c r="T125" i="59"/>
  <c r="S125" i="59"/>
  <c r="P125" i="59"/>
  <c r="T124" i="59"/>
  <c r="S124" i="59"/>
  <c r="P124" i="59"/>
  <c r="T123" i="59"/>
  <c r="S123" i="59"/>
  <c r="P123" i="59"/>
  <c r="T122" i="59"/>
  <c r="S122" i="59"/>
  <c r="P122" i="59"/>
  <c r="T121" i="59"/>
  <c r="S121" i="59"/>
  <c r="P121" i="59"/>
  <c r="T120" i="59"/>
  <c r="S120" i="59"/>
  <c r="P120" i="59"/>
  <c r="T119" i="59"/>
  <c r="S119" i="59"/>
  <c r="P119" i="59"/>
  <c r="T118" i="59"/>
  <c r="S118" i="59"/>
  <c r="P118" i="59"/>
  <c r="T117" i="59"/>
  <c r="S117" i="59"/>
  <c r="P117" i="59"/>
  <c r="T116" i="59"/>
  <c r="S116" i="59"/>
  <c r="P116" i="59"/>
  <c r="T115" i="59"/>
  <c r="S115" i="59"/>
  <c r="P115" i="59"/>
  <c r="T114" i="59"/>
  <c r="S114" i="59"/>
  <c r="P114" i="59"/>
  <c r="T113" i="59"/>
  <c r="S113" i="59"/>
  <c r="P113" i="59"/>
  <c r="T112" i="59"/>
  <c r="S112" i="59"/>
  <c r="P112" i="59"/>
  <c r="T111" i="59"/>
  <c r="S111" i="59"/>
  <c r="P111" i="59"/>
  <c r="T110" i="59"/>
  <c r="S110" i="59"/>
  <c r="P110" i="59"/>
  <c r="T109" i="59"/>
  <c r="S109" i="59"/>
  <c r="P109" i="59"/>
  <c r="T108" i="59"/>
  <c r="S108" i="59"/>
  <c r="P108" i="59"/>
  <c r="T107" i="59"/>
  <c r="S107" i="59"/>
  <c r="P107" i="59"/>
  <c r="T106" i="59"/>
  <c r="S106" i="59"/>
  <c r="P106" i="59"/>
  <c r="T105" i="59"/>
  <c r="S105" i="59"/>
  <c r="P105" i="59"/>
  <c r="T104" i="59"/>
  <c r="S104" i="59"/>
  <c r="P104" i="59"/>
  <c r="T103" i="59"/>
  <c r="S103" i="59"/>
  <c r="P103" i="59"/>
  <c r="T102" i="59"/>
  <c r="S102" i="59"/>
  <c r="P102" i="59"/>
  <c r="T101" i="59"/>
  <c r="S101" i="59"/>
  <c r="P101" i="59"/>
  <c r="T100" i="59"/>
  <c r="S100" i="59"/>
  <c r="P100" i="59"/>
  <c r="T99" i="59"/>
  <c r="S99" i="59"/>
  <c r="P99" i="59"/>
  <c r="T98" i="59"/>
  <c r="S98" i="59"/>
  <c r="P98" i="59"/>
  <c r="T97" i="59"/>
  <c r="S97" i="59"/>
  <c r="P97" i="59"/>
  <c r="T96" i="59"/>
  <c r="S96" i="59"/>
  <c r="P96" i="59"/>
  <c r="T95" i="59"/>
  <c r="S95" i="59"/>
  <c r="P95" i="59"/>
  <c r="T94" i="59"/>
  <c r="S94" i="59"/>
  <c r="P94" i="59"/>
  <c r="T93" i="59"/>
  <c r="S93" i="59"/>
  <c r="P93" i="59"/>
  <c r="T92" i="59"/>
  <c r="S92" i="59"/>
  <c r="P92" i="59"/>
  <c r="T91" i="59"/>
  <c r="S91" i="59"/>
  <c r="P91" i="59"/>
  <c r="T90" i="59"/>
  <c r="S90" i="59"/>
  <c r="P90" i="59"/>
  <c r="T89" i="59"/>
  <c r="S89" i="59"/>
  <c r="P89" i="59"/>
  <c r="T88" i="59"/>
  <c r="S88" i="59"/>
  <c r="P88" i="59"/>
  <c r="T87" i="59"/>
  <c r="S87" i="59"/>
  <c r="P87" i="59"/>
  <c r="T86" i="59"/>
  <c r="S86" i="59"/>
  <c r="P86" i="59"/>
  <c r="T85" i="59"/>
  <c r="S85" i="59"/>
  <c r="P85" i="59"/>
  <c r="T84" i="59"/>
  <c r="S84" i="59"/>
  <c r="P84" i="59"/>
  <c r="T83" i="59"/>
  <c r="S83" i="59"/>
  <c r="P83" i="59"/>
  <c r="T82" i="59"/>
  <c r="S82" i="59"/>
  <c r="P82" i="59"/>
  <c r="T81" i="59"/>
  <c r="S81" i="59"/>
  <c r="P81" i="59"/>
  <c r="T80" i="59"/>
  <c r="S80" i="59"/>
  <c r="P80" i="59"/>
  <c r="T79" i="59"/>
  <c r="S79" i="59"/>
  <c r="P79" i="59"/>
  <c r="T78" i="59"/>
  <c r="S78" i="59"/>
  <c r="P78" i="59"/>
  <c r="T77" i="59"/>
  <c r="S77" i="59"/>
  <c r="P77" i="59"/>
  <c r="T76" i="59"/>
  <c r="S76" i="59"/>
  <c r="P76" i="59"/>
  <c r="T75" i="59"/>
  <c r="S75" i="59"/>
  <c r="P75" i="59"/>
  <c r="T74" i="59"/>
  <c r="S74" i="59"/>
  <c r="P74" i="59"/>
  <c r="T73" i="59"/>
  <c r="S73" i="59"/>
  <c r="P73" i="59"/>
  <c r="T72" i="59"/>
  <c r="S72" i="59"/>
  <c r="P72" i="59"/>
  <c r="T71" i="59"/>
  <c r="S71" i="59"/>
  <c r="P71" i="59"/>
  <c r="T70" i="59"/>
  <c r="S70" i="59"/>
  <c r="P70" i="59"/>
  <c r="T69" i="59"/>
  <c r="S69" i="59"/>
  <c r="P69" i="59"/>
  <c r="T68" i="59"/>
  <c r="S68" i="59"/>
  <c r="P68" i="59"/>
  <c r="T67" i="59"/>
  <c r="S67" i="59"/>
  <c r="P67" i="59"/>
  <c r="T66" i="59"/>
  <c r="S66" i="59"/>
  <c r="P66" i="59"/>
  <c r="T65" i="59"/>
  <c r="S65" i="59"/>
  <c r="P65" i="59"/>
  <c r="T64" i="59"/>
  <c r="S64" i="59"/>
  <c r="P64" i="59"/>
  <c r="T63" i="59"/>
  <c r="S63" i="59"/>
  <c r="P63" i="59"/>
  <c r="T62" i="59"/>
  <c r="S62" i="59"/>
  <c r="P62" i="59"/>
  <c r="T61" i="59"/>
  <c r="S61" i="59"/>
  <c r="P61" i="59"/>
  <c r="T60" i="59"/>
  <c r="S60" i="59"/>
  <c r="P60" i="59"/>
  <c r="T59" i="59"/>
  <c r="S59" i="59"/>
  <c r="P59" i="59"/>
  <c r="T58" i="59"/>
  <c r="S58" i="59"/>
  <c r="P58" i="59"/>
  <c r="T57" i="59"/>
  <c r="S57" i="59"/>
  <c r="P57" i="59"/>
  <c r="T56" i="59"/>
  <c r="S56" i="59"/>
  <c r="P56" i="59"/>
  <c r="T55" i="59"/>
  <c r="S55" i="59"/>
  <c r="P55" i="59"/>
  <c r="T54" i="59"/>
  <c r="S54" i="59"/>
  <c r="P54" i="59"/>
  <c r="T53" i="59"/>
  <c r="S53" i="59"/>
  <c r="P53" i="59"/>
  <c r="T52" i="59"/>
  <c r="S52" i="59"/>
  <c r="P52" i="59"/>
  <c r="T51" i="59"/>
  <c r="S51" i="59"/>
  <c r="P51" i="59"/>
  <c r="T50" i="59"/>
  <c r="S50" i="59"/>
  <c r="P50" i="59"/>
  <c r="T49" i="59"/>
  <c r="S49" i="59"/>
  <c r="P49" i="59"/>
  <c r="T48" i="59"/>
  <c r="S48" i="59"/>
  <c r="P48" i="59"/>
  <c r="T47" i="59"/>
  <c r="S47" i="59"/>
  <c r="P47" i="59"/>
  <c r="T46" i="59"/>
  <c r="S46" i="59"/>
  <c r="P46" i="59"/>
  <c r="T45" i="59"/>
  <c r="S45" i="59"/>
  <c r="P45" i="59"/>
  <c r="T44" i="59"/>
  <c r="S44" i="59"/>
  <c r="P44" i="59"/>
  <c r="T43" i="59"/>
  <c r="S43" i="59"/>
  <c r="P43" i="59"/>
  <c r="T42" i="59"/>
  <c r="S42" i="59"/>
  <c r="P42" i="59"/>
  <c r="T41" i="59"/>
  <c r="S41" i="59"/>
  <c r="P41" i="59"/>
  <c r="T40" i="59"/>
  <c r="S40" i="59"/>
  <c r="P40" i="59"/>
  <c r="T39" i="59"/>
  <c r="S39" i="59"/>
  <c r="P39" i="59"/>
  <c r="T38" i="59"/>
  <c r="S38" i="59"/>
  <c r="P38" i="59"/>
  <c r="T37" i="59"/>
  <c r="S37" i="59"/>
  <c r="P37" i="59"/>
  <c r="T36" i="59"/>
  <c r="S36" i="59"/>
  <c r="P36" i="59"/>
  <c r="T35" i="59"/>
  <c r="S35" i="59"/>
  <c r="P35" i="59"/>
  <c r="T34" i="59"/>
  <c r="S34" i="59"/>
  <c r="P34" i="59"/>
  <c r="T33" i="59"/>
  <c r="S33" i="59"/>
  <c r="P33" i="59"/>
  <c r="T32" i="59"/>
  <c r="S32" i="59"/>
  <c r="P32" i="59"/>
  <c r="T31" i="59"/>
  <c r="S31" i="59"/>
  <c r="P31" i="59"/>
  <c r="T30" i="59"/>
  <c r="S30" i="59"/>
  <c r="P30" i="59"/>
  <c r="T29" i="59"/>
  <c r="S29" i="59"/>
  <c r="P29" i="59"/>
  <c r="T28" i="59"/>
  <c r="S28" i="59"/>
  <c r="P28" i="59"/>
  <c r="T27" i="59"/>
  <c r="S27" i="59"/>
  <c r="P27" i="59"/>
  <c r="T26" i="59"/>
  <c r="S26" i="59"/>
  <c r="P26" i="59"/>
  <c r="T25" i="59"/>
  <c r="S25" i="59"/>
  <c r="P25" i="59"/>
  <c r="T24" i="59"/>
  <c r="S24" i="59"/>
  <c r="P24" i="59"/>
  <c r="T23" i="59"/>
  <c r="S23" i="59"/>
  <c r="P23" i="59"/>
  <c r="T22" i="59"/>
  <c r="S22" i="59"/>
  <c r="P22" i="59"/>
  <c r="T21" i="59"/>
  <c r="S21" i="59"/>
  <c r="P21" i="59"/>
  <c r="T20" i="59"/>
  <c r="S20" i="59"/>
  <c r="P20" i="59"/>
  <c r="T19" i="59"/>
  <c r="S19" i="59"/>
  <c r="P19" i="59"/>
  <c r="T18" i="59"/>
  <c r="S18" i="59"/>
  <c r="P18" i="59"/>
  <c r="T17" i="59"/>
  <c r="S17" i="59"/>
  <c r="P17" i="59"/>
  <c r="T16" i="59"/>
  <c r="S16" i="59"/>
  <c r="P16" i="59"/>
  <c r="T15" i="59"/>
  <c r="S15" i="59"/>
  <c r="P15" i="59"/>
  <c r="T14" i="59"/>
  <c r="S14" i="59"/>
  <c r="P14" i="59"/>
  <c r="T13" i="59"/>
  <c r="S13" i="59"/>
  <c r="P13" i="59"/>
  <c r="T12" i="59"/>
  <c r="S12" i="59"/>
  <c r="P12" i="59"/>
  <c r="T11" i="59"/>
  <c r="S11" i="59"/>
  <c r="P11" i="59"/>
  <c r="T10" i="59"/>
  <c r="S10" i="59"/>
  <c r="P10" i="59"/>
  <c r="T9" i="59"/>
  <c r="S9" i="59"/>
  <c r="P9" i="59"/>
  <c r="T8" i="59"/>
  <c r="S8" i="59"/>
  <c r="P8" i="59"/>
  <c r="T7" i="59"/>
  <c r="S7" i="59"/>
  <c r="P7" i="59"/>
  <c r="T6" i="59"/>
  <c r="S6" i="59"/>
  <c r="P6" i="59"/>
  <c r="T5" i="59"/>
  <c r="S5" i="59"/>
  <c r="P5" i="59"/>
  <c r="P130" i="1"/>
  <c r="S130" i="1"/>
  <c r="T130" i="1"/>
  <c r="P131" i="1"/>
  <c r="S131" i="1"/>
  <c r="T131" i="1"/>
  <c r="P132" i="1"/>
  <c r="S132" i="1"/>
  <c r="T132" i="1"/>
  <c r="P133" i="1"/>
  <c r="S133" i="1"/>
  <c r="T133" i="1"/>
  <c r="P134" i="1"/>
  <c r="S134" i="1"/>
  <c r="T134" i="1"/>
  <c r="P135" i="1"/>
  <c r="S135" i="1"/>
  <c r="T135" i="1"/>
  <c r="P136" i="1"/>
  <c r="S136" i="1"/>
  <c r="T136" i="1"/>
  <c r="P137" i="1"/>
  <c r="S137" i="1"/>
  <c r="T137" i="1"/>
  <c r="P138" i="1"/>
  <c r="S138" i="1"/>
  <c r="T138" i="1"/>
  <c r="P139" i="1"/>
  <c r="S139" i="1"/>
  <c r="T139" i="1"/>
  <c r="P140" i="1"/>
  <c r="S140" i="1"/>
  <c r="T140" i="1"/>
  <c r="P141" i="1"/>
  <c r="S141" i="1"/>
  <c r="T141" i="1"/>
  <c r="P142" i="1"/>
  <c r="S142" i="1"/>
  <c r="T142" i="1"/>
  <c r="P143" i="1"/>
  <c r="S143" i="1"/>
  <c r="T143" i="1"/>
  <c r="P144" i="1"/>
  <c r="S144" i="1"/>
  <c r="T144" i="1"/>
  <c r="P145" i="1"/>
  <c r="S145" i="1"/>
  <c r="T145" i="1"/>
  <c r="P146" i="1"/>
  <c r="S146" i="1"/>
  <c r="T146" i="1"/>
  <c r="P147" i="1"/>
  <c r="S147" i="1"/>
  <c r="T147" i="1"/>
  <c r="P148" i="1"/>
  <c r="S148" i="1"/>
  <c r="T148" i="1"/>
  <c r="P149" i="1"/>
  <c r="S149" i="1"/>
  <c r="T149" i="1"/>
  <c r="P150" i="1"/>
  <c r="S150" i="1"/>
  <c r="T150" i="1"/>
  <c r="P151" i="1"/>
  <c r="S151" i="1"/>
  <c r="T151" i="1"/>
  <c r="P152" i="1"/>
  <c r="S152" i="1"/>
  <c r="T152" i="1"/>
  <c r="P153" i="1"/>
  <c r="S153" i="1"/>
  <c r="T153" i="1"/>
  <c r="P154" i="1"/>
  <c r="S154" i="1"/>
  <c r="T154" i="1"/>
  <c r="P155" i="1"/>
  <c r="S155" i="1"/>
  <c r="T155" i="1"/>
  <c r="L156" i="1"/>
  <c r="P156" i="1"/>
  <c r="S156" i="1"/>
  <c r="T156" i="1"/>
  <c r="P157" i="1"/>
  <c r="S157" i="1"/>
  <c r="T157" i="1"/>
  <c r="P158" i="1"/>
  <c r="S158" i="1"/>
  <c r="T158" i="1"/>
  <c r="P159" i="1"/>
  <c r="S159" i="1"/>
  <c r="T159" i="1"/>
  <c r="P160" i="1"/>
  <c r="S160" i="1"/>
  <c r="T160" i="1"/>
  <c r="P161" i="1"/>
  <c r="S161" i="1"/>
  <c r="T161" i="1"/>
  <c r="P162" i="1"/>
  <c r="S162" i="1"/>
  <c r="T162" i="1"/>
  <c r="P163" i="1"/>
  <c r="S163" i="1"/>
  <c r="T163" i="1"/>
  <c r="P164" i="1"/>
  <c r="S164" i="1"/>
  <c r="T164" i="1"/>
  <c r="P165" i="1"/>
  <c r="S165" i="1"/>
  <c r="T165" i="1"/>
  <c r="P166" i="1"/>
  <c r="S166" i="1"/>
  <c r="T166" i="1"/>
  <c r="P167" i="1"/>
  <c r="S167" i="1"/>
  <c r="T167" i="1"/>
  <c r="P168" i="1"/>
  <c r="S168" i="1"/>
  <c r="T168" i="1"/>
  <c r="P169" i="1"/>
  <c r="S169" i="1"/>
  <c r="T169" i="1"/>
  <c r="P170" i="1"/>
  <c r="S170" i="1"/>
  <c r="T170" i="1"/>
  <c r="P171" i="1"/>
  <c r="S171" i="1"/>
  <c r="T171" i="1"/>
  <c r="L172" i="1"/>
  <c r="P172" i="1"/>
  <c r="S172" i="1"/>
  <c r="T172" i="1"/>
  <c r="P173" i="1"/>
  <c r="S173" i="1"/>
  <c r="T173" i="1"/>
  <c r="P174" i="1"/>
  <c r="S174" i="1"/>
  <c r="T174" i="1"/>
  <c r="P175" i="1"/>
  <c r="S175" i="1"/>
  <c r="T175" i="1"/>
  <c r="L176" i="1"/>
  <c r="P176" i="1"/>
  <c r="S176" i="1"/>
  <c r="T176" i="1"/>
  <c r="P177" i="1"/>
  <c r="S177" i="1"/>
  <c r="T177" i="1"/>
  <c r="P178" i="1"/>
  <c r="S178" i="1"/>
  <c r="T178" i="1"/>
  <c r="P179" i="1"/>
  <c r="S179" i="1"/>
  <c r="T179" i="1"/>
  <c r="L180" i="1"/>
  <c r="P180" i="1"/>
  <c r="S180" i="1"/>
  <c r="T180" i="1"/>
  <c r="P181" i="1"/>
  <c r="S181" i="1"/>
  <c r="T181" i="1"/>
  <c r="P182" i="1"/>
  <c r="S182" i="1"/>
  <c r="T182" i="1"/>
  <c r="P183" i="1"/>
  <c r="S183" i="1"/>
  <c r="T183" i="1"/>
  <c r="L184" i="1"/>
  <c r="P184" i="1"/>
  <c r="S184" i="1"/>
  <c r="T184" i="1"/>
  <c r="P185" i="1"/>
  <c r="S185" i="1"/>
  <c r="T185" i="1"/>
  <c r="P186" i="1"/>
  <c r="S186" i="1"/>
  <c r="T186" i="1"/>
  <c r="P187" i="1"/>
  <c r="S187" i="1"/>
  <c r="T187" i="1"/>
  <c r="L188" i="1"/>
  <c r="P188" i="1"/>
  <c r="S188" i="1"/>
  <c r="T188" i="1"/>
  <c r="P189" i="1"/>
  <c r="S189" i="1"/>
  <c r="T189" i="1"/>
  <c r="P190" i="1"/>
  <c r="S190" i="1"/>
  <c r="T190" i="1"/>
  <c r="P191" i="1"/>
  <c r="S191" i="1"/>
  <c r="T191" i="1"/>
  <c r="L192" i="1"/>
  <c r="P192" i="1"/>
  <c r="S192" i="1"/>
  <c r="T192" i="1"/>
  <c r="P193" i="1"/>
  <c r="S193" i="1"/>
  <c r="T193" i="1"/>
  <c r="P194" i="1"/>
  <c r="S194" i="1"/>
  <c r="T194" i="1"/>
  <c r="P195" i="1"/>
  <c r="S195" i="1"/>
  <c r="T195" i="1"/>
  <c r="L196" i="1"/>
  <c r="P196" i="1"/>
  <c r="S196" i="1"/>
  <c r="T196" i="1"/>
  <c r="P197" i="1"/>
  <c r="S197" i="1"/>
  <c r="T197" i="1"/>
  <c r="P198" i="1"/>
  <c r="S198" i="1"/>
  <c r="T198" i="1"/>
  <c r="P199" i="1"/>
  <c r="S199" i="1"/>
  <c r="T199" i="1"/>
  <c r="L200" i="1"/>
  <c r="P200" i="1"/>
  <c r="S200" i="1"/>
  <c r="T200" i="1"/>
  <c r="P201" i="1"/>
  <c r="S201" i="1"/>
  <c r="T201" i="1"/>
  <c r="P202" i="1"/>
  <c r="S202" i="1"/>
  <c r="T202" i="1"/>
  <c r="P203" i="1"/>
  <c r="S203" i="1"/>
  <c r="T203" i="1"/>
  <c r="L204" i="1"/>
  <c r="P204" i="1"/>
  <c r="S204" i="1"/>
  <c r="T204" i="1"/>
  <c r="P205" i="1"/>
  <c r="S205" i="1"/>
  <c r="T205" i="1"/>
  <c r="P56" i="1"/>
  <c r="S56" i="1"/>
  <c r="T56" i="1"/>
  <c r="P57" i="1"/>
  <c r="S57" i="1"/>
  <c r="T57" i="1"/>
  <c r="L58" i="1"/>
  <c r="P58" i="1"/>
  <c r="S58" i="1"/>
  <c r="T58" i="1"/>
  <c r="P59" i="1"/>
  <c r="S59" i="1"/>
  <c r="T59" i="1"/>
  <c r="P60" i="1"/>
  <c r="S60" i="1"/>
  <c r="T60" i="1"/>
  <c r="P61" i="1"/>
  <c r="S61" i="1"/>
  <c r="T61" i="1"/>
  <c r="L62" i="1"/>
  <c r="P62" i="1"/>
  <c r="S62" i="1"/>
  <c r="T62" i="1"/>
  <c r="P63" i="1"/>
  <c r="S63" i="1"/>
  <c r="T63" i="1"/>
  <c r="P64" i="1"/>
  <c r="S64" i="1"/>
  <c r="T64" i="1"/>
  <c r="P65" i="1"/>
  <c r="S65" i="1"/>
  <c r="T65" i="1"/>
  <c r="L66" i="1"/>
  <c r="P66" i="1"/>
  <c r="S66" i="1"/>
  <c r="T66" i="1"/>
  <c r="P67" i="1"/>
  <c r="S67" i="1"/>
  <c r="T67" i="1"/>
  <c r="P68" i="1"/>
  <c r="S68" i="1"/>
  <c r="T68" i="1"/>
  <c r="P69" i="1"/>
  <c r="S69" i="1"/>
  <c r="T69" i="1"/>
  <c r="L70" i="1"/>
  <c r="P70" i="1"/>
  <c r="S70" i="1"/>
  <c r="T70" i="1"/>
  <c r="P71" i="1"/>
  <c r="S71" i="1"/>
  <c r="T71" i="1"/>
  <c r="P72" i="1"/>
  <c r="S72" i="1"/>
  <c r="T72" i="1"/>
  <c r="P73" i="1"/>
  <c r="S73" i="1"/>
  <c r="T73" i="1"/>
  <c r="L74" i="1"/>
  <c r="P74" i="1"/>
  <c r="S74" i="1"/>
  <c r="T74" i="1"/>
  <c r="P75" i="1"/>
  <c r="S75" i="1"/>
  <c r="T75" i="1"/>
  <c r="P76" i="1"/>
  <c r="S76" i="1"/>
  <c r="T76" i="1"/>
  <c r="P77" i="1"/>
  <c r="S77" i="1"/>
  <c r="T77" i="1"/>
  <c r="L78" i="1"/>
  <c r="P78" i="1"/>
  <c r="S78" i="1"/>
  <c r="T78" i="1"/>
  <c r="P79" i="1"/>
  <c r="S79" i="1"/>
  <c r="T79" i="1"/>
  <c r="P80" i="1"/>
  <c r="S80" i="1"/>
  <c r="T80" i="1"/>
  <c r="P81" i="1"/>
  <c r="S81" i="1"/>
  <c r="T81" i="1"/>
  <c r="L82" i="1"/>
  <c r="P82" i="1"/>
  <c r="S82" i="1"/>
  <c r="T82" i="1"/>
  <c r="P83" i="1"/>
  <c r="S83" i="1"/>
  <c r="T83" i="1"/>
  <c r="P84" i="1"/>
  <c r="S84" i="1"/>
  <c r="T84" i="1"/>
  <c r="P85" i="1"/>
  <c r="S85" i="1"/>
  <c r="T85" i="1"/>
  <c r="L86" i="1"/>
  <c r="P86" i="1"/>
  <c r="S86" i="1"/>
  <c r="T86" i="1"/>
  <c r="P87" i="1"/>
  <c r="S87" i="1"/>
  <c r="T87" i="1"/>
  <c r="P88" i="1"/>
  <c r="S88" i="1"/>
  <c r="T88" i="1"/>
  <c r="P89" i="1"/>
  <c r="S89" i="1"/>
  <c r="T89" i="1"/>
  <c r="L90" i="1"/>
  <c r="P90" i="1"/>
  <c r="S90" i="1"/>
  <c r="T90" i="1"/>
  <c r="P91" i="1"/>
  <c r="S91" i="1"/>
  <c r="T91" i="1"/>
  <c r="P92" i="1"/>
  <c r="S92" i="1"/>
  <c r="T92" i="1"/>
  <c r="P93" i="1"/>
  <c r="S93" i="1"/>
  <c r="T93" i="1"/>
  <c r="L94" i="1"/>
  <c r="P94" i="1"/>
  <c r="S94" i="1"/>
  <c r="T94" i="1"/>
  <c r="P95" i="1"/>
  <c r="S95" i="1"/>
  <c r="T95" i="1"/>
  <c r="P96" i="1"/>
  <c r="S96" i="1"/>
  <c r="T96" i="1"/>
  <c r="P97" i="1"/>
  <c r="S97" i="1"/>
  <c r="T97" i="1"/>
  <c r="L98" i="1"/>
  <c r="P98" i="1"/>
  <c r="S98" i="1"/>
  <c r="T98" i="1"/>
  <c r="P99" i="1"/>
  <c r="S99" i="1"/>
  <c r="T99" i="1"/>
  <c r="P100" i="1"/>
  <c r="S100" i="1"/>
  <c r="T100" i="1"/>
  <c r="P101" i="1"/>
  <c r="S101" i="1"/>
  <c r="T101" i="1"/>
  <c r="L102" i="1"/>
  <c r="P102" i="1"/>
  <c r="S102" i="1"/>
  <c r="T102" i="1"/>
  <c r="P103" i="1"/>
  <c r="S103" i="1"/>
  <c r="T103" i="1"/>
  <c r="P104" i="1"/>
  <c r="S104" i="1"/>
  <c r="T104" i="1"/>
  <c r="P105" i="1"/>
  <c r="S105" i="1"/>
  <c r="T105" i="1"/>
  <c r="L106" i="1"/>
  <c r="P106" i="1"/>
  <c r="S106" i="1"/>
  <c r="T106" i="1"/>
  <c r="P107" i="1"/>
  <c r="S107" i="1"/>
  <c r="T107" i="1"/>
  <c r="P108" i="1"/>
  <c r="S108" i="1"/>
  <c r="T108" i="1"/>
  <c r="P109" i="1"/>
  <c r="S109" i="1"/>
  <c r="T109" i="1"/>
  <c r="L110" i="1"/>
  <c r="P110" i="1"/>
  <c r="S110" i="1"/>
  <c r="T110" i="1"/>
  <c r="P111" i="1"/>
  <c r="S111" i="1"/>
  <c r="T111" i="1"/>
  <c r="P112" i="1"/>
  <c r="S112" i="1"/>
  <c r="T112" i="1"/>
  <c r="P113" i="1"/>
  <c r="S113" i="1"/>
  <c r="T113" i="1"/>
  <c r="L114" i="1"/>
  <c r="P114" i="1"/>
  <c r="S114" i="1"/>
  <c r="T114" i="1"/>
  <c r="P115" i="1"/>
  <c r="S115" i="1"/>
  <c r="T115" i="1"/>
  <c r="P116" i="1"/>
  <c r="S116" i="1"/>
  <c r="T116" i="1"/>
  <c r="P117" i="1"/>
  <c r="S117" i="1"/>
  <c r="T117" i="1"/>
  <c r="L118" i="1"/>
  <c r="P118" i="1"/>
  <c r="S118" i="1"/>
  <c r="T118" i="1"/>
  <c r="P119" i="1"/>
  <c r="S119" i="1"/>
  <c r="T119" i="1"/>
  <c r="P120" i="1"/>
  <c r="S120" i="1"/>
  <c r="T120" i="1"/>
  <c r="P121" i="1"/>
  <c r="S121" i="1"/>
  <c r="T121" i="1"/>
  <c r="L122" i="1"/>
  <c r="P122" i="1"/>
  <c r="S122" i="1"/>
  <c r="T122" i="1"/>
  <c r="P123" i="1"/>
  <c r="S123" i="1"/>
  <c r="T123" i="1"/>
  <c r="P124" i="1"/>
  <c r="S124" i="1"/>
  <c r="T124" i="1"/>
  <c r="P125" i="1"/>
  <c r="S125" i="1"/>
  <c r="T125" i="1"/>
  <c r="L126" i="1"/>
  <c r="P126" i="1"/>
  <c r="S126" i="1"/>
  <c r="T126" i="1"/>
  <c r="P127" i="1"/>
  <c r="S127" i="1"/>
  <c r="T127" i="1"/>
  <c r="P128" i="1"/>
  <c r="S128" i="1"/>
  <c r="T128" i="1"/>
  <c r="P129" i="1"/>
  <c r="S129" i="1"/>
  <c r="T129" i="1"/>
  <c r="U5" i="59" l="1"/>
  <c r="U37" i="59"/>
  <c r="U53" i="59"/>
  <c r="U69" i="59"/>
  <c r="B19" i="33"/>
  <c r="U199" i="59"/>
  <c r="U88" i="59"/>
  <c r="U104" i="59"/>
  <c r="U184" i="59"/>
  <c r="U200" i="59"/>
  <c r="U177" i="1"/>
  <c r="U201" i="59"/>
  <c r="U203" i="59"/>
  <c r="U133" i="59"/>
  <c r="U181" i="59"/>
  <c r="U176" i="59"/>
  <c r="U192" i="59"/>
  <c r="U175" i="59"/>
  <c r="U191" i="59"/>
  <c r="U29" i="59"/>
  <c r="U77" i="59"/>
  <c r="U93" i="59"/>
  <c r="U125" i="59"/>
  <c r="U141" i="59"/>
  <c r="U68" i="59"/>
  <c r="U100" i="59"/>
  <c r="U180" i="59"/>
  <c r="U129" i="59"/>
  <c r="U188" i="59"/>
  <c r="U173" i="59"/>
  <c r="U89" i="59"/>
  <c r="U145" i="1"/>
  <c r="U8" i="59"/>
  <c r="U7" i="59"/>
  <c r="U23" i="59"/>
  <c r="U27" i="59"/>
  <c r="U35" i="59"/>
  <c r="U59" i="59"/>
  <c r="U75" i="59"/>
  <c r="U87" i="59"/>
  <c r="U91" i="59"/>
  <c r="U95" i="59"/>
  <c r="U127" i="59"/>
  <c r="U143" i="59"/>
  <c r="U147" i="59"/>
  <c r="U6" i="59"/>
  <c r="U22" i="59"/>
  <c r="U62" i="59"/>
  <c r="U74" i="59"/>
  <c r="U78" i="59"/>
  <c r="U82" i="59"/>
  <c r="U126" i="59"/>
  <c r="U142" i="59"/>
  <c r="U146" i="59"/>
  <c r="U150" i="59"/>
  <c r="U190" i="59"/>
  <c r="L168" i="1"/>
  <c r="Q168" i="1" s="1"/>
  <c r="L164" i="1"/>
  <c r="Q164" i="1" s="1"/>
  <c r="L160" i="1"/>
  <c r="Q160" i="1" s="1"/>
  <c r="L48" i="59"/>
  <c r="Q48" i="59" s="1"/>
  <c r="L52" i="59"/>
  <c r="Q52" i="59" s="1"/>
  <c r="L56" i="59"/>
  <c r="Q56" i="59" s="1"/>
  <c r="L60" i="59"/>
  <c r="Q60" i="59" s="1"/>
  <c r="L64" i="59"/>
  <c r="Q64" i="59" s="1"/>
  <c r="L68" i="59"/>
  <c r="Q68" i="59" s="1"/>
  <c r="L72" i="59"/>
  <c r="Q72" i="59" s="1"/>
  <c r="L76" i="59"/>
  <c r="Q76" i="59" s="1"/>
  <c r="L80" i="59"/>
  <c r="Q80" i="59" s="1"/>
  <c r="L84" i="59"/>
  <c r="Q84" i="59" s="1"/>
  <c r="L88" i="59"/>
  <c r="Q88" i="59" s="1"/>
  <c r="L92" i="59"/>
  <c r="Q92" i="59" s="1"/>
  <c r="L96" i="59"/>
  <c r="Q96" i="59" s="1"/>
  <c r="L100" i="59"/>
  <c r="Q100" i="59" s="1"/>
  <c r="L104" i="59"/>
  <c r="Q104" i="59" s="1"/>
  <c r="L108" i="59"/>
  <c r="Q108" i="59" s="1"/>
  <c r="L112" i="59"/>
  <c r="Q112" i="59" s="1"/>
  <c r="L116" i="59"/>
  <c r="Q116" i="59" s="1"/>
  <c r="L120" i="59"/>
  <c r="Q120" i="59" s="1"/>
  <c r="L124" i="59"/>
  <c r="Q124" i="59" s="1"/>
  <c r="L128" i="59"/>
  <c r="Q128" i="59" s="1"/>
  <c r="L132" i="59"/>
  <c r="Q132" i="59" s="1"/>
  <c r="L136" i="59"/>
  <c r="Q136" i="59" s="1"/>
  <c r="L140" i="59"/>
  <c r="Q140" i="59" s="1"/>
  <c r="L144" i="59"/>
  <c r="Q144" i="59" s="1"/>
  <c r="L148" i="59"/>
  <c r="Q148" i="59" s="1"/>
  <c r="L152" i="59"/>
  <c r="Q152" i="59" s="1"/>
  <c r="L156" i="59"/>
  <c r="Q156" i="59" s="1"/>
  <c r="L160" i="59"/>
  <c r="Q160" i="59" s="1"/>
  <c r="L164" i="59"/>
  <c r="Q164" i="59" s="1"/>
  <c r="L168" i="59"/>
  <c r="Q168" i="59" s="1"/>
  <c r="L172" i="59"/>
  <c r="Q172" i="59" s="1"/>
  <c r="L176" i="59"/>
  <c r="Q176" i="59" s="1"/>
  <c r="L180" i="59"/>
  <c r="Q180" i="59" s="1"/>
  <c r="L184" i="59"/>
  <c r="Q184" i="59" s="1"/>
  <c r="L188" i="59"/>
  <c r="Q188" i="59" s="1"/>
  <c r="L192" i="59"/>
  <c r="Q192" i="59" s="1"/>
  <c r="L196" i="59"/>
  <c r="Q196" i="59" s="1"/>
  <c r="L200" i="59"/>
  <c r="Q200" i="59" s="1"/>
  <c r="L204" i="59"/>
  <c r="Q204" i="59" s="1"/>
  <c r="L125" i="1"/>
  <c r="Q125" i="1" s="1"/>
  <c r="L121" i="1"/>
  <c r="Q121" i="1" s="1"/>
  <c r="L113" i="1"/>
  <c r="Q113" i="1" s="1"/>
  <c r="L109" i="1"/>
  <c r="Q109" i="1" s="1"/>
  <c r="L105" i="1"/>
  <c r="Q105" i="1" s="1"/>
  <c r="L101" i="1"/>
  <c r="Q101" i="1" s="1"/>
  <c r="L97" i="1"/>
  <c r="Q97" i="1" s="1"/>
  <c r="L85" i="1"/>
  <c r="Q85" i="1" s="1"/>
  <c r="L77" i="1"/>
  <c r="Q77" i="1" s="1"/>
  <c r="L73" i="1"/>
  <c r="Q73" i="1" s="1"/>
  <c r="L65" i="1"/>
  <c r="Q65" i="1" s="1"/>
  <c r="L61" i="1"/>
  <c r="Q61" i="1" s="1"/>
  <c r="L57" i="1"/>
  <c r="Q57" i="1" s="1"/>
  <c r="L203" i="1"/>
  <c r="Q203" i="1" s="1"/>
  <c r="L199" i="1"/>
  <c r="Q199" i="1" s="1"/>
  <c r="L195" i="1"/>
  <c r="Q195" i="1" s="1"/>
  <c r="L187" i="1"/>
  <c r="Q187" i="1" s="1"/>
  <c r="L183" i="1"/>
  <c r="Q183" i="1" s="1"/>
  <c r="L179" i="1"/>
  <c r="Q179" i="1" s="1"/>
  <c r="L175" i="1"/>
  <c r="Q175" i="1" s="1"/>
  <c r="L171" i="1"/>
  <c r="Q171" i="1" s="1"/>
  <c r="L167" i="1"/>
  <c r="Q167" i="1" s="1"/>
  <c r="L163" i="1"/>
  <c r="Q163" i="1" s="1"/>
  <c r="L159" i="1"/>
  <c r="Q159" i="1" s="1"/>
  <c r="L155" i="1"/>
  <c r="Q155" i="1" s="1"/>
  <c r="L93" i="1"/>
  <c r="Q93" i="1" s="1"/>
  <c r="L89" i="1"/>
  <c r="Q89" i="1" s="1"/>
  <c r="L81" i="1"/>
  <c r="Q81" i="1" s="1"/>
  <c r="L69" i="1"/>
  <c r="Q69" i="1" s="1"/>
  <c r="L191" i="1"/>
  <c r="Q191" i="1" s="1"/>
  <c r="L117" i="1"/>
  <c r="Q117" i="1" s="1"/>
  <c r="L53" i="59"/>
  <c r="Q53" i="59" s="1"/>
  <c r="L57" i="59"/>
  <c r="Q57" i="59" s="1"/>
  <c r="L61" i="59"/>
  <c r="Q61" i="59" s="1"/>
  <c r="L65" i="59"/>
  <c r="Q65" i="59" s="1"/>
  <c r="L69" i="59"/>
  <c r="Q69" i="59" s="1"/>
  <c r="L73" i="59"/>
  <c r="Q73" i="59" s="1"/>
  <c r="L77" i="59"/>
  <c r="Q77" i="59" s="1"/>
  <c r="L81" i="59"/>
  <c r="Q81" i="59" s="1"/>
  <c r="L85" i="59"/>
  <c r="Q85" i="59" s="1"/>
  <c r="L89" i="59"/>
  <c r="Q89" i="59" s="1"/>
  <c r="L93" i="59"/>
  <c r="Q93" i="59" s="1"/>
  <c r="L101" i="59"/>
  <c r="Q101" i="59" s="1"/>
  <c r="L105" i="59"/>
  <c r="Q105" i="59" s="1"/>
  <c r="L109" i="59"/>
  <c r="Q109" i="59" s="1"/>
  <c r="L113" i="59"/>
  <c r="Q113" i="59" s="1"/>
  <c r="L117" i="59"/>
  <c r="Q117" i="59" s="1"/>
  <c r="L121" i="59"/>
  <c r="Q121" i="59" s="1"/>
  <c r="L125" i="59"/>
  <c r="Q125" i="59" s="1"/>
  <c r="L129" i="59"/>
  <c r="Q129" i="59" s="1"/>
  <c r="L133" i="59"/>
  <c r="Q133" i="59" s="1"/>
  <c r="L137" i="59"/>
  <c r="Q137" i="59" s="1"/>
  <c r="L141" i="59"/>
  <c r="Q141" i="59" s="1"/>
  <c r="L145" i="59"/>
  <c r="Q145" i="59" s="1"/>
  <c r="L149" i="59"/>
  <c r="Q149" i="59" s="1"/>
  <c r="L153" i="59"/>
  <c r="Q153" i="59" s="1"/>
  <c r="L157" i="59"/>
  <c r="Q157" i="59" s="1"/>
  <c r="L161" i="59"/>
  <c r="Q161" i="59" s="1"/>
  <c r="L165" i="59"/>
  <c r="Q165" i="59" s="1"/>
  <c r="L169" i="59"/>
  <c r="Q169" i="59" s="1"/>
  <c r="L173" i="59"/>
  <c r="Q173" i="59" s="1"/>
  <c r="L177" i="59"/>
  <c r="Q177" i="59" s="1"/>
  <c r="L181" i="59"/>
  <c r="Q181" i="59" s="1"/>
  <c r="L185" i="59"/>
  <c r="Q185" i="59" s="1"/>
  <c r="L189" i="59"/>
  <c r="Q189" i="59" s="1"/>
  <c r="L193" i="59"/>
  <c r="Q193" i="59" s="1"/>
  <c r="L197" i="59"/>
  <c r="Q197" i="59" s="1"/>
  <c r="L201" i="59"/>
  <c r="Q201" i="59" s="1"/>
  <c r="L129" i="1"/>
  <c r="Q129" i="1" s="1"/>
  <c r="L49" i="59"/>
  <c r="Q49" i="59" s="1"/>
  <c r="L97" i="59"/>
  <c r="Q97" i="59" s="1"/>
  <c r="L128" i="1"/>
  <c r="Q128" i="1" s="1"/>
  <c r="L124" i="1"/>
  <c r="Q124" i="1" s="1"/>
  <c r="L120" i="1"/>
  <c r="Q120" i="1" s="1"/>
  <c r="L116" i="1"/>
  <c r="Q116" i="1" s="1"/>
  <c r="L112" i="1"/>
  <c r="Q112" i="1" s="1"/>
  <c r="L108" i="1"/>
  <c r="Q108" i="1" s="1"/>
  <c r="L104" i="1"/>
  <c r="Q104" i="1" s="1"/>
  <c r="L100" i="1"/>
  <c r="Q100" i="1" s="1"/>
  <c r="L96" i="1"/>
  <c r="Q96" i="1" s="1"/>
  <c r="L92" i="1"/>
  <c r="Q92" i="1" s="1"/>
  <c r="L88" i="1"/>
  <c r="Q88" i="1" s="1"/>
  <c r="L84" i="1"/>
  <c r="Q84" i="1" s="1"/>
  <c r="L80" i="1"/>
  <c r="Q80" i="1" s="1"/>
  <c r="L76" i="1"/>
  <c r="Q76" i="1" s="1"/>
  <c r="L72" i="1"/>
  <c r="Q72" i="1" s="1"/>
  <c r="L68" i="1"/>
  <c r="Q68" i="1" s="1"/>
  <c r="L64" i="1"/>
  <c r="Q64" i="1" s="1"/>
  <c r="L60" i="1"/>
  <c r="Q60" i="1" s="1"/>
  <c r="L56" i="1"/>
  <c r="Q56" i="1" s="1"/>
  <c r="L202" i="1"/>
  <c r="Q202" i="1" s="1"/>
  <c r="L198" i="1"/>
  <c r="Q198" i="1" s="1"/>
  <c r="L194" i="1"/>
  <c r="Q194" i="1" s="1"/>
  <c r="L190" i="1"/>
  <c r="Q190" i="1" s="1"/>
  <c r="L186" i="1"/>
  <c r="Q186" i="1" s="1"/>
  <c r="L182" i="1"/>
  <c r="Q182" i="1" s="1"/>
  <c r="L178" i="1"/>
  <c r="Q178" i="1" s="1"/>
  <c r="L174" i="1"/>
  <c r="Q174" i="1" s="1"/>
  <c r="L170" i="1"/>
  <c r="Q170" i="1" s="1"/>
  <c r="L166" i="1"/>
  <c r="Q166" i="1" s="1"/>
  <c r="L162" i="1"/>
  <c r="Q162" i="1" s="1"/>
  <c r="L158" i="1"/>
  <c r="Q158" i="1" s="1"/>
  <c r="L154" i="1"/>
  <c r="Q154" i="1" s="1"/>
  <c r="L50" i="59"/>
  <c r="Q50" i="59" s="1"/>
  <c r="L54" i="59"/>
  <c r="Q54" i="59" s="1"/>
  <c r="L58" i="59"/>
  <c r="Q58" i="59" s="1"/>
  <c r="L62" i="59"/>
  <c r="Q62" i="59" s="1"/>
  <c r="L66" i="59"/>
  <c r="Q66" i="59" s="1"/>
  <c r="L70" i="59"/>
  <c r="Q70" i="59" s="1"/>
  <c r="L74" i="59"/>
  <c r="Q74" i="59" s="1"/>
  <c r="L78" i="59"/>
  <c r="Q78" i="59" s="1"/>
  <c r="L82" i="59"/>
  <c r="Q82" i="59" s="1"/>
  <c r="L86" i="59"/>
  <c r="Q86" i="59" s="1"/>
  <c r="L90" i="59"/>
  <c r="Q90" i="59" s="1"/>
  <c r="L94" i="59"/>
  <c r="Q94" i="59" s="1"/>
  <c r="L98" i="59"/>
  <c r="Q98" i="59" s="1"/>
  <c r="L102" i="59"/>
  <c r="Q102" i="59" s="1"/>
  <c r="L106" i="59"/>
  <c r="Q106" i="59" s="1"/>
  <c r="L110" i="59"/>
  <c r="Q110" i="59" s="1"/>
  <c r="L114" i="59"/>
  <c r="Q114" i="59" s="1"/>
  <c r="L118" i="59"/>
  <c r="Q118" i="59" s="1"/>
  <c r="L122" i="59"/>
  <c r="L126" i="59"/>
  <c r="Q126" i="59" s="1"/>
  <c r="L130" i="59"/>
  <c r="Q130" i="59" s="1"/>
  <c r="L134" i="59"/>
  <c r="Q134" i="59" s="1"/>
  <c r="L138" i="59"/>
  <c r="Q138" i="59" s="1"/>
  <c r="L142" i="59"/>
  <c r="Q142" i="59" s="1"/>
  <c r="L146" i="59"/>
  <c r="Q146" i="59" s="1"/>
  <c r="L150" i="59"/>
  <c r="Q150" i="59" s="1"/>
  <c r="L154" i="59"/>
  <c r="Q154" i="59" s="1"/>
  <c r="L158" i="59"/>
  <c r="Q158" i="59" s="1"/>
  <c r="L162" i="59"/>
  <c r="Q162" i="59" s="1"/>
  <c r="L166" i="59"/>
  <c r="Q166" i="59" s="1"/>
  <c r="L170" i="59"/>
  <c r="Q170" i="59" s="1"/>
  <c r="L174" i="59"/>
  <c r="Q174" i="59" s="1"/>
  <c r="L178" i="59"/>
  <c r="Q178" i="59" s="1"/>
  <c r="L182" i="59"/>
  <c r="Q182" i="59" s="1"/>
  <c r="L186" i="59"/>
  <c r="Q186" i="59" s="1"/>
  <c r="L190" i="59"/>
  <c r="Q190" i="59" s="1"/>
  <c r="L194" i="59"/>
  <c r="Q194" i="59" s="1"/>
  <c r="L198" i="59"/>
  <c r="Q198" i="59" s="1"/>
  <c r="L202" i="59"/>
  <c r="Q202" i="59" s="1"/>
  <c r="L119" i="1"/>
  <c r="Q119" i="1" s="1"/>
  <c r="L111" i="1"/>
  <c r="Q111" i="1" s="1"/>
  <c r="L99" i="1"/>
  <c r="Q99" i="1" s="1"/>
  <c r="L91" i="1"/>
  <c r="Q91" i="1" s="1"/>
  <c r="L87" i="1"/>
  <c r="Q87" i="1" s="1"/>
  <c r="L79" i="1"/>
  <c r="Q79" i="1" s="1"/>
  <c r="L75" i="1"/>
  <c r="Q75" i="1" s="1"/>
  <c r="L63" i="1"/>
  <c r="Q63" i="1" s="1"/>
  <c r="L59" i="1"/>
  <c r="Q59" i="1" s="1"/>
  <c r="L205" i="1"/>
  <c r="Q205" i="1" s="1"/>
  <c r="L201" i="1"/>
  <c r="Q201" i="1" s="1"/>
  <c r="L197" i="1"/>
  <c r="Q197" i="1" s="1"/>
  <c r="L193" i="1"/>
  <c r="Q193" i="1" s="1"/>
  <c r="L189" i="1"/>
  <c r="Q189" i="1" s="1"/>
  <c r="L185" i="1"/>
  <c r="Q185" i="1" s="1"/>
  <c r="L181" i="1"/>
  <c r="Q181" i="1" s="1"/>
  <c r="L177" i="1"/>
  <c r="Q177" i="1" s="1"/>
  <c r="L173" i="1"/>
  <c r="Q173" i="1" s="1"/>
  <c r="L169" i="1"/>
  <c r="Q169" i="1" s="1"/>
  <c r="L165" i="1"/>
  <c r="Q165" i="1" s="1"/>
  <c r="L161" i="1"/>
  <c r="Q161" i="1" s="1"/>
  <c r="L157" i="1"/>
  <c r="Q157" i="1" s="1"/>
  <c r="L123" i="1"/>
  <c r="Q123" i="1" s="1"/>
  <c r="L107" i="1"/>
  <c r="Q107" i="1" s="1"/>
  <c r="L71" i="1"/>
  <c r="Q71" i="1" s="1"/>
  <c r="L127" i="1"/>
  <c r="Q127" i="1" s="1"/>
  <c r="L115" i="1"/>
  <c r="Q115" i="1" s="1"/>
  <c r="L103" i="1"/>
  <c r="Q103" i="1" s="1"/>
  <c r="L95" i="1"/>
  <c r="Q95" i="1" s="1"/>
  <c r="L83" i="1"/>
  <c r="Q83" i="1" s="1"/>
  <c r="L67" i="1"/>
  <c r="Q67" i="1" s="1"/>
  <c r="L51" i="59"/>
  <c r="Q51" i="59" s="1"/>
  <c r="L55" i="59"/>
  <c r="Q55" i="59" s="1"/>
  <c r="L59" i="59"/>
  <c r="Q59" i="59" s="1"/>
  <c r="L63" i="59"/>
  <c r="Q63" i="59" s="1"/>
  <c r="L67" i="59"/>
  <c r="Q67" i="59" s="1"/>
  <c r="L71" i="59"/>
  <c r="Q71" i="59" s="1"/>
  <c r="L75" i="59"/>
  <c r="Q75" i="59" s="1"/>
  <c r="L79" i="59"/>
  <c r="Q79" i="59" s="1"/>
  <c r="L83" i="59"/>
  <c r="Q83" i="59" s="1"/>
  <c r="L87" i="59"/>
  <c r="Q87" i="59" s="1"/>
  <c r="L91" i="59"/>
  <c r="Q91" i="59" s="1"/>
  <c r="L95" i="59"/>
  <c r="Q95" i="59" s="1"/>
  <c r="L99" i="59"/>
  <c r="Q99" i="59" s="1"/>
  <c r="L103" i="59"/>
  <c r="Q103" i="59" s="1"/>
  <c r="L107" i="59"/>
  <c r="Q107" i="59" s="1"/>
  <c r="L111" i="59"/>
  <c r="Q111" i="59" s="1"/>
  <c r="L115" i="59"/>
  <c r="Q115" i="59" s="1"/>
  <c r="L119" i="59"/>
  <c r="Q119" i="59" s="1"/>
  <c r="L123" i="59"/>
  <c r="Q123" i="59" s="1"/>
  <c r="L127" i="59"/>
  <c r="Q127" i="59" s="1"/>
  <c r="L131" i="59"/>
  <c r="Q131" i="59" s="1"/>
  <c r="L135" i="59"/>
  <c r="Q135" i="59" s="1"/>
  <c r="L139" i="59"/>
  <c r="Q139" i="59" s="1"/>
  <c r="L143" i="59"/>
  <c r="Q143" i="59" s="1"/>
  <c r="L147" i="59"/>
  <c r="Q147" i="59" s="1"/>
  <c r="L151" i="59"/>
  <c r="Q151" i="59" s="1"/>
  <c r="L155" i="59"/>
  <c r="Q155" i="59" s="1"/>
  <c r="L159" i="59"/>
  <c r="Q159" i="59" s="1"/>
  <c r="L163" i="59"/>
  <c r="Q163" i="59" s="1"/>
  <c r="L167" i="59"/>
  <c r="Q167" i="59" s="1"/>
  <c r="L171" i="59"/>
  <c r="Q171" i="59" s="1"/>
  <c r="L175" i="59"/>
  <c r="Q175" i="59" s="1"/>
  <c r="L179" i="59"/>
  <c r="Q179" i="59" s="1"/>
  <c r="L183" i="59"/>
  <c r="Q183" i="59" s="1"/>
  <c r="L187" i="59"/>
  <c r="Q187" i="59" s="1"/>
  <c r="L191" i="59"/>
  <c r="Q191" i="59" s="1"/>
  <c r="L195" i="59"/>
  <c r="Q195" i="59" s="1"/>
  <c r="L199" i="59"/>
  <c r="Q199" i="59" s="1"/>
  <c r="L203" i="59"/>
  <c r="Q203" i="59" s="1"/>
  <c r="L153" i="1"/>
  <c r="Q153" i="1" s="1"/>
  <c r="L151" i="1"/>
  <c r="Q151" i="1" s="1"/>
  <c r="L149" i="1"/>
  <c r="Q149" i="1" s="1"/>
  <c r="L148" i="1"/>
  <c r="Q148" i="1" s="1"/>
  <c r="L146" i="1"/>
  <c r="Q146" i="1" s="1"/>
  <c r="L144" i="1"/>
  <c r="Q144" i="1" s="1"/>
  <c r="L143" i="1"/>
  <c r="Q143" i="1" s="1"/>
  <c r="L141" i="1"/>
  <c r="Q141" i="1" s="1"/>
  <c r="L139" i="1"/>
  <c r="Q139" i="1" s="1"/>
  <c r="L136" i="1"/>
  <c r="Q136" i="1" s="1"/>
  <c r="L134" i="1"/>
  <c r="Q134" i="1" s="1"/>
  <c r="L132" i="1"/>
  <c r="Q132" i="1" s="1"/>
  <c r="L130" i="1"/>
  <c r="Q130" i="1" s="1"/>
  <c r="L7" i="59"/>
  <c r="Q7" i="59" s="1"/>
  <c r="L9" i="59"/>
  <c r="Q9" i="59" s="1"/>
  <c r="L11" i="59"/>
  <c r="Q11" i="59" s="1"/>
  <c r="L13" i="59"/>
  <c r="Q13" i="59" s="1"/>
  <c r="L15" i="59"/>
  <c r="Q15" i="59" s="1"/>
  <c r="L18" i="59"/>
  <c r="Q18" i="59" s="1"/>
  <c r="L23" i="59"/>
  <c r="Q23" i="59" s="1"/>
  <c r="L25" i="59"/>
  <c r="Q25" i="59" s="1"/>
  <c r="L26" i="59"/>
  <c r="Q26" i="59" s="1"/>
  <c r="L28" i="59"/>
  <c r="Q28" i="59" s="1"/>
  <c r="L30" i="59"/>
  <c r="Q30" i="59" s="1"/>
  <c r="L32" i="59"/>
  <c r="Q32" i="59" s="1"/>
  <c r="L35" i="59"/>
  <c r="Q35" i="59" s="1"/>
  <c r="L37" i="59"/>
  <c r="Q37" i="59" s="1"/>
  <c r="L39" i="59"/>
  <c r="Q39" i="59" s="1"/>
  <c r="L40" i="59"/>
  <c r="Q40" i="59" s="1"/>
  <c r="L42" i="59"/>
  <c r="Q42" i="59" s="1"/>
  <c r="L43" i="59"/>
  <c r="Q43" i="59" s="1"/>
  <c r="L45" i="59"/>
  <c r="Q45" i="59" s="1"/>
  <c r="L46" i="59"/>
  <c r="Q46" i="59" s="1"/>
  <c r="L152" i="1"/>
  <c r="Q152" i="1" s="1"/>
  <c r="L150" i="1"/>
  <c r="Q150" i="1" s="1"/>
  <c r="L147" i="1"/>
  <c r="Q147" i="1" s="1"/>
  <c r="L145" i="1"/>
  <c r="Q145" i="1" s="1"/>
  <c r="L142" i="1"/>
  <c r="Q142" i="1" s="1"/>
  <c r="L140" i="1"/>
  <c r="Q140" i="1" s="1"/>
  <c r="L138" i="1"/>
  <c r="Q138" i="1" s="1"/>
  <c r="L137" i="1"/>
  <c r="Q137" i="1" s="1"/>
  <c r="L135" i="1"/>
  <c r="Q135" i="1" s="1"/>
  <c r="L133" i="1"/>
  <c r="Q133" i="1" s="1"/>
  <c r="L131" i="1"/>
  <c r="Q131" i="1" s="1"/>
  <c r="L6" i="59"/>
  <c r="Q6" i="59" s="1"/>
  <c r="L8" i="59"/>
  <c r="Q8" i="59" s="1"/>
  <c r="L10" i="59"/>
  <c r="Q10" i="59" s="1"/>
  <c r="L12" i="59"/>
  <c r="Q12" i="59" s="1"/>
  <c r="L14" i="59"/>
  <c r="Q14" i="59" s="1"/>
  <c r="L16" i="59"/>
  <c r="Q16" i="59" s="1"/>
  <c r="L17" i="59"/>
  <c r="Q17" i="59" s="1"/>
  <c r="L19" i="59"/>
  <c r="Q19" i="59" s="1"/>
  <c r="L20" i="59"/>
  <c r="Q20" i="59" s="1"/>
  <c r="L21" i="59"/>
  <c r="Q21" i="59" s="1"/>
  <c r="L22" i="59"/>
  <c r="Q22" i="59" s="1"/>
  <c r="L24" i="59"/>
  <c r="Q24" i="59" s="1"/>
  <c r="L27" i="59"/>
  <c r="Q27" i="59" s="1"/>
  <c r="L29" i="59"/>
  <c r="Q29" i="59" s="1"/>
  <c r="L31" i="59"/>
  <c r="Q31" i="59" s="1"/>
  <c r="L33" i="59"/>
  <c r="Q33" i="59" s="1"/>
  <c r="L34" i="59"/>
  <c r="Q34" i="59" s="1"/>
  <c r="L36" i="59"/>
  <c r="Q36" i="59" s="1"/>
  <c r="L38" i="59"/>
  <c r="Q38" i="59" s="1"/>
  <c r="L41" i="59"/>
  <c r="Q41" i="59" s="1"/>
  <c r="L44" i="59"/>
  <c r="Q44" i="59" s="1"/>
  <c r="L47" i="59"/>
  <c r="Q47" i="59" s="1"/>
  <c r="U15" i="59"/>
  <c r="U17" i="59"/>
  <c r="U40" i="59"/>
  <c r="U46" i="59"/>
  <c r="U57" i="59"/>
  <c r="U64" i="59"/>
  <c r="U65" i="59"/>
  <c r="U110" i="59"/>
  <c r="U123" i="59"/>
  <c r="U128" i="59"/>
  <c r="U139" i="59"/>
  <c r="U158" i="59"/>
  <c r="U168" i="59"/>
  <c r="U12" i="59"/>
  <c r="U14" i="59"/>
  <c r="U18" i="59"/>
  <c r="U39" i="59"/>
  <c r="U43" i="59"/>
  <c r="U45" i="59"/>
  <c r="U47" i="59"/>
  <c r="U49" i="59"/>
  <c r="U51" i="59"/>
  <c r="U60" i="59"/>
  <c r="U109" i="59"/>
  <c r="U113" i="59"/>
  <c r="U117" i="59"/>
  <c r="U119" i="59"/>
  <c r="U134" i="59"/>
  <c r="U136" i="59"/>
  <c r="U138" i="59"/>
  <c r="U24" i="59"/>
  <c r="U30" i="59"/>
  <c r="U34" i="59"/>
  <c r="U55" i="59"/>
  <c r="U70" i="59"/>
  <c r="Q122" i="59"/>
  <c r="U144" i="59"/>
  <c r="U152" i="59"/>
  <c r="U154" i="59"/>
  <c r="U160" i="59"/>
  <c r="U164" i="59"/>
  <c r="U187" i="59"/>
  <c r="U193" i="59"/>
  <c r="U204" i="59"/>
  <c r="U13" i="59"/>
  <c r="U38" i="59"/>
  <c r="U52" i="59"/>
  <c r="U61" i="59"/>
  <c r="U63" i="59"/>
  <c r="U96" i="59"/>
  <c r="U112" i="59"/>
  <c r="U120" i="59"/>
  <c r="U122" i="59"/>
  <c r="U135" i="59"/>
  <c r="U174" i="59"/>
  <c r="U33" i="59"/>
  <c r="U54" i="59"/>
  <c r="U79" i="59"/>
  <c r="U81" i="59"/>
  <c r="U145" i="59"/>
  <c r="U151" i="59"/>
  <c r="U155" i="59"/>
  <c r="U157" i="59"/>
  <c r="U165" i="59"/>
  <c r="U167" i="59"/>
  <c r="U25" i="59"/>
  <c r="U31" i="59"/>
  <c r="U42" i="59"/>
  <c r="U44" i="59"/>
  <c r="U94" i="59"/>
  <c r="U105" i="59"/>
  <c r="U107" i="59"/>
  <c r="U111" i="59"/>
  <c r="U124" i="59"/>
  <c r="U131" i="59"/>
  <c r="U159" i="59"/>
  <c r="U189" i="59"/>
  <c r="U198" i="59"/>
  <c r="U48" i="59"/>
  <c r="U56" i="59"/>
  <c r="U72" i="59"/>
  <c r="U76" i="59"/>
  <c r="U115" i="59"/>
  <c r="U161" i="59"/>
  <c r="U163" i="59"/>
  <c r="U9" i="59"/>
  <c r="U16" i="59"/>
  <c r="U20" i="59"/>
  <c r="U26" i="59"/>
  <c r="U28" i="59"/>
  <c r="U67" i="59"/>
  <c r="U80" i="59"/>
  <c r="U84" i="59"/>
  <c r="U86" i="59"/>
  <c r="U102" i="59"/>
  <c r="U108" i="59"/>
  <c r="U121" i="59"/>
  <c r="U132" i="59"/>
  <c r="U137" i="59"/>
  <c r="U149" i="59"/>
  <c r="U169" i="59"/>
  <c r="U171" i="59"/>
  <c r="U195" i="59"/>
  <c r="U197" i="59"/>
  <c r="U32" i="59"/>
  <c r="U41" i="59"/>
  <c r="U183" i="59"/>
  <c r="U19" i="59"/>
  <c r="U21" i="59"/>
  <c r="U36" i="59"/>
  <c r="U71" i="59"/>
  <c r="U73" i="59"/>
  <c r="U83" i="59"/>
  <c r="U85" i="59"/>
  <c r="U90" i="59"/>
  <c r="U97" i="59"/>
  <c r="U99" i="59"/>
  <c r="U101" i="59"/>
  <c r="U103" i="59"/>
  <c r="U116" i="59"/>
  <c r="U118" i="59"/>
  <c r="U153" i="59"/>
  <c r="U166" i="59"/>
  <c r="U179" i="59"/>
  <c r="U185" i="59"/>
  <c r="U50" i="59"/>
  <c r="U182" i="59"/>
  <c r="U58" i="59"/>
  <c r="U130" i="59"/>
  <c r="U194" i="59"/>
  <c r="U10" i="59"/>
  <c r="U11" i="59"/>
  <c r="U66" i="59"/>
  <c r="U172" i="59"/>
  <c r="U177" i="59"/>
  <c r="U98" i="59"/>
  <c r="U140" i="59"/>
  <c r="U162" i="59"/>
  <c r="U186" i="59"/>
  <c r="U202" i="59"/>
  <c r="U106" i="59"/>
  <c r="U148" i="59"/>
  <c r="U170" i="59"/>
  <c r="U196" i="59"/>
  <c r="U92" i="59"/>
  <c r="U114" i="59"/>
  <c r="U156" i="59"/>
  <c r="U178" i="59"/>
  <c r="Q114" i="1"/>
  <c r="Q200" i="1"/>
  <c r="Q180" i="1"/>
  <c r="U56" i="1"/>
  <c r="U200" i="1"/>
  <c r="U194" i="1"/>
  <c r="U190" i="1"/>
  <c r="U188" i="1"/>
  <c r="U186" i="1"/>
  <c r="U182" i="1"/>
  <c r="U178" i="1"/>
  <c r="U176" i="1"/>
  <c r="U172" i="1"/>
  <c r="U168" i="1"/>
  <c r="U146" i="1"/>
  <c r="U144" i="1"/>
  <c r="U142" i="1"/>
  <c r="U130" i="1"/>
  <c r="U196" i="1"/>
  <c r="U160" i="1"/>
  <c r="U150" i="1"/>
  <c r="U136" i="1"/>
  <c r="U203" i="1"/>
  <c r="Q192" i="1"/>
  <c r="Q188" i="1"/>
  <c r="U114" i="1"/>
  <c r="U195" i="1"/>
  <c r="U179" i="1"/>
  <c r="U165" i="1"/>
  <c r="U163" i="1"/>
  <c r="U159" i="1"/>
  <c r="U155" i="1"/>
  <c r="U151" i="1"/>
  <c r="U149" i="1"/>
  <c r="U135" i="1"/>
  <c r="U202" i="1"/>
  <c r="U166" i="1"/>
  <c r="U129" i="1"/>
  <c r="U119" i="1"/>
  <c r="U115" i="1"/>
  <c r="Q90" i="1"/>
  <c r="U191" i="1"/>
  <c r="U189" i="1"/>
  <c r="U187" i="1"/>
  <c r="U185" i="1"/>
  <c r="U183" i="1"/>
  <c r="U181" i="1"/>
  <c r="U162" i="1"/>
  <c r="U156" i="1"/>
  <c r="U152" i="1"/>
  <c r="U148" i="1"/>
  <c r="U138" i="1"/>
  <c r="U105" i="1"/>
  <c r="U85" i="1"/>
  <c r="U83" i="1"/>
  <c r="U79" i="1"/>
  <c r="U77" i="1"/>
  <c r="U75" i="1"/>
  <c r="U73" i="1"/>
  <c r="U67" i="1"/>
  <c r="Q196" i="1"/>
  <c r="U192" i="1"/>
  <c r="U175" i="1"/>
  <c r="U173" i="1"/>
  <c r="U169" i="1"/>
  <c r="U167" i="1"/>
  <c r="U134" i="1"/>
  <c r="U132" i="1"/>
  <c r="U180" i="1"/>
  <c r="U153" i="1"/>
  <c r="U112" i="1"/>
  <c r="U197" i="1"/>
  <c r="U170" i="1"/>
  <c r="U143" i="1"/>
  <c r="U139" i="1"/>
  <c r="U137" i="1"/>
  <c r="U133" i="1"/>
  <c r="U126" i="1"/>
  <c r="U122" i="1"/>
  <c r="U158" i="1"/>
  <c r="U141" i="1"/>
  <c r="U184" i="1"/>
  <c r="U198" i="1"/>
  <c r="U104" i="1"/>
  <c r="U102" i="1"/>
  <c r="U98" i="1"/>
  <c r="U94" i="1"/>
  <c r="U92" i="1"/>
  <c r="U88" i="1"/>
  <c r="U78" i="1"/>
  <c r="U68" i="1"/>
  <c r="U201" i="1"/>
  <c r="U193" i="1"/>
  <c r="Q176" i="1"/>
  <c r="U171" i="1"/>
  <c r="U164" i="1"/>
  <c r="U161" i="1"/>
  <c r="Q156" i="1"/>
  <c r="U154" i="1"/>
  <c r="U147" i="1"/>
  <c r="Q86" i="1"/>
  <c r="U204" i="1"/>
  <c r="U174" i="1"/>
  <c r="U157" i="1"/>
  <c r="U140" i="1"/>
  <c r="Q66" i="1"/>
  <c r="Q204" i="1"/>
  <c r="U131" i="1"/>
  <c r="U116" i="1"/>
  <c r="U125" i="1"/>
  <c r="U57" i="1"/>
  <c r="U118" i="1"/>
  <c r="U121" i="1"/>
  <c r="U72" i="1"/>
  <c r="U70" i="1"/>
  <c r="Q110" i="1"/>
  <c r="Q74" i="1"/>
  <c r="Q70" i="1"/>
  <c r="Q184" i="1"/>
  <c r="U124" i="1"/>
  <c r="U111" i="1"/>
  <c r="Q94" i="1"/>
  <c r="U82" i="1"/>
  <c r="U80" i="1"/>
  <c r="U199" i="1"/>
  <c r="Q172" i="1"/>
  <c r="U101" i="1"/>
  <c r="U61" i="1"/>
  <c r="U205" i="1"/>
  <c r="U97" i="1"/>
  <c r="U95" i="1"/>
  <c r="U93" i="1"/>
  <c r="U87" i="1"/>
  <c r="U64" i="1"/>
  <c r="U60" i="1"/>
  <c r="U108" i="1"/>
  <c r="U106" i="1"/>
  <c r="Q62" i="1"/>
  <c r="U123" i="1"/>
  <c r="Q122" i="1"/>
  <c r="U113" i="1"/>
  <c r="U110" i="1"/>
  <c r="U103" i="1"/>
  <c r="Q102" i="1"/>
  <c r="U96" i="1"/>
  <c r="U91" i="1"/>
  <c r="U84" i="1"/>
  <c r="U74" i="1"/>
  <c r="U62" i="1"/>
  <c r="U128" i="1"/>
  <c r="U120" i="1"/>
  <c r="Q98" i="1"/>
  <c r="U89" i="1"/>
  <c r="Q126" i="1"/>
  <c r="Q118" i="1"/>
  <c r="Q106" i="1"/>
  <c r="U99" i="1"/>
  <c r="U65" i="1"/>
  <c r="U58" i="1"/>
  <c r="U90" i="1"/>
  <c r="Q82" i="1"/>
  <c r="U63" i="1"/>
  <c r="Q58" i="1"/>
  <c r="U109" i="1"/>
  <c r="U127" i="1"/>
  <c r="U117" i="1"/>
  <c r="U107" i="1"/>
  <c r="U100" i="1"/>
  <c r="U86" i="1"/>
  <c r="U81" i="1"/>
  <c r="Q78" i="1"/>
  <c r="U76" i="1"/>
  <c r="U71" i="1"/>
  <c r="U69" i="1"/>
  <c r="U66" i="1"/>
  <c r="U59" i="1"/>
  <c r="J2" i="28" l="1"/>
  <c r="K2" i="28"/>
  <c r="F3" i="28"/>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K3" i="28"/>
  <c r="J3" i="28"/>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11" i="22"/>
  <c r="V10" i="22"/>
  <c r="V9" i="22"/>
  <c r="V8" i="22"/>
  <c r="V7" i="22"/>
  <c r="V6" i="22"/>
  <c r="V5" i="22"/>
  <c r="V4" i="22"/>
  <c r="B9" i="22"/>
  <c r="M17" i="58"/>
  <c r="N17" i="58" s="1"/>
  <c r="L17" i="58"/>
  <c r="K17" i="58"/>
  <c r="M16" i="58"/>
  <c r="L16" i="58"/>
  <c r="K16" i="58"/>
  <c r="M15" i="58"/>
  <c r="N15" i="58" s="1"/>
  <c r="L15" i="58"/>
  <c r="K15" i="58"/>
  <c r="M14" i="58"/>
  <c r="L14" i="58"/>
  <c r="K14" i="58"/>
  <c r="M13" i="58"/>
  <c r="N13" i="58" s="1"/>
  <c r="L13" i="58"/>
  <c r="K13" i="58"/>
  <c r="M12" i="58"/>
  <c r="N12" i="58" s="1"/>
  <c r="L12" i="58"/>
  <c r="K12" i="58"/>
  <c r="L11" i="58"/>
  <c r="K11" i="58"/>
  <c r="M10" i="58"/>
  <c r="N10" i="58" s="1"/>
  <c r="L10" i="58"/>
  <c r="K10" i="58"/>
  <c r="K177" i="1" l="1"/>
  <c r="K145" i="1"/>
  <c r="K5" i="59"/>
  <c r="K6" i="59"/>
  <c r="K7" i="59"/>
  <c r="K8" i="59"/>
  <c r="K22" i="59"/>
  <c r="K23" i="59"/>
  <c r="K27" i="59"/>
  <c r="K29" i="59"/>
  <c r="K35" i="59"/>
  <c r="K37" i="59"/>
  <c r="K53" i="59"/>
  <c r="K59" i="59"/>
  <c r="K62" i="59"/>
  <c r="K68" i="59"/>
  <c r="K69" i="59"/>
  <c r="K74" i="59"/>
  <c r="K75" i="59"/>
  <c r="K77" i="59"/>
  <c r="K78" i="59"/>
  <c r="K82" i="59"/>
  <c r="K87" i="59"/>
  <c r="K88" i="59"/>
  <c r="K89" i="59"/>
  <c r="K91" i="59"/>
  <c r="K93" i="59"/>
  <c r="K95" i="59"/>
  <c r="K100" i="59"/>
  <c r="K104" i="59"/>
  <c r="K125" i="59"/>
  <c r="K126" i="59"/>
  <c r="K127" i="59"/>
  <c r="K129" i="59"/>
  <c r="K133" i="59"/>
  <c r="K141" i="59"/>
  <c r="K142" i="59"/>
  <c r="K143" i="59"/>
  <c r="K146" i="59"/>
  <c r="K147" i="59"/>
  <c r="K150" i="59"/>
  <c r="K173" i="59"/>
  <c r="K175" i="59"/>
  <c r="K176" i="59"/>
  <c r="K180" i="59"/>
  <c r="K181" i="59"/>
  <c r="K184" i="59"/>
  <c r="K188" i="59"/>
  <c r="K190" i="59"/>
  <c r="K191" i="59"/>
  <c r="K192" i="59"/>
  <c r="K199" i="59"/>
  <c r="K200" i="59"/>
  <c r="K201" i="59"/>
  <c r="K203" i="59"/>
  <c r="K59" i="1"/>
  <c r="K66" i="1"/>
  <c r="K69" i="1"/>
  <c r="K71" i="1"/>
  <c r="K76" i="1"/>
  <c r="K81" i="1"/>
  <c r="K86" i="1"/>
  <c r="K100" i="1"/>
  <c r="K107" i="1"/>
  <c r="K117" i="1"/>
  <c r="K127" i="1"/>
  <c r="K109" i="1"/>
  <c r="K63" i="1"/>
  <c r="K90" i="1"/>
  <c r="K58" i="1"/>
  <c r="K65" i="1"/>
  <c r="K99" i="1"/>
  <c r="K89" i="1"/>
  <c r="K120" i="1"/>
  <c r="K128" i="1"/>
  <c r="K62" i="1"/>
  <c r="K74" i="1"/>
  <c r="K84" i="1"/>
  <c r="K91" i="1"/>
  <c r="K96" i="1"/>
  <c r="K103" i="1"/>
  <c r="K110" i="1"/>
  <c r="K113" i="1"/>
  <c r="K123" i="1"/>
  <c r="K106" i="1"/>
  <c r="K108" i="1"/>
  <c r="K60" i="1"/>
  <c r="K64" i="1"/>
  <c r="K87" i="1"/>
  <c r="K93" i="1"/>
  <c r="K95" i="1"/>
  <c r="K97" i="1"/>
  <c r="K205" i="1"/>
  <c r="K61" i="1"/>
  <c r="K101" i="1"/>
  <c r="K199" i="1"/>
  <c r="K80" i="1"/>
  <c r="K82" i="1"/>
  <c r="K111" i="1"/>
  <c r="K124" i="1"/>
  <c r="K70" i="1"/>
  <c r="K72" i="1"/>
  <c r="K121" i="1"/>
  <c r="K118" i="1"/>
  <c r="K57" i="1"/>
  <c r="K125" i="1"/>
  <c r="K116" i="1"/>
  <c r="K131" i="1"/>
  <c r="K140" i="1"/>
  <c r="K157" i="1"/>
  <c r="K174" i="1"/>
  <c r="K204" i="1"/>
  <c r="K147" i="1"/>
  <c r="K154" i="1"/>
  <c r="K161" i="1"/>
  <c r="K164" i="1"/>
  <c r="K171" i="1"/>
  <c r="K193" i="1"/>
  <c r="K201" i="1"/>
  <c r="K68" i="1"/>
  <c r="K78" i="1"/>
  <c r="K88" i="1"/>
  <c r="K92" i="1"/>
  <c r="K94" i="1"/>
  <c r="K98" i="1"/>
  <c r="K102" i="1"/>
  <c r="K104" i="1"/>
  <c r="K198" i="1"/>
  <c r="K184" i="1"/>
  <c r="K141" i="1"/>
  <c r="K158" i="1"/>
  <c r="K122" i="1"/>
  <c r="K126" i="1"/>
  <c r="K133" i="1"/>
  <c r="K137" i="1"/>
  <c r="K139" i="1"/>
  <c r="K143" i="1"/>
  <c r="K170" i="1"/>
  <c r="K197" i="1"/>
  <c r="K112" i="1"/>
  <c r="K153" i="1"/>
  <c r="K180" i="1"/>
  <c r="K132" i="1"/>
  <c r="K134" i="1"/>
  <c r="K167" i="1"/>
  <c r="K169" i="1"/>
  <c r="K173" i="1"/>
  <c r="K175" i="1"/>
  <c r="K192" i="1"/>
  <c r="K67" i="1"/>
  <c r="K73" i="1"/>
  <c r="K75" i="1"/>
  <c r="K77" i="1"/>
  <c r="K79" i="1"/>
  <c r="K83" i="1"/>
  <c r="K85" i="1"/>
  <c r="K105" i="1"/>
  <c r="K138" i="1"/>
  <c r="K148" i="1"/>
  <c r="K152" i="1"/>
  <c r="K156" i="1"/>
  <c r="K162" i="1"/>
  <c r="K181" i="1"/>
  <c r="K183" i="1"/>
  <c r="K185" i="1"/>
  <c r="K187" i="1"/>
  <c r="K189" i="1"/>
  <c r="K191" i="1"/>
  <c r="K115" i="1"/>
  <c r="K119" i="1"/>
  <c r="K129" i="1"/>
  <c r="K166" i="1"/>
  <c r="K202" i="1"/>
  <c r="K135" i="1"/>
  <c r="K149" i="1"/>
  <c r="K151" i="1"/>
  <c r="K155" i="1"/>
  <c r="K159" i="1"/>
  <c r="K163" i="1"/>
  <c r="K165" i="1"/>
  <c r="K179" i="1"/>
  <c r="K195" i="1"/>
  <c r="K114" i="1"/>
  <c r="K203" i="1"/>
  <c r="K136" i="1"/>
  <c r="K150" i="1"/>
  <c r="K160" i="1"/>
  <c r="K196" i="1"/>
  <c r="K130" i="1"/>
  <c r="K142" i="1"/>
  <c r="K144" i="1"/>
  <c r="K146" i="1"/>
  <c r="K168" i="1"/>
  <c r="K172" i="1"/>
  <c r="K176" i="1"/>
  <c r="K178" i="1"/>
  <c r="K182" i="1"/>
  <c r="K186" i="1"/>
  <c r="K188" i="1"/>
  <c r="K190" i="1"/>
  <c r="K194" i="1"/>
  <c r="K200" i="1"/>
  <c r="K56" i="1"/>
  <c r="K178" i="59"/>
  <c r="K156" i="59"/>
  <c r="K114" i="59"/>
  <c r="K92" i="59"/>
  <c r="K196" i="59"/>
  <c r="K170" i="59"/>
  <c r="K148" i="59"/>
  <c r="K106" i="59"/>
  <c r="K202" i="59"/>
  <c r="K186" i="59"/>
  <c r="K162" i="59"/>
  <c r="K140" i="59"/>
  <c r="K98" i="59"/>
  <c r="K177" i="59"/>
  <c r="K172" i="59"/>
  <c r="K66" i="59"/>
  <c r="K11" i="59"/>
  <c r="K10" i="59"/>
  <c r="K194" i="59"/>
  <c r="K130" i="59"/>
  <c r="K58" i="59"/>
  <c r="K182" i="59"/>
  <c r="K50" i="59"/>
  <c r="K185" i="59"/>
  <c r="K179" i="59"/>
  <c r="K166" i="59"/>
  <c r="K153" i="59"/>
  <c r="K118" i="59"/>
  <c r="K116" i="59"/>
  <c r="K103" i="59"/>
  <c r="K101" i="59"/>
  <c r="K99" i="59"/>
  <c r="K97" i="59"/>
  <c r="K90" i="59"/>
  <c r="K85" i="59"/>
  <c r="K83" i="59"/>
  <c r="K73" i="59"/>
  <c r="K71" i="59"/>
  <c r="K36" i="59"/>
  <c r="K21" i="59"/>
  <c r="K19" i="59"/>
  <c r="K183" i="59"/>
  <c r="K41" i="59"/>
  <c r="K32" i="59"/>
  <c r="K197" i="59"/>
  <c r="K195" i="59"/>
  <c r="K171" i="59"/>
  <c r="K169" i="59"/>
  <c r="K149" i="59"/>
  <c r="K137" i="59"/>
  <c r="K132" i="59"/>
  <c r="K121" i="59"/>
  <c r="K108" i="59"/>
  <c r="K102" i="59"/>
  <c r="K86" i="59"/>
  <c r="K84" i="59"/>
  <c r="K80" i="59"/>
  <c r="K67" i="59"/>
  <c r="K28" i="59"/>
  <c r="K26" i="59"/>
  <c r="K20" i="59"/>
  <c r="K16" i="59"/>
  <c r="K9" i="59"/>
  <c r="K163" i="59"/>
  <c r="K161" i="59"/>
  <c r="K115" i="59"/>
  <c r="K76" i="59"/>
  <c r="K72" i="59"/>
  <c r="K56" i="59"/>
  <c r="K48" i="59"/>
  <c r="K198" i="59"/>
  <c r="K189" i="59"/>
  <c r="K159" i="59"/>
  <c r="K131" i="59"/>
  <c r="K124" i="59"/>
  <c r="K111" i="59"/>
  <c r="K107" i="59"/>
  <c r="K105" i="59"/>
  <c r="K94" i="59"/>
  <c r="K44" i="59"/>
  <c r="K42" i="59"/>
  <c r="K31" i="59"/>
  <c r="K25" i="59"/>
  <c r="K167" i="59"/>
  <c r="K165" i="59"/>
  <c r="K157" i="59"/>
  <c r="K155" i="59"/>
  <c r="K151" i="59"/>
  <c r="K145" i="59"/>
  <c r="K81" i="59"/>
  <c r="K79" i="59"/>
  <c r="K54" i="59"/>
  <c r="K33" i="59"/>
  <c r="K174" i="59"/>
  <c r="K135" i="59"/>
  <c r="K122" i="59"/>
  <c r="K120" i="59"/>
  <c r="K112" i="59"/>
  <c r="K96" i="59"/>
  <c r="K63" i="59"/>
  <c r="K61" i="59"/>
  <c r="K52" i="59"/>
  <c r="K38" i="59"/>
  <c r="K13" i="59"/>
  <c r="K204" i="59"/>
  <c r="K193" i="59"/>
  <c r="K187" i="59"/>
  <c r="K164" i="59"/>
  <c r="K160" i="59"/>
  <c r="K154" i="59"/>
  <c r="K152" i="59"/>
  <c r="K144" i="59"/>
  <c r="K70" i="59"/>
  <c r="K55" i="59"/>
  <c r="K34" i="59"/>
  <c r="K30" i="59"/>
  <c r="K24" i="59"/>
  <c r="K138" i="59"/>
  <c r="K136" i="59"/>
  <c r="K134" i="59"/>
  <c r="K119" i="59"/>
  <c r="K117" i="59"/>
  <c r="K113" i="59"/>
  <c r="K109" i="59"/>
  <c r="K60" i="59"/>
  <c r="K51" i="59"/>
  <c r="K49" i="59"/>
  <c r="K47" i="59"/>
  <c r="K45" i="59"/>
  <c r="K43" i="59"/>
  <c r="K39" i="59"/>
  <c r="K18" i="59"/>
  <c r="K14" i="59"/>
  <c r="K12" i="59"/>
  <c r="K168" i="59"/>
  <c r="K158" i="59"/>
  <c r="K139" i="59"/>
  <c r="K128" i="59"/>
  <c r="K123" i="59"/>
  <c r="K110" i="59"/>
  <c r="K65" i="59"/>
  <c r="K64" i="59"/>
  <c r="K57" i="59"/>
  <c r="K46" i="59"/>
  <c r="K40" i="59"/>
  <c r="K17" i="59"/>
  <c r="K15" i="59"/>
  <c r="U54" i="1"/>
  <c r="K54" i="1" s="1"/>
  <c r="U46" i="1"/>
  <c r="K46" i="1" s="1"/>
  <c r="U38" i="1"/>
  <c r="K38" i="1" s="1"/>
  <c r="U30" i="1"/>
  <c r="K30" i="1" s="1"/>
  <c r="U22" i="1"/>
  <c r="K22" i="1" s="1"/>
  <c r="U14" i="1"/>
  <c r="K14" i="1" s="1"/>
  <c r="U53" i="1"/>
  <c r="K53" i="1" s="1"/>
  <c r="U45" i="1"/>
  <c r="K45" i="1" s="1"/>
  <c r="U37" i="1"/>
  <c r="K37" i="1" s="1"/>
  <c r="U29" i="1"/>
  <c r="K29" i="1" s="1"/>
  <c r="U21" i="1"/>
  <c r="K21" i="1" s="1"/>
  <c r="U13" i="1"/>
  <c r="K13" i="1" s="1"/>
  <c r="L5" i="59"/>
  <c r="L4" i="1" s="1"/>
  <c r="B18" i="33" s="1"/>
  <c r="U52" i="1"/>
  <c r="K52" i="1" s="1"/>
  <c r="U44" i="1"/>
  <c r="K44" i="1" s="1"/>
  <c r="U36" i="1"/>
  <c r="K36" i="1" s="1"/>
  <c r="U28" i="1"/>
  <c r="K28" i="1" s="1"/>
  <c r="U20" i="1"/>
  <c r="K20" i="1" s="1"/>
  <c r="U12" i="1"/>
  <c r="K12" i="1" s="1"/>
  <c r="U43" i="1"/>
  <c r="K43" i="1" s="1"/>
  <c r="U35" i="1"/>
  <c r="K35" i="1" s="1"/>
  <c r="U50" i="1"/>
  <c r="K50" i="1" s="1"/>
  <c r="U42" i="1"/>
  <c r="K42" i="1" s="1"/>
  <c r="U34" i="1"/>
  <c r="K34" i="1" s="1"/>
  <c r="U26" i="1"/>
  <c r="K26" i="1" s="1"/>
  <c r="U18" i="1"/>
  <c r="K18" i="1" s="1"/>
  <c r="U10" i="1"/>
  <c r="K10" i="1" s="1"/>
  <c r="U48" i="1"/>
  <c r="K48" i="1" s="1"/>
  <c r="U40" i="1"/>
  <c r="K40" i="1" s="1"/>
  <c r="U32" i="1"/>
  <c r="K32" i="1" s="1"/>
  <c r="U24" i="1"/>
  <c r="K24" i="1" s="1"/>
  <c r="U16" i="1"/>
  <c r="K16" i="1" s="1"/>
  <c r="U8" i="1"/>
  <c r="K8" i="1" s="1"/>
  <c r="U51" i="1"/>
  <c r="K51" i="1" s="1"/>
  <c r="U27" i="1"/>
  <c r="K27" i="1" s="1"/>
  <c r="U19" i="1"/>
  <c r="K19" i="1" s="1"/>
  <c r="U11" i="1"/>
  <c r="K11" i="1" s="1"/>
  <c r="U49" i="1"/>
  <c r="K49" i="1" s="1"/>
  <c r="U41" i="1"/>
  <c r="K41" i="1" s="1"/>
  <c r="U33" i="1"/>
  <c r="K33" i="1" s="1"/>
  <c r="U25" i="1"/>
  <c r="K25" i="1" s="1"/>
  <c r="U17" i="1"/>
  <c r="K17" i="1" s="1"/>
  <c r="U9" i="1"/>
  <c r="K9" i="1" s="1"/>
  <c r="U55" i="1"/>
  <c r="K55" i="1" s="1"/>
  <c r="U47" i="1"/>
  <c r="K47" i="1" s="1"/>
  <c r="U39" i="1"/>
  <c r="K39" i="1" s="1"/>
  <c r="U31" i="1"/>
  <c r="K31" i="1" s="1"/>
  <c r="U23" i="1"/>
  <c r="K23" i="1" s="1"/>
  <c r="U15" i="1"/>
  <c r="K15" i="1" s="1"/>
  <c r="U7" i="1"/>
  <c r="K7" i="1" s="1"/>
  <c r="U6" i="1"/>
  <c r="K6" i="1" s="1"/>
  <c r="J11" i="58"/>
  <c r="J17" i="58"/>
  <c r="J14" i="58"/>
  <c r="J16" i="58"/>
  <c r="J15" i="58"/>
  <c r="J13" i="58"/>
  <c r="J12" i="58"/>
  <c r="N14" i="58"/>
  <c r="N16" i="58"/>
  <c r="B20" i="33" l="1"/>
  <c r="B21" i="33"/>
  <c r="E7" i="22"/>
  <c r="K4" i="1"/>
  <c r="Q5" i="59"/>
  <c r="E5" i="22"/>
  <c r="M6" i="1" s="1"/>
  <c r="N200" i="59" l="1"/>
  <c r="M199" i="59"/>
  <c r="O199" i="59" s="1"/>
  <c r="R199" i="59" s="1"/>
  <c r="M168" i="59"/>
  <c r="O168" i="59" s="1"/>
  <c r="R168" i="59" s="1"/>
  <c r="M54" i="59"/>
  <c r="O54" i="59" s="1"/>
  <c r="R54" i="59" s="1"/>
  <c r="M152" i="59"/>
  <c r="O152" i="59" s="1"/>
  <c r="R152" i="59" s="1"/>
  <c r="N136" i="59"/>
  <c r="N118" i="59"/>
  <c r="M200" i="59"/>
  <c r="O200" i="59" s="1"/>
  <c r="R200" i="59" s="1"/>
  <c r="N184" i="59"/>
  <c r="N13" i="59"/>
  <c r="M201" i="59"/>
  <c r="O201" i="59" s="1"/>
  <c r="R201" i="59" s="1"/>
  <c r="N51" i="59"/>
  <c r="N6" i="59"/>
  <c r="N120" i="59"/>
  <c r="N91" i="59"/>
  <c r="N141" i="59"/>
  <c r="N101" i="59"/>
  <c r="N164" i="59"/>
  <c r="N142" i="59"/>
  <c r="N198" i="59"/>
  <c r="M136" i="59"/>
  <c r="O136" i="59" s="1"/>
  <c r="R136" i="59" s="1"/>
  <c r="M167" i="59"/>
  <c r="O167" i="59" s="1"/>
  <c r="R167" i="59" s="1"/>
  <c r="N144" i="59"/>
  <c r="M143" i="59"/>
  <c r="O143" i="59" s="1"/>
  <c r="R143" i="59" s="1"/>
  <c r="M121" i="59"/>
  <c r="O121" i="59" s="1"/>
  <c r="R121" i="59" s="1"/>
  <c r="M102" i="59"/>
  <c r="O102" i="59" s="1"/>
  <c r="R102" i="59" s="1"/>
  <c r="M53" i="59"/>
  <c r="O53" i="59" s="1"/>
  <c r="R53" i="59" s="1"/>
  <c r="N30" i="59"/>
  <c r="M46" i="59"/>
  <c r="O46" i="59" s="1"/>
  <c r="R46" i="59" s="1"/>
  <c r="N165" i="59"/>
  <c r="M144" i="59"/>
  <c r="O144" i="59" s="1"/>
  <c r="R144" i="59" s="1"/>
  <c r="M131" i="59"/>
  <c r="O131" i="59" s="1"/>
  <c r="R131" i="59" s="1"/>
  <c r="N99" i="59"/>
  <c r="M62" i="59"/>
  <c r="O62" i="59" s="1"/>
  <c r="R62" i="59" s="1"/>
  <c r="N54" i="59"/>
  <c r="N149" i="59"/>
  <c r="N46" i="59"/>
  <c r="M198" i="59"/>
  <c r="O198" i="59" s="1"/>
  <c r="R198" i="59" s="1"/>
  <c r="M164" i="59"/>
  <c r="O164" i="59" s="1"/>
  <c r="R164" i="59" s="1"/>
  <c r="M184" i="59"/>
  <c r="O184" i="59" s="1"/>
  <c r="R184" i="59" s="1"/>
  <c r="M59" i="59"/>
  <c r="O59" i="59" s="1"/>
  <c r="R59" i="59" s="1"/>
  <c r="N201" i="59"/>
  <c r="N27" i="59"/>
  <c r="N81" i="59"/>
  <c r="M151" i="59"/>
  <c r="O151" i="59" s="1"/>
  <c r="R151" i="59" s="1"/>
  <c r="N47" i="59"/>
  <c r="M105" i="59"/>
  <c r="O105" i="59" s="1"/>
  <c r="R105" i="59" s="1"/>
  <c r="M12" i="59"/>
  <c r="O12" i="59" s="1"/>
  <c r="R12" i="59" s="1"/>
  <c r="M44" i="59"/>
  <c r="O44" i="59" s="1"/>
  <c r="R44" i="59" s="1"/>
  <c r="M107" i="59"/>
  <c r="O107" i="59" s="1"/>
  <c r="R107" i="59" s="1"/>
  <c r="N193" i="59"/>
  <c r="M42" i="59"/>
  <c r="O42" i="59" s="1"/>
  <c r="R42" i="59" s="1"/>
  <c r="M84" i="59"/>
  <c r="O84" i="59" s="1"/>
  <c r="R84" i="59" s="1"/>
  <c r="M195" i="59"/>
  <c r="O195" i="59" s="1"/>
  <c r="R195" i="59" s="1"/>
  <c r="N71" i="59"/>
  <c r="M61" i="59"/>
  <c r="O61" i="59" s="1"/>
  <c r="R61" i="59" s="1"/>
  <c r="M18" i="59"/>
  <c r="O18" i="59" s="1"/>
  <c r="R18" i="59" s="1"/>
  <c r="N36" i="59"/>
  <c r="N83" i="59"/>
  <c r="N87" i="59"/>
  <c r="M163" i="59"/>
  <c r="O163" i="59" s="1"/>
  <c r="R163" i="59" s="1"/>
  <c r="N88" i="59"/>
  <c r="N121" i="59"/>
  <c r="M13" i="59"/>
  <c r="O13" i="59" s="1"/>
  <c r="R13" i="59" s="1"/>
  <c r="N168" i="59"/>
  <c r="N185" i="59"/>
  <c r="M128" i="59"/>
  <c r="O128" i="59" s="1"/>
  <c r="R128" i="59" s="1"/>
  <c r="N203" i="59"/>
  <c r="M91" i="59"/>
  <c r="O91" i="59" s="1"/>
  <c r="R91" i="59" s="1"/>
  <c r="N31" i="59"/>
  <c r="N5" i="59"/>
  <c r="M9" i="59"/>
  <c r="O9" i="59" s="1"/>
  <c r="R9" i="59" s="1"/>
  <c r="M47" i="59"/>
  <c r="O47" i="59" s="1"/>
  <c r="R47" i="59" s="1"/>
  <c r="N145" i="59"/>
  <c r="M28" i="59"/>
  <c r="O28" i="59" s="1"/>
  <c r="R28" i="59" s="1"/>
  <c r="N107" i="59"/>
  <c r="M193" i="59"/>
  <c r="O193" i="59" s="1"/>
  <c r="R193" i="59" s="1"/>
  <c r="N42" i="59"/>
  <c r="M86" i="59"/>
  <c r="O86" i="59" s="1"/>
  <c r="R86" i="59" s="1"/>
  <c r="M71" i="59"/>
  <c r="O71" i="59" s="1"/>
  <c r="R71" i="59" s="1"/>
  <c r="N68" i="59"/>
  <c r="N18" i="59"/>
  <c r="M43" i="59"/>
  <c r="O43" i="59" s="1"/>
  <c r="R43" i="59" s="1"/>
  <c r="N85" i="59"/>
  <c r="N124" i="59"/>
  <c r="M48" i="59"/>
  <c r="O48" i="59" s="1"/>
  <c r="R48" i="59" s="1"/>
  <c r="M90" i="59"/>
  <c r="O90" i="59" s="1"/>
  <c r="R90" i="59" s="1"/>
  <c r="N110" i="59"/>
  <c r="N111" i="59"/>
  <c r="M173" i="59"/>
  <c r="O173" i="59" s="1"/>
  <c r="R173" i="59" s="1"/>
  <c r="M80" i="59"/>
  <c r="O80" i="59" s="1"/>
  <c r="R80" i="59" s="1"/>
  <c r="N155" i="59"/>
  <c r="N154" i="59"/>
  <c r="N137" i="59"/>
  <c r="N180" i="59"/>
  <c r="M192" i="59"/>
  <c r="O192" i="59" s="1"/>
  <c r="R192" i="59" s="1"/>
  <c r="N146" i="59"/>
  <c r="N22" i="59"/>
  <c r="N8" i="59"/>
  <c r="N131" i="59"/>
  <c r="M30" i="59"/>
  <c r="O30" i="59" s="1"/>
  <c r="R30" i="59" s="1"/>
  <c r="M120" i="59"/>
  <c r="O120" i="59" s="1"/>
  <c r="R120" i="59" s="1"/>
  <c r="M31" i="59"/>
  <c r="O31" i="59" s="1"/>
  <c r="R31" i="59" s="1"/>
  <c r="M5" i="59"/>
  <c r="N9" i="59"/>
  <c r="M67" i="59"/>
  <c r="O67" i="59" s="1"/>
  <c r="R67" i="59" s="1"/>
  <c r="M145" i="59"/>
  <c r="O145" i="59" s="1"/>
  <c r="R145" i="59" s="1"/>
  <c r="N28" i="59"/>
  <c r="N69" i="59"/>
  <c r="M126" i="59"/>
  <c r="O126" i="59" s="1"/>
  <c r="R126" i="59" s="1"/>
  <c r="M17" i="59"/>
  <c r="O17" i="59" s="1"/>
  <c r="R17" i="59" s="1"/>
  <c r="N86" i="59"/>
  <c r="N37" i="59"/>
  <c r="M75" i="59"/>
  <c r="O75" i="59" s="1"/>
  <c r="R75" i="59" s="1"/>
  <c r="M68" i="59"/>
  <c r="O68" i="59" s="1"/>
  <c r="R68" i="59" s="1"/>
  <c r="N14" i="59"/>
  <c r="N43" i="59"/>
  <c r="M85" i="59"/>
  <c r="O85" i="59" s="1"/>
  <c r="R85" i="59" s="1"/>
  <c r="N129" i="59"/>
  <c r="M185" i="59"/>
  <c r="O185" i="59" s="1"/>
  <c r="R185" i="59" s="1"/>
  <c r="M88" i="59"/>
  <c r="O88" i="59" s="1"/>
  <c r="R88" i="59" s="1"/>
  <c r="M104" i="59"/>
  <c r="O104" i="59" s="1"/>
  <c r="R104" i="59" s="1"/>
  <c r="N16" i="59"/>
  <c r="M110" i="59"/>
  <c r="O110" i="59" s="1"/>
  <c r="R110" i="59" s="1"/>
  <c r="M111" i="59"/>
  <c r="O111" i="59" s="1"/>
  <c r="R111" i="59" s="1"/>
  <c r="N173" i="59"/>
  <c r="M204" i="59"/>
  <c r="O204" i="59" s="1"/>
  <c r="R204" i="59" s="1"/>
  <c r="N96" i="59"/>
  <c r="N56" i="59"/>
  <c r="N175" i="59"/>
  <c r="N119" i="59"/>
  <c r="M155" i="59"/>
  <c r="O155" i="59" s="1"/>
  <c r="R155" i="59" s="1"/>
  <c r="M154" i="59"/>
  <c r="O154" i="59" s="1"/>
  <c r="R154" i="59" s="1"/>
  <c r="N64" i="59"/>
  <c r="M137" i="59"/>
  <c r="O137" i="59" s="1"/>
  <c r="R137" i="59" s="1"/>
  <c r="M190" i="59"/>
  <c r="O190" i="59" s="1"/>
  <c r="R190" i="59" s="1"/>
  <c r="M146" i="59"/>
  <c r="O146" i="59" s="1"/>
  <c r="R146" i="59" s="1"/>
  <c r="M203" i="59"/>
  <c r="O203" i="59" s="1"/>
  <c r="R203" i="59" s="1"/>
  <c r="M34" i="59"/>
  <c r="O34" i="59" s="1"/>
  <c r="R34" i="59" s="1"/>
  <c r="M100" i="59"/>
  <c r="O100" i="59" s="1"/>
  <c r="R100" i="59" s="1"/>
  <c r="N102" i="59"/>
  <c r="N160" i="59"/>
  <c r="N49" i="59"/>
  <c r="M60" i="59"/>
  <c r="O60" i="59" s="1"/>
  <c r="R60" i="59" s="1"/>
  <c r="M33" i="59"/>
  <c r="O33" i="59" s="1"/>
  <c r="R33" i="59" s="1"/>
  <c r="M74" i="59"/>
  <c r="O74" i="59" s="1"/>
  <c r="R74" i="59" s="1"/>
  <c r="M19" i="59"/>
  <c r="O19" i="59" s="1"/>
  <c r="R19" i="59" s="1"/>
  <c r="N67" i="59"/>
  <c r="N153" i="59"/>
  <c r="N15" i="59"/>
  <c r="M69" i="59"/>
  <c r="O69" i="59" s="1"/>
  <c r="R69" i="59" s="1"/>
  <c r="N126" i="59"/>
  <c r="N29" i="59"/>
  <c r="N17" i="59"/>
  <c r="N89" i="59"/>
  <c r="M37" i="59"/>
  <c r="O37" i="59" s="1"/>
  <c r="R37" i="59" s="1"/>
  <c r="N75" i="59"/>
  <c r="M73" i="59"/>
  <c r="O73" i="59" s="1"/>
  <c r="R73" i="59" s="1"/>
  <c r="M14" i="59"/>
  <c r="O14" i="59" s="1"/>
  <c r="R14" i="59" s="1"/>
  <c r="N45" i="59"/>
  <c r="M132" i="59"/>
  <c r="O132" i="59" s="1"/>
  <c r="R132" i="59" s="1"/>
  <c r="N24" i="59"/>
  <c r="M129" i="59"/>
  <c r="O129" i="59" s="1"/>
  <c r="R129" i="59" s="1"/>
  <c r="N191" i="59"/>
  <c r="N40" i="59"/>
  <c r="M109" i="59"/>
  <c r="O109" i="59" s="1"/>
  <c r="R109" i="59" s="1"/>
  <c r="N159" i="59"/>
  <c r="M16" i="59"/>
  <c r="O16" i="59" s="1"/>
  <c r="R16" i="59" s="1"/>
  <c r="M117" i="59"/>
  <c r="O117" i="59" s="1"/>
  <c r="R117" i="59" s="1"/>
  <c r="N176" i="59"/>
  <c r="N204" i="59"/>
  <c r="M96" i="59"/>
  <c r="O96" i="59" s="1"/>
  <c r="R96" i="59" s="1"/>
  <c r="M56" i="59"/>
  <c r="O56" i="59" s="1"/>
  <c r="R56" i="59" s="1"/>
  <c r="M175" i="59"/>
  <c r="O175" i="59" s="1"/>
  <c r="R175" i="59" s="1"/>
  <c r="M119" i="59"/>
  <c r="O119" i="59" s="1"/>
  <c r="R119" i="59" s="1"/>
  <c r="N158" i="59"/>
  <c r="N103" i="59"/>
  <c r="N57" i="59"/>
  <c r="M197" i="59"/>
  <c r="O197" i="59" s="1"/>
  <c r="R197" i="59" s="1"/>
  <c r="M118" i="59"/>
  <c r="O118" i="59" s="1"/>
  <c r="R118" i="59" s="1"/>
  <c r="N167" i="59"/>
  <c r="M99" i="59"/>
  <c r="O99" i="59" s="1"/>
  <c r="R99" i="59" s="1"/>
  <c r="M101" i="59"/>
  <c r="O101" i="59" s="1"/>
  <c r="R101" i="59" s="1"/>
  <c r="N143" i="59"/>
  <c r="N60" i="59"/>
  <c r="N33" i="59"/>
  <c r="N74" i="59"/>
  <c r="N19" i="59"/>
  <c r="M153" i="59"/>
  <c r="O153" i="59" s="1"/>
  <c r="R153" i="59" s="1"/>
  <c r="M15" i="59"/>
  <c r="O15" i="59" s="1"/>
  <c r="R15" i="59" s="1"/>
  <c r="M82" i="59"/>
  <c r="O82" i="59" s="1"/>
  <c r="R82" i="59" s="1"/>
  <c r="N150" i="59"/>
  <c r="M29" i="59"/>
  <c r="O29" i="59" s="1"/>
  <c r="R29" i="59" s="1"/>
  <c r="N7" i="59"/>
  <c r="M89" i="59"/>
  <c r="O89" i="59" s="1"/>
  <c r="R89" i="59" s="1"/>
  <c r="N39" i="59"/>
  <c r="N73" i="59"/>
  <c r="N20" i="59"/>
  <c r="M45" i="59"/>
  <c r="O45" i="59" s="1"/>
  <c r="R45" i="59" s="1"/>
  <c r="N132" i="59"/>
  <c r="M24" i="59"/>
  <c r="O24" i="59" s="1"/>
  <c r="R24" i="59" s="1"/>
  <c r="N134" i="59"/>
  <c r="M65" i="59"/>
  <c r="O65" i="59" s="1"/>
  <c r="R65" i="59" s="1"/>
  <c r="M191" i="59"/>
  <c r="O191" i="59" s="1"/>
  <c r="R191" i="59" s="1"/>
  <c r="M40" i="59"/>
  <c r="O40" i="59" s="1"/>
  <c r="R40" i="59" s="1"/>
  <c r="N109" i="59"/>
  <c r="M159" i="59"/>
  <c r="O159" i="59" s="1"/>
  <c r="R159" i="59" s="1"/>
  <c r="M8" i="59"/>
  <c r="O8" i="59" s="1"/>
  <c r="R8" i="59" s="1"/>
  <c r="N117" i="59"/>
  <c r="N65" i="59"/>
  <c r="N161" i="59"/>
  <c r="M165" i="59"/>
  <c r="O165" i="59" s="1"/>
  <c r="R165" i="59" s="1"/>
  <c r="N187" i="59"/>
  <c r="M6" i="59"/>
  <c r="O6" i="59" s="1"/>
  <c r="R6" i="59" s="1"/>
  <c r="M149" i="59"/>
  <c r="O149" i="59" s="1"/>
  <c r="R149" i="59" s="1"/>
  <c r="M51" i="59"/>
  <c r="O51" i="59" s="1"/>
  <c r="R51" i="59" s="1"/>
  <c r="N139" i="59"/>
  <c r="N123" i="59"/>
  <c r="N97" i="59"/>
  <c r="N166" i="59"/>
  <c r="M79" i="59"/>
  <c r="O79" i="59" s="1"/>
  <c r="R79" i="59" s="1"/>
  <c r="N55" i="59"/>
  <c r="M127" i="59"/>
  <c r="O127" i="59" s="1"/>
  <c r="R127" i="59" s="1"/>
  <c r="N26" i="59"/>
  <c r="M76" i="59"/>
  <c r="O76" i="59" s="1"/>
  <c r="R76" i="59" s="1"/>
  <c r="M25" i="59"/>
  <c r="O25" i="59" s="1"/>
  <c r="R25" i="59" s="1"/>
  <c r="M23" i="59"/>
  <c r="O23" i="59" s="1"/>
  <c r="R23" i="59" s="1"/>
  <c r="N94" i="59"/>
  <c r="N174" i="59"/>
  <c r="M21" i="59"/>
  <c r="O21" i="59" s="1"/>
  <c r="R21" i="59" s="1"/>
  <c r="N133" i="59"/>
  <c r="N52" i="59"/>
  <c r="M41" i="59"/>
  <c r="O41" i="59" s="1"/>
  <c r="R41" i="59" s="1"/>
  <c r="M77" i="59"/>
  <c r="O77" i="59" s="1"/>
  <c r="R77" i="59" s="1"/>
  <c r="M63" i="59"/>
  <c r="O63" i="59" s="1"/>
  <c r="R63" i="59" s="1"/>
  <c r="M169" i="59"/>
  <c r="O169" i="59" s="1"/>
  <c r="R169" i="59" s="1"/>
  <c r="M97" i="59"/>
  <c r="O97" i="59" s="1"/>
  <c r="R97" i="59" s="1"/>
  <c r="M22" i="59"/>
  <c r="O22" i="59" s="1"/>
  <c r="R22" i="59" s="1"/>
  <c r="M108" i="59"/>
  <c r="O108" i="59" s="1"/>
  <c r="R108" i="59" s="1"/>
  <c r="M72" i="59"/>
  <c r="O72" i="59" s="1"/>
  <c r="R72" i="59" s="1"/>
  <c r="M112" i="59"/>
  <c r="O112" i="59" s="1"/>
  <c r="R112" i="59" s="1"/>
  <c r="M32" i="59"/>
  <c r="O32" i="59" s="1"/>
  <c r="R32" i="59" s="1"/>
  <c r="M179" i="59"/>
  <c r="O179" i="59" s="1"/>
  <c r="R179" i="59" s="1"/>
  <c r="N93" i="59"/>
  <c r="M138" i="59"/>
  <c r="O138" i="59" s="1"/>
  <c r="R138" i="59" s="1"/>
  <c r="N188" i="59"/>
  <c r="N62" i="59"/>
  <c r="M38" i="59"/>
  <c r="O38" i="59" s="1"/>
  <c r="R38" i="59" s="1"/>
  <c r="N151" i="59"/>
  <c r="N44" i="59"/>
  <c r="N84" i="59"/>
  <c r="N59" i="59"/>
  <c r="N48" i="59"/>
  <c r="N72" i="59"/>
  <c r="M123" i="59"/>
  <c r="O123" i="59" s="1"/>
  <c r="R123" i="59" s="1"/>
  <c r="M103" i="59"/>
  <c r="O103" i="59" s="1"/>
  <c r="R103" i="59" s="1"/>
  <c r="N197" i="59"/>
  <c r="N135" i="59"/>
  <c r="M113" i="59"/>
  <c r="O113" i="59" s="1"/>
  <c r="R113" i="59" s="1"/>
  <c r="M141" i="59"/>
  <c r="O141" i="59" s="1"/>
  <c r="R141" i="59" s="1"/>
  <c r="M26" i="59"/>
  <c r="O26" i="59" s="1"/>
  <c r="R26" i="59" s="1"/>
  <c r="N82" i="59"/>
  <c r="M133" i="59"/>
  <c r="O133" i="59" s="1"/>
  <c r="R133" i="59" s="1"/>
  <c r="M20" i="59"/>
  <c r="O20" i="59" s="1"/>
  <c r="R20" i="59" s="1"/>
  <c r="M135" i="59"/>
  <c r="O135" i="59" s="1"/>
  <c r="R135" i="59" s="1"/>
  <c r="M116" i="59"/>
  <c r="O116" i="59" s="1"/>
  <c r="R116" i="59" s="1"/>
  <c r="N95" i="59"/>
  <c r="M180" i="59"/>
  <c r="O180" i="59" s="1"/>
  <c r="R180" i="59" s="1"/>
  <c r="N78" i="59"/>
  <c r="M142" i="59"/>
  <c r="O142" i="59" s="1"/>
  <c r="R142" i="59" s="1"/>
  <c r="M27" i="59"/>
  <c r="O27" i="59" s="1"/>
  <c r="R27" i="59" s="1"/>
  <c r="M94" i="59"/>
  <c r="O94" i="59" s="1"/>
  <c r="R94" i="59" s="1"/>
  <c r="N195" i="59"/>
  <c r="M36" i="59"/>
  <c r="O36" i="59" s="1"/>
  <c r="R36" i="59" s="1"/>
  <c r="M124" i="59"/>
  <c r="O124" i="59" s="1"/>
  <c r="R124" i="59" s="1"/>
  <c r="N90" i="59"/>
  <c r="M161" i="59"/>
  <c r="O161" i="59" s="1"/>
  <c r="R161" i="59" s="1"/>
  <c r="N138" i="59"/>
  <c r="M158" i="59"/>
  <c r="O158" i="59" s="1"/>
  <c r="R158" i="59" s="1"/>
  <c r="N116" i="59"/>
  <c r="M95" i="59"/>
  <c r="O95" i="59" s="1"/>
  <c r="R95" i="59" s="1"/>
  <c r="N190" i="59"/>
  <c r="N192" i="59"/>
  <c r="N79" i="59"/>
  <c r="N76" i="59"/>
  <c r="M150" i="59"/>
  <c r="O150" i="59" s="1"/>
  <c r="R150" i="59" s="1"/>
  <c r="M39" i="59"/>
  <c r="O39" i="59" s="1"/>
  <c r="R39" i="59" s="1"/>
  <c r="N63" i="59"/>
  <c r="M134" i="59"/>
  <c r="O134" i="59" s="1"/>
  <c r="R134" i="59" s="1"/>
  <c r="M57" i="59"/>
  <c r="O57" i="59" s="1"/>
  <c r="R57" i="59" s="1"/>
  <c r="N112" i="59"/>
  <c r="M188" i="59"/>
  <c r="O188" i="59" s="1"/>
  <c r="R188" i="59" s="1"/>
  <c r="M139" i="59"/>
  <c r="O139" i="59" s="1"/>
  <c r="R139" i="59" s="1"/>
  <c r="N199" i="59"/>
  <c r="M35" i="59"/>
  <c r="O35" i="59" s="1"/>
  <c r="R35" i="59" s="1"/>
  <c r="M81" i="59"/>
  <c r="O81" i="59" s="1"/>
  <c r="R81" i="59" s="1"/>
  <c r="N105" i="59"/>
  <c r="M174" i="59"/>
  <c r="O174" i="59" s="1"/>
  <c r="R174" i="59" s="1"/>
  <c r="M52" i="59"/>
  <c r="O52" i="59" s="1"/>
  <c r="R52" i="59" s="1"/>
  <c r="M83" i="59"/>
  <c r="O83" i="59" s="1"/>
  <c r="R83" i="59" s="1"/>
  <c r="N163" i="59"/>
  <c r="N108" i="59"/>
  <c r="N115" i="59"/>
  <c r="M87" i="59"/>
  <c r="O87" i="59" s="1"/>
  <c r="R87" i="59" s="1"/>
  <c r="M176" i="59"/>
  <c r="O176" i="59" s="1"/>
  <c r="R176" i="59" s="1"/>
  <c r="M49" i="59"/>
  <c r="O49" i="59" s="1"/>
  <c r="R49" i="59" s="1"/>
  <c r="M147" i="59"/>
  <c r="O147" i="59" s="1"/>
  <c r="R147" i="59" s="1"/>
  <c r="N183" i="59"/>
  <c r="N34" i="59"/>
  <c r="M157" i="59"/>
  <c r="O157" i="59" s="1"/>
  <c r="R157" i="59" s="1"/>
  <c r="M160" i="59"/>
  <c r="O160" i="59" s="1"/>
  <c r="R160" i="59" s="1"/>
  <c r="N25" i="59"/>
  <c r="N21" i="59"/>
  <c r="N41" i="59"/>
  <c r="N169" i="59"/>
  <c r="N128" i="59"/>
  <c r="N38" i="59"/>
  <c r="M115" i="59"/>
  <c r="O115" i="59" s="1"/>
  <c r="R115" i="59" s="1"/>
  <c r="N32" i="59"/>
  <c r="N179" i="59"/>
  <c r="M181" i="59"/>
  <c r="O181" i="59" s="1"/>
  <c r="R181" i="59" s="1"/>
  <c r="N80" i="59"/>
  <c r="M183" i="59"/>
  <c r="O183" i="59" s="1"/>
  <c r="R183" i="59" s="1"/>
  <c r="N35" i="59"/>
  <c r="N157" i="59"/>
  <c r="M187" i="59"/>
  <c r="O187" i="59" s="1"/>
  <c r="R187" i="59" s="1"/>
  <c r="N104" i="59"/>
  <c r="N53" i="59"/>
  <c r="M55" i="59"/>
  <c r="O55" i="59" s="1"/>
  <c r="R55" i="59" s="1"/>
  <c r="N12" i="59"/>
  <c r="N61" i="59"/>
  <c r="M171" i="59"/>
  <c r="O171" i="59" s="1"/>
  <c r="R171" i="59" s="1"/>
  <c r="M166" i="59"/>
  <c r="O166" i="59" s="1"/>
  <c r="R166" i="59" s="1"/>
  <c r="M70" i="59"/>
  <c r="O70" i="59" s="1"/>
  <c r="R70" i="59" s="1"/>
  <c r="M189" i="59"/>
  <c r="O189" i="59" s="1"/>
  <c r="R189" i="59" s="1"/>
  <c r="M93" i="59"/>
  <c r="O93" i="59" s="1"/>
  <c r="R93" i="59" s="1"/>
  <c r="N181" i="59"/>
  <c r="M125" i="59"/>
  <c r="O125" i="59" s="1"/>
  <c r="R125" i="59" s="1"/>
  <c r="M78" i="59"/>
  <c r="O78" i="59" s="1"/>
  <c r="R78" i="59" s="1"/>
  <c r="M64" i="59"/>
  <c r="O64" i="59" s="1"/>
  <c r="R64" i="59" s="1"/>
  <c r="N122" i="59"/>
  <c r="N147" i="59"/>
  <c r="N70" i="59"/>
  <c r="N152" i="59"/>
  <c r="N127" i="59"/>
  <c r="N23" i="59"/>
  <c r="M7" i="59"/>
  <c r="O7" i="59" s="1"/>
  <c r="R7" i="59" s="1"/>
  <c r="N77" i="59"/>
  <c r="N171" i="59"/>
  <c r="N189" i="59"/>
  <c r="N100" i="59"/>
  <c r="N125" i="59"/>
  <c r="N113" i="59"/>
  <c r="M122" i="59"/>
  <c r="O122" i="59" s="1"/>
  <c r="R122" i="59" s="1"/>
  <c r="M178" i="59"/>
  <c r="O178" i="59" s="1"/>
  <c r="R178" i="59" s="1"/>
  <c r="M140" i="59"/>
  <c r="O140" i="59" s="1"/>
  <c r="R140" i="59" s="1"/>
  <c r="N50" i="59"/>
  <c r="N177" i="59"/>
  <c r="M114" i="59"/>
  <c r="O114" i="59" s="1"/>
  <c r="R114" i="59" s="1"/>
  <c r="N196" i="59"/>
  <c r="M11" i="59"/>
  <c r="O11" i="59" s="1"/>
  <c r="R11" i="59" s="1"/>
  <c r="M10" i="59"/>
  <c r="O10" i="59" s="1"/>
  <c r="R10" i="59" s="1"/>
  <c r="N140" i="59"/>
  <c r="M177" i="59"/>
  <c r="O177" i="59" s="1"/>
  <c r="R177" i="59" s="1"/>
  <c r="N202" i="59"/>
  <c r="N162" i="59"/>
  <c r="N11" i="59"/>
  <c r="N10" i="59"/>
  <c r="N130" i="59"/>
  <c r="M202" i="59"/>
  <c r="O202" i="59" s="1"/>
  <c r="R202" i="59" s="1"/>
  <c r="M162" i="59"/>
  <c r="O162" i="59" s="1"/>
  <c r="R162" i="59" s="1"/>
  <c r="N170" i="59"/>
  <c r="M156" i="59"/>
  <c r="O156" i="59" s="1"/>
  <c r="R156" i="59" s="1"/>
  <c r="M130" i="59"/>
  <c r="O130" i="59" s="1"/>
  <c r="R130" i="59" s="1"/>
  <c r="N98" i="59"/>
  <c r="M170" i="59"/>
  <c r="O170" i="59" s="1"/>
  <c r="R170" i="59" s="1"/>
  <c r="N156" i="59"/>
  <c r="M58" i="59"/>
  <c r="O58" i="59" s="1"/>
  <c r="R58" i="59" s="1"/>
  <c r="M98" i="59"/>
  <c r="O98" i="59" s="1"/>
  <c r="R98" i="59" s="1"/>
  <c r="N194" i="59"/>
  <c r="M182" i="59"/>
  <c r="O182" i="59" s="1"/>
  <c r="R182" i="59" s="1"/>
  <c r="N186" i="59"/>
  <c r="N106" i="59"/>
  <c r="M148" i="59"/>
  <c r="O148" i="59" s="1"/>
  <c r="R148" i="59" s="1"/>
  <c r="N58" i="59"/>
  <c r="M172" i="59"/>
  <c r="O172" i="59" s="1"/>
  <c r="R172" i="59" s="1"/>
  <c r="M92" i="59"/>
  <c r="O92" i="59" s="1"/>
  <c r="R92" i="59" s="1"/>
  <c r="M194" i="59"/>
  <c r="O194" i="59" s="1"/>
  <c r="R194" i="59" s="1"/>
  <c r="N182" i="59"/>
  <c r="M186" i="59"/>
  <c r="O186" i="59" s="1"/>
  <c r="R186" i="59" s="1"/>
  <c r="M106" i="59"/>
  <c r="O106" i="59" s="1"/>
  <c r="R106" i="59" s="1"/>
  <c r="N148" i="59"/>
  <c r="N172" i="59"/>
  <c r="N92" i="59"/>
  <c r="M66" i="59"/>
  <c r="O66" i="59" s="1"/>
  <c r="R66" i="59" s="1"/>
  <c r="N178" i="59"/>
  <c r="M50" i="59"/>
  <c r="O50" i="59" s="1"/>
  <c r="R50" i="59" s="1"/>
  <c r="N114" i="59"/>
  <c r="M196" i="59"/>
  <c r="O196" i="59" s="1"/>
  <c r="R196" i="59" s="1"/>
  <c r="N66" i="59"/>
  <c r="N190" i="1"/>
  <c r="N186" i="1"/>
  <c r="N200" i="1"/>
  <c r="N158" i="1"/>
  <c r="N192" i="1"/>
  <c r="N134" i="1"/>
  <c r="N144" i="1"/>
  <c r="N179" i="1"/>
  <c r="M145" i="1"/>
  <c r="O145" i="1" s="1"/>
  <c r="R145" i="1" s="1"/>
  <c r="N165" i="1"/>
  <c r="N143" i="1"/>
  <c r="M136" i="1"/>
  <c r="O136" i="1" s="1"/>
  <c r="R136" i="1" s="1"/>
  <c r="M190" i="1"/>
  <c r="O190" i="1" s="1"/>
  <c r="R190" i="1" s="1"/>
  <c r="M186" i="1"/>
  <c r="O186" i="1" s="1"/>
  <c r="R186" i="1" s="1"/>
  <c r="M156" i="1"/>
  <c r="O156" i="1" s="1"/>
  <c r="R156" i="1" s="1"/>
  <c r="M187" i="1"/>
  <c r="O187" i="1" s="1"/>
  <c r="R187" i="1" s="1"/>
  <c r="N188" i="1"/>
  <c r="N132" i="1"/>
  <c r="M161" i="1"/>
  <c r="O161" i="1" s="1"/>
  <c r="R161" i="1" s="1"/>
  <c r="M179" i="1"/>
  <c r="O179" i="1" s="1"/>
  <c r="R179" i="1" s="1"/>
  <c r="N145" i="1"/>
  <c r="M182" i="1"/>
  <c r="O182" i="1" s="1"/>
  <c r="R182" i="1" s="1"/>
  <c r="N136" i="1"/>
  <c r="M67" i="1"/>
  <c r="O67" i="1" s="1"/>
  <c r="R67" i="1" s="1"/>
  <c r="N197" i="1"/>
  <c r="N203" i="1"/>
  <c r="M198" i="1"/>
  <c r="O198" i="1" s="1"/>
  <c r="R198" i="1" s="1"/>
  <c r="N193" i="1"/>
  <c r="N156" i="1"/>
  <c r="M132" i="1"/>
  <c r="O132" i="1" s="1"/>
  <c r="R132" i="1" s="1"/>
  <c r="N161" i="1"/>
  <c r="M167" i="1"/>
  <c r="O167" i="1" s="1"/>
  <c r="R167" i="1" s="1"/>
  <c r="N142" i="1"/>
  <c r="M155" i="1"/>
  <c r="O155" i="1" s="1"/>
  <c r="R155" i="1" s="1"/>
  <c r="N182" i="1"/>
  <c r="M131" i="1"/>
  <c r="O131" i="1" s="1"/>
  <c r="R131" i="1" s="1"/>
  <c r="N67" i="1"/>
  <c r="M119" i="1"/>
  <c r="O119" i="1" s="1"/>
  <c r="R119" i="1" s="1"/>
  <c r="N108" i="1"/>
  <c r="N116" i="1"/>
  <c r="N174" i="1"/>
  <c r="M173" i="1"/>
  <c r="O173" i="1" s="1"/>
  <c r="R173" i="1" s="1"/>
  <c r="N141" i="1"/>
  <c r="N178" i="1"/>
  <c r="M172" i="1"/>
  <c r="O172" i="1" s="1"/>
  <c r="R172" i="1" s="1"/>
  <c r="M130" i="1"/>
  <c r="O130" i="1" s="1"/>
  <c r="R130" i="1" s="1"/>
  <c r="M147" i="1"/>
  <c r="O147" i="1" s="1"/>
  <c r="R147" i="1" s="1"/>
  <c r="N167" i="1"/>
  <c r="M142" i="1"/>
  <c r="O142" i="1" s="1"/>
  <c r="R142" i="1" s="1"/>
  <c r="N189" i="1"/>
  <c r="N155" i="1"/>
  <c r="N181" i="1"/>
  <c r="N131" i="1"/>
  <c r="M57" i="1"/>
  <c r="O57" i="1" s="1"/>
  <c r="R57" i="1" s="1"/>
  <c r="N119" i="1"/>
  <c r="M169" i="1"/>
  <c r="O169" i="1" s="1"/>
  <c r="R169" i="1" s="1"/>
  <c r="M146" i="1"/>
  <c r="O146" i="1" s="1"/>
  <c r="R146" i="1" s="1"/>
  <c r="M151" i="1"/>
  <c r="O151" i="1" s="1"/>
  <c r="R151" i="1" s="1"/>
  <c r="N172" i="1"/>
  <c r="N130" i="1"/>
  <c r="N159" i="1"/>
  <c r="M138" i="1"/>
  <c r="O138" i="1" s="1"/>
  <c r="R138" i="1" s="1"/>
  <c r="M189" i="1"/>
  <c r="O189" i="1" s="1"/>
  <c r="R189" i="1" s="1"/>
  <c r="M152" i="1"/>
  <c r="O152" i="1" s="1"/>
  <c r="R152" i="1" s="1"/>
  <c r="N202" i="1"/>
  <c r="N146" i="1"/>
  <c r="N151" i="1"/>
  <c r="M149" i="1"/>
  <c r="O149" i="1" s="1"/>
  <c r="R149" i="1" s="1"/>
  <c r="M177" i="1"/>
  <c r="O177" i="1" s="1"/>
  <c r="R177" i="1" s="1"/>
  <c r="M159" i="1"/>
  <c r="O159" i="1" s="1"/>
  <c r="R159" i="1" s="1"/>
  <c r="N138" i="1"/>
  <c r="M148" i="1"/>
  <c r="O148" i="1" s="1"/>
  <c r="R148" i="1" s="1"/>
  <c r="N164" i="1"/>
  <c r="M163" i="1"/>
  <c r="O163" i="1" s="1"/>
  <c r="R163" i="1" s="1"/>
  <c r="M202" i="1"/>
  <c r="O202" i="1" s="1"/>
  <c r="R202" i="1" s="1"/>
  <c r="M139" i="1"/>
  <c r="O139" i="1" s="1"/>
  <c r="R139" i="1" s="1"/>
  <c r="N149" i="1"/>
  <c r="N177" i="1"/>
  <c r="N196" i="1"/>
  <c r="M150" i="1"/>
  <c r="O150" i="1" s="1"/>
  <c r="R150" i="1" s="1"/>
  <c r="M133" i="1"/>
  <c r="O133" i="1" s="1"/>
  <c r="R133" i="1" s="1"/>
  <c r="M185" i="1"/>
  <c r="O185" i="1" s="1"/>
  <c r="R185" i="1" s="1"/>
  <c r="N148" i="1"/>
  <c r="M160" i="1"/>
  <c r="O160" i="1" s="1"/>
  <c r="R160" i="1" s="1"/>
  <c r="M196" i="1"/>
  <c r="O196" i="1" s="1"/>
  <c r="R196" i="1" s="1"/>
  <c r="N160" i="1"/>
  <c r="N122" i="1"/>
  <c r="M123" i="1"/>
  <c r="O123" i="1" s="1"/>
  <c r="R123" i="1" s="1"/>
  <c r="M118" i="1"/>
  <c r="O118" i="1" s="1"/>
  <c r="R118" i="1" s="1"/>
  <c r="N85" i="1"/>
  <c r="M56" i="1"/>
  <c r="O56" i="1" s="1"/>
  <c r="R56" i="1" s="1"/>
  <c r="M90" i="1"/>
  <c r="O90" i="1" s="1"/>
  <c r="R90" i="1" s="1"/>
  <c r="M73" i="1"/>
  <c r="O73" i="1" s="1"/>
  <c r="R73" i="1" s="1"/>
  <c r="M116" i="1"/>
  <c r="O116" i="1" s="1"/>
  <c r="R116" i="1" s="1"/>
  <c r="N56" i="1"/>
  <c r="N90" i="1"/>
  <c r="M126" i="1"/>
  <c r="O126" i="1" s="1"/>
  <c r="R126" i="1" s="1"/>
  <c r="N106" i="1"/>
  <c r="N87" i="1"/>
  <c r="N150" i="1"/>
  <c r="M105" i="1"/>
  <c r="O105" i="1" s="1"/>
  <c r="R105" i="1" s="1"/>
  <c r="N123" i="1"/>
  <c r="M82" i="1"/>
  <c r="O82" i="1" s="1"/>
  <c r="R82" i="1" s="1"/>
  <c r="N73" i="1"/>
  <c r="N64" i="1"/>
  <c r="M96" i="1"/>
  <c r="O96" i="1" s="1"/>
  <c r="R96" i="1" s="1"/>
  <c r="M61" i="1"/>
  <c r="O61" i="1" s="1"/>
  <c r="R61" i="1" s="1"/>
  <c r="M122" i="1"/>
  <c r="O122" i="1" s="1"/>
  <c r="R122" i="1" s="1"/>
  <c r="N133" i="1"/>
  <c r="M93" i="1"/>
  <c r="O93" i="1" s="1"/>
  <c r="R93" i="1" s="1"/>
  <c r="N105" i="1"/>
  <c r="M108" i="1"/>
  <c r="O108" i="1" s="1"/>
  <c r="R108" i="1" s="1"/>
  <c r="M114" i="1"/>
  <c r="O114" i="1" s="1"/>
  <c r="R114" i="1" s="1"/>
  <c r="N82" i="1"/>
  <c r="N126" i="1"/>
  <c r="M88" i="1"/>
  <c r="O88" i="1" s="1"/>
  <c r="R88" i="1" s="1"/>
  <c r="N81" i="1"/>
  <c r="N93" i="1"/>
  <c r="N96" i="1"/>
  <c r="M78" i="1"/>
  <c r="O78" i="1" s="1"/>
  <c r="R78" i="1" s="1"/>
  <c r="M115" i="1"/>
  <c r="O115" i="1" s="1"/>
  <c r="R115" i="1" s="1"/>
  <c r="M129" i="1"/>
  <c r="O129" i="1" s="1"/>
  <c r="R129" i="1" s="1"/>
  <c r="M143" i="1"/>
  <c r="O143" i="1" s="1"/>
  <c r="R143" i="1" s="1"/>
  <c r="N102" i="1"/>
  <c r="N139" i="1"/>
  <c r="N84" i="1"/>
  <c r="N114" i="1"/>
  <c r="N88" i="1"/>
  <c r="M77" i="1"/>
  <c r="O77" i="1" s="1"/>
  <c r="R77" i="1" s="1"/>
  <c r="N78" i="1"/>
  <c r="M195" i="1"/>
  <c r="O195" i="1" s="1"/>
  <c r="R195" i="1" s="1"/>
  <c r="N83" i="1"/>
  <c r="M144" i="1"/>
  <c r="O144" i="1" s="1"/>
  <c r="R144" i="1" s="1"/>
  <c r="N77" i="1"/>
  <c r="N115" i="1"/>
  <c r="M111" i="1"/>
  <c r="O111" i="1" s="1"/>
  <c r="R111" i="1" s="1"/>
  <c r="N101" i="1"/>
  <c r="M72" i="1"/>
  <c r="O72" i="1" s="1"/>
  <c r="R72" i="1" s="1"/>
  <c r="N129" i="1"/>
  <c r="N61" i="1"/>
  <c r="M102" i="1"/>
  <c r="O102" i="1" s="1"/>
  <c r="R102" i="1" s="1"/>
  <c r="N68" i="1"/>
  <c r="M183" i="1"/>
  <c r="O183" i="1" s="1"/>
  <c r="R183" i="1" s="1"/>
  <c r="N176" i="1"/>
  <c r="M165" i="1"/>
  <c r="O165" i="1" s="1"/>
  <c r="R165" i="1" s="1"/>
  <c r="N57" i="1"/>
  <c r="M83" i="1"/>
  <c r="O83" i="1" s="1"/>
  <c r="R83" i="1" s="1"/>
  <c r="N124" i="1"/>
  <c r="M87" i="1"/>
  <c r="O87" i="1" s="1"/>
  <c r="R87" i="1" s="1"/>
  <c r="M68" i="1"/>
  <c r="O68" i="1" s="1"/>
  <c r="R68" i="1" s="1"/>
  <c r="M112" i="1"/>
  <c r="O112" i="1" s="1"/>
  <c r="R112" i="1" s="1"/>
  <c r="N118" i="1"/>
  <c r="N112" i="1"/>
  <c r="M59" i="1"/>
  <c r="O59" i="1" s="1"/>
  <c r="R59" i="1" s="1"/>
  <c r="M125" i="1"/>
  <c r="O125" i="1" s="1"/>
  <c r="R125" i="1" s="1"/>
  <c r="M164" i="1"/>
  <c r="O164" i="1" s="1"/>
  <c r="R164" i="1" s="1"/>
  <c r="M203" i="1"/>
  <c r="O203" i="1" s="1"/>
  <c r="R203" i="1" s="1"/>
  <c r="N147" i="1"/>
  <c r="M86" i="1"/>
  <c r="O86" i="1" s="1"/>
  <c r="R86" i="1" s="1"/>
  <c r="M75" i="1"/>
  <c r="O75" i="1" s="1"/>
  <c r="R75" i="1" s="1"/>
  <c r="M120" i="1"/>
  <c r="O120" i="1" s="1"/>
  <c r="R120" i="1" s="1"/>
  <c r="M103" i="1"/>
  <c r="O103" i="1" s="1"/>
  <c r="R103" i="1" s="1"/>
  <c r="N79" i="1"/>
  <c r="M191" i="1"/>
  <c r="O191" i="1" s="1"/>
  <c r="R191" i="1" s="1"/>
  <c r="N98" i="1"/>
  <c r="N103" i="1"/>
  <c r="N100" i="1"/>
  <c r="N97" i="1"/>
  <c r="N71" i="1"/>
  <c r="N127" i="1"/>
  <c r="N184" i="1"/>
  <c r="N120" i="1"/>
  <c r="N110" i="1"/>
  <c r="M80" i="1"/>
  <c r="O80" i="1" s="1"/>
  <c r="R80" i="1" s="1"/>
  <c r="N169" i="1"/>
  <c r="N168" i="1"/>
  <c r="N170" i="1"/>
  <c r="M81" i="1"/>
  <c r="O81" i="1" s="1"/>
  <c r="R81" i="1" s="1"/>
  <c r="M193" i="1"/>
  <c r="O193" i="1" s="1"/>
  <c r="R193" i="1" s="1"/>
  <c r="M188" i="1"/>
  <c r="O188" i="1" s="1"/>
  <c r="R188" i="1" s="1"/>
  <c r="M201" i="1"/>
  <c r="O201" i="1" s="1"/>
  <c r="R201" i="1" s="1"/>
  <c r="M84" i="1"/>
  <c r="O84" i="1" s="1"/>
  <c r="R84" i="1" s="1"/>
  <c r="M171" i="1"/>
  <c r="O171" i="1" s="1"/>
  <c r="R171" i="1" s="1"/>
  <c r="M109" i="1"/>
  <c r="O109" i="1" s="1"/>
  <c r="R109" i="1" s="1"/>
  <c r="N152" i="1"/>
  <c r="M64" i="1"/>
  <c r="O64" i="1" s="1"/>
  <c r="R64" i="1" s="1"/>
  <c r="M101" i="1"/>
  <c r="O101" i="1" s="1"/>
  <c r="R101" i="1" s="1"/>
  <c r="N162" i="1"/>
  <c r="M180" i="1"/>
  <c r="O180" i="1" s="1"/>
  <c r="R180" i="1" s="1"/>
  <c r="M79" i="1"/>
  <c r="O79" i="1" s="1"/>
  <c r="R79" i="1" s="1"/>
  <c r="M99" i="1"/>
  <c r="O99" i="1" s="1"/>
  <c r="R99" i="1" s="1"/>
  <c r="N205" i="1"/>
  <c r="N154" i="1"/>
  <c r="N107" i="1"/>
  <c r="M58" i="1"/>
  <c r="O58" i="1" s="1"/>
  <c r="R58" i="1" s="1"/>
  <c r="N66" i="1"/>
  <c r="N75" i="1"/>
  <c r="M89" i="1"/>
  <c r="O89" i="1" s="1"/>
  <c r="R89" i="1" s="1"/>
  <c r="M181" i="1"/>
  <c r="O181" i="1" s="1"/>
  <c r="R181" i="1" s="1"/>
  <c r="M157" i="1"/>
  <c r="O157" i="1" s="1"/>
  <c r="R157" i="1" s="1"/>
  <c r="M153" i="1"/>
  <c r="O153" i="1" s="1"/>
  <c r="R153" i="1" s="1"/>
  <c r="N117" i="1"/>
  <c r="M104" i="1"/>
  <c r="O104" i="1" s="1"/>
  <c r="R104" i="1" s="1"/>
  <c r="M106" i="1"/>
  <c r="O106" i="1" s="1"/>
  <c r="R106" i="1" s="1"/>
  <c r="M168" i="1"/>
  <c r="O168" i="1" s="1"/>
  <c r="R168" i="1" s="1"/>
  <c r="N198" i="1"/>
  <c r="N58" i="1"/>
  <c r="N191" i="1"/>
  <c r="M140" i="1"/>
  <c r="O140" i="1" s="1"/>
  <c r="R140" i="1" s="1"/>
  <c r="N121" i="1"/>
  <c r="M70" i="1"/>
  <c r="O70" i="1" s="1"/>
  <c r="R70" i="1" s="1"/>
  <c r="N104" i="1"/>
  <c r="N125" i="1"/>
  <c r="N92" i="1"/>
  <c r="N140" i="1"/>
  <c r="M205" i="1"/>
  <c r="O205" i="1" s="1"/>
  <c r="R205" i="1" s="1"/>
  <c r="N109" i="1"/>
  <c r="N194" i="1"/>
  <c r="N199" i="1"/>
  <c r="M107" i="1"/>
  <c r="O107" i="1" s="1"/>
  <c r="R107" i="1" s="1"/>
  <c r="N111" i="1"/>
  <c r="M134" i="1"/>
  <c r="O134" i="1" s="1"/>
  <c r="R134" i="1" s="1"/>
  <c r="M74" i="1"/>
  <c r="O74" i="1" s="1"/>
  <c r="R74" i="1" s="1"/>
  <c r="M158" i="1"/>
  <c r="O158" i="1" s="1"/>
  <c r="R158" i="1" s="1"/>
  <c r="M97" i="1"/>
  <c r="O97" i="1" s="1"/>
  <c r="R97" i="1" s="1"/>
  <c r="M194" i="1"/>
  <c r="O194" i="1" s="1"/>
  <c r="R194" i="1" s="1"/>
  <c r="M60" i="1"/>
  <c r="O60" i="1" s="1"/>
  <c r="R60" i="1" s="1"/>
  <c r="M166" i="1"/>
  <c r="O166" i="1" s="1"/>
  <c r="R166" i="1" s="1"/>
  <c r="N204" i="1"/>
  <c r="M154" i="1"/>
  <c r="O154" i="1" s="1"/>
  <c r="R154" i="1" s="1"/>
  <c r="M135" i="1"/>
  <c r="O135" i="1" s="1"/>
  <c r="R135" i="1" s="1"/>
  <c r="M162" i="1"/>
  <c r="O162" i="1" s="1"/>
  <c r="R162" i="1" s="1"/>
  <c r="N95" i="1"/>
  <c r="N171" i="1"/>
  <c r="N113" i="1"/>
  <c r="N76" i="1"/>
  <c r="N157" i="1"/>
  <c r="N128" i="1"/>
  <c r="N69" i="1"/>
  <c r="N63" i="1"/>
  <c r="N70" i="1"/>
  <c r="M71" i="1"/>
  <c r="O71" i="1" s="1"/>
  <c r="R71" i="1" s="1"/>
  <c r="M76" i="1"/>
  <c r="O76" i="1" s="1"/>
  <c r="R76" i="1" s="1"/>
  <c r="M192" i="1"/>
  <c r="O192" i="1" s="1"/>
  <c r="R192" i="1" s="1"/>
  <c r="M113" i="1"/>
  <c r="O113" i="1" s="1"/>
  <c r="R113" i="1" s="1"/>
  <c r="M137" i="1"/>
  <c r="O137" i="1" s="1"/>
  <c r="R137" i="1" s="1"/>
  <c r="N72" i="1"/>
  <c r="M66" i="1"/>
  <c r="O66" i="1" s="1"/>
  <c r="R66" i="1" s="1"/>
  <c r="N163" i="1"/>
  <c r="M178" i="1"/>
  <c r="O178" i="1" s="1"/>
  <c r="R178" i="1" s="1"/>
  <c r="N195" i="1"/>
  <c r="N91" i="1"/>
  <c r="N74" i="1"/>
  <c r="M170" i="1"/>
  <c r="O170" i="1" s="1"/>
  <c r="R170" i="1" s="1"/>
  <c r="N137" i="1"/>
  <c r="N94" i="1"/>
  <c r="N65" i="1"/>
  <c r="M62" i="1"/>
  <c r="O62" i="1" s="1"/>
  <c r="R62" i="1" s="1"/>
  <c r="N175" i="1"/>
  <c r="N153" i="1"/>
  <c r="M100" i="1"/>
  <c r="O100" i="1" s="1"/>
  <c r="R100" i="1" s="1"/>
  <c r="M98" i="1"/>
  <c r="O98" i="1" s="1"/>
  <c r="R98" i="1" s="1"/>
  <c r="M85" i="1"/>
  <c r="O85" i="1" s="1"/>
  <c r="R85" i="1" s="1"/>
  <c r="M95" i="1"/>
  <c r="O95" i="1" s="1"/>
  <c r="R95" i="1" s="1"/>
  <c r="N185" i="1"/>
  <c r="M174" i="1"/>
  <c r="O174" i="1" s="1"/>
  <c r="R174" i="1" s="1"/>
  <c r="M127" i="1"/>
  <c r="O127" i="1" s="1"/>
  <c r="R127" i="1" s="1"/>
  <c r="M176" i="1"/>
  <c r="O176" i="1" s="1"/>
  <c r="R176" i="1" s="1"/>
  <c r="M92" i="1"/>
  <c r="O92" i="1" s="1"/>
  <c r="R92" i="1" s="1"/>
  <c r="N99" i="1"/>
  <c r="M94" i="1"/>
  <c r="O94" i="1" s="1"/>
  <c r="R94" i="1" s="1"/>
  <c r="M117" i="1"/>
  <c r="O117" i="1" s="1"/>
  <c r="R117" i="1" s="1"/>
  <c r="M204" i="1"/>
  <c r="O204" i="1" s="1"/>
  <c r="R204" i="1" s="1"/>
  <c r="M121" i="1"/>
  <c r="O121" i="1" s="1"/>
  <c r="R121" i="1" s="1"/>
  <c r="M175" i="1"/>
  <c r="O175" i="1" s="1"/>
  <c r="R175" i="1" s="1"/>
  <c r="N86" i="1"/>
  <c r="N187" i="1"/>
  <c r="M200" i="1"/>
  <c r="O200" i="1" s="1"/>
  <c r="R200" i="1" s="1"/>
  <c r="M128" i="1"/>
  <c r="O128" i="1" s="1"/>
  <c r="R128" i="1" s="1"/>
  <c r="N166" i="1"/>
  <c r="M63" i="1"/>
  <c r="O63" i="1" s="1"/>
  <c r="R63" i="1" s="1"/>
  <c r="M141" i="1"/>
  <c r="O141" i="1" s="1"/>
  <c r="R141" i="1" s="1"/>
  <c r="N183" i="1"/>
  <c r="M124" i="1"/>
  <c r="O124" i="1" s="1"/>
  <c r="R124" i="1" s="1"/>
  <c r="M197" i="1"/>
  <c r="O197" i="1" s="1"/>
  <c r="R197" i="1" s="1"/>
  <c r="M91" i="1"/>
  <c r="O91" i="1" s="1"/>
  <c r="R91" i="1" s="1"/>
  <c r="N180" i="1"/>
  <c r="M69" i="1"/>
  <c r="O69" i="1" s="1"/>
  <c r="R69" i="1" s="1"/>
  <c r="N173" i="1"/>
  <c r="N89" i="1"/>
  <c r="M184" i="1"/>
  <c r="O184" i="1" s="1"/>
  <c r="R184" i="1" s="1"/>
  <c r="N135" i="1"/>
  <c r="N59" i="1"/>
  <c r="N201" i="1"/>
  <c r="N62" i="1"/>
  <c r="N60" i="1"/>
  <c r="N80" i="1"/>
  <c r="M199" i="1"/>
  <c r="O199" i="1" s="1"/>
  <c r="R199" i="1" s="1"/>
  <c r="M110" i="1"/>
  <c r="O110" i="1" s="1"/>
  <c r="R110" i="1" s="1"/>
  <c r="M65" i="1"/>
  <c r="O65" i="1" s="1"/>
  <c r="R65" i="1" s="1"/>
  <c r="N12" i="1"/>
  <c r="N20" i="1"/>
  <c r="N28" i="1"/>
  <c r="N36" i="1"/>
  <c r="N44" i="1"/>
  <c r="N52" i="1"/>
  <c r="M9" i="1"/>
  <c r="M17" i="1"/>
  <c r="M25" i="1"/>
  <c r="M33" i="1"/>
  <c r="M41" i="1"/>
  <c r="M49" i="1"/>
  <c r="N13" i="1"/>
  <c r="N21" i="1"/>
  <c r="N29" i="1"/>
  <c r="N37" i="1"/>
  <c r="N45" i="1"/>
  <c r="N53" i="1"/>
  <c r="M10" i="1"/>
  <c r="M18" i="1"/>
  <c r="M26" i="1"/>
  <c r="M34" i="1"/>
  <c r="M42" i="1"/>
  <c r="M50" i="1"/>
  <c r="N14" i="1"/>
  <c r="N22" i="1"/>
  <c r="N30" i="1"/>
  <c r="N38" i="1"/>
  <c r="N46" i="1"/>
  <c r="N54" i="1"/>
  <c r="M11" i="1"/>
  <c r="M19" i="1"/>
  <c r="M27" i="1"/>
  <c r="M35" i="1"/>
  <c r="M43" i="1"/>
  <c r="M51" i="1"/>
  <c r="N7" i="1"/>
  <c r="N15" i="1"/>
  <c r="N23" i="1"/>
  <c r="N31" i="1"/>
  <c r="N39" i="1"/>
  <c r="N47" i="1"/>
  <c r="N55" i="1"/>
  <c r="M12" i="1"/>
  <c r="M20" i="1"/>
  <c r="M28" i="1"/>
  <c r="M36" i="1"/>
  <c r="M44" i="1"/>
  <c r="M52" i="1"/>
  <c r="N8" i="1"/>
  <c r="N16" i="1"/>
  <c r="N24" i="1"/>
  <c r="N32" i="1"/>
  <c r="N40" i="1"/>
  <c r="N48" i="1"/>
  <c r="N6" i="1"/>
  <c r="M13" i="1"/>
  <c r="M21" i="1"/>
  <c r="M29" i="1"/>
  <c r="M37" i="1"/>
  <c r="M45" i="1"/>
  <c r="M53" i="1"/>
  <c r="N9" i="1"/>
  <c r="N17" i="1"/>
  <c r="N25" i="1"/>
  <c r="N33" i="1"/>
  <c r="N41" i="1"/>
  <c r="N49" i="1"/>
  <c r="M14" i="1"/>
  <c r="M22" i="1"/>
  <c r="M30" i="1"/>
  <c r="M38" i="1"/>
  <c r="M46" i="1"/>
  <c r="M54" i="1"/>
  <c r="N11" i="1"/>
  <c r="N35" i="1"/>
  <c r="N51" i="1"/>
  <c r="M16" i="1"/>
  <c r="M32" i="1"/>
  <c r="M48" i="1"/>
  <c r="N10" i="1"/>
  <c r="N18" i="1"/>
  <c r="N26" i="1"/>
  <c r="N34" i="1"/>
  <c r="N42" i="1"/>
  <c r="N50" i="1"/>
  <c r="M7" i="1"/>
  <c r="M15" i="1"/>
  <c r="M23" i="1"/>
  <c r="M31" i="1"/>
  <c r="M39" i="1"/>
  <c r="M47" i="1"/>
  <c r="M55" i="1"/>
  <c r="N19" i="1"/>
  <c r="N27" i="1"/>
  <c r="N43" i="1"/>
  <c r="M8" i="1"/>
  <c r="M24" i="1"/>
  <c r="M40" i="1"/>
  <c r="N4" i="1" l="1"/>
  <c r="H3" i="28" s="1"/>
  <c r="M4" i="1"/>
  <c r="G3" i="28" s="1"/>
  <c r="O5" i="59"/>
  <c r="C11" i="26"/>
  <c r="R5" i="59" l="1"/>
  <c r="B208" i="1"/>
  <c r="B40" i="37"/>
  <c r="B35" i="4"/>
  <c r="B41" i="52"/>
  <c r="B19" i="44"/>
  <c r="L2" i="28"/>
  <c r="L3" i="28"/>
  <c r="B20" i="26"/>
  <c r="B16" i="26"/>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6" i="1"/>
  <c r="P4" i="1" l="1"/>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18" i="52"/>
  <c r="D12" i="52"/>
  <c r="D27" i="52" l="1"/>
  <c r="D26" i="52"/>
  <c r="D25" i="52"/>
  <c r="D17" i="52"/>
  <c r="D19" i="52"/>
  <c r="D16" i="52"/>
  <c r="B9" i="52"/>
  <c r="D11" i="52"/>
  <c r="D13" i="52"/>
  <c r="D10" i="52"/>
  <c r="B26" i="26" l="1"/>
  <c r="B37" i="41"/>
  <c r="G3" i="51" l="1"/>
  <c r="D20" i="26" s="1"/>
  <c r="C12" i="26" l="1"/>
  <c r="C10" i="26"/>
  <c r="Q6" i="1" l="1"/>
  <c r="O6" i="1"/>
  <c r="R6" i="1" l="1"/>
  <c r="D2" i="28" l="1"/>
  <c r="M2" i="28" s="1"/>
  <c r="B2" i="28"/>
  <c r="D23" i="26" l="1"/>
  <c r="C7" i="26" s="1"/>
  <c r="B26" i="33" s="1"/>
  <c r="G4" i="51"/>
  <c r="B3" i="28"/>
  <c r="D19" i="33" l="1"/>
  <c r="D18" i="33" l="1"/>
  <c r="D21" i="33" l="1"/>
  <c r="D20" i="33"/>
  <c r="B3" i="33"/>
  <c r="C7" i="52" l="1"/>
  <c r="D3" i="51" l="1"/>
  <c r="N3" i="28"/>
  <c r="O45" i="1"/>
  <c r="O27" i="1"/>
  <c r="O25" i="1"/>
  <c r="O21" i="1"/>
  <c r="O42" i="1"/>
  <c r="O48" i="1"/>
  <c r="O17" i="1"/>
  <c r="O43" i="1"/>
  <c r="O16" i="1"/>
  <c r="O34" i="1"/>
  <c r="O35" i="1"/>
  <c r="O53" i="1"/>
  <c r="O44" i="1"/>
  <c r="O51" i="1"/>
  <c r="O20" i="1"/>
  <c r="O33" i="1"/>
  <c r="O36" i="1"/>
  <c r="O9" i="1"/>
  <c r="O37" i="1"/>
  <c r="O10" i="1"/>
  <c r="O29" i="1"/>
  <c r="O50" i="1"/>
  <c r="O40" i="1"/>
  <c r="O31" i="1"/>
  <c r="O22" i="1"/>
  <c r="O23" i="1"/>
  <c r="O24" i="1"/>
  <c r="O30" i="1"/>
  <c r="O18" i="1"/>
  <c r="O55" i="1"/>
  <c r="O46" i="1"/>
  <c r="O26" i="1"/>
  <c r="O38" i="1"/>
  <c r="O47" i="1"/>
  <c r="O28" i="1"/>
  <c r="O32" i="1"/>
  <c r="O49" i="1"/>
  <c r="O13" i="1"/>
  <c r="O15" i="1"/>
  <c r="O54" i="1"/>
  <c r="O12" i="1"/>
  <c r="O19" i="1"/>
  <c r="O52" i="1"/>
  <c r="O8" i="1"/>
  <c r="O14" i="1"/>
  <c r="O39" i="1"/>
  <c r="O11" i="1"/>
  <c r="O41" i="1"/>
  <c r="Q12" i="1"/>
  <c r="Q46" i="1"/>
  <c r="Q14" i="1"/>
  <c r="Q42" i="1"/>
  <c r="Q37" i="1"/>
  <c r="Q48" i="1"/>
  <c r="Q50" i="1"/>
  <c r="Q43" i="1"/>
  <c r="Q10" i="1"/>
  <c r="Q13" i="1"/>
  <c r="Q19" i="1"/>
  <c r="Q32" i="1"/>
  <c r="Q18" i="1"/>
  <c r="Q35" i="1"/>
  <c r="Q24" i="1"/>
  <c r="Q11" i="1"/>
  <c r="Q39" i="1"/>
  <c r="Q52" i="1"/>
  <c r="Q38" i="1"/>
  <c r="Q20" i="1"/>
  <c r="Q17" i="1"/>
  <c r="Q53" i="1"/>
  <c r="Q7" i="1"/>
  <c r="Q34" i="1"/>
  <c r="Q22" i="1"/>
  <c r="Q36" i="1"/>
  <c r="Q44" i="1"/>
  <c r="Q15" i="1"/>
  <c r="Q28" i="1"/>
  <c r="Q16" i="1"/>
  <c r="Q26" i="1"/>
  <c r="Q55" i="1"/>
  <c r="Q54" i="1"/>
  <c r="Q31" i="1"/>
  <c r="Q33" i="1"/>
  <c r="Q41" i="1"/>
  <c r="Q47" i="1"/>
  <c r="Q25" i="1"/>
  <c r="Q27" i="1"/>
  <c r="O7" i="1"/>
  <c r="Q49" i="1"/>
  <c r="Q9" i="1"/>
  <c r="Q40" i="1"/>
  <c r="Q30" i="1"/>
  <c r="Q45" i="1"/>
  <c r="Q8" i="1"/>
  <c r="Q21" i="1"/>
  <c r="Q29" i="1"/>
  <c r="Q51" i="1"/>
  <c r="Q23" i="1"/>
  <c r="O4" i="1" l="1"/>
  <c r="F3" i="51" s="1"/>
  <c r="C20" i="26" s="1"/>
  <c r="Q4" i="1"/>
  <c r="C3" i="51"/>
  <c r="R45" i="1"/>
  <c r="R33" i="1"/>
  <c r="R46" i="1"/>
  <c r="R26" i="1"/>
  <c r="R21" i="1"/>
  <c r="R16" i="1"/>
  <c r="R22" i="1"/>
  <c r="R27" i="1"/>
  <c r="R23" i="1"/>
  <c r="R32" i="1"/>
  <c r="R30" i="1"/>
  <c r="R54" i="1"/>
  <c r="R34" i="1"/>
  <c r="R53" i="1"/>
  <c r="R10" i="1"/>
  <c r="R8" i="1"/>
  <c r="R19" i="1"/>
  <c r="R41" i="1"/>
  <c r="R31" i="1"/>
  <c r="R43" i="1"/>
  <c r="R25" i="1"/>
  <c r="R24" i="1"/>
  <c r="R39" i="1"/>
  <c r="R44" i="1"/>
  <c r="R18" i="1"/>
  <c r="R13" i="1"/>
  <c r="R14" i="1"/>
  <c r="R49" i="1"/>
  <c r="R51" i="1"/>
  <c r="R36" i="1"/>
  <c r="R9" i="1"/>
  <c r="R38" i="1"/>
  <c r="R50" i="1"/>
  <c r="R29" i="1"/>
  <c r="R47" i="1"/>
  <c r="R55" i="1"/>
  <c r="R48" i="1"/>
  <c r="R42" i="1"/>
  <c r="R12" i="1"/>
  <c r="R28" i="1"/>
  <c r="R20" i="1"/>
  <c r="R11" i="1"/>
  <c r="R35" i="1"/>
  <c r="R37" i="1"/>
  <c r="R17" i="1"/>
  <c r="R40" i="1"/>
  <c r="R15" i="1"/>
  <c r="R52" i="1"/>
  <c r="E3" i="51"/>
  <c r="D16" i="26" s="1"/>
  <c r="C16" i="26"/>
  <c r="F7" i="26" s="1" a="1"/>
  <c r="F7" i="26" s="1"/>
  <c r="B24" i="33" s="1"/>
  <c r="D4" i="51"/>
  <c r="R7" i="1"/>
  <c r="C4" i="51" l="1"/>
  <c r="J3" i="51" s="1"/>
  <c r="E20" i="26" s="1"/>
  <c r="F20" i="26" s="1"/>
  <c r="I3" i="51"/>
  <c r="R4" i="1"/>
  <c r="F7" i="52"/>
  <c r="E4" i="51"/>
  <c r="C23" i="26"/>
  <c r="H3" i="51"/>
  <c r="I4" i="51" l="1"/>
  <c r="H4" i="51"/>
  <c r="F4" i="51"/>
  <c r="J4" i="51"/>
  <c r="I3" i="28" l="1"/>
  <c r="P3" i="51"/>
  <c r="I2" i="28" s="1" a="1"/>
  <c r="I2" i="28" s="1"/>
  <c r="N3" i="51"/>
  <c r="O3" i="51" s="1"/>
  <c r="N2" i="28" s="1" a="1"/>
  <c r="N2" i="28" s="1"/>
  <c r="G20" i="26"/>
  <c r="E23" i="26" l="1"/>
  <c r="D7" i="26" s="1"/>
  <c r="F23" i="26"/>
  <c r="D7" i="52" l="1"/>
  <c r="B25" i="33"/>
  <c r="E7" i="26"/>
  <c r="E7" i="52" s="1"/>
  <c r="G2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3"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7"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A4" authorId="0" shapeId="0" xr:uid="{D44BE50D-D96A-4109-BE51-7A92A1FD66DA}">
      <text>
        <r>
          <rPr>
            <sz val="9"/>
            <color indexed="81"/>
            <rFont val="Tahoma"/>
            <family val="2"/>
          </rPr>
          <t>This schedule may be different from the occupancy or work schedule of the facility.  The compressed air system is considered to be operating any time the system is pressurized and at least one compressor is online.</t>
        </r>
      </text>
    </comment>
    <comment ref="E9" authorId="0" shapeId="0" xr:uid="{411047A2-2265-4F07-802B-99489B10D1F7}">
      <text>
        <r>
          <rPr>
            <sz val="9"/>
            <color indexed="81"/>
            <rFont val="Tahoma"/>
            <family val="2"/>
          </rPr>
          <t xml:space="preserve">The operating schedule for a compressor can be different from the operating schedule for the Compressed Air System (as specified above).  Some (non-comprehensive) examples where this may occur:
-Single or multiple compressors are used to supply air during working shifts and are shut down during times of non-production with a smaller compressor keeping the system pressurized.
-Different compressors are used for different shifts based on different air demand for each shift.
-Compressors are operated on a scheduled basis (by shift, day, week or month) to manage run hours across compressors.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Q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4" authorId="0" shapeId="0" xr:uid="{3E58EA78-E5C3-4BA4-9522-284F06ED488A}">
      <text>
        <r>
          <rPr>
            <sz val="9"/>
            <color indexed="81"/>
            <rFont val="Tahoma"/>
            <family val="2"/>
          </rPr>
          <t>The estimated incentive shown below does not incorporate project level incentive caps, which may reduce the total incentive paid to a project.</t>
        </r>
      </text>
    </comment>
    <comment ref="Q4" authorId="0" shapeId="0" xr:uid="{5670C5A3-9D51-490E-B8D3-E9EBB48746EF}">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19"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tc={62B7AD91-E457-41BA-8E83-A1A97A21283B}</author>
  </authors>
  <commentList>
    <comment ref="K3" authorId="0" shapeId="0" xr:uid="{62B7AD91-E457-41BA-8E83-A1A97A21283B}">
      <text>
        <t>[Threaded comment]
Your version of Excel allows you to read this threaded comment; however, any edits to it will get removed if the file is opened in a newer version of Excel. Learn more: https://go.microsoft.com/fwlink/?linkid=870924
Comment:
    @Sheaffer, Andrew Should this say "Max Incentive per HP"?
Reply:
    Correct - made the change to the cell.
Reply:
    Double checked, where are these values coming from? They don't match the numbers presented on the "Eligibility" tab or the Compressed Air Content document for max incentive per HP</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tc={97E10E2D-AA6D-4F1A-88B3-3C2461AA8934}</author>
  </authors>
  <commentList>
    <comment ref="A1" authorId="0" shapeId="0" xr:uid="{97E10E2D-AA6D-4F1A-88B3-3C2461AA8934}">
      <text>
        <t>[Threaded comment]
Your version of Excel allows you to read this threaded comment; however, any edits to it will get removed if the file is opened in a newer version of Excel. Learn more: https://go.microsoft.com/fwlink/?linkid=870924
Comment:
    Update with measure number after creating in APTracks @Sheaffer, Andrew</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<sst xmlns="http://schemas.openxmlformats.org/spreadsheetml/2006/main" count="574" uniqueCount="440">
  <si>
    <t>Compressed air application</t>
  </si>
  <si>
    <t>Application instructions</t>
  </si>
  <si>
    <t xml:space="preserve">Thank you for your interest in Energy Smart energy efficiency incentives. This workbook serves as the primary application for compressed air leak projects. The workbook contains a number of tabs containing program information and spaces to enter project data.  
The application provides an estimate of the energy saved as well as potential Energy Smart incentives (subject to review and approval by Energy Smart program staff following the implementation of project measures).  
</t>
  </si>
  <si>
    <t>Energy Smart program contact information</t>
  </si>
  <si>
    <t>All questions or comments concerning this application, program processes, project rules or requirements should be directed to Energy Smart program staff through email or by calling Energy Smart.</t>
  </si>
  <si>
    <t>Email:</t>
  </si>
  <si>
    <t>commercialapps@energysmartnola.com</t>
  </si>
  <si>
    <t>Phone:</t>
  </si>
  <si>
    <t>504-229-6868</t>
  </si>
  <si>
    <t>Data entry</t>
  </si>
  <si>
    <t>All cells in this workbook are formatted for ease of data entry using the following formats:</t>
  </si>
  <si>
    <t>Data entry cell</t>
  </si>
  <si>
    <t>No data entry required cell</t>
  </si>
  <si>
    <t>Worksheet tabs</t>
  </si>
  <si>
    <t>In addition to this Instructions worksheet tab, this workbook contains the following worksheet tabs:</t>
  </si>
  <si>
    <t>Eligibility tab</t>
  </si>
  <si>
    <t>Project tab</t>
  </si>
  <si>
    <t>Compressors tab</t>
  </si>
  <si>
    <r>
      <t xml:space="preserve">Provides a space for entering information on the compressed air system. </t>
    </r>
    <r>
      <rPr>
        <sz val="10"/>
        <color theme="8"/>
        <rFont val="Arial"/>
        <family val="2"/>
      </rPr>
      <t xml:space="preserve">Data entry required. </t>
    </r>
  </si>
  <si>
    <t>Leak survey (1) tab</t>
  </si>
  <si>
    <r>
      <t xml:space="preserve">Provides spaces for entering data from the air leak survey. </t>
    </r>
    <r>
      <rPr>
        <sz val="10"/>
        <color theme="8"/>
        <rFont val="Arial"/>
        <family val="2"/>
      </rPr>
      <t xml:space="preserve">Data entry required. </t>
    </r>
  </si>
  <si>
    <t>Leak survey (2) tab</t>
  </si>
  <si>
    <r>
      <t xml:space="preserve">Additional spaces for entering data from the air leak survey. </t>
    </r>
    <r>
      <rPr>
        <sz val="10"/>
        <color theme="8"/>
        <rFont val="Arial"/>
        <family val="2"/>
      </rPr>
      <t xml:space="preserve">Data entry only if additional leak survey data space required. </t>
    </r>
  </si>
  <si>
    <t>Summary tab</t>
  </si>
  <si>
    <t>Contains a project-level summary of all measures entered into the workbook. No data entry is required on this tab.</t>
  </si>
  <si>
    <t>Signature tab</t>
  </si>
  <si>
    <r>
      <t xml:space="preserve">Contains the Customer Application Agreement and a space for the customer to execute the Agreement.  </t>
    </r>
    <r>
      <rPr>
        <sz val="10"/>
        <color theme="8"/>
        <rFont val="Arial"/>
        <family val="2"/>
      </rPr>
      <t xml:space="preserve">Customer's electronic signature required. </t>
    </r>
  </si>
  <si>
    <t>Completion tab</t>
  </si>
  <si>
    <r>
      <t xml:space="preserve">Contains a Project Completion Notice form that must be completed only after project implementation is complete. </t>
    </r>
    <r>
      <rPr>
        <sz val="10"/>
        <color theme="8"/>
        <rFont val="Arial"/>
        <family val="2"/>
      </rPr>
      <t xml:space="preserve">Data entry required post-installation only. </t>
    </r>
  </si>
  <si>
    <t>Project application process</t>
  </si>
  <si>
    <t>Under $5,000 estimated incentive</t>
  </si>
  <si>
    <t>Over $5,000 estimated incentive</t>
  </si>
  <si>
    <t>No pre-approval required</t>
  </si>
  <si>
    <t>Pre-approval required</t>
  </si>
  <si>
    <t>1. Engage Energy Smart trade ally to complete leak survey. Trade ally will tag and catalog all leaks found. 
2. Trade ally repairs leaks by replacing or repairing faulty equipment.
3. Trade ally submits application package to the Energy Smart program including: 
4. Energy Smart performs site inspection and issues incentive check payment.</t>
  </si>
  <si>
    <r>
      <rPr>
        <sz val="10"/>
        <color theme="1"/>
        <rFont val="Arial"/>
        <family val="2"/>
      </rPr>
      <t>1. Engage Energy Smart trade ally to complete leak survey. Trade ally will tag and catalog all leaks found.</t>
    </r>
    <r>
      <rPr>
        <b/>
        <sz val="10"/>
        <color theme="1"/>
        <rFont val="Arial"/>
        <family val="2"/>
      </rPr>
      <t xml:space="preserve"> 
</t>
    </r>
    <r>
      <rPr>
        <sz val="10"/>
        <color theme="1"/>
        <rFont val="Arial"/>
        <family val="2"/>
      </rPr>
      <t xml:space="preserve">2. Trade ally submits application package to the Energy Smart program including: 
3. Energy Smart program performs site visit and issues pre-approval notice.  
4. Trade ally repairs leaks by replacing or repairing faulty equipment. 
5. Trade ally submits completion package to the Energy Smart program including: </t>
    </r>
    <r>
      <rPr>
        <b/>
        <sz val="10"/>
        <color theme="1"/>
        <rFont val="Arial"/>
        <family val="2"/>
      </rPr>
      <t xml:space="preserve">
</t>
    </r>
    <r>
      <rPr>
        <sz val="10"/>
        <color theme="1"/>
        <rFont val="Arial"/>
        <family val="2"/>
      </rPr>
      <t>6. Energy Smart performs site inspection and issues incentive check payment.</t>
    </r>
  </si>
  <si>
    <t>Product of APTIM Environmental &amp; Infrastruction, LLC</t>
  </si>
  <si>
    <t>Project eligibility and program notes</t>
  </si>
  <si>
    <t>All projects must meet measure and project requirements to qualify for an incentive. For questions regarding measure/project eligibility and requirements, please contact the Energy Smart program prior to starting your project.</t>
  </si>
  <si>
    <t>Energy Smart program agreement terms and conditions</t>
  </si>
  <si>
    <t>In signing and submitting this application, the customer agrees to the provisions of the Energy Smart Program Agreement Terms and Conditions, which can be found at:</t>
  </si>
  <si>
    <t>https://www.energysmartnola.info/businesses/terms/</t>
  </si>
  <si>
    <t>Air leak repair requirements</t>
  </si>
  <si>
    <t>Air leak repair incentives</t>
  </si>
  <si>
    <t>Compressed air system operating schedule</t>
  </si>
  <si>
    <t>Incentive</t>
  </si>
  <si>
    <t>24/7 operation (24 hrs/day, 7 days/wk)</t>
  </si>
  <si>
    <t>$90 per leak repaired (up to $40 per HP)</t>
  </si>
  <si>
    <t>Three shift (24 hrs/day, 5-6 days/wk)</t>
  </si>
  <si>
    <t>$85 per leak repaired (up to $37 per HP)</t>
  </si>
  <si>
    <t>$60 per leak repaired (up to $27 per HP)</t>
  </si>
  <si>
    <t>Single shift (8 hrs/day, 5-7 days/wk)</t>
  </si>
  <si>
    <t>$30 per leak repaired (up to $14 per HP)</t>
  </si>
  <si>
    <t>Project pre-approval, pre-install site inspection process</t>
  </si>
  <si>
    <t>Prescriptive pre-approval process</t>
  </si>
  <si>
    <t>Documents required for project application</t>
  </si>
  <si>
    <t xml:space="preserve">commercialapps@energysmartnola.com </t>
  </si>
  <si>
    <t>Project incentive caps</t>
  </si>
  <si>
    <t>Incentive cap</t>
  </si>
  <si>
    <t>$40 per compressor HP or total project cost</t>
  </si>
  <si>
    <t>$37 per compressor HP or total project cost</t>
  </si>
  <si>
    <t>$27 per compressor HP or total project cost</t>
  </si>
  <si>
    <t>$14 per compressor HP or total project cost</t>
  </si>
  <si>
    <t xml:space="preserve">All projects incentivized by the Energy Smart program are subject to the following incentive caps:                                                                                                                                                                                                                                                                                                                                                                                                                                                                      • $200,000 incentive cap per project per Entergy account/service-address. 
• Total $600,000 incentive cap per program year per customer over all associated accounts/service-addresses.  </t>
  </si>
  <si>
    <t>Project information</t>
  </si>
  <si>
    <t>Entergy New Orleans customer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</si>
  <si>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</si>
  <si>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</si>
  <si>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</si>
  <si>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</si>
  <si>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</si>
  <si>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</si>
  <si>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</si>
  <si>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</si>
  <si>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</si>
  <si>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</si>
  <si>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</si>
  <si>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</si>
  <si>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</si>
  <si>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</si>
  <si>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</si>
  <si>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</si>
  <si>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</si>
  <si>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</si>
  <si>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</si>
  <si>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</si>
  <si>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</si>
  <si>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</si>
  <si>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</si>
  <si>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</si>
  <si>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</si>
  <si>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</si>
  <si>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</si>
  <si>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</si>
  <si>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</si>
  <si>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</si>
  <si>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</si>
  <si>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</si>
  <si>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</si>
  <si>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</si>
  <si>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</si>
  <si>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</si>
  <si>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</si>
  <si>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</si>
  <si>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</si>
  <si>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</si>
  <si>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</si>
  <si>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</si>
  <si>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</si>
  <si>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</si>
  <si>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</si>
  <si>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</si>
  <si>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Compressor data</t>
  </si>
  <si>
    <t>Compressed air system data</t>
  </si>
  <si>
    <t>Are compressors capable of logging power consumption?</t>
  </si>
  <si>
    <t>Is there capability to log air production (either at the level of the system or at each individual compressor)?</t>
  </si>
  <si>
    <t>Existing compressor data</t>
  </si>
  <si>
    <t>Manufacturer</t>
  </si>
  <si>
    <t>Model</t>
  </si>
  <si>
    <t>HP</t>
  </si>
  <si>
    <t>CFM capacity</t>
  </si>
  <si>
    <t>Operating schedule</t>
  </si>
  <si>
    <t>Primary operating mode</t>
  </si>
  <si>
    <t>Control strategy</t>
  </si>
  <si>
    <t>Load-in pressure (psig)</t>
  </si>
  <si>
    <t>Unload/target pressure (psig)</t>
  </si>
  <si>
    <t>Max Eligible Incentive</t>
  </si>
  <si>
    <t>Compressor AOH</t>
  </si>
  <si>
    <t>Compressor Efficiency</t>
  </si>
  <si>
    <t>Assumed Load</t>
  </si>
  <si>
    <t>TCFM</t>
  </si>
  <si>
    <t>Air leak survey data (sheet 1)</t>
  </si>
  <si>
    <r>
      <t xml:space="preserve">Totals </t>
    </r>
    <r>
      <rPr>
        <sz val="10"/>
        <color theme="0"/>
        <rFont val="Arial"/>
        <family val="2"/>
      </rPr>
      <t>(includes line items from leak survey (2) tab)</t>
    </r>
  </si>
  <si>
    <t>Tag ID</t>
  </si>
  <si>
    <t>Location</t>
  </si>
  <si>
    <t>Pressure at leak (psig)</t>
  </si>
  <si>
    <t>dB reading</t>
  </si>
  <si>
    <t>Repair description</t>
  </si>
  <si>
    <t>Repaired (Y/N)</t>
  </si>
  <si>
    <t>Total equipment cost</t>
  </si>
  <si>
    <t>Total labor cost</t>
  </si>
  <si>
    <t>Estimated leak size (cfm)</t>
  </si>
  <si>
    <t>Estimated incentive</t>
  </si>
  <si>
    <t>Demand reduction (kW)</t>
  </si>
  <si>
    <t>Cost savings</t>
  </si>
  <si>
    <t>Gross measure cost</t>
  </si>
  <si>
    <t>Net measure cost</t>
  </si>
  <si>
    <t>Simple payback (years)</t>
  </si>
  <si>
    <t>Rounded dB Reading</t>
  </si>
  <si>
    <t>Rounded PSIG</t>
  </si>
  <si>
    <t>Lookup Value</t>
  </si>
  <si>
    <t>Air leak survey data (sheet 2)</t>
  </si>
  <si>
    <t>Totals</t>
  </si>
  <si>
    <t>Totals for columns on this sheet are included in the totals at the top of the Leak Survey (1) tab.</t>
  </si>
  <si>
    <t>Energy savings (kWh)</t>
  </si>
  <si>
    <t>Project summary report</t>
  </si>
  <si>
    <r>
      <t xml:space="preserve">Thank you for participating in the Energy Smart program. 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</si>
  <si>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</si>
  <si>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</si>
  <si>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</si>
  <si>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</si>
  <si>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</si>
  <si>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</si>
  <si>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</si>
  <si>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</si>
  <si>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</si>
  <si>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</si>
  <si>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</si>
  <si>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</si>
  <si>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Financial details</t>
  </si>
  <si>
    <t>Gross project cost</t>
  </si>
  <si>
    <t>Total</t>
  </si>
  <si>
    <t>Energy Smart program customer agreement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</si>
  <si>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</si>
  <si>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</si>
  <si>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</si>
  <si>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</si>
  <si>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Project completion notice</t>
  </si>
  <si>
    <t>Mail to</t>
  </si>
  <si>
    <t>Project installation completion date</t>
  </si>
  <si>
    <t>Named Value Inputs</t>
  </si>
  <si>
    <t>Named Values</t>
  </si>
  <si>
    <t>Table_Shift_Hours</t>
  </si>
  <si>
    <t>Table_Control_Eff</t>
  </si>
  <si>
    <t>Table_Load_Mode</t>
  </si>
  <si>
    <t>UE_dB_Table</t>
  </si>
  <si>
    <t>Value_Project_CAP</t>
  </si>
  <si>
    <t>Value_LeakRepairIR</t>
  </si>
  <si>
    <t>List_Comp_ShiftType</t>
  </si>
  <si>
    <t>List_Sys_ShiftType</t>
  </si>
  <si>
    <t>AOH</t>
  </si>
  <si>
    <t>Incentive Rate ($/kW)</t>
  </si>
  <si>
    <t>Max Incentive Per HP</t>
  </si>
  <si>
    <t>Incentive per Leak</t>
  </si>
  <si>
    <t>List_Control_Type</t>
  </si>
  <si>
    <t>Efficiency (kW/cfm)</t>
  </si>
  <si>
    <t>List_Operating_Mode</t>
  </si>
  <si>
    <t>Leak PSIG</t>
  </si>
  <si>
    <t>DB Reading</t>
  </si>
  <si>
    <t>Leak Size (cfm)</t>
  </si>
  <si>
    <t>List_Biz_Class</t>
  </si>
  <si>
    <t>List_Tax_Entity</t>
  </si>
  <si>
    <t>List_Y_N_U</t>
  </si>
  <si>
    <t>List_Y_N</t>
  </si>
  <si>
    <t>List_DBE_Option</t>
  </si>
  <si>
    <t>List_Programs</t>
  </si>
  <si>
    <t>List_Project_Stage</t>
  </si>
  <si>
    <t>List_Install_Type</t>
  </si>
  <si>
    <t>List_Ownership</t>
  </si>
  <si>
    <t>List_Bldg_Types</t>
  </si>
  <si>
    <t>List_HVAC</t>
  </si>
  <si>
    <t>List_Water_Heating</t>
  </si>
  <si>
    <t>List_Contacts</t>
  </si>
  <si>
    <t>List_Source</t>
  </si>
  <si>
    <t>Value_Measure_CAP</t>
  </si>
  <si>
    <t>Value_SysAOH</t>
  </si>
  <si>
    <t>Single Shift (8 hrs/day, 5-7 days/wk)</t>
  </si>
  <si>
    <t>Reciprocating - on/off control</t>
  </si>
  <si>
    <t>Baseload Compressor (fully loaded)</t>
  </si>
  <si>
    <t xml:space="preserve">Corporation </t>
  </si>
  <si>
    <t>Individual/Sole Proprietor</t>
  </si>
  <si>
    <t>Yes</t>
  </si>
  <si>
    <t>No</t>
  </si>
  <si>
    <t>Small Commercial Solutions (project site demand &lt; 100kW)</t>
  </si>
  <si>
    <t>Pre-Retrofit</t>
  </si>
  <si>
    <t>Contractor Install</t>
  </si>
  <si>
    <t>Rent/Lease</t>
  </si>
  <si>
    <t>Leisure Dining: Bar Area</t>
  </si>
  <si>
    <t>A/C with gas heat</t>
  </si>
  <si>
    <t>Electric</t>
  </si>
  <si>
    <t>Bill Insert</t>
  </si>
  <si>
    <t>Value_FastTrack_Limit</t>
  </si>
  <si>
    <t>Value_WeightAvgCompEff</t>
  </si>
  <si>
    <t>Two Shift (16hrs/day, 5-7 days/wk)</t>
  </si>
  <si>
    <t>Reciprocating - load/unload</t>
  </si>
  <si>
    <t>Primary Trim Compressor</t>
  </si>
  <si>
    <t>LLC, C,S,P</t>
  </si>
  <si>
    <t>LLC</t>
  </si>
  <si>
    <t>Unknown</t>
  </si>
  <si>
    <t>Large Commercial &amp; Industrial Solutions (project site demand &gt;100 kW)</t>
  </si>
  <si>
    <t>Post-Retrofit</t>
  </si>
  <si>
    <t>Self Install</t>
  </si>
  <si>
    <t>Own</t>
  </si>
  <si>
    <t>Corridor/Hallway/Stairwell</t>
  </si>
  <si>
    <t>A/C with electric resistance heat</t>
  </si>
  <si>
    <t>Natural Gas</t>
  </si>
  <si>
    <t>Trade Ally/Contractor</t>
  </si>
  <si>
    <t>Calling Campaign</t>
  </si>
  <si>
    <t>Value_Max_ItoC_Ratio</t>
  </si>
  <si>
    <t>Value_MaxIncent_perHP</t>
  </si>
  <si>
    <t>Three Shift (24 hrs/day, 5-7 days/wk)</t>
  </si>
  <si>
    <t>Screw - load/unload</t>
  </si>
  <si>
    <t>Secondary Trim Compressor</t>
  </si>
  <si>
    <t>Individual/Sole Proprietorship</t>
  </si>
  <si>
    <t>Corporation</t>
  </si>
  <si>
    <t>Yes-DOT Disadvantaged Business Enterprise</t>
  </si>
  <si>
    <t>Direct Install</t>
  </si>
  <si>
    <t>Education: College/University</t>
  </si>
  <si>
    <t>A/C with heat pump heat</t>
  </si>
  <si>
    <t>Oil</t>
  </si>
  <si>
    <t>Additional Contact</t>
  </si>
  <si>
    <t>Direct Mail</t>
  </si>
  <si>
    <t>Value_Application_Version</t>
  </si>
  <si>
    <t>Value_SysMaxIncent</t>
  </si>
  <si>
    <t>24/7 Operation (24 hrs/day, 7 days/wk)</t>
  </si>
  <si>
    <t>Screw - inlet modulation</t>
  </si>
  <si>
    <t>Tertiary Trim Compressor</t>
  </si>
  <si>
    <t>Partnership</t>
  </si>
  <si>
    <t>Yes-Disabled Veteran-Owned Business Enterprise (DVET)</t>
  </si>
  <si>
    <t>Other</t>
  </si>
  <si>
    <t>Education: K-12</t>
  </si>
  <si>
    <t>A/C with no heat</t>
  </si>
  <si>
    <t>Propane</t>
  </si>
  <si>
    <t>Job Site</t>
  </si>
  <si>
    <t>Energy Advisor</t>
  </si>
  <si>
    <t>Value_Bonus_Rate</t>
  </si>
  <si>
    <t>Standby/Backup</t>
  </si>
  <si>
    <t>Screw - inlet modulation with blowdown</t>
  </si>
  <si>
    <t>Single Compressor System</t>
  </si>
  <si>
    <t>Trust/Estate</t>
  </si>
  <si>
    <t>Trust/estate</t>
  </si>
  <si>
    <t>Yes-Veteran-Owned Business Enterprise (VBE)</t>
  </si>
  <si>
    <t>Exterior/Outdoors/Parking Lot</t>
  </si>
  <si>
    <t>Refrigerated space (33-41°F)</t>
  </si>
  <si>
    <t>Steam</t>
  </si>
  <si>
    <t>Event/Trade Show</t>
  </si>
  <si>
    <t>Value_CALeaksIR</t>
  </si>
  <si>
    <t>Screw - variable displacement (turn valve, poppet, etc)</t>
  </si>
  <si>
    <t>Standby Backup</t>
  </si>
  <si>
    <t>Non-Profit</t>
  </si>
  <si>
    <t>Exempt</t>
  </si>
  <si>
    <t>Yes-Woman-Owned Business Enterprise (WBE)</t>
  </si>
  <si>
    <t>Food Sales: 24-Hour Supermarket</t>
  </si>
  <si>
    <t>Freezer space (-10-10°F)</t>
  </si>
  <si>
    <t>Search Engine</t>
  </si>
  <si>
    <t>Value_Default_Efficiency</t>
  </si>
  <si>
    <t>Screw - variable speed drive</t>
  </si>
  <si>
    <t>Yes-SBA 8(a) program</t>
  </si>
  <si>
    <t>Food Sales: Non 24-Hour Supermarket</t>
  </si>
  <si>
    <t>N/A (Unconditioned)</t>
  </si>
  <si>
    <t>Not Applicable</t>
  </si>
  <si>
    <t>SMS Text</t>
  </si>
  <si>
    <t>Value_Default_PreLeakRate</t>
  </si>
  <si>
    <t>Yes-SMA Small Disadvantaged Business Enterprise (SDB)</t>
  </si>
  <si>
    <t>Food Service: Fast Food</t>
  </si>
  <si>
    <t>Social Media</t>
  </si>
  <si>
    <t>Value_Default_PostLeakRate</t>
  </si>
  <si>
    <t>Yes-SBA HubZone Business Enterprise (HubZone)</t>
  </si>
  <si>
    <t>Food Service: Sit-Down Restaurant</t>
  </si>
  <si>
    <t>Utility Website</t>
  </si>
  <si>
    <t>Yes-LGBT-Owned Business Enterprise</t>
  </si>
  <si>
    <t>Health Care: In-Patient</t>
  </si>
  <si>
    <t>Yes-DBE Type Not Listed</t>
  </si>
  <si>
    <t>Health Care: Nursing Home</t>
  </si>
  <si>
    <t>Health Care: Out-Patient</t>
  </si>
  <si>
    <t>Convenience Store (non-24 hour)</t>
  </si>
  <si>
    <t>Lodging (Hotel/Motel/Dorm): Common Areas</t>
  </si>
  <si>
    <t>Lodging (Hotel/Motel/Dorm): Room</t>
  </si>
  <si>
    <t>Manufacturing</t>
  </si>
  <si>
    <t>Multi-family Housing: Common Areas</t>
  </si>
  <si>
    <t>Non-Warehouse Storage (Generic)</t>
  </si>
  <si>
    <t>Office</t>
  </si>
  <si>
    <t>Office (attached to other facility)</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</si>
  <si>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</si>
  <si>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</si>
  <si>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</si>
  <si>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</si>
  <si>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</si>
  <si>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</si>
  <si>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</si>
  <si>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</si>
  <si>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</si>
  <si>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</si>
  <si>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Warehouse: Non-Refrigerated</t>
  </si>
  <si>
    <t>Warehouse: Refrigerated</t>
  </si>
  <si>
    <t>Other/Unknown</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</si>
  <si>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</si>
  <si>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</si>
  <si>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</si>
  <si>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</si>
  <si>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</si>
  <si>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</si>
  <si>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</si>
  <si>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</si>
  <si>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</si>
  <si>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</si>
  <si>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</si>
  <si>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</si>
  <si>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</si>
  <si>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</si>
  <si>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</si>
  <si>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</si>
  <si>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Leak Survey</t>
  </si>
  <si>
    <t>Prescriptive</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</si>
  <si>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</si>
  <si>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</si>
  <si>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</si>
  <si>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</si>
  <si>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</si>
  <si>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</si>
  <si>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</si>
  <si>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</si>
  <si>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</si>
  <si>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</si>
  <si>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</si>
  <si>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</si>
  <si>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</si>
  <si>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</si>
  <si>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</si>
  <si>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</si>
  <si>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</si>
  <si>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</si>
  <si>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Custom</t>
  </si>
  <si>
    <t>Incentive %</t>
  </si>
  <si>
    <t>Incentive Measure Number</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</si>
  <si>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</si>
  <si>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</si>
  <si>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</si>
  <si>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</si>
  <si>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</si>
  <si>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</si>
  <si>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</si>
  <si>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</si>
  <si>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</si>
  <si>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</si>
  <si>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Business Name</t>
  </si>
  <si>
    <t>Contact Name</t>
  </si>
  <si>
    <t>Street</t>
  </si>
  <si>
    <t>Zip</t>
  </si>
  <si>
    <t>Phone</t>
  </si>
  <si>
    <t>Email</t>
  </si>
  <si>
    <t>Classification</t>
  </si>
  <si>
    <t>PFI?</t>
  </si>
  <si>
    <t>DBE?</t>
  </si>
  <si>
    <t>Registered TA?</t>
  </si>
  <si>
    <t>Project Role</t>
  </si>
  <si>
    <t>Attention To</t>
  </si>
  <si>
    <t>Check Payable To</t>
  </si>
  <si>
    <t>Federal Tax ID Number</t>
  </si>
  <si>
    <t>Tax Entity</t>
  </si>
  <si>
    <t>NA</t>
  </si>
  <si>
    <t>Payee</t>
  </si>
  <si>
    <t>Tab</t>
  </si>
  <si>
    <t>Project Number</t>
  </si>
  <si>
    <t>Line Ref No.</t>
  </si>
  <si>
    <t>Measure Number</t>
  </si>
  <si>
    <t>Unit of Measure</t>
  </si>
  <si>
    <t>Units</t>
  </si>
  <si>
    <t>kWh Savings</t>
  </si>
  <si>
    <t>kW Savings</t>
  </si>
  <si>
    <t>Equipment Cost</t>
  </si>
  <si>
    <t>Labor Cost</t>
  </si>
  <si>
    <t>Calculator Version</t>
  </si>
  <si>
    <t>Measure Description</t>
  </si>
  <si>
    <t>Uncapped Incentive</t>
  </si>
  <si>
    <t>Bonus</t>
  </si>
  <si>
    <t>Compressed Air</t>
  </si>
  <si>
    <t>n/a</t>
  </si>
  <si>
    <t>Leak</t>
  </si>
  <si>
    <t>Repair of Compressed Air Leaks</t>
  </si>
  <si>
    <t xml:space="preserve">Cells colored in dark gray should not be filled in (and may be locked to prevent data entry). </t>
  </si>
  <si>
    <t>Note that some cells may change between light gray data entry cells and dark grey no data entry cells (and vice versa) depending on data entered in previous cells.</t>
  </si>
  <si>
    <t>Project application information</t>
  </si>
  <si>
    <t>Contains information on the eligibility requirements for measures/projects as well as program processes and caps that may apply to potential incentives. No data entry is required on this tab.</t>
  </si>
  <si>
    <r>
      <t xml:space="preserve">Provides a space for entering information concerning the project. This tab must be filled out in full for the application to be accepted by the Energy Smart program. </t>
    </r>
    <r>
      <rPr>
        <sz val="10"/>
        <color theme="8"/>
        <rFont val="Arial"/>
        <family val="2"/>
      </rPr>
      <t xml:space="preserve">Data entry required. </t>
    </r>
  </si>
  <si>
    <t>Cells with a light gray background are data input cells where required information is needed. Some data entry cells will have drop-down selection lists that limit what data may be entered.</t>
  </si>
  <si>
    <t xml:space="preserve">• A leak survey of all compressed air distribution and compressed air consuming equipment must be completed with an ultrasonic leak detector capable of measuring dB.
• All leaks identified during a leak survey must be included in incentive application, regardless of whether they are repaired.
• Customer must leave leak tags in place for 12 months.                                                                                                                                                                                                                                                                                                                                                                                                                                                      • Compressed air systems capable of air or data logging must submit logging data (two weeks prior to repairs and two weeks post repairs).
• All leaks larger than 1 CFM must be fixed.
• Repaired leaks are not eligible for incentives for 5 years after the initial leak repair incentive; new leaks are eligible annually for incentives. </t>
  </si>
  <si>
    <t>Two shift (16 hrs/day, 5-7 days/wk)</t>
  </si>
  <si>
    <r>
      <rPr>
        <b/>
        <i/>
        <sz val="10"/>
        <color theme="8"/>
        <rFont val="Arial"/>
        <family val="2"/>
      </rPr>
      <t xml:space="preserve">Projects with the following conditions require project pre-approval by the Energy Smart program and a pre-installation site inspection: </t>
    </r>
    <r>
      <rPr>
        <sz val="10"/>
        <color theme="1"/>
        <rFont val="Arial"/>
        <family val="2"/>
      </rPr>
      <t xml:space="preserve">
• Have an estimated total project incentive amount exceeding $5,000. Total estimated incentives can be determined by using this calculator and are shown in the summary tab.
</t>
    </r>
    <r>
      <rPr>
        <b/>
        <i/>
        <sz val="10"/>
        <color theme="8"/>
        <rFont val="Arial"/>
        <family val="2"/>
      </rPr>
      <t>For projects requiring pre-approval, customers and trade allies may not replace or repair faulty equipment prior to pre-approval - doing so will make the equipment ineligible for Energy Smart incentives.</t>
    </r>
  </si>
  <si>
    <t>The following documents are required complete an application to the Energy Smart program.  
• Completed Application/Program Calculator including completed Leak Survey tab (this document).
• One recent Entergy bill for the account under which the project will be installed.	
• Project proposal/estimate. 	
• Copy of W9 for incentive payee.
• Photos of the compressor(s) nameplate(s).                                                                                                                                                                                                                                                                                                                                                                                                                                                                                                                                                   Program applications and supplemental documents can be submitted to the email address shown below.</t>
  </si>
  <si>
    <t>Is this a publicly funded organization?</t>
  </si>
  <si>
    <t>Water and heating system</t>
  </si>
  <si>
    <t>Heating and cooling system</t>
  </si>
  <si>
    <t>Line ref. no.</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</si>
  <si>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</si>
  <si>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</si>
  <si>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Attention to</t>
  </si>
  <si>
    <t xml:space="preserve">I, the below signed, certify that the stated energy-efficient measures detailed in this application were completed at the project location identified above and that the actual costs reported represent the final and eligible costs of the approved project. I further certify that, to the best of my knowledge, the statements made on this notice are correct. I have submitted the appropriate supporting documentation including all project invoices. </t>
  </si>
  <si>
    <t>Under penalty of perjury, I certify that:</t>
  </si>
  <si>
    <t>Version 1.3 PY14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</si>
</sst>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s>
  <fonts count="57" x14ac:knownFonts="1">
    <font>
      <sz val="10"/>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0"/>
      <name val="Calibri"/>
      <family val="2"/>
      <scheme val="minor"/>
    </font>
    <font>
      <b/>
      <sz val="11"/>
      <color rgb="FFFA7D00"/>
      <name val="Calibri"/>
      <family val="2"/>
      <scheme val="minor"/>
    </font>
    <font>
      <sz val="11"/>
      <color rgb="FFFA7D00"/>
      <name val="Calibri"/>
      <family val="2"/>
      <scheme val="minor"/>
    </font>
    <font>
      <b/>
      <sz val="20"/>
      <color rgb="FFB41E83"/>
      <name val="Arial"/>
      <family val="2"/>
    </font>
    <font>
      <sz val="10"/>
      <color rgb="FFB41E83"/>
      <name val="Arial"/>
      <family val="2"/>
    </font>
    <font>
      <b/>
      <sz val="12"/>
      <color theme="0"/>
      <name val="Arial"/>
      <family val="2"/>
    </font>
    <font>
      <b/>
      <sz val="10"/>
      <color theme="1"/>
      <name val="Arial"/>
      <family val="2"/>
    </font>
    <font>
      <u/>
      <sz val="10"/>
      <color theme="10"/>
      <name val="Arial"/>
      <family val="2"/>
    </font>
    <font>
      <sz val="10"/>
      <color rgb="FF000000"/>
      <name val="Arial"/>
      <family val="2"/>
    </font>
    <font>
      <b/>
      <i/>
      <sz val="10"/>
      <color theme="8"/>
      <name val="Arial"/>
      <family val="2"/>
    </font>
    <font>
      <b/>
      <sz val="10"/>
      <color theme="0"/>
      <name val="Arial"/>
      <family val="2"/>
    </font>
    <font>
      <b/>
      <sz val="18"/>
      <color theme="4"/>
      <name val="Arial"/>
      <family val="2"/>
    </font>
    <font>
      <sz val="10"/>
      <color theme="4"/>
      <name val="Arial"/>
      <family val="2"/>
    </font>
    <font>
      <sz val="10"/>
      <color theme="8"/>
      <name val="Arial"/>
      <family val="2"/>
    </font>
    <font>
      <b/>
      <sz val="18"/>
      <color theme="8"/>
      <name val="Arial"/>
      <family val="2"/>
    </font>
    <font>
      <sz val="12"/>
      <color theme="4"/>
      <name val="Arial"/>
      <family val="2"/>
    </font>
    <font>
      <b/>
      <i/>
      <sz val="12"/>
      <color theme="8"/>
      <name val="Arial"/>
      <family val="2"/>
    </font>
    <font>
      <b/>
      <sz val="10"/>
      <color theme="8"/>
      <name val="Arial"/>
      <family val="2"/>
    </font>
    <font>
      <b/>
      <sz val="11"/>
      <color theme="8"/>
      <name val="Arial"/>
      <family val="2"/>
    </font>
    <font>
      <sz val="10"/>
      <color theme="0"/>
      <name val="Arial"/>
      <family val="2"/>
    </font>
    <font>
      <b/>
      <sz val="14"/>
      <color theme="0"/>
      <name val="Arial"/>
      <family val="2"/>
    </font>
    <font>
      <sz val="8"/>
      <color rgb="FF000000"/>
      <name val="Segoe UI"/>
      <family val="2"/>
    </font>
  </fonts>
  <fills count="27">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rgb="FF8DC63F"/>
        <bgColor indexed="64"/>
      </patternFill>
    </fill>
    <fill>
      <patternFill patternType="solid">
        <fgColor rgb="FFF3F5F1"/>
        <bgColor indexed="64"/>
      </patternFill>
    </fill>
    <fill>
      <patternFill patternType="solid">
        <fgColor theme="0"/>
        <bgColor indexed="64"/>
      </patternFill>
    </fill>
    <fill>
      <patternFill patternType="solid">
        <fgColor theme="3"/>
        <bgColor indexed="64"/>
      </patternFill>
    </fill>
    <fill>
      <patternFill patternType="solid">
        <fgColor theme="9"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C00000"/>
      </left>
      <right style="thin">
        <color rgb="FFC00000"/>
      </right>
      <top style="thin">
        <color rgb="FFC00000"/>
      </top>
      <bottom/>
      <diagonal/>
    </border>
    <border>
      <left/>
      <right/>
      <top/>
      <bottom style="double">
        <color rgb="FFFF80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
    <xf numFmtId="0" fontId="0" fillId="0" borderId="0"/>
    <xf numFmtId="0" fontId="28" fillId="0" borderId="0" applyNumberFormat="0" applyFill="0" applyBorder="0" applyAlignment="0" applyProtection="0"/>
    <xf numFmtId="0" fontId="24" fillId="17" borderId="1" applyNumberFormat="0">
      <alignment horizontal="left" vertical="center" wrapText="1"/>
    </xf>
    <xf numFmtId="0" fontId="26" fillId="22" borderId="1" applyNumberFormat="0">
      <alignment horizontal="left" vertical="center" wrapText="1"/>
      <protection locked="0"/>
    </xf>
    <xf numFmtId="9" fontId="2" fillId="0" borderId="0" applyFon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3" fillId="13" borderId="5" applyNumberFormat="0" applyAlignment="0" applyProtection="0"/>
    <xf numFmtId="0" fontId="2" fillId="14" borderId="18" applyNumberFormat="0" applyFont="0" applyAlignment="0" applyProtection="0"/>
    <xf numFmtId="0" fontId="14" fillId="0" borderId="19" applyNumberFormat="0" applyFill="0" applyAlignment="0" applyProtection="0"/>
    <xf numFmtId="0" fontId="23" fillId="15" borderId="1" applyNumberFormat="0" applyAlignment="0" applyProtection="0">
      <alignment horizontal="left" vertical="center"/>
    </xf>
    <xf numFmtId="0" fontId="27" fillId="17" borderId="1" applyNumberFormat="0">
      <alignment vertical="center" wrapText="1"/>
    </xf>
    <xf numFmtId="0" fontId="9" fillId="20" borderId="1">
      <alignment horizontal="centerContinuous" vertical="center" wrapText="1"/>
    </xf>
    <xf numFmtId="0" fontId="25" fillId="9" borderId="1">
      <alignment horizontal="centerContinuous" vertical="center" wrapText="1"/>
    </xf>
    <xf numFmtId="0" fontId="9" fillId="9" borderId="1">
      <alignment horizontal="centerContinuous" vertical="center" wrapText="1"/>
    </xf>
    <xf numFmtId="0" fontId="35" fillId="20" borderId="0">
      <alignment horizontal="centerContinuous" vertical="center" wrapText="1"/>
    </xf>
    <xf numFmtId="0" fontId="9" fillId="15" borderId="1">
      <alignment horizontal="center" vertical="center" wrapText="1"/>
    </xf>
    <xf numFmtId="0" fontId="27" fillId="0" borderId="1" applyNumberFormat="0">
      <alignment horizontal="left" vertical="center" wrapText="1"/>
    </xf>
    <xf numFmtId="0" fontId="13" fillId="16" borderId="0" applyNumberFormat="0" applyAlignment="0">
      <alignment horizontal="center" vertical="center"/>
    </xf>
    <xf numFmtId="0" fontId="9" fillId="16" borderId="21">
      <alignment horizontal="left" wrapText="1"/>
    </xf>
    <xf numFmtId="0" fontId="10" fillId="0" borderId="22" applyNumberFormat="0"/>
    <xf numFmtId="0" fontId="31" fillId="5" borderId="23" applyNumberFormat="0" applyAlignment="0" applyProtection="0"/>
    <xf numFmtId="0" fontId="32" fillId="18" borderId="2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 fillId="19" borderId="0" applyNumberFormat="0" applyBorder="0" applyAlignment="0" applyProtection="0"/>
    <xf numFmtId="0" fontId="32" fillId="20" borderId="0">
      <alignment horizontal="centerContinuous"/>
    </xf>
    <xf numFmtId="0" fontId="23" fillId="9" borderId="1">
      <alignment horizontal="centerContinuous" vertical="center" wrapText="1"/>
    </xf>
    <xf numFmtId="0" fontId="9" fillId="21" borderId="1">
      <alignment horizontal="center" vertical="center" wrapText="1"/>
    </xf>
    <xf numFmtId="0" fontId="9" fillId="21" borderId="1">
      <alignment horizontal="center" vertical="center" wrapText="1"/>
    </xf>
    <xf numFmtId="44" fontId="10" fillId="0" borderId="0" applyFont="0" applyFill="0" applyBorder="0" applyAlignment="0" applyProtection="0"/>
    <xf numFmtId="0" fontId="36" fillId="5" borderId="5" applyNumberFormat="0" applyAlignment="0" applyProtection="0"/>
    <xf numFmtId="0" fontId="37" fillId="0" borderId="26" applyNumberFormat="0" applyFill="0" applyAlignment="0" applyProtection="0"/>
  </cellStyleXfs>
  <cellXfs count="248">
    <xf numFmtId="0" fontId="0" fillId="0" borderId="0" xfId="0"/>
    <xf numFmtId="0" fontId="4"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0" fillId="0" borderId="0" xfId="0" applyAlignment="1">
      <alignment wrapText="1"/>
    </xf>
    <xf numFmtId="0" fontId="0" fillId="6" borderId="1" xfId="0" applyFill="1" applyBorder="1"/>
    <xf numFmtId="0" fontId="0" fillId="6" borderId="4" xfId="0" applyFill="1" applyBorder="1"/>
    <xf numFmtId="0" fontId="0" fillId="0" borderId="1" xfId="0" applyBorder="1" applyAlignment="1">
      <alignment horizontal="center" vertical="center"/>
    </xf>
    <xf numFmtId="0" fontId="12" fillId="0" borderId="0" xfId="0" applyFont="1"/>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9" fontId="0" fillId="4" borderId="1" xfId="4" applyFon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6" borderId="4" xfId="0" applyNumberFormat="1" applyFill="1" applyBorder="1"/>
    <xf numFmtId="0" fontId="8" fillId="0" borderId="0" xfId="0" applyFont="1" applyAlignment="1">
      <alignment horizontal="left" vertical="center" wrapText="1" indent="1"/>
    </xf>
    <xf numFmtId="165" fontId="0" fillId="0" borderId="0" xfId="0" applyNumberFormat="1"/>
    <xf numFmtId="0" fontId="4" fillId="0" borderId="0" xfId="0" applyFont="1" applyAlignment="1">
      <alignment horizontal="left" vertical="center" wrapText="1" indent="1"/>
    </xf>
    <xf numFmtId="0" fontId="0" fillId="8" borderId="1" xfId="0" applyFill="1" applyBorder="1"/>
    <xf numFmtId="0" fontId="0" fillId="8" borderId="4" xfId="0" applyFill="1" applyBorder="1"/>
    <xf numFmtId="166" fontId="0" fillId="8" borderId="4" xfId="0" applyNumberFormat="1" applyFill="1" applyBorder="1"/>
    <xf numFmtId="2" fontId="0" fillId="8" borderId="3" xfId="0" applyNumberFormat="1" applyFill="1" applyBorder="1"/>
    <xf numFmtId="2" fontId="0" fillId="6" borderId="3" xfId="0" applyNumberFormat="1" applyFill="1" applyBorder="1"/>
    <xf numFmtId="2" fontId="0" fillId="0" borderId="0" xfId="0" applyNumberFormat="1"/>
    <xf numFmtId="2" fontId="0" fillId="8" borderId="1" xfId="0" applyNumberFormat="1" applyFill="1" applyBorder="1"/>
    <xf numFmtId="2" fontId="0" fillId="6" borderId="1" xfId="0" applyNumberFormat="1" applyFill="1" applyBorder="1"/>
    <xf numFmtId="0" fontId="15" fillId="0" borderId="0" xfId="0" applyFont="1" applyAlignment="1">
      <alignment horizontal="left" wrapText="1"/>
    </xf>
    <xf numFmtId="0" fontId="9" fillId="16" borderId="21" xfId="26">
      <alignment horizontal="left" wrapText="1"/>
    </xf>
    <xf numFmtId="0" fontId="9" fillId="16" borderId="21" xfId="26" applyAlignment="1">
      <alignment horizontal="left"/>
    </xf>
    <xf numFmtId="0" fontId="10" fillId="0" borderId="22" xfId="27"/>
    <xf numFmtId="0" fontId="30" fillId="0" borderId="0" xfId="0" applyFont="1"/>
    <xf numFmtId="165" fontId="10" fillId="0" borderId="22"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0" fillId="0" borderId="22" xfId="27" applyNumberFormat="1"/>
    <xf numFmtId="0" fontId="0" fillId="8" borderId="12" xfId="0" applyFill="1" applyBorder="1"/>
    <xf numFmtId="0" fontId="0" fillId="6" borderId="12" xfId="0" applyFill="1" applyBorder="1"/>
    <xf numFmtId="0" fontId="11" fillId="3" borderId="14" xfId="0" applyFont="1" applyFill="1" applyBorder="1" applyAlignment="1">
      <alignment wrapText="1"/>
    </xf>
    <xf numFmtId="0" fontId="11" fillId="3" borderId="10" xfId="0" applyFont="1" applyFill="1" applyBorder="1" applyAlignment="1">
      <alignment wrapText="1"/>
    </xf>
    <xf numFmtId="0" fontId="11" fillId="3" borderId="8" xfId="0" applyFont="1" applyFill="1" applyBorder="1" applyAlignment="1">
      <alignment wrapText="1"/>
    </xf>
    <xf numFmtId="2" fontId="11" fillId="3" borderId="10" xfId="0" applyNumberFormat="1" applyFont="1" applyFill="1" applyBorder="1" applyAlignment="1">
      <alignment wrapText="1"/>
    </xf>
    <xf numFmtId="0" fontId="11" fillId="3" borderId="13" xfId="0" applyFont="1" applyFill="1" applyBorder="1" applyAlignment="1">
      <alignment wrapText="1"/>
    </xf>
    <xf numFmtId="9" fontId="0" fillId="0" borderId="0" xfId="0" applyNumberFormat="1"/>
    <xf numFmtId="0" fontId="10" fillId="0" borderId="25" xfId="27" applyBorder="1"/>
    <xf numFmtId="9" fontId="0" fillId="0" borderId="1" xfId="0" applyNumberFormat="1" applyBorder="1"/>
    <xf numFmtId="169" fontId="0" fillId="8" borderId="1" xfId="0" applyNumberFormat="1" applyFill="1" applyBorder="1"/>
    <xf numFmtId="169" fontId="0" fillId="6" borderId="1"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0" fillId="0" borderId="0" xfId="0" applyFont="1"/>
    <xf numFmtId="9" fontId="10" fillId="0" borderId="0" xfId="0" applyNumberFormat="1" applyFont="1"/>
    <xf numFmtId="164" fontId="10" fillId="0" borderId="0" xfId="0" applyNumberFormat="1" applyFont="1"/>
    <xf numFmtId="0" fontId="9" fillId="16" borderId="21" xfId="26" applyAlignment="1">
      <alignment horizontal="left" vertical="center" wrapText="1"/>
    </xf>
    <xf numFmtId="0" fontId="10" fillId="0" borderId="0" xfId="0" applyFont="1" applyAlignment="1">
      <alignment vertical="center"/>
    </xf>
    <xf numFmtId="164" fontId="10" fillId="0" borderId="22" xfId="27" applyNumberFormat="1"/>
    <xf numFmtId="0" fontId="0" fillId="6" borderId="1" xfId="0" quotePrefix="1" applyFill="1" applyBorder="1" applyAlignment="1">
      <alignment horizontal="right"/>
    </xf>
    <xf numFmtId="0" fontId="0" fillId="0" borderId="27" xfId="0" applyBorder="1"/>
    <xf numFmtId="0" fontId="0" fillId="0" borderId="28" xfId="0" applyBorder="1"/>
    <xf numFmtId="9" fontId="0" fillId="0" borderId="29" xfId="4" applyFont="1" applyBorder="1"/>
    <xf numFmtId="0" fontId="0" fillId="0" borderId="30" xfId="0" applyBorder="1"/>
    <xf numFmtId="0" fontId="4" fillId="0" borderId="0" xfId="0" applyFont="1"/>
    <xf numFmtId="0" fontId="4" fillId="0" borderId="13" xfId="0" applyFont="1" applyBorder="1" applyAlignment="1">
      <alignment horizontal="left" wrapText="1"/>
    </xf>
    <xf numFmtId="0" fontId="42" fillId="0" borderId="0" xfId="1" applyFont="1" applyBorder="1" applyAlignment="1">
      <alignment horizontal="left" wrapText="1"/>
    </xf>
    <xf numFmtId="0" fontId="4" fillId="0" borderId="0" xfId="0" applyFont="1" applyAlignment="1">
      <alignment vertical="center"/>
    </xf>
    <xf numFmtId="0" fontId="4" fillId="0" borderId="0" xfId="0" applyFont="1" applyAlignment="1">
      <alignment horizontal="left"/>
    </xf>
    <xf numFmtId="0" fontId="39" fillId="0" borderId="0" xfId="0" applyFont="1" applyAlignment="1">
      <alignment horizontal="left"/>
    </xf>
    <xf numFmtId="0" fontId="47" fillId="24" borderId="0" xfId="0" applyFont="1" applyFill="1" applyAlignment="1">
      <alignment horizontal="left"/>
    </xf>
    <xf numFmtId="0" fontId="4" fillId="0" borderId="20" xfId="0" applyFont="1" applyBorder="1" applyAlignment="1">
      <alignment horizontal="left"/>
    </xf>
    <xf numFmtId="0" fontId="41" fillId="0" borderId="6" xfId="0" applyFont="1" applyBorder="1" applyAlignment="1">
      <alignment horizontal="left" wrapText="1"/>
    </xf>
    <xf numFmtId="0" fontId="41" fillId="0" borderId="8" xfId="0" applyFont="1" applyBorder="1" applyAlignment="1">
      <alignment horizontal="left" wrapText="1"/>
    </xf>
    <xf numFmtId="0" fontId="4" fillId="0" borderId="13" xfId="0" applyFont="1" applyBorder="1" applyAlignment="1">
      <alignment horizontal="left"/>
    </xf>
    <xf numFmtId="0" fontId="4" fillId="0" borderId="14" xfId="0" applyFont="1" applyBorder="1" applyAlignment="1">
      <alignment horizontal="left"/>
    </xf>
    <xf numFmtId="0" fontId="4" fillId="0" borderId="6" xfId="0" applyFont="1" applyBorder="1" applyAlignment="1">
      <alignment horizontal="left"/>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41" fillId="17" borderId="1" xfId="0" applyFont="1" applyFill="1" applyBorder="1" applyAlignment="1">
      <alignment horizontal="left" vertical="center" wrapText="1"/>
    </xf>
    <xf numFmtId="0" fontId="45" fillId="20" borderId="1" xfId="0" applyFont="1" applyFill="1" applyBorder="1" applyAlignment="1">
      <alignment horizontal="left" vertical="center" wrapText="1"/>
    </xf>
    <xf numFmtId="0" fontId="41" fillId="23" borderId="3" xfId="0" applyFont="1" applyFill="1" applyBorder="1" applyAlignment="1">
      <alignment horizontal="left" vertical="center"/>
    </xf>
    <xf numFmtId="0" fontId="41" fillId="23" borderId="4" xfId="0" applyFont="1" applyFill="1" applyBorder="1" applyAlignment="1">
      <alignment horizontal="left" vertical="center"/>
    </xf>
    <xf numFmtId="0" fontId="43" fillId="4" borderId="1" xfId="3" applyFont="1" applyFill="1">
      <alignment horizontal="left" vertical="center" wrapText="1"/>
      <protection locked="0"/>
    </xf>
    <xf numFmtId="0" fontId="49" fillId="24" borderId="0" xfId="22" applyFont="1" applyFill="1" applyAlignment="1">
      <alignment horizontal="left" vertical="center" wrapText="1"/>
    </xf>
    <xf numFmtId="0" fontId="48" fillId="24" borderId="0" xfId="0" applyFont="1" applyFill="1" applyAlignment="1">
      <alignment horizontal="left"/>
    </xf>
    <xf numFmtId="0" fontId="45" fillId="20" borderId="1" xfId="19" applyFont="1" applyAlignment="1">
      <alignment horizontal="left" vertical="center" wrapText="1"/>
    </xf>
    <xf numFmtId="0" fontId="4" fillId="0" borderId="0" xfId="24" applyFont="1" applyBorder="1">
      <alignment horizontal="left" vertical="center" wrapText="1"/>
    </xf>
    <xf numFmtId="0" fontId="4" fillId="0" borderId="0" xfId="24" applyFont="1" applyBorder="1" applyAlignment="1">
      <alignment horizontal="left" vertical="top" wrapText="1"/>
    </xf>
    <xf numFmtId="0" fontId="41" fillId="17" borderId="1" xfId="2" applyFont="1">
      <alignment horizontal="left" vertical="center" wrapText="1"/>
    </xf>
    <xf numFmtId="14" fontId="43" fillId="4" borderId="1" xfId="3" applyNumberFormat="1" applyFont="1" applyFill="1">
      <alignment horizontal="left" vertical="center" wrapText="1"/>
      <protection locked="0"/>
    </xf>
    <xf numFmtId="0" fontId="48" fillId="24" borderId="0" xfId="0" applyFont="1" applyFill="1"/>
    <xf numFmtId="0" fontId="4" fillId="0" borderId="0" xfId="0" applyFont="1" applyAlignment="1">
      <alignment horizontal="left" wrapText="1"/>
    </xf>
    <xf numFmtId="3" fontId="43" fillId="4" borderId="1" xfId="3" applyNumberFormat="1" applyFont="1" applyFill="1">
      <alignment horizontal="left" vertical="center" wrapText="1"/>
      <protection locked="0"/>
    </xf>
    <xf numFmtId="164" fontId="43" fillId="4" borderId="1" xfId="3" applyNumberFormat="1" applyFont="1" applyFill="1">
      <alignment horizontal="left" vertical="center" wrapText="1"/>
      <protection locked="0"/>
    </xf>
    <xf numFmtId="0" fontId="54" fillId="16" borderId="0" xfId="25" applyFont="1" applyAlignment="1"/>
    <xf numFmtId="164" fontId="54" fillId="16" borderId="0" xfId="25" applyNumberFormat="1" applyFont="1" applyAlignment="1"/>
    <xf numFmtId="3" fontId="54" fillId="16" borderId="0" xfId="25" applyNumberFormat="1" applyFont="1" applyAlignment="1"/>
    <xf numFmtId="164" fontId="4" fillId="0" borderId="0" xfId="0" applyNumberFormat="1" applyFont="1"/>
    <xf numFmtId="3" fontId="43" fillId="4" borderId="1" xfId="3" applyNumberFormat="1" applyFont="1" applyFill="1" applyAlignment="1">
      <alignment horizontal="center" vertical="center" wrapText="1"/>
      <protection locked="0"/>
    </xf>
    <xf numFmtId="0" fontId="43" fillId="4" borderId="1" xfId="3" applyFont="1" applyFill="1" applyAlignment="1">
      <alignment horizontal="center" vertical="center" wrapText="1"/>
      <protection locked="0"/>
    </xf>
    <xf numFmtId="166" fontId="43" fillId="4" borderId="1" xfId="3" applyNumberFormat="1" applyFont="1" applyFill="1" applyAlignment="1">
      <alignment horizontal="center" vertical="center" wrapText="1"/>
      <protection locked="0"/>
    </xf>
    <xf numFmtId="0" fontId="43" fillId="4" borderId="10" xfId="3" applyFont="1" applyFill="1" applyBorder="1">
      <alignment horizontal="left" vertical="center" wrapText="1"/>
      <protection locked="0"/>
    </xf>
    <xf numFmtId="0" fontId="49" fillId="24" borderId="0" xfId="22" applyFont="1" applyFill="1" applyAlignment="1">
      <alignment vertical="center" wrapText="1"/>
    </xf>
    <xf numFmtId="165" fontId="52" fillId="17" borderId="1" xfId="2" applyNumberFormat="1" applyFont="1" applyAlignment="1">
      <alignment horizontal="center" vertical="center" wrapText="1"/>
    </xf>
    <xf numFmtId="2" fontId="52" fillId="17" borderId="1" xfId="2" applyNumberFormat="1" applyFont="1" applyAlignment="1">
      <alignment horizontal="center" vertical="center" wrapText="1"/>
    </xf>
    <xf numFmtId="164" fontId="52" fillId="17" borderId="4" xfId="18" applyNumberFormat="1" applyFont="1" applyBorder="1" applyAlignment="1">
      <alignment horizontal="center" vertical="center" wrapText="1"/>
    </xf>
    <xf numFmtId="167" fontId="52" fillId="17" borderId="1" xfId="18" applyNumberFormat="1" applyFont="1" applyAlignment="1">
      <alignment horizontal="center" vertical="center" wrapText="1"/>
    </xf>
    <xf numFmtId="168" fontId="52" fillId="17" borderId="1" xfId="18" applyNumberFormat="1" applyFont="1" applyAlignment="1">
      <alignment horizontal="center" vertical="center" wrapText="1"/>
    </xf>
    <xf numFmtId="164" fontId="52" fillId="17" borderId="1" xfId="18" applyNumberFormat="1" applyFont="1" applyAlignment="1">
      <alignment horizontal="center" vertical="center" wrapText="1"/>
    </xf>
    <xf numFmtId="0" fontId="4" fillId="0" borderId="0" xfId="0" applyFont="1" applyAlignment="1">
      <alignment horizontal="center" vertical="center"/>
    </xf>
    <xf numFmtId="0" fontId="4" fillId="17" borderId="4" xfId="18" applyFont="1" applyBorder="1" applyAlignment="1">
      <alignment horizontal="center" vertical="center" wrapText="1"/>
    </xf>
    <xf numFmtId="2" fontId="4" fillId="17" borderId="1" xfId="18" applyNumberFormat="1" applyFont="1" applyAlignment="1">
      <alignment horizontal="center" vertical="center" wrapText="1"/>
    </xf>
    <xf numFmtId="164" fontId="4" fillId="17" borderId="1" xfId="18" applyNumberFormat="1" applyFont="1" applyAlignment="1">
      <alignment horizontal="center" vertical="center" wrapText="1"/>
    </xf>
    <xf numFmtId="167" fontId="4" fillId="17" borderId="1" xfId="18" applyNumberFormat="1" applyFont="1" applyAlignment="1">
      <alignment horizontal="center" vertical="center" wrapText="1"/>
    </xf>
    <xf numFmtId="168" fontId="4" fillId="17" borderId="1" xfId="18" applyNumberFormat="1" applyFont="1" applyAlignment="1">
      <alignment horizontal="center" vertical="center" wrapText="1"/>
    </xf>
    <xf numFmtId="3" fontId="54" fillId="16" borderId="0" xfId="25" applyNumberFormat="1" applyFont="1" applyAlignment="1">
      <alignment horizontal="center" vertical="center" wrapText="1"/>
    </xf>
    <xf numFmtId="164" fontId="54" fillId="16" borderId="0" xfId="25" applyNumberFormat="1" applyFont="1" applyAlignment="1">
      <alignment horizontal="center" vertical="center" wrapText="1"/>
    </xf>
    <xf numFmtId="0" fontId="43" fillId="24" borderId="1" xfId="3" applyFont="1" applyFill="1">
      <alignment horizontal="left" vertical="center" wrapText="1"/>
      <protection locked="0"/>
    </xf>
    <xf numFmtId="0" fontId="43" fillId="24" borderId="3" xfId="3" applyFont="1" applyFill="1" applyBorder="1">
      <alignment horizontal="left" vertical="center" wrapText="1"/>
      <protection locked="0"/>
    </xf>
    <xf numFmtId="0" fontId="43" fillId="24" borderId="1" xfId="3" applyFont="1" applyFill="1" applyAlignment="1">
      <alignment horizontal="center" vertical="center" wrapText="1"/>
      <protection locked="0"/>
    </xf>
    <xf numFmtId="165" fontId="43" fillId="24" borderId="1" xfId="3" applyNumberFormat="1" applyFont="1" applyFill="1" applyAlignment="1">
      <alignment horizontal="center" vertical="center" wrapText="1"/>
      <protection locked="0"/>
    </xf>
    <xf numFmtId="0" fontId="4" fillId="0" borderId="0" xfId="0" applyFont="1" applyAlignment="1">
      <alignment horizontal="left" vertical="center" wrapText="1"/>
    </xf>
    <xf numFmtId="0" fontId="45" fillId="15" borderId="14" xfId="23" applyFont="1" applyBorder="1" applyAlignment="1">
      <alignment horizontal="left" vertical="center" wrapText="1"/>
    </xf>
    <xf numFmtId="0" fontId="45" fillId="15" borderId="1" xfId="23" applyFont="1" applyAlignment="1">
      <alignment horizontal="left" vertical="center" wrapText="1"/>
    </xf>
    <xf numFmtId="2" fontId="45" fillId="15" borderId="1" xfId="23" applyNumberFormat="1" applyFont="1" applyAlignment="1">
      <alignment horizontal="left" vertical="center" wrapText="1"/>
    </xf>
    <xf numFmtId="0" fontId="45" fillId="15" borderId="10" xfId="23" applyFont="1" applyBorder="1" applyAlignment="1">
      <alignment horizontal="left" vertical="center" wrapText="1"/>
    </xf>
    <xf numFmtId="0" fontId="54" fillId="16" borderId="0" xfId="25" applyFont="1" applyAlignment="1">
      <alignment horizontal="left" vertical="center" wrapText="1"/>
    </xf>
    <xf numFmtId="0" fontId="45" fillId="21" borderId="1" xfId="36" applyFont="1">
      <alignment horizontal="center" vertical="center" wrapText="1"/>
    </xf>
    <xf numFmtId="164" fontId="4" fillId="0" borderId="1" xfId="24" applyNumberFormat="1" applyFont="1" applyProtection="1">
      <alignment horizontal="left" vertical="center" wrapText="1"/>
      <protection hidden="1"/>
    </xf>
    <xf numFmtId="167" fontId="4" fillId="0" borderId="1" xfId="24" applyNumberFormat="1" applyFont="1" applyProtection="1">
      <alignment horizontal="left" vertical="center" wrapText="1"/>
      <protection hidden="1"/>
    </xf>
    <xf numFmtId="164" fontId="41" fillId="17" borderId="4" xfId="2" applyNumberFormat="1" applyFont="1" applyBorder="1">
      <alignment horizontal="left" vertical="center" wrapText="1"/>
    </xf>
    <xf numFmtId="168" fontId="4" fillId="0" borderId="3" xfId="24" applyNumberFormat="1" applyFont="1" applyBorder="1" applyProtection="1">
      <alignment horizontal="left" vertical="center" wrapText="1"/>
      <protection hidden="1"/>
    </xf>
    <xf numFmtId="164" fontId="4" fillId="0" borderId="1" xfId="37" applyNumberFormat="1" applyFont="1" applyBorder="1" applyAlignment="1" applyProtection="1">
      <alignment horizontal="left" vertical="center" wrapText="1"/>
      <protection hidden="1"/>
    </xf>
    <xf numFmtId="167" fontId="4" fillId="0" borderId="3" xfId="24" applyNumberFormat="1" applyFont="1" applyBorder="1" applyProtection="1">
      <alignment horizontal="left" vertical="center" wrapText="1"/>
      <protection hidden="1"/>
    </xf>
    <xf numFmtId="0" fontId="41" fillId="17" borderId="9" xfId="0" applyFont="1" applyFill="1" applyBorder="1" applyAlignment="1">
      <alignment horizontal="left" vertical="center" wrapText="1"/>
    </xf>
    <xf numFmtId="164" fontId="41" fillId="0" borderId="1" xfId="0" applyNumberFormat="1" applyFont="1" applyBorder="1" applyAlignment="1" applyProtection="1">
      <alignment horizontal="left" vertical="center" wrapText="1"/>
      <protection hidden="1"/>
    </xf>
    <xf numFmtId="167" fontId="41" fillId="0" borderId="3" xfId="0" applyNumberFormat="1" applyFont="1" applyBorder="1" applyAlignment="1" applyProtection="1">
      <alignment horizontal="left" vertical="center" wrapText="1"/>
      <protection hidden="1"/>
    </xf>
    <xf numFmtId="0" fontId="41" fillId="0" borderId="0" xfId="0" applyFont="1"/>
    <xf numFmtId="0" fontId="42" fillId="0" borderId="0" xfId="1" applyFont="1" applyBorder="1" applyAlignment="1">
      <alignment horizontal="left" vertical="top" wrapText="1"/>
    </xf>
    <xf numFmtId="49" fontId="43" fillId="4" borderId="1" xfId="3" applyNumberFormat="1" applyFont="1" applyFill="1">
      <alignment horizontal="left" vertical="center" wrapText="1"/>
      <protection locked="0"/>
    </xf>
    <xf numFmtId="3" fontId="4" fillId="0" borderId="1" xfId="24" applyNumberFormat="1" applyFont="1" applyProtection="1">
      <alignment horizontal="left" vertical="center" wrapText="1"/>
      <protection hidden="1"/>
    </xf>
    <xf numFmtId="0" fontId="41" fillId="0" borderId="0" xfId="0" applyFont="1" applyAlignment="1">
      <alignment horizontal="left"/>
    </xf>
    <xf numFmtId="164" fontId="4" fillId="0" borderId="0" xfId="0" applyNumberFormat="1" applyFont="1" applyAlignment="1">
      <alignment horizontal="left"/>
    </xf>
    <xf numFmtId="165" fontId="4" fillId="0" borderId="0" xfId="0" applyNumberFormat="1" applyFont="1" applyAlignment="1">
      <alignment horizontal="left"/>
    </xf>
    <xf numFmtId="0" fontId="4" fillId="24" borderId="1" xfId="18" applyFont="1" applyFill="1" applyAlignment="1">
      <alignment horizontal="left" vertical="center" wrapText="1"/>
    </xf>
    <xf numFmtId="0" fontId="41" fillId="24" borderId="1" xfId="2" applyFont="1" applyFill="1">
      <alignment horizontal="left" vertical="center" wrapText="1"/>
    </xf>
    <xf numFmtId="0" fontId="41" fillId="24" borderId="10" xfId="2" applyFont="1" applyFill="1" applyBorder="1">
      <alignment horizontal="left" vertical="center" wrapText="1"/>
    </xf>
    <xf numFmtId="0" fontId="45" fillId="25" borderId="0" xfId="23" applyFont="1" applyFill="1" applyBorder="1" applyAlignment="1">
      <alignment horizontal="left" vertical="center" wrapText="1"/>
    </xf>
    <xf numFmtId="0" fontId="41" fillId="26" borderId="1" xfId="19" applyFont="1" applyFill="1" applyAlignment="1">
      <alignment horizontal="left" vertical="center" wrapText="1"/>
    </xf>
    <xf numFmtId="0" fontId="45" fillId="25" borderId="1" xfId="19" applyFont="1" applyFill="1" applyAlignment="1">
      <alignment horizontal="left" vertical="center" wrapText="1"/>
    </xf>
    <xf numFmtId="0" fontId="39" fillId="0" borderId="0" xfId="0" applyFont="1" applyBorder="1" applyAlignment="1">
      <alignment horizontal="left"/>
    </xf>
    <xf numFmtId="0" fontId="41" fillId="0" borderId="7" xfId="0" applyFont="1" applyBorder="1" applyAlignment="1">
      <alignment horizontal="left" vertical="top" wrapText="1"/>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20" xfId="0" applyFont="1" applyBorder="1" applyAlignment="1">
      <alignment horizontal="left" vertical="top" wrapText="1"/>
    </xf>
    <xf numFmtId="0" fontId="41" fillId="0" borderId="8" xfId="0" applyFont="1" applyBorder="1" applyAlignment="1">
      <alignment horizontal="left" vertical="top" wrapText="1"/>
    </xf>
    <xf numFmtId="0" fontId="41"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1" fillId="23" borderId="8" xfId="0" applyFont="1" applyFill="1" applyBorder="1" applyAlignment="1">
      <alignment horizontal="left" vertical="center"/>
    </xf>
    <xf numFmtId="0" fontId="41" fillId="23" borderId="14" xfId="0" applyFont="1" applyFill="1" applyBorder="1" applyAlignment="1">
      <alignment horizontal="left" vertical="center"/>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0" fillId="9" borderId="7" xfId="17" applyFont="1" applyFill="1" applyBorder="1" applyAlignment="1">
      <alignment horizontal="left"/>
    </xf>
    <xf numFmtId="0" fontId="40" fillId="9" borderId="11" xfId="17" applyFont="1" applyFill="1" applyBorder="1" applyAlignment="1">
      <alignment horizontal="left"/>
    </xf>
    <xf numFmtId="0" fontId="40" fillId="9" borderId="9" xfId="17" applyFont="1" applyFill="1" applyBorder="1" applyAlignment="1">
      <alignment horizontal="left"/>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1" fillId="0" borderId="4" xfId="0" applyFont="1" applyBorder="1" applyAlignment="1">
      <alignment horizontal="left" vertical="center" wrapText="1"/>
    </xf>
    <xf numFmtId="0" fontId="38" fillId="0" borderId="0" xfId="0" applyFont="1" applyBorder="1" applyAlignment="1">
      <alignment horizontal="left" vertical="center"/>
    </xf>
    <xf numFmtId="0" fontId="46" fillId="24" borderId="0" xfId="22" applyFont="1" applyFill="1" applyAlignment="1">
      <alignment horizontal="left" vertical="center" wrapText="1"/>
    </xf>
    <xf numFmtId="0" fontId="40" fillId="9" borderId="1" xfId="17" applyFont="1" applyFill="1" applyAlignment="1">
      <alignment horizontal="left" vertical="center" wrapText="1"/>
    </xf>
    <xf numFmtId="0" fontId="4" fillId="0" borderId="13" xfId="0" applyFont="1" applyBorder="1" applyAlignment="1">
      <alignment horizontal="left" wrapText="1"/>
    </xf>
    <xf numFmtId="0" fontId="4" fillId="0" borderId="7"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left" wrapText="1"/>
    </xf>
    <xf numFmtId="0" fontId="44" fillId="0" borderId="8"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 fillId="0" borderId="0" xfId="0" applyFont="1" applyAlignment="1">
      <alignment horizontal="left" vertical="top" wrapText="1"/>
    </xf>
    <xf numFmtId="0" fontId="40" fillId="9" borderId="6" xfId="17" applyFont="1" applyFill="1" applyBorder="1" applyAlignment="1">
      <alignment horizontal="left"/>
    </xf>
    <xf numFmtId="0" fontId="40" fillId="9" borderId="0" xfId="17" applyFont="1" applyFill="1" applyBorder="1" applyAlignment="1">
      <alignment horizontal="left"/>
    </xf>
    <xf numFmtId="0" fontId="4" fillId="0" borderId="1" xfId="24" applyFont="1" applyAlignment="1">
      <alignment horizontal="left" vertical="center" wrapText="1"/>
    </xf>
    <xf numFmtId="0" fontId="45" fillId="25" borderId="1" xfId="19" applyFont="1" applyFill="1" applyAlignment="1">
      <alignment horizontal="left" vertical="center" wrapText="1"/>
    </xf>
    <xf numFmtId="0" fontId="42" fillId="0" borderId="1" xfId="1" applyFont="1" applyBorder="1" applyAlignment="1">
      <alignment horizontal="left" vertical="center" wrapText="1"/>
    </xf>
    <xf numFmtId="0" fontId="4" fillId="0" borderId="2" xfId="24" applyFont="1" applyBorder="1" applyAlignment="1">
      <alignment horizontal="left" vertical="center" wrapText="1"/>
    </xf>
    <xf numFmtId="0" fontId="40" fillId="9" borderId="3" xfId="17" applyFont="1" applyFill="1" applyBorder="1" applyAlignment="1">
      <alignment horizontal="left"/>
    </xf>
    <xf numFmtId="0" fontId="40" fillId="9" borderId="12" xfId="17" applyFont="1" applyFill="1" applyBorder="1" applyAlignment="1">
      <alignment horizontal="left"/>
    </xf>
    <xf numFmtId="0" fontId="40" fillId="9" borderId="4" xfId="17" applyFont="1" applyFill="1" applyBorder="1" applyAlignment="1">
      <alignment horizontal="left"/>
    </xf>
    <xf numFmtId="0" fontId="42" fillId="0" borderId="8" xfId="1" applyFont="1" applyBorder="1" applyAlignment="1">
      <alignment horizontal="left" vertical="center" wrapText="1"/>
    </xf>
    <xf numFmtId="0" fontId="42" fillId="0" borderId="13" xfId="1" applyFont="1" applyBorder="1" applyAlignment="1">
      <alignment horizontal="left" vertical="center" wrapText="1"/>
    </xf>
    <xf numFmtId="0" fontId="42" fillId="0" borderId="14" xfId="1" applyFont="1" applyBorder="1" applyAlignment="1">
      <alignment horizontal="left" vertical="center" wrapText="1"/>
    </xf>
    <xf numFmtId="0" fontId="49" fillId="24" borderId="0" xfId="22" applyFont="1" applyFill="1" applyAlignment="1">
      <alignment horizontal="left" vertical="center" wrapText="1"/>
    </xf>
    <xf numFmtId="0" fontId="40" fillId="9" borderId="6" xfId="17" applyFont="1" applyFill="1" applyBorder="1" applyAlignment="1">
      <alignment horizontal="left" vertical="center"/>
    </xf>
    <xf numFmtId="0" fontId="40" fillId="9" borderId="0" xfId="17" applyFont="1" applyFill="1" applyBorder="1" applyAlignment="1">
      <alignment horizontal="left" vertical="center"/>
    </xf>
    <xf numFmtId="0" fontId="50" fillId="0" borderId="0" xfId="24" applyFont="1" applyBorder="1" applyAlignment="1">
      <alignment horizontal="left" vertical="center" wrapText="1"/>
    </xf>
    <xf numFmtId="0" fontId="51" fillId="0" borderId="0" xfId="24" applyFont="1" applyBorder="1" applyAlignment="1">
      <alignment horizontal="left" vertical="center" wrapText="1"/>
    </xf>
    <xf numFmtId="0" fontId="4" fillId="0" borderId="7" xfId="0" applyFont="1" applyBorder="1" applyAlignment="1">
      <alignment wrapText="1"/>
    </xf>
    <xf numFmtId="0" fontId="4" fillId="0" borderId="11" xfId="0" applyFont="1" applyBorder="1" applyAlignment="1">
      <alignment wrapText="1"/>
    </xf>
    <xf numFmtId="0" fontId="4" fillId="0" borderId="9" xfId="0" applyFont="1" applyBorder="1" applyAlignment="1">
      <alignment wrapText="1"/>
    </xf>
    <xf numFmtId="0" fontId="42" fillId="0" borderId="8" xfId="1" applyFont="1" applyBorder="1" applyAlignment="1">
      <alignment horizontal="left"/>
    </xf>
    <xf numFmtId="0" fontId="42" fillId="0" borderId="13" xfId="1" applyFont="1" applyBorder="1" applyAlignment="1">
      <alignment horizontal="left"/>
    </xf>
    <xf numFmtId="0" fontId="42" fillId="0" borderId="14" xfId="1" applyFont="1" applyBorder="1" applyAlignment="1">
      <alignment horizontal="left"/>
    </xf>
    <xf numFmtId="0" fontId="40" fillId="9" borderId="3" xfId="17" applyFont="1" applyFill="1" applyBorder="1" applyAlignment="1">
      <alignment horizontal="left" vertical="center" wrapText="1"/>
    </xf>
    <xf numFmtId="0" fontId="40" fillId="9" borderId="4" xfId="17" applyFont="1" applyFill="1" applyBorder="1" applyAlignment="1">
      <alignment horizontal="left" vertical="center" wrapText="1"/>
    </xf>
    <xf numFmtId="0" fontId="41" fillId="24" borderId="1" xfId="2" applyFont="1" applyFill="1" applyAlignment="1">
      <alignment horizontal="left" vertical="center" wrapText="1"/>
    </xf>
    <xf numFmtId="0" fontId="43" fillId="4" borderId="1" xfId="3" applyFont="1" applyFill="1" applyAlignment="1">
      <alignment horizontal="left" vertical="center" wrapText="1"/>
      <protection locked="0"/>
    </xf>
    <xf numFmtId="0" fontId="40" fillId="9" borderId="0" xfId="34" applyFont="1" applyFill="1" applyBorder="1" applyAlignment="1">
      <alignment horizontal="left" vertical="center" wrapText="1"/>
    </xf>
    <xf numFmtId="0" fontId="53" fillId="0" borderId="0" xfId="0" applyFont="1" applyAlignment="1">
      <alignment horizontal="left" vertical="center" wrapText="1"/>
    </xf>
    <xf numFmtId="0" fontId="45" fillId="21" borderId="3" xfId="36" applyFont="1" applyBorder="1" applyAlignment="1">
      <alignment horizontal="left" vertical="center" wrapText="1"/>
    </xf>
    <xf numFmtId="0" fontId="45" fillId="21" borderId="4" xfId="36" applyFont="1" applyBorder="1" applyAlignment="1">
      <alignment horizontal="left" vertical="center" wrapText="1"/>
    </xf>
    <xf numFmtId="165" fontId="52" fillId="17" borderId="3" xfId="2" applyNumberFormat="1" applyFont="1" applyBorder="1" applyAlignment="1">
      <alignment horizontal="center" vertical="center" wrapText="1"/>
    </xf>
    <xf numFmtId="165" fontId="52" fillId="17" borderId="12" xfId="2" applyNumberFormat="1" applyFont="1" applyBorder="1" applyAlignment="1">
      <alignment horizontal="center" vertical="center" wrapText="1"/>
    </xf>
    <xf numFmtId="165" fontId="52" fillId="17" borderId="4" xfId="2" applyNumberFormat="1" applyFont="1" applyBorder="1" applyAlignment="1">
      <alignment horizontal="center" vertical="center" wrapText="1"/>
    </xf>
    <xf numFmtId="0" fontId="55" fillId="9" borderId="1" xfId="17" applyFont="1" applyFill="1" applyAlignment="1">
      <alignment horizontal="left" vertical="center" wrapText="1"/>
    </xf>
    <xf numFmtId="0" fontId="4" fillId="0" borderId="0" xfId="0" applyFont="1" applyAlignment="1">
      <alignment horizontal="left" wrapText="1"/>
    </xf>
    <xf numFmtId="0" fontId="40" fillId="9" borderId="13" xfId="17" applyFont="1" applyFill="1" applyBorder="1" applyAlignment="1">
      <alignment horizontal="left"/>
    </xf>
    <xf numFmtId="0" fontId="4" fillId="0" borderId="1" xfId="24" applyFont="1" applyAlignment="1" applyProtection="1">
      <alignment horizontal="left" vertical="center" wrapText="1"/>
      <protection hidden="1"/>
    </xf>
    <xf numFmtId="0" fontId="45" fillId="15" borderId="1" xfId="23" applyFont="1" applyAlignment="1">
      <alignment horizontal="left" vertical="center" wrapText="1"/>
    </xf>
    <xf numFmtId="14" fontId="43" fillId="4" borderId="1" xfId="3" applyNumberFormat="1" applyFont="1" applyFill="1" applyAlignment="1">
      <alignment horizontal="left" vertical="center" wrapText="1"/>
      <protection locked="0"/>
    </xf>
    <xf numFmtId="0" fontId="41" fillId="17" borderId="1" xfId="2" applyFont="1" applyAlignment="1">
      <alignment horizontal="left" vertical="center" wrapText="1"/>
    </xf>
    <xf numFmtId="0" fontId="40" fillId="15" borderId="1" xfId="17" applyFont="1" applyAlignment="1">
      <alignment horizontal="left" vertical="center" wrapText="1"/>
    </xf>
    <xf numFmtId="49" fontId="43" fillId="4" borderId="1" xfId="3" applyNumberFormat="1" applyFont="1" applyFill="1" applyAlignment="1">
      <alignment horizontal="left" vertical="center" wrapText="1"/>
      <protection locked="0"/>
    </xf>
    <xf numFmtId="0" fontId="4" fillId="0" borderId="0" xfId="0" applyFont="1" applyAlignment="1">
      <alignment vertical="top" wrapText="1"/>
    </xf>
    <xf numFmtId="0" fontId="4" fillId="0" borderId="0" xfId="24" applyFont="1" applyBorder="1" applyAlignment="1">
      <alignment horizontal="left" vertical="center" wrapText="1"/>
    </xf>
    <xf numFmtId="0" fontId="55" fillId="15" borderId="1" xfId="17" applyFont="1" applyAlignment="1">
      <alignment horizontal="left" vertical="center" wrapText="1"/>
    </xf>
    <xf numFmtId="0" fontId="40" fillId="15" borderId="1" xfId="17" applyFont="1" applyAlignment="1">
      <alignment horizontal="left"/>
    </xf>
    <xf numFmtId="0" fontId="44" fillId="0" borderId="0" xfId="24" applyFont="1" applyBorder="1" applyAlignment="1">
      <alignment horizontal="left" vertical="center" wrapText="1"/>
    </xf>
    <xf numFmtId="0" fontId="23" fillId="15" borderId="6" xfId="17" applyBorder="1" applyAlignment="1">
      <alignment horizontal="left" vertical="center"/>
    </xf>
    <xf numFmtId="0" fontId="23" fillId="15" borderId="0" xfId="17" applyBorder="1" applyAlignment="1">
      <alignment horizontal="left" vertical="center"/>
    </xf>
    <xf numFmtId="0" fontId="9" fillId="16" borderId="21" xfId="26" applyAlignment="1">
      <alignment horizontal="left" wrapText="1"/>
    </xf>
  </cellXfs>
  <cellStyles count="40">
    <cellStyle name="20% - Accent1" xfId="32" builtinId="30" hidden="1"/>
    <cellStyle name="Bad" xfId="12" builtinId="27" hidden="1"/>
    <cellStyle name="Calculation" xfId="38" builtinId="22"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inked Cell" xfId="39" builtinId="24" hidden="1"/>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88">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3" formatCode="0%"/>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numFmt numFmtId="164" formatCode="&quot;$&quot;#,##0.00"/>
    </dxf>
    <dxf>
      <font>
        <strike val="0"/>
        <outline val="0"/>
        <shadow val="0"/>
        <u val="none"/>
        <vertAlign val="baseline"/>
        <sz val="10"/>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Calibri"/>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fill>
        <patternFill patternType="solid">
          <fgColor indexed="64"/>
          <bgColor theme="0"/>
        </patternFill>
      </fill>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numFmt numFmtId="164" formatCode="&quot;$&quot;#,##0.00"/>
    </dxf>
    <dxf>
      <font>
        <strike val="0"/>
        <outline val="0"/>
        <shadow val="0"/>
        <u val="none"/>
        <vertAlign val="baseline"/>
        <name val="Arial"/>
        <family val="2"/>
        <scheme val="none"/>
      </font>
      <numFmt numFmtId="164" formatCode="&quot;$&quot;#,##0.00"/>
      <border outline="0">
        <left style="thin">
          <color indexed="64"/>
        </left>
      </border>
    </dxf>
    <dxf>
      <font>
        <strike val="0"/>
        <outline val="0"/>
        <shadow val="0"/>
        <u val="none"/>
        <vertAlign val="baseline"/>
        <name val="Arial"/>
        <family val="2"/>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border outline="0">
        <right style="thin">
          <color indexed="64"/>
        </right>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border>
    </dxf>
    <dxf>
      <font>
        <b/>
        <i val="0"/>
        <color theme="0"/>
      </font>
      <fill>
        <patternFill>
          <bgColor theme="6"/>
        </patternFill>
      </fill>
      <border>
        <bottom/>
      </border>
    </dxf>
    <dxf>
      <font>
        <color theme="1"/>
      </font>
      <border>
        <top style="thin">
          <color theme="2"/>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6" defaultTableStyle="Lookup Table" defaultPivotStyle="PivotStyleLight16">
    <tableStyle name="Input Cells" pivot="0" count="3" xr9:uid="{00000000-0011-0000-FFFF-FFFF00000000}">
      <tableStyleElement type="wholeTable" dxfId="187"/>
      <tableStyleElement type="firstRowStripe" dxfId="186"/>
      <tableStyleElement type="secondRowStripe" dxfId="185"/>
    </tableStyle>
    <tableStyle name="Input Cells 2" pivot="0" count="3" xr9:uid="{C2C6F8B6-F1BF-4C38-8C6C-F5810E96A7ED}">
      <tableStyleElement type="wholeTable" dxfId="184"/>
      <tableStyleElement type="firstRowStripe" dxfId="183"/>
      <tableStyleElement type="secondRowStripe" dxfId="182"/>
    </tableStyle>
    <tableStyle name="Invisible" pivot="0" table="0" count="0" xr9:uid="{608B31E0-24D9-463C-B6F1-B39AD8790504}"/>
    <tableStyle name="Lookup Table" pivot="0" count="7" xr9:uid="{7A430CEC-830A-4AC1-B89A-72EA92F001D4}">
      <tableStyleElement type="wholeTable" dxfId="181"/>
      <tableStyleElement type="headerRow" dxfId="180"/>
      <tableStyleElement type="totalRow" dxfId="179"/>
      <tableStyleElement type="firstColumn" dxfId="178"/>
      <tableStyleElement type="lastColumn" dxfId="177"/>
      <tableStyleElement type="firstRowStripe" dxfId="176"/>
      <tableStyleElement type="firstColumnStripe" dxfId="175"/>
    </tableStyle>
    <tableStyle name="No Input" pivot="0" count="3" xr9:uid="{6B172CA5-6E53-4EC8-A05C-2C0F8F85993F}">
      <tableStyleElement type="wholeTable" dxfId="174"/>
      <tableStyleElement type="firstRowStripe" dxfId="173"/>
      <tableStyleElement type="secondRowStripe" dxfId="172"/>
    </tableStyle>
    <tableStyle name="Ref Table Style" pivot="0" count="7" xr9:uid="{74D35348-9E46-4017-9800-23C8ECA0880E}">
      <tableStyleElement type="wholeTable" dxfId="171"/>
      <tableStyleElement type="headerRow" dxfId="170"/>
      <tableStyleElement type="totalRow" dxfId="169"/>
      <tableStyleElement type="firstColumn" dxfId="168"/>
      <tableStyleElement type="lastColumn" dxfId="167"/>
      <tableStyleElement type="firstRowStripe" dxfId="166"/>
      <tableStyleElement type="firstColumnStripe" dxfId="165"/>
    </tableStyle>
  </tableStyles>
  <colors>
    <mruColors>
      <color rgb="FF006E51"/>
      <color rgb="FFF3F5F1"/>
      <color rgb="FF8DC63F"/>
      <color rgb="FFC9E4A6"/>
      <color rgb="FFFFF2CC"/>
      <color rgb="FFFFFFCC"/>
      <color rgb="FF000000"/>
      <color rgb="FFDDDDDD"/>
      <color rgb="FF002D56"/>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38</xdr:row>
      <xdr:rowOff>39389</xdr:rowOff>
    </xdr:from>
    <xdr:to>
      <xdr:col>2</xdr:col>
      <xdr:colOff>137160</xdr:colOff>
      <xdr:row>40</xdr:row>
      <xdr:rowOff>6243</xdr:rowOff>
    </xdr:to>
    <xdr:pic>
      <xdr:nvPicPr>
        <xdr:cNvPr id="7" name="Picture 6">
          <a:extLst>
            <a:ext uri="{FF2B5EF4-FFF2-40B4-BE49-F238E27FC236}">
              <a16:creationId xmlns:a16="http://schemas.microsoft.com/office/drawing/2014/main" id="{00000000-0008-0000-0000-000007000000}"/>
            </a:ext>
            <a:ext uri="{147F2762-F138-4A5C-976F-8EAC2B608ADB}">
              <a16:predDERef xmlns:a16="http://schemas.microsoft.com/office/drawing/2014/main" pred="{88743EC6-7BBD-4496-842C-932064928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6544309"/>
          <a:ext cx="1074420" cy="3021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31</xdr:row>
          <xdr:rowOff>981075</xdr:rowOff>
        </xdr:from>
        <xdr:to>
          <xdr:col>2</xdr:col>
          <xdr:colOff>2533650</xdr:colOff>
          <xdr:row>31</xdr:row>
          <xdr:rowOff>1352550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1190625</xdr:rowOff>
        </xdr:from>
        <xdr:to>
          <xdr:col>2</xdr:col>
          <xdr:colOff>1495425</xdr:colOff>
          <xdr:row>31</xdr:row>
          <xdr:rowOff>1495425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New Orleans bill for project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1390650</xdr:rowOff>
        </xdr:from>
        <xdr:to>
          <xdr:col>2</xdr:col>
          <xdr:colOff>590550</xdr:colOff>
          <xdr:row>31</xdr:row>
          <xdr:rowOff>1657350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1552575</xdr:rowOff>
        </xdr:from>
        <xdr:to>
          <xdr:col>2</xdr:col>
          <xdr:colOff>619125</xdr:colOff>
          <xdr:row>31</xdr:row>
          <xdr:rowOff>1838325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1733550</xdr:rowOff>
        </xdr:from>
        <xdr:to>
          <xdr:col>2</xdr:col>
          <xdr:colOff>1028700</xdr:colOff>
          <xdr:row>31</xdr:row>
          <xdr:rowOff>2000250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1933575</xdr:rowOff>
        </xdr:from>
        <xdr:to>
          <xdr:col>2</xdr:col>
          <xdr:colOff>1638300</xdr:colOff>
          <xdr:row>31</xdr:row>
          <xdr:rowOff>2181225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 and post-logging data (if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205739</xdr:colOff>
          <xdr:row>31</xdr:row>
          <xdr:rowOff>678180</xdr:rowOff>
        </xdr:from>
        <xdr:to>
          <xdr:col>4</xdr:col>
          <xdr:colOff>2598419</xdr:colOff>
          <xdr:row>31</xdr:row>
          <xdr:rowOff>1874520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863339" y="12384405"/>
              <a:ext cx="3335655" cy="1196340"/>
              <a:chOff x="7993367" y="16131539"/>
              <a:chExt cx="3398521" cy="119634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993367" y="16131539"/>
                <a:ext cx="3398521" cy="373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survey tabs complete. </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993380" y="16337280"/>
                <a:ext cx="235458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New Orleans bill for project site.</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993380" y="16535400"/>
                <a:ext cx="1447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proposal.</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7993380" y="16703040"/>
                <a:ext cx="147828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993380" y="16878300"/>
                <a:ext cx="188976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993380" y="17084039"/>
                <a:ext cx="24993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Pre-logging data (if available).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219075</xdr:rowOff>
        </xdr:from>
        <xdr:to>
          <xdr:col>4</xdr:col>
          <xdr:colOff>2476500</xdr:colOff>
          <xdr:row>32</xdr:row>
          <xdr:rowOff>438150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381000</xdr:rowOff>
        </xdr:from>
        <xdr:to>
          <xdr:col>4</xdr:col>
          <xdr:colOff>2228850</xdr:colOff>
          <xdr:row>32</xdr:row>
          <xdr:rowOff>600075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523875</xdr:rowOff>
        </xdr:from>
        <xdr:to>
          <xdr:col>4</xdr:col>
          <xdr:colOff>1828800</xdr:colOff>
          <xdr:row>33</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Post-logging data (if available).</a:t>
              </a:r>
            </a:p>
          </xdr:txBody>
        </xdr:sp>
        <xdr:clientData/>
      </xdr:twoCellAnchor>
    </mc:Choice>
    <mc:Fallback/>
  </mc:AlternateContent>
  <xdr:twoCellAnchor editAs="oneCell">
    <xdr:from>
      <xdr:col>1</xdr:col>
      <xdr:colOff>45721</xdr:colOff>
      <xdr:row>0</xdr:row>
      <xdr:rowOff>144780</xdr:rowOff>
    </xdr:from>
    <xdr:to>
      <xdr:col>2</xdr:col>
      <xdr:colOff>1056397</xdr:colOff>
      <xdr:row>1</xdr:row>
      <xdr:rowOff>7620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1" y="144780"/>
          <a:ext cx="197841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36</xdr:row>
      <xdr:rowOff>31159</xdr:rowOff>
    </xdr:from>
    <xdr:to>
      <xdr:col>1</xdr:col>
      <xdr:colOff>1181100</xdr:colOff>
      <xdr:row>37</xdr:row>
      <xdr:rowOff>127790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2931819"/>
          <a:ext cx="1135380" cy="264271"/>
        </a:xfrm>
        <a:prstGeom prst="rect">
          <a:avLst/>
        </a:prstGeom>
      </xdr:spPr>
    </xdr:pic>
    <xdr:clientData/>
  </xdr:twoCellAnchor>
  <xdr:twoCellAnchor editAs="oneCell">
    <xdr:from>
      <xdr:col>1</xdr:col>
      <xdr:colOff>22861</xdr:colOff>
      <xdr:row>0</xdr:row>
      <xdr:rowOff>60960</xdr:rowOff>
    </xdr:from>
    <xdr:to>
      <xdr:col>1</xdr:col>
      <xdr:colOff>1775885</xdr:colOff>
      <xdr:row>0</xdr:row>
      <xdr:rowOff>594360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1" y="60960"/>
          <a:ext cx="1753024"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xdr:colOff>
      <xdr:row>41</xdr:row>
      <xdr:rowOff>113674</xdr:rowOff>
    </xdr:from>
    <xdr:to>
      <xdr:col>1</xdr:col>
      <xdr:colOff>1036320</xdr:colOff>
      <xdr:row>43</xdr:row>
      <xdr:rowOff>38779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85" y="9150994"/>
          <a:ext cx="1011555" cy="260385"/>
        </a:xfrm>
        <a:prstGeom prst="rect">
          <a:avLst/>
        </a:prstGeom>
      </xdr:spPr>
    </xdr:pic>
    <xdr:clientData/>
  </xdr:twoCellAnchor>
  <xdr:twoCellAnchor editAs="oneCell">
    <xdr:from>
      <xdr:col>0</xdr:col>
      <xdr:colOff>152401</xdr:colOff>
      <xdr:row>0</xdr:row>
      <xdr:rowOff>81230</xdr:rowOff>
    </xdr:from>
    <xdr:to>
      <xdr:col>1</xdr:col>
      <xdr:colOff>1668780</xdr:colOff>
      <xdr:row>0</xdr:row>
      <xdr:rowOff>591315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81230"/>
          <a:ext cx="1676399" cy="510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xdr:colOff>
      <xdr:row>0</xdr:row>
      <xdr:rowOff>99060</xdr:rowOff>
    </xdr:from>
    <xdr:to>
      <xdr:col>1</xdr:col>
      <xdr:colOff>1783080</xdr:colOff>
      <xdr:row>0</xdr:row>
      <xdr:rowOff>616532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 y="99060"/>
          <a:ext cx="1781175" cy="517472"/>
        </a:xfrm>
        <a:prstGeom prst="rect">
          <a:avLst/>
        </a:prstGeom>
      </xdr:spPr>
    </xdr:pic>
    <xdr:clientData/>
  </xdr:twoCellAnchor>
  <xdr:twoCellAnchor editAs="oneCell">
    <xdr:from>
      <xdr:col>1</xdr:col>
      <xdr:colOff>38100</xdr:colOff>
      <xdr:row>20</xdr:row>
      <xdr:rowOff>107053</xdr:rowOff>
    </xdr:from>
    <xdr:to>
      <xdr:col>1</xdr:col>
      <xdr:colOff>998220</xdr:colOff>
      <xdr:row>22</xdr:row>
      <xdr:rowOff>27385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4427593"/>
          <a:ext cx="960120" cy="2556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45719</xdr:colOff>
      <xdr:row>21</xdr:row>
      <xdr:rowOff>40006</xdr:rowOff>
    </xdr:from>
    <xdr:to>
      <xdr:col>0</xdr:col>
      <xdr:colOff>960120</xdr:colOff>
      <xdr:row>22</xdr:row>
      <xdr:rowOff>117204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19" y="6600826"/>
          <a:ext cx="914401" cy="244838"/>
        </a:xfrm>
        <a:prstGeom prst="rect">
          <a:avLst/>
        </a:prstGeom>
      </xdr:spPr>
    </xdr:pic>
    <xdr:clientData/>
  </xdr:twoCellAnchor>
  <xdr:twoCellAnchor editAs="oneCell">
    <xdr:from>
      <xdr:col>0</xdr:col>
      <xdr:colOff>47625</xdr:colOff>
      <xdr:row>0</xdr:row>
      <xdr:rowOff>95250</xdr:rowOff>
    </xdr:from>
    <xdr:to>
      <xdr:col>1</xdr:col>
      <xdr:colOff>259079</xdr:colOff>
      <xdr:row>0</xdr:row>
      <xdr:rowOff>605335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95250"/>
          <a:ext cx="1668779" cy="5100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25582</xdr:colOff>
      <xdr:row>209</xdr:row>
      <xdr:rowOff>164985</xdr:rowOff>
    </xdr:from>
    <xdr:to>
      <xdr:col>3</xdr:col>
      <xdr:colOff>6046</xdr:colOff>
      <xdr:row>211</xdr:row>
      <xdr:rowOff>99060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62" y="36459045"/>
          <a:ext cx="1009164" cy="269355"/>
        </a:xfrm>
        <a:prstGeom prst="rect">
          <a:avLst/>
        </a:prstGeom>
      </xdr:spPr>
    </xdr:pic>
    <xdr:clientData/>
  </xdr:twoCellAnchor>
  <xdr:twoCellAnchor editAs="oneCell">
    <xdr:from>
      <xdr:col>1</xdr:col>
      <xdr:colOff>48986</xdr:colOff>
      <xdr:row>0</xdr:row>
      <xdr:rowOff>200025</xdr:rowOff>
    </xdr:from>
    <xdr:to>
      <xdr:col>3</xdr:col>
      <xdr:colOff>612327</xdr:colOff>
      <xdr:row>0</xdr:row>
      <xdr:rowOff>678996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861" y="200025"/>
          <a:ext cx="1563466" cy="4789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46537</xdr:colOff>
      <xdr:row>208</xdr:row>
      <xdr:rowOff>151651</xdr:rowOff>
    </xdr:from>
    <xdr:to>
      <xdr:col>2</xdr:col>
      <xdr:colOff>518161</xdr:colOff>
      <xdr:row>210</xdr:row>
      <xdr:rowOff>44453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17" y="36186631"/>
          <a:ext cx="837384" cy="228082"/>
        </a:xfrm>
        <a:prstGeom prst="rect">
          <a:avLst/>
        </a:prstGeom>
      </xdr:spPr>
    </xdr:pic>
    <xdr:clientData/>
  </xdr:twoCellAnchor>
  <xdr:twoCellAnchor editAs="oneCell">
    <xdr:from>
      <xdr:col>1</xdr:col>
      <xdr:colOff>20411</xdr:colOff>
      <xdr:row>0</xdr:row>
      <xdr:rowOff>114300</xdr:rowOff>
    </xdr:from>
    <xdr:to>
      <xdr:col>3</xdr:col>
      <xdr:colOff>583752</xdr:colOff>
      <xdr:row>0</xdr:row>
      <xdr:rowOff>593271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286" y="114300"/>
          <a:ext cx="1563466" cy="4789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20955</xdr:colOff>
      <xdr:row>0</xdr:row>
      <xdr:rowOff>106680</xdr:rowOff>
    </xdr:from>
    <xdr:to>
      <xdr:col>1</xdr:col>
      <xdr:colOff>1828800</xdr:colOff>
      <xdr:row>0</xdr:row>
      <xdr:rowOff>638998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 y="106680"/>
          <a:ext cx="1807845" cy="532318"/>
        </a:xfrm>
        <a:prstGeom prst="rect">
          <a:avLst/>
        </a:prstGeom>
      </xdr:spPr>
    </xdr:pic>
    <xdr:clientData/>
  </xdr:twoCellAnchor>
  <xdr:twoCellAnchor editAs="oneCell">
    <xdr:from>
      <xdr:col>1</xdr:col>
      <xdr:colOff>51434</xdr:colOff>
      <xdr:row>27</xdr:row>
      <xdr:rowOff>98981</xdr:rowOff>
    </xdr:from>
    <xdr:to>
      <xdr:col>1</xdr:col>
      <xdr:colOff>891355</xdr:colOff>
      <xdr:row>28</xdr:row>
      <xdr:rowOff>144780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734" y="6461681"/>
          <a:ext cx="839921" cy="213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55245</xdr:colOff>
      <xdr:row>42</xdr:row>
      <xdr:rowOff>58394</xdr:rowOff>
    </xdr:from>
    <xdr:to>
      <xdr:col>1</xdr:col>
      <xdr:colOff>1020536</xdr:colOff>
      <xdr:row>43</xdr:row>
      <xdr:rowOff>121920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5" y="8935694"/>
          <a:ext cx="965291" cy="231166"/>
        </a:xfrm>
        <a:prstGeom prst="rect">
          <a:avLst/>
        </a:prstGeom>
      </xdr:spPr>
    </xdr:pic>
    <xdr:clientData/>
  </xdr:twoCellAnchor>
  <xdr:twoCellAnchor editAs="oneCell">
    <xdr:from>
      <xdr:col>1</xdr:col>
      <xdr:colOff>30480</xdr:colOff>
      <xdr:row>0</xdr:row>
      <xdr:rowOff>152400</xdr:rowOff>
    </xdr:from>
    <xdr:to>
      <xdr:col>2</xdr:col>
      <xdr:colOff>516255</xdr:colOff>
      <xdr:row>0</xdr:row>
      <xdr:rowOff>669872</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152400"/>
          <a:ext cx="1781175" cy="51747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svFilter filterId="{C86DCFFF-2D47-473A-9BC9-BAB0551BF868}" ref="B5:U205" tableId="2"/>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074EA471-B231-4BB9-A68D-FF18F943C192}">
    <nsvFilter filterId="{C86DCFFF-2D47-473A-9BC9-BAB0551BF868}" ref="B4:U204" tableId="3"/>
  </namedSheetView>
</namedSheetViews>
</file>

<file path=xl/persons/person.xml><?xml version="1.0" encoding="utf-8"?>
<personList xmlns="http://schemas.microsoft.com/office/spreadsheetml/2018/threadedcomments" xmlns:x="http://schemas.openxmlformats.org/spreadsheetml/2006/main">
  <person displayName="Sheaffer, Andrew" id="{A70C4167-13A2-4D62-BB74-10538C81E555}" userId="andrew.sheaffer@aptim.com" providerId="PeoplePicker"/>
  <person displayName="Kurtz, Spencer" id="{E75C5681-3728-4B49-B982-46DB54F9929F}" userId="S::spencer.kurtz@aptim.com::fe2f2be9-1164-485f-94b6-80f4257875eb" providerId="AD"/>
  <person displayName="Sheaffer, Andrew" id="{FA5D7934-1258-4071-95E8-45FA1500C3FD}" userId="S::andrew.sheaffer@aptim.com::4546dc98-8da5-44cc-b2cf-f5203d327a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3A23A4-1312-429A-A234-D6BBF118E86D}" name="Table_CompData_Input" displayName="Table_CompData_Input" ref="A9:N17" headerRowDxfId="164" dataDxfId="163" totalsRowDxfId="162">
  <autoFilter ref="A9:N17" xr:uid="{66A0C3CD-DA56-4C14-BAFC-F292465B5F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F8272D8-C2EE-47CB-846A-C1A2804A3C4F}" name="Manufacturer" totalsRowLabel="Total" dataDxfId="161" dataCellStyle="Input General"/>
    <tableColumn id="2" xr3:uid="{8FF33C1F-1F51-4468-9B89-FCDD80F4AC57}" name="Model" dataDxfId="160" dataCellStyle="Input General"/>
    <tableColumn id="3" xr3:uid="{67377A27-11B3-49D2-A0E5-DBCA00E61EDA}" name="HP" totalsRowFunction="sum" dataDxfId="159" totalsRowDxfId="158" dataCellStyle="Input General"/>
    <tableColumn id="4" xr3:uid="{EC675AEA-74D8-4880-8298-A9B45E71349D}" name="CFM capacity" totalsRowFunction="sum" dataDxfId="157" totalsRowDxfId="156" dataCellStyle="Input General"/>
    <tableColumn id="5" xr3:uid="{E02369AF-FFE6-4A11-94C3-BE4CA8786EAF}" name="Operating schedule" dataDxfId="155" dataCellStyle="Input General"/>
    <tableColumn id="11" xr3:uid="{9B5328B4-37A8-4884-9F45-5CCAA4BE8884}" name="Primary operating mode" dataDxfId="154" dataCellStyle="Input General"/>
    <tableColumn id="13" xr3:uid="{6468C7FD-B8F6-4B71-B33D-C467C9416082}" name="Control strategy" dataDxfId="153" dataCellStyle="Input General"/>
    <tableColumn id="18" xr3:uid="{C88EBA0C-131C-4C5A-885E-6C99271D667D}" name="Load-in pressure (psig)" dataDxfId="152" dataCellStyle="Input General"/>
    <tableColumn id="19" xr3:uid="{F0D87385-0DE3-44C0-B401-2F5DCB4B407B}" name="Unload/target pressure (psig)" dataDxfId="151" dataCellStyle="Input General"/>
    <tableColumn id="6" xr3:uid="{7E48D47E-E99E-4DC4-9190-02F555DD71A7}" name="Max Eligible Incentive" totalsRowFunction="sum" dataDxfId="150" totalsRowDxfId="149" dataCellStyle="Hide Cell">
      <calculatedColumnFormula>Table_CompData_Input[[#This Row],[HP]]*Value_MaxIncent_perHP</calculatedColumnFormula>
    </tableColumn>
    <tableColumn id="7" xr3:uid="{7CF3B2A8-6EBE-46A0-9E1A-CDEDEDFD6EB5}" name="Compressor AOH" dataDxfId="148" dataCellStyle="Hide Cell">
      <calculatedColumnFormula>IFERROR(INDEX(Table_Shift_Hours[AOH], MATCH(Table_CompData_Input[[#This Row],[Operating schedule]], Table_Shift_Hours[List_Comp_ShiftType], 0)), "")</calculatedColumnFormula>
    </tableColumn>
    <tableColumn id="9" xr3:uid="{DD6E5E0A-F08E-4BB3-BFC8-FD14B7C454E0}" name="Compressor Efficiency" totalsRowFunction="custom" dataDxfId="147" dataCellStyle="Hide Cell">
      <calculatedColumnFormula>IFERROR(INDEX(Table_Control_Eff[Efficiency (kW/cfm)], MATCH(Table_CompData_Input[[#This Row],[Control strategy]], Table_Control_Eff[List_Control_Type], 0)), "")</calculatedColumnFormula>
      <totalsRowFormula>SUMPRODUCT(Table_CompData_Input[Compressor Efficiency],Table_CompData_Input[TCFM])/Table_CompData_Input[[#Totals],[TCFM]]</totalsRowFormula>
    </tableColumn>
    <tableColumn id="12" xr3:uid="{787860A4-A59E-4345-94EA-8AEAE5E33E53}" name="Assumed Load" totalsRowFunction="custom" dataDxfId="146" dataCellStyle="Hide Cell">
      <calculatedColumnFormula>IFERROR(INDEX(Table_Load_Mode[Assumed Load], MATCH(Table_CompData_Input[[#This Row],[Primary operating mode]], Table_Load_Mode[List_Operating_Mode], 0)), "")</calculatedColumnFormula>
      <totalsRowFormula>SUMPRODUCT(Table_CompData_Input[Assumed Load],Table_CompData_Input[CFM capacity])/Table_CompData_Input[[#Totals],[CFM capacity]]</totalsRowFormula>
    </tableColumn>
    <tableColumn id="17" xr3:uid="{04389C6D-72F5-412F-8A69-78DD9B88C8D8}" name="TCFM" totalsRowFunction="sum" dataDxfId="145" dataCellStyle="Hide Cell">
      <calculatedColumnFormula>IFERROR(Table_CompData_Input[[#This Row],[CFM capacity]]*Table_CompData_Input[[#This Row],[Assumed Load]],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Leaks1_Input" displayName="Table_Leaks1_Input" ref="B5:U205" totalsRowShown="0" headerRowDxfId="143" dataDxfId="141" headerRowBorderDxfId="142" tableBorderDxfId="140" totalsRowBorderDxfId="139" headerRowCellStyle="Table Top 1" dataCellStyle="Locked Cell">
  <autoFilter ref="B5:U20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F9C875C-9563-4ABB-B625-09C157533782}" name="Line ref. no." dataDxfId="138" dataCellStyle="Locked Cell"/>
    <tableColumn id="2" xr3:uid="{46C6C011-1316-4CC5-A76D-C108F8C6CA48}" name="Tag ID" dataDxfId="137" dataCellStyle="Input General"/>
    <tableColumn id="3" xr3:uid="{B3CC9771-7C6F-449B-85D9-1ECC10D7772F}" name="Location" dataDxfId="136" dataCellStyle="Locked Cell"/>
    <tableColumn id="4" xr3:uid="{81D64D76-AD10-4279-8BB9-C983A5F9AFD2}" name="Pressure at leak (psig)" dataDxfId="135" dataCellStyle="Input General"/>
    <tableColumn id="6" xr3:uid="{6F93864D-0E65-44D7-B24E-650259F3DD69}" name="dB reading" dataDxfId="134" dataCellStyle="Input General"/>
    <tableColumn id="7" xr3:uid="{B68240B8-2175-47E2-8DBA-E3244BEA5CE8}" name="Repair description" dataDxfId="133" dataCellStyle="Input General"/>
    <tableColumn id="8" xr3:uid="{D0F65DAA-D1C3-4879-ABBB-C1BFBD2C4AF2}" name="Repaired (Y/N)" dataDxfId="132" dataCellStyle="Input General"/>
    <tableColumn id="14" xr3:uid="{E3C62EC6-E0E5-44D8-8322-4915701CD4C7}" name="Total equipment cost" dataDxfId="131" dataCellStyle="Input General"/>
    <tableColumn id="15" xr3:uid="{73391BD7-BA9B-4655-8D59-8036683B6997}" name="Total labor cost" dataDxfId="130" dataCellStyle="Input General"/>
    <tableColumn id="16" xr3:uid="{75D6130F-A3AD-4B6C-8D4A-A9BF89230E2D}" name="Estimated leak size (cfm)" dataDxfId="129" dataCellStyle="Locked Cell">
      <calculatedColumnFormula>IFERROR(INDEX(TABLE_UE_dB[Leak Size (cfm)], MATCH(Table_Leaks1_Input[[#This Row],[Lookup Value]], TABLE_UE_dB[Lookup Value], 0)),"")</calculatedColumnFormula>
    </tableColumn>
    <tableColumn id="17" xr3:uid="{10CA3C0B-F6F6-4CD9-BAFE-66EF99651F2B}" name="Estimated incentive" dataDxfId="128" dataCellStyle="Locked Cell">
      <calculatedColumnFormula>IF(Table_Leaks1_Input[[#This Row],[Repaired (Y/N)]]="Yes", Value_LeakRepairIR, "")</calculatedColumnFormula>
    </tableColumn>
    <tableColumn id="18" xr3:uid="{242BB73F-FF6A-4795-8760-4BF5E54052DF}" name="Energy savings (kWh)" dataDxfId="127" dataCellStyle="Locked Cell">
      <calculatedColumnFormula>IFERROR(Table_Leaks1_Input[[#This Row],[Estimated leak size (cfm)]]*Value_WeightAvgCompEff*Value_SysAOH,"" )</calculatedColumnFormula>
    </tableColumn>
    <tableColumn id="20" xr3:uid="{1D47EF14-5FDD-46D6-BD70-A783441979ED}" name="Demand reduction (kW)" dataDxfId="126" dataCellStyle="Locked Cell">
      <calculatedColumnFormula>IFERROR(Table_Leaks1_Input[[#This Row],[Estimated leak size (cfm)]]*Value_WeightAvgCompEff,"" )</calculatedColumnFormula>
    </tableColumn>
    <tableColumn id="19" xr3:uid="{9353DCEE-B0B9-4D5E-99AD-C689A8C09023}" name="Cost savings" dataDxfId="125" dataCellStyle="Locked Cell">
      <calculatedColumnFormula>IFERROR(Table_Leaks1_Input[[#This Row],[Energy savings (kWh)]]*Input_AvgkWhRate, "")</calculatedColumnFormula>
    </tableColumn>
    <tableColumn id="25" xr3:uid="{F3721235-2AC1-4A24-BEAB-C067BFB49151}" name="Gross measure cost" dataDxfId="124" dataCellStyle="Locked Cell">
      <calculatedColumnFormula>IF(Table_Leaks1_Input[[#This Row],[Pressure at leak (psig)]]="", "",Table_Leaks1_Input[[#This Row],[Total equipment cost]]+Table_Leaks1_Input[[#This Row],[Total labor cost]])</calculatedColumnFormula>
    </tableColumn>
    <tableColumn id="21" xr3:uid="{61B34AB5-3923-452A-A360-BEE9FD62F90C}" name="Net measure cost" dataDxfId="123" dataCellStyle="Locked Cell">
      <calculatedColumnFormula>IFERROR(Table_Leaks1_Input[[#This Row],[Gross measure cost]]-Table_Leaks1_Input[[#This Row],[Estimated incentive]], "")</calculatedColumnFormula>
    </tableColumn>
    <tableColumn id="22" xr3:uid="{72C4AABA-BB74-40F5-B832-4F50AEC6866D}" name="Simple payback (years)" dataDxfId="122" dataCellStyle="Locked Cell">
      <calculatedColumnFormula>IFERROR($Q6/$O6,"")</calculatedColumnFormula>
    </tableColumn>
    <tableColumn id="34" xr3:uid="{C4DDE1EC-40FD-49EE-9720-08E4BCA35500}" name="Rounded dB Reading" dataDxfId="121" dataCellStyle="Hide Cell">
      <calculatedColumnFormula>IF(OR(Table_Leaks1_Input[[#This Row],[Pressure at leak (psig)]]=0, Table_Leaks1_Input[[#This Row],[Pressure at leak (psig)]]=""),0,IF(Table_Leaks1_Input[[#This Row],[Pressure at leak (psig)]]&lt;20, 10, MROUND(Table_Leaks1_Input[[#This Row],[Pressure at leak (psig)]], 25)))</calculatedColumnFormula>
    </tableColumn>
    <tableColumn id="35" xr3:uid="{9D42F8ED-DB07-4573-9B8C-E0D77E8AB6EC}" name="Rounded PSIG" dataDxfId="120" dataCellStyle="Hide Cell">
      <calculatedColumnFormula>ROUND(Table_Leaks1_Input[[#This Row],[dB reading]],-1)</calculatedColumnFormula>
    </tableColumn>
    <tableColumn id="36" xr3:uid="{21386FD0-CDCE-4675-A17C-C3C1C65F4FFB}" name="Lookup Value" dataDxfId="119" dataCellStyle="Hide Cell">
      <calculatedColumnFormula>_xlfn.CONCAT(Table_Leaks1_Input[[#This Row],[Rounded dB Reading]],"psig ", Table_Leaks1_Input[[#This Row],[Rounded PSIG]],"db")</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0753E9-0A55-407C-83CD-0243374DB666}" name="Table_Leaks2_Input" displayName="Table_Leaks2_Input" ref="B4:U204" totalsRowShown="0" headerRowDxfId="117" dataDxfId="115" headerRowBorderDxfId="116" tableBorderDxfId="114" totalsRowBorderDxfId="113" headerRowCellStyle="Table Top 1" dataCellStyle="Locked Cell">
  <autoFilter ref="B4:U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789441F-205B-40CB-B77D-4B2C4B25EFE8}" name="Line ref. no." dataDxfId="112" dataCellStyle="Locked Cell"/>
    <tableColumn id="2" xr3:uid="{7955C9A8-2EBD-49F4-BBE9-0DDF81AC3A44}" name="Tag ID" dataDxfId="111" dataCellStyle="Input General"/>
    <tableColumn id="3" xr3:uid="{1C5CC3BF-6E3C-412C-8EA7-713C39783C0B}" name="Location" dataDxfId="110" dataCellStyle="Locked Cell"/>
    <tableColumn id="4" xr3:uid="{65CBF6E7-86E2-4969-A196-3917085DD377}" name="Pressure at leak (psig)" dataDxfId="109" dataCellStyle="Input General"/>
    <tableColumn id="6" xr3:uid="{14C86E70-3403-40F9-8596-259DA9E69A2C}" name="dB reading" dataDxfId="108" dataCellStyle="Input General"/>
    <tableColumn id="7" xr3:uid="{D6324E3C-EC88-4E82-A419-BC0BCCDFB633}" name="Repair description" dataDxfId="107" dataCellStyle="Input General"/>
    <tableColumn id="8" xr3:uid="{89186BCE-7A40-47C9-AF62-7AC5222741D8}" name="Repaired (Y/N)" dataDxfId="106" dataCellStyle="Input General"/>
    <tableColumn id="14" xr3:uid="{F3860BBD-6518-4E9A-8B59-F9A46A3E3F0A}" name="Total equipment cost" dataDxfId="105" dataCellStyle="Input General"/>
    <tableColumn id="15" xr3:uid="{34389806-B2FA-494F-8B7E-C3D9A2A12936}" name="Total labor cost" dataDxfId="104" dataCellStyle="Input General"/>
    <tableColumn id="16" xr3:uid="{C715CD75-13C4-4E9D-B10D-4843BA208FBF}" name="Estimated leak size (cfm)" dataDxfId="103" dataCellStyle="Locked Cell">
      <calculatedColumnFormula>IFERROR(INDEX(TABLE_UE_dB[Leak Size (cfm)], MATCH(Table_Leaks2_Input[[#This Row],[Lookup Value]], TABLE_UE_dB[Lookup Value], 0)),"")</calculatedColumnFormula>
    </tableColumn>
    <tableColumn id="17" xr3:uid="{AE9103C8-CECE-45FC-B5A5-7A566D6E4F8B}" name="Estimated incentive" dataDxfId="102" dataCellStyle="Locked Cell">
      <calculatedColumnFormula>IF(Table_Leaks2_Input[[#This Row],[Repaired (Y/N)]]="Yes", Value_LeakRepairIR, "")</calculatedColumnFormula>
    </tableColumn>
    <tableColumn id="18" xr3:uid="{7600E88C-3776-4289-BE37-189A4ACAEA4B}" name="Energy savings (kWh)" dataDxfId="101" dataCellStyle="Locked Cell">
      <calculatedColumnFormula>IFERROR(Table_Leaks2_Input[[#This Row],[Estimated leak size (cfm)]]*Value_WeightAvgCompEff*Value_SysAOH,"" )</calculatedColumnFormula>
    </tableColumn>
    <tableColumn id="20" xr3:uid="{8D9A6872-926F-49CC-B4DE-B0E944F0809C}" name="Demand reduction (kW)" dataDxfId="100" dataCellStyle="Locked Cell">
      <calculatedColumnFormula>IFERROR(Table_Leaks2_Input[[#This Row],[Estimated leak size (cfm)]]*Value_WeightAvgCompEff,"" )</calculatedColumnFormula>
    </tableColumn>
    <tableColumn id="19" xr3:uid="{1D6819FB-8934-4245-AE8A-2A59D2BDC8D0}" name="Cost savings" dataDxfId="99" dataCellStyle="Locked Cell">
      <calculatedColumnFormula>IFERROR(Table_Leaks2_Input[[#This Row],[Energy savings (kWh)]]*Input_AvgkWhRate, "")</calculatedColumnFormula>
    </tableColumn>
    <tableColumn id="25" xr3:uid="{E9F6E779-0C01-4EF1-8C83-398922648BA8}" name="Gross measure cost" dataDxfId="98" dataCellStyle="Locked Cell">
      <calculatedColumnFormula>IF(Table_Leaks2_Input[[#This Row],[Pressure at leak (psig)]]="", "",Table_Leaks2_Input[[#This Row],[Total equipment cost]]+Table_Leaks2_Input[[#This Row],[Total labor cost]])</calculatedColumnFormula>
    </tableColumn>
    <tableColumn id="21" xr3:uid="{83F06C50-EE59-4860-B006-E0D4A91E24C7}" name="Net measure cost" dataDxfId="97" dataCellStyle="Locked Cell">
      <calculatedColumnFormula>IFERROR(Table_Leaks2_Input[[#This Row],[Gross measure cost]]-Table_Leaks2_Input[[#This Row],[Estimated incentive]], "")</calculatedColumnFormula>
    </tableColumn>
    <tableColumn id="22" xr3:uid="{B1D64106-27AC-4C3D-90A1-C26FFB0973B8}" name="Simple payback (years)" dataDxfId="96" dataCellStyle="Locked Cell">
      <calculatedColumnFormula>IFERROR($Q5/$O5,"")</calculatedColumnFormula>
    </tableColumn>
    <tableColumn id="34" xr3:uid="{165BAD19-755E-4AF3-B114-F89EA488CDE1}" name="Rounded dB Reading" dataDxfId="95" dataCellStyle="Hide Cell">
      <calculatedColumnFormula>IF(OR(Table_Leaks2_Input[[#This Row],[Pressure at leak (psig)]]=0, Table_Leaks2_Input[[#This Row],[Pressure at leak (psig)]]=""),0,IF(Table_Leaks2_Input[[#This Row],[Pressure at leak (psig)]]&lt;20, 10, MROUND(Table_Leaks2_Input[[#This Row],[Pressure at leak (psig)]], 25)))</calculatedColumnFormula>
    </tableColumn>
    <tableColumn id="35" xr3:uid="{114E8C5D-42BC-4BB5-B492-2C04C62661D6}" name="Rounded PSIG" dataDxfId="94" dataCellStyle="Hide Cell">
      <calculatedColumnFormula>ROUND(Table_Leaks2_Input[[#This Row],[dB reading]],-1)</calculatedColumnFormula>
    </tableColumn>
    <tableColumn id="36" xr3:uid="{7010EC29-A556-47C6-8CE0-15F7E1039964}" name="Lookup Value" dataDxfId="93" dataCellStyle="Hide Cell">
      <calculatedColumnFormula>_xlfn.CONCAT(Table_Leaks2_Input[[#This Row],[Rounded dB Reading]],"psig ", Table_Leaks2_Input[[#This Row],[Rounded PSIG]],"db")</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_Summary_EnergySav" displayName="Table_Summary_EnergySav" ref="B15:D16" totalsRowShown="0" headerRowDxfId="92" dataDxfId="91" tableBorderDxfId="90" totalsRowBorderDxfId="89" headerRowCellStyle="Table Top 2">
  <autoFilter ref="B15:D16" xr:uid="{B3E3CD38-913D-4F45-A343-C44868F40E80}">
    <filterColumn colId="0" hiddenButton="1"/>
    <filterColumn colId="1" hiddenButton="1"/>
    <filterColumn colId="2" hiddenButton="1"/>
  </autoFilter>
  <tableColumns count="3">
    <tableColumn id="1" xr3:uid="{83B90E73-B8F8-4BE8-A365-A62775107D60}" name="Incentive type" dataDxfId="88" totalsRowDxfId="87" dataCellStyle="Locked Cell Bold">
      <calculatedColumnFormula>Caps!B3</calculatedColumnFormula>
    </tableColumn>
    <tableColumn id="2" xr3:uid="{BB580220-364F-4342-A480-3A7F0A85971E}" name="Energy savings (kWh)" dataDxfId="86" totalsRowDxfId="85" dataCellStyle="Locked Cell White"/>
    <tableColumn id="3" xr3:uid="{08D5337C-CE22-4B9F-9C93-9E240610E3CF}" name="kW reduction" dataDxfId="84" totalsRowDxfId="83" dataCellStyle="Locked Cell White">
      <calculatedColumnFormula>Caps!E3</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_Summary_FinDetails" displayName="Table_Summary_FinDetails" ref="B19:G23" totalsRowCount="1" headerRowDxfId="82" dataDxfId="81" totalsRowDxfId="79" tableBorderDxfId="80" totalsRowBorderDxfId="78" headerRowCellStyle="Table Top 2" dataCellStyle="Locked Cell White">
  <autoFilter ref="B19:G22" xr:uid="{17C5417B-4AA8-4901-BDA8-B9F8286E5C8F}">
    <filterColumn colId="0" hiddenButton="1"/>
    <filterColumn colId="1" hiddenButton="1"/>
    <filterColumn colId="2" hiddenButton="1"/>
    <filterColumn colId="3" hiddenButton="1"/>
    <filterColumn colId="4" hiddenButton="1"/>
    <filterColumn colId="5" hiddenButton="1"/>
  </autoFilter>
  <tableColumns count="6">
    <tableColumn id="1" xr3:uid="{D548A418-04DA-4B50-A62E-C275304AA5D5}" name="Incentive type" totalsRowLabel="Total" dataDxfId="77" totalsRowDxfId="76" dataCellStyle="Locked Cell Bold"/>
    <tableColumn id="2" xr3:uid="{C84C9810-0655-48B1-BBAC-7F4CE667FA2F}" name="Cost savings" totalsRowFunction="sum" dataDxfId="75" totalsRowDxfId="74" dataCellStyle="Currency">
      <calculatedColumnFormula>INDEX(Table_Measure_Caps[Cost Savings Total], MATCH(Table_Summary_FinDetails[[#This Row],[Incentive type]],Table_Measure_Caps[Measure Type], 0))</calculatedColumnFormula>
    </tableColumn>
    <tableColumn id="3" xr3:uid="{624D4AEF-BAE5-47BC-9E6E-DDA3C0A9F2D9}" name="Gross project cost" totalsRowFunction="sum" dataDxfId="73" totalsRowDxfId="72" dataCellStyle="Currency">
      <calculatedColumnFormula>INDEX(Table_Measure_Caps[Gross Measure Cost Total], MATCH(Table_Summary_FinDetails[[#This Row],[Incentive type]],Table_Measure_Caps[Measure Type], 0))</calculatedColumnFormula>
    </tableColumn>
    <tableColumn id="4" xr3:uid="{BAC78EBD-B290-44C2-80FD-EDD976754B88}" name="Estimated incentive" totalsRowFunction="sum" dataDxfId="71" totalsRowDxfId="70" dataCellStyle="Currency">
      <calculatedColumnFormula>INDEX(Table_Measure_Caps[Capped Incentive], MATCH(Table_Summary_FinDetails[[#This Row],[Incentive type]], Table_Measure_Caps[Measure Type], 0))</calculatedColumnFormula>
    </tableColumn>
    <tableColumn id="7" xr3:uid="{313B6AB0-18D4-414B-8255-A4B0D4E313F6}" name="Net project cost" totalsRowFunction="sum" dataDxfId="69" totalsRowDxfId="68" dataCellStyle="Currency"/>
    <tableColumn id="8" xr3:uid="{0947E50A-946D-4F5D-8278-1B82EC35172D}" name="Simple payback (years)" totalsRowFunction="custom" dataDxfId="67" totalsRowDxfId="66" dataCellStyle="Locked Cell White">
      <calculatedColumnFormula>IFERROR(Table_Summary_FinDetails[[#This Row],[Net project cost]]/Table_Summary_FinDetails[[#This Row],[Cost savings]],"")</calculatedColumnFormula>
      <totalsRowFormula>Table_Summary_FinDetails[[#Totals],[Net project cost]]/Table_Summary_FinDetails[[#Totals],[Cost savings]]</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B07D27-1000-4F1A-AE40-2A47236F6A73}" name="Table_Shift_Hours" displayName="Table_Shift_Hours" ref="G3:L8" totalsRowShown="0" headerRowDxfId="64" dataDxfId="63">
  <autoFilter ref="G3:L8" xr:uid="{82FBBFA0-DD50-403D-9984-AF9D86513201}"/>
  <tableColumns count="6">
    <tableColumn id="1" xr3:uid="{5450C080-DDCD-40C7-8784-3D3A3117A3C5}" name="List_Comp_ShiftType" dataCellStyle="Range Data"/>
    <tableColumn id="6" xr3:uid="{BFC02836-52E0-4746-8F1F-B0ECE5FDC1FF}" name="List_Sys_ShiftType" dataDxfId="62"/>
    <tableColumn id="2" xr3:uid="{6E9DD8B8-662B-4E12-85A9-5A270F442384}" name="AOH" dataDxfId="61"/>
    <tableColumn id="3" xr3:uid="{71407CA0-29C8-4A4E-8664-EA2B1ABCF6A4}" name="Incentive Rate ($/kW)" dataDxfId="60"/>
    <tableColumn id="4" xr3:uid="{B99C1F6D-EF4E-4169-9FE7-EDE4AB07DFC6}" name="Max Incentive Per HP" dataDxfId="59"/>
    <tableColumn id="5" xr3:uid="{B4E66418-D8FD-464C-8EF9-B97DF7BE7889}" name="Incentive per Leak" dataDxfId="58"/>
  </tableColumns>
  <tableStyleInfo name="Ref Table 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D23CF9-B95C-489A-8713-5717C5EA7C96}" name="Table_Load_Mode" displayName="Table_Load_Mode" ref="Q3:R9" totalsRowShown="0" headerRowDxfId="57">
  <autoFilter ref="Q3:R9" xr:uid="{9A818503-004A-4439-911A-5D018BCCE5FF}"/>
  <tableColumns count="2">
    <tableColumn id="1" xr3:uid="{8F7726FF-1E5A-4D35-BC14-287A6C198C6A}" name="List_Operating_Mode" dataCellStyle="Range Data"/>
    <tableColumn id="2" xr3:uid="{015F7B82-25E2-4F6E-A190-FEEDC70A4021}" name="Assumed Load" dataDxfId="56"/>
  </tableColumns>
  <tableStyleInfo name="Ref Table 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EB21-4AB6-447F-B1B9-868CE0BC4818}" name="Table_Control_Eff" displayName="Table_Control_Eff" ref="N3:O10" totalsRowShown="0" headerRowDxfId="55" dataDxfId="54">
  <autoFilter ref="N3:O10" xr:uid="{21A9D0C5-A205-4B20-A533-576227014581}"/>
  <tableColumns count="2">
    <tableColumn id="1" xr3:uid="{192204DE-8B79-419B-A205-7CF76A0C7786}" name="List_Control_Type" dataCellStyle="Range Data"/>
    <tableColumn id="2" xr3:uid="{DBCE312B-D0D6-4F1D-A45F-7A6FB82BF799}" name="Efficiency (kW/cfm)" dataDxfId="53"/>
  </tableColumns>
  <tableStyleInfo name="Ref Table 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C062DC-F389-4AB5-A393-71CBEBEE9E24}" name="TABLE_UE_dB" displayName="TABLE_UE_dB" ref="T3:W53" totalsRowShown="0" headerRowDxfId="52" dataDxfId="51">
  <autoFilter ref="T3:W53" xr:uid="{9443B2A3-E4CE-460F-B86A-E7ABB231FD40}"/>
  <sortState xmlns:xlrd2="http://schemas.microsoft.com/office/spreadsheetml/2017/richdata2" ref="T4:W53">
    <sortCondition descending="1" ref="T3:T53"/>
  </sortState>
  <tableColumns count="4">
    <tableColumn id="2" xr3:uid="{DBB69478-F908-4289-99A5-04F5F8AA0470}" name="Leak PSIG" dataDxfId="50"/>
    <tableColumn id="1" xr3:uid="{B7AA4370-3AF8-4EA6-A1E0-BF74614FB259}" name="DB Reading" dataDxfId="49"/>
    <tableColumn id="3" xr3:uid="{59191FCE-F570-497C-84DC-B5F569C29A6F}" name="Lookup Value" dataDxfId="48">
      <calculatedColumnFormula>_xlfn.CONCAT(T4,"psig ",U4, "dB")</calculatedColumnFormula>
    </tableColumn>
    <tableColumn id="4" xr3:uid="{CF460737-8C98-4D6A-B5F2-4CA0D79ECB14}" name="Leak Size (cfm)" dataDxfId="47"/>
  </tableColumns>
  <tableStyleInfo name="Ref Table 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4" totalsRowCount="1" headerRowDxfId="46">
  <autoFilter ref="A2:J3" xr:uid="{A563531E-FBF8-4AB3-A38F-7060C6F74F42}"/>
  <tableColumns count="10">
    <tableColumn id="1" xr3:uid="{2FC0691E-AA41-4B72-B587-A8266560EB57}" name="Worksheet" totalsRowLabel="Total"/>
    <tableColumn id="10" xr3:uid="{A9369F91-9D6F-4877-91DA-479A193A41D3}" name="Measure Type" dataDxfId="45"/>
    <tableColumn id="2" xr3:uid="{D83E28AC-8A76-4C16-B98B-2F373B5D0392}" name="Estimated Raw Incentive Total" totalsRowFunction="sum" dataDxfId="44" totalsRowDxfId="43"/>
    <tableColumn id="3" xr3:uid="{A6A92779-0E26-4488-9339-91277CD00D3C}" name="Energy Savings Total (kWh)" totalsRowFunction="sum" dataDxfId="42" totalsRowDxfId="41"/>
    <tableColumn id="4" xr3:uid="{A75B0FC7-F4C9-4E23-905D-A7F086D7E388}" name="Demand Reduction Total (kW)" totalsRowFunction="sum" dataDxfId="40" totalsRowDxfId="39"/>
    <tableColumn id="5" xr3:uid="{F9FA9204-4436-47C3-AA70-EC693EF4524F}" name="Cost Savings Total" totalsRowFunction="sum" dataDxfId="38" totalsRowDxfId="37"/>
    <tableColumn id="6" xr3:uid="{A131607F-447F-4B40-BE76-6650AAE820EE}" name="Gross Measure Cost Total" totalsRowFunction="sum" dataDxfId="36" totalsRowDxfId="35"/>
    <tableColumn id="7" xr3:uid="{0C6C6173-2706-4EAD-B4A7-49D90713FBE0}" name="Net Measure Cost Total" totalsRowFunction="sum" dataDxfId="34" totalsRowDxfId="33"/>
    <tableColumn id="8" xr3:uid="{3572CC4A-960F-4F3C-B657-B59E0880F64C}" name="Raw ItoC Ratio" totalsRowFunction="custom" dataDxfId="32" totalsRowDxfId="31"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0" totalsRowDxfId="29">
      <calculatedColumnFormula>MIN(Value_SysMaxIncent,Table_Measure_Caps[[#This Row],[Estimated Raw Incentive Total]]*MIN(
Table_Measure_Caps[[#Totals],[Estimated Raw Incentive Total]],
Table_Measure_Caps[[#Totals],[Gross Measure Cost Total]],
Value_Project_CAP)
/Table_Measure_Caps[[#Totals],[Estimated Raw Incentive Total]])</calculatedColumnFormula>
    </tableColumn>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M2:P3" totalsRowShown="0">
  <autoFilter ref="M2:P3" xr:uid="{38FEFB1C-75A0-4708-8542-C9EFD91E1D56}"/>
  <tableColumns count="4">
    <tableColumn id="1" xr3:uid="{6D6B2771-B606-4F00-9DD9-22B5477D9AF6}" name="Bonus Rate" dataDxfId="28">
      <calculatedColumnFormula>Input_Bonus</calculatedColumnFormula>
    </tableColumn>
    <tableColumn id="2" xr3:uid="{C33A9D64-1008-475E-A872-2D8F666A9B33}" name="Raw Incentive Total" dataDxfId="27">
      <calculatedColumnFormula>Table_Measure_Caps[[#Totals],[Capped Incentive]]</calculatedColumnFormula>
    </tableColumn>
    <tableColumn id="3" xr3:uid="{B530129D-6CA1-490C-A4CC-5B847BFF5C7F}" name="Uncapped Bonus" dataDxfId="26">
      <calculatedColumnFormula>Table_Bonus_Caps[[#This Row],[Bonus Rate]]*N3</calculatedColumnFormula>
    </tableColumn>
    <tableColumn id="4" xr3:uid="{84BE2AB8-EAE8-4601-B451-E59BE06594F1}" name="Final Bonus" dataDxfId="25">
      <calculatedColumnFormula>MIN(Table_Bonus_Caps[[#This Row],[Uncapped Bonus]], Table_Measure_Caps[[#Totals],[Gross Measure Cost Total]]-Table_Measure_Caps[[#Totals],[Capped Incentive]])</calculatedColumnFormula>
    </tableColumn>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Application'!F29</calculatedColumnFormula>
    </tableColumn>
    <tableColumn id="16" xr3:uid="{7CA4F0D1-7754-471C-8DEB-CAEB6649B745}" name="Check Payable To" dataDxfId="22">
      <calculatedColumnFormula>'Fill in the Application'!F30</calculatedColumnFormula>
    </tableColumn>
    <tableColumn id="17" xr3:uid="{772C63A5-044F-47D7-89C5-9E60AFFC552A}" name="Federal Tax ID Number" dataDxfId="21">
      <calculatedColumnFormula>'Fill in the Application'!F31</calculatedColumnFormula>
    </tableColumn>
    <tableColumn id="18" xr3:uid="{F71E6A60-E971-4C2E-96C9-6C8A1944A1FF}" name="Tax Entity" dataDxfId="20">
      <calculatedColumnFormula>'Fill in the Application'!F32</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 totalsRowShown="0" headerRowDxfId="17" dataDxfId="15" headerRowBorderDxfId="16" tableBorderDxfId="14" totalsRowBorderDxfId="13">
  <autoFilter ref="A1:M3"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calculatedColumnFormula>'Input Leak Survey Details (1)'!I3</calculatedColumnFormula>
    </tableColumn>
    <tableColumn id="11" xr3:uid="{2AEAB220-3903-4800-985E-9696295079E6}" name="Labor Cost" dataDxfId="2">
      <calculatedColumnFormula>'Input Leak Survey Details (1)'!J3</calculatedColumnFormula>
    </tableColumn>
    <tableColumn id="15" xr3:uid="{31A47813-DF33-4ED0-B687-26FDA4A4DFE2}" name="Calculator Version" dataDxfId="1">
      <calculatedColumnFormula>IF(ISNUMBER($D2)=TRUE,Value_CalcVersion,"")</calculatedColumnFormula>
    </tableColumn>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3-05-18T22:03:17.55" personId="{E75C5681-3728-4B49-B982-46DB54F9929F}" id="{62B7AD91-E457-41BA-8E83-A1A97A21283B}">
    <text>@Sheaffer, Andrew Should this say "Max Incentive per HP"?</text>
    <mentions>
      <mention mentionpersonId="{A70C4167-13A2-4D62-BB74-10538C81E555}" mentionId="{E600495A-CC68-4E52-B5C3-A6DAF05EBDB2}" startIndex="0" length="17"/>
    </mentions>
  </threadedComment>
  <threadedComment ref="K3" dT="2023-05-19T18:40:21.00" personId="{FA5D7934-1258-4071-95E8-45FA1500C3FD}" id="{E322637C-A988-412E-A8DF-F23AEF24AE68}" parentId="{62B7AD91-E457-41BA-8E83-A1A97A21283B}">
    <text>Correct - made the change to the cell.</text>
  </threadedComment>
  <threadedComment ref="K3" dT="2023-05-20T04:23:19.23" personId="{E75C5681-3728-4B49-B982-46DB54F9929F}" id="{CBEEFD5C-B8C4-4C0E-8137-B9BC07C446E3}" parentId="{62B7AD91-E457-41BA-8E83-A1A97A21283B}">
    <text>Double checked, where are these values coming from? They don't match the numbers presented on the "Eligibility" tab or the Compressed Air Content document for max incentive per HP</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3-05-10T17:27:11.48" personId="{FA5D7934-1258-4071-95E8-45FA1500C3FD}" id="{97E10E2D-AA6D-4F1A-88B3-3C2461AA8934}">
    <text>Update with measure number after creating in APTracks @Sheaffer, Andrew</text>
    <mentions>
      <mention mentionpersonId="{A70C4167-13A2-4D62-BB74-10538C81E555}" mentionId="{5E586329-3C4F-4025-A31C-01E5DD22550D}" startIndex="54" length="17"/>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commercialapps@energysmartnola.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hyperlink" Target="mailto:commercialapps@energysmartnola.com" TargetMode="External"/><Relationship Id="rId2" Type="http://schemas.openxmlformats.org/officeDocument/2006/relationships/hyperlink" Target="https://www.energysmartnola.info/wp-content/uploads/2020/04/ES_Prescriptive_Overview-PY10_Final.pdf" TargetMode="External"/><Relationship Id="rId1" Type="http://schemas.openxmlformats.org/officeDocument/2006/relationships/hyperlink" Target="https://www.energysmartnola.info/wp-content/uploads/2020/04/ES_Prescriptive_Overview-PY10_Final.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nergysmartnola.info/businesses/term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nergysmartnola.info/businesses/term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microsoft.com/office/2019/04/relationships/namedSheetView" Target="../namedSheetViews/namedSheetView1.xml"/><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microsoft.com/office/2019/04/relationships/namedSheetView" Target="../namedSheetViews/namedSheetView2.xml"/><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6.xml"/><Relationship Id="rId7"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37"/>
  <sheetViews>
    <sheetView showGridLines="0" showRowColHeaders="0" tabSelected="1" workbookViewId="0">
      <selection activeCell="B4" sqref="B4:E4"/>
    </sheetView>
  </sheetViews>
  <sheetFormatPr defaultColWidth="9.140625" defaultRowHeight="12.75" x14ac:dyDescent="0.2"/>
  <cols>
    <col min="1" max="1" width="1.7109375" style="76" customWidth="1"/>
    <col min="2" max="2" width="14.140625" style="76" customWidth="1"/>
    <col min="3" max="3" width="39" style="76" customWidth="1"/>
    <col min="4" max="4" width="14.140625" style="76" customWidth="1"/>
    <col min="5" max="5" width="39" style="76" customWidth="1"/>
    <col min="6" max="16384" width="9.140625" style="76"/>
  </cols>
  <sheetData>
    <row r="1" spans="2:5" ht="58.15" customHeight="1" x14ac:dyDescent="0.2"/>
    <row r="2" spans="2:5" s="77" customFormat="1" ht="42" customHeight="1" x14ac:dyDescent="0.2">
      <c r="B2" s="186" t="s">
        <v>0</v>
      </c>
      <c r="C2" s="186"/>
      <c r="D2" s="161"/>
      <c r="E2" s="161"/>
    </row>
    <row r="3" spans="2:5" s="78" customFormat="1" ht="33.75" customHeight="1" x14ac:dyDescent="0.2">
      <c r="B3" s="187" t="s">
        <v>1</v>
      </c>
      <c r="C3" s="187"/>
      <c r="D3" s="187"/>
      <c r="E3" s="187"/>
    </row>
    <row r="4" spans="2:5" ht="96" customHeight="1" x14ac:dyDescent="0.2">
      <c r="B4" s="189" t="s">
        <v>2</v>
      </c>
      <c r="C4" s="189"/>
      <c r="D4" s="189"/>
      <c r="E4" s="189"/>
    </row>
    <row r="5" spans="2:5" ht="15.75" customHeight="1" x14ac:dyDescent="0.2">
      <c r="B5" s="188" t="s">
        <v>3</v>
      </c>
      <c r="C5" s="188"/>
      <c r="D5" s="188"/>
      <c r="E5" s="188"/>
    </row>
    <row r="6" spans="2:5" ht="30" customHeight="1" x14ac:dyDescent="0.2">
      <c r="B6" s="190" t="s">
        <v>4</v>
      </c>
      <c r="C6" s="191"/>
      <c r="D6" s="191"/>
      <c r="E6" s="192"/>
    </row>
    <row r="7" spans="2:5" x14ac:dyDescent="0.2">
      <c r="B7" s="80" t="s">
        <v>5</v>
      </c>
      <c r="C7" s="74" t="s">
        <v>6</v>
      </c>
      <c r="E7" s="79"/>
    </row>
    <row r="8" spans="2:5" x14ac:dyDescent="0.2">
      <c r="B8" s="81" t="s">
        <v>7</v>
      </c>
      <c r="C8" s="73" t="s">
        <v>8</v>
      </c>
      <c r="D8" s="82"/>
      <c r="E8" s="83"/>
    </row>
    <row r="9" spans="2:5" x14ac:dyDescent="0.2">
      <c r="B9" s="73"/>
      <c r="C9" s="73"/>
    </row>
    <row r="10" spans="2:5" ht="15.75" x14ac:dyDescent="0.2">
      <c r="B10" s="188" t="s">
        <v>9</v>
      </c>
      <c r="C10" s="188"/>
      <c r="D10" s="188"/>
      <c r="E10" s="188"/>
    </row>
    <row r="11" spans="2:5" ht="16.5" customHeight="1" x14ac:dyDescent="0.2">
      <c r="B11" s="84" t="s">
        <v>10</v>
      </c>
      <c r="E11" s="79"/>
    </row>
    <row r="12" spans="2:5" x14ac:dyDescent="0.2">
      <c r="B12" s="84"/>
      <c r="E12" s="79"/>
    </row>
    <row r="13" spans="2:5" ht="31.9" customHeight="1" x14ac:dyDescent="0.2">
      <c r="B13" s="93" t="s">
        <v>11</v>
      </c>
      <c r="C13" s="170" t="s">
        <v>425</v>
      </c>
      <c r="D13" s="196"/>
      <c r="E13" s="171"/>
    </row>
    <row r="14" spans="2:5" ht="25.5" x14ac:dyDescent="0.2">
      <c r="B14" s="155" t="s">
        <v>12</v>
      </c>
      <c r="C14" s="86" t="s">
        <v>420</v>
      </c>
      <c r="E14" s="79"/>
    </row>
    <row r="15" spans="2:5" x14ac:dyDescent="0.2">
      <c r="B15" s="84"/>
      <c r="E15" s="79"/>
    </row>
    <row r="16" spans="2:5" s="87" customFormat="1" ht="30.75" customHeight="1" x14ac:dyDescent="0.2">
      <c r="B16" s="193" t="s">
        <v>421</v>
      </c>
      <c r="C16" s="194"/>
      <c r="D16" s="194"/>
      <c r="E16" s="195"/>
    </row>
    <row r="18" spans="2:5" ht="15.75" x14ac:dyDescent="0.25">
      <c r="B18" s="179" t="s">
        <v>13</v>
      </c>
      <c r="C18" s="180"/>
      <c r="D18" s="180"/>
      <c r="E18" s="181"/>
    </row>
    <row r="19" spans="2:5" s="87" customFormat="1" ht="18.75" customHeight="1" x14ac:dyDescent="0.2">
      <c r="B19" s="86" t="s">
        <v>14</v>
      </c>
      <c r="E19" s="88"/>
    </row>
    <row r="20" spans="2:5" ht="42" customHeight="1" x14ac:dyDescent="0.2">
      <c r="B20" s="89" t="s">
        <v>15</v>
      </c>
      <c r="C20" s="182" t="s">
        <v>423</v>
      </c>
      <c r="D20" s="182"/>
      <c r="E20" s="182"/>
    </row>
    <row r="21" spans="2:5" ht="42" customHeight="1" x14ac:dyDescent="0.2">
      <c r="B21" s="90" t="s">
        <v>16</v>
      </c>
      <c r="C21" s="182" t="s">
        <v>424</v>
      </c>
      <c r="D21" s="182"/>
      <c r="E21" s="182"/>
    </row>
    <row r="22" spans="2:5" ht="42" customHeight="1" x14ac:dyDescent="0.2">
      <c r="B22" s="90" t="s">
        <v>17</v>
      </c>
      <c r="C22" s="182" t="s">
        <v>18</v>
      </c>
      <c r="D22" s="182"/>
      <c r="E22" s="182"/>
    </row>
    <row r="23" spans="2:5" ht="42" customHeight="1" x14ac:dyDescent="0.2">
      <c r="B23" s="90" t="s">
        <v>19</v>
      </c>
      <c r="C23" s="182" t="s">
        <v>20</v>
      </c>
      <c r="D23" s="182"/>
      <c r="E23" s="182"/>
    </row>
    <row r="24" spans="2:5" ht="42" customHeight="1" x14ac:dyDescent="0.2">
      <c r="B24" s="90" t="s">
        <v>21</v>
      </c>
      <c r="C24" s="182" t="s">
        <v>22</v>
      </c>
      <c r="D24" s="182"/>
      <c r="E24" s="182"/>
    </row>
    <row r="25" spans="2:5" ht="42" customHeight="1" x14ac:dyDescent="0.2">
      <c r="B25" s="89" t="s">
        <v>23</v>
      </c>
      <c r="C25" s="182" t="s">
        <v>24</v>
      </c>
      <c r="D25" s="182"/>
      <c r="E25" s="182"/>
    </row>
    <row r="26" spans="2:5" ht="42" customHeight="1" x14ac:dyDescent="0.2">
      <c r="B26" s="90" t="s">
        <v>25</v>
      </c>
      <c r="C26" s="176" t="s">
        <v>26</v>
      </c>
      <c r="D26" s="177"/>
      <c r="E26" s="178"/>
    </row>
    <row r="27" spans="2:5" ht="51" customHeight="1" x14ac:dyDescent="0.2">
      <c r="B27" s="90" t="s">
        <v>27</v>
      </c>
      <c r="C27" s="182" t="s">
        <v>28</v>
      </c>
      <c r="D27" s="182"/>
      <c r="E27" s="182"/>
    </row>
    <row r="29" spans="2:5" ht="15.75" x14ac:dyDescent="0.25">
      <c r="B29" s="179" t="s">
        <v>29</v>
      </c>
      <c r="C29" s="180"/>
      <c r="D29" s="180"/>
      <c r="E29" s="181"/>
    </row>
    <row r="30" spans="2:5" s="87" customFormat="1" ht="21" customHeight="1" x14ac:dyDescent="0.2">
      <c r="B30" s="91" t="s">
        <v>30</v>
      </c>
      <c r="C30" s="92"/>
      <c r="D30" s="174" t="s">
        <v>31</v>
      </c>
      <c r="E30" s="175"/>
    </row>
    <row r="31" spans="2:5" ht="21.6" customHeight="1" x14ac:dyDescent="0.2">
      <c r="B31" s="183" t="s">
        <v>32</v>
      </c>
      <c r="C31" s="184"/>
      <c r="D31" s="176" t="s">
        <v>33</v>
      </c>
      <c r="E31" s="185"/>
    </row>
    <row r="32" spans="2:5" ht="205.9" customHeight="1" x14ac:dyDescent="0.2">
      <c r="B32" s="168" t="s">
        <v>34</v>
      </c>
      <c r="C32" s="169"/>
      <c r="D32" s="162" t="s">
        <v>35</v>
      </c>
      <c r="E32" s="163"/>
    </row>
    <row r="33" spans="2:5" ht="51" customHeight="1" x14ac:dyDescent="0.2">
      <c r="B33" s="170"/>
      <c r="C33" s="171"/>
      <c r="D33" s="164"/>
      <c r="E33" s="165"/>
    </row>
    <row r="34" spans="2:5" ht="64.150000000000006" customHeight="1" x14ac:dyDescent="0.2">
      <c r="B34" s="172"/>
      <c r="C34" s="173"/>
      <c r="D34" s="166"/>
      <c r="E34" s="167"/>
    </row>
    <row r="36" spans="2:5" x14ac:dyDescent="0.2">
      <c r="B36" s="76" t="s">
        <v>36</v>
      </c>
    </row>
    <row r="37" spans="2:5" x14ac:dyDescent="0.2">
      <c r="B37" s="76" t="str">
        <f>Value_Application_Version</f>
        <v>Version 1.3 PY14</v>
      </c>
    </row>
  </sheetData>
  <sheetProtection algorithmName="SHA-512" hashValue="KMK2Gw6UIY/EUHnyqCR2uEWoyHxE7qGMisKRpKQPR+L1/wIQayF3MkJAUGYsTQpcsQvo2fbBaEKBTFNVoDbltg==" saltValue="E8Ro6QUkHQGUsSZmzjefWw==" spinCount="100000" sheet="1" objects="1" scenarios="1"/>
  <mergeCells count="23">
    <mergeCell ref="B2:C2"/>
    <mergeCell ref="B3:E3"/>
    <mergeCell ref="B5:E5"/>
    <mergeCell ref="B10:E10"/>
    <mergeCell ref="B18:E18"/>
    <mergeCell ref="B4:E4"/>
    <mergeCell ref="B6:E6"/>
    <mergeCell ref="B16:E16"/>
    <mergeCell ref="C13:E13"/>
    <mergeCell ref="C25:E25"/>
    <mergeCell ref="C27:E27"/>
    <mergeCell ref="B31:C31"/>
    <mergeCell ref="D31:E31"/>
    <mergeCell ref="C20:E20"/>
    <mergeCell ref="C21:E21"/>
    <mergeCell ref="C22:E22"/>
    <mergeCell ref="C24:E24"/>
    <mergeCell ref="C23:E23"/>
    <mergeCell ref="D32:E34"/>
    <mergeCell ref="B32:C34"/>
    <mergeCell ref="D30:E30"/>
    <mergeCell ref="C26:E26"/>
    <mergeCell ref="B29:E29"/>
  </mergeCells>
  <hyperlinks>
    <hyperlink ref="C7" r:id="rId1" xr:uid="{85875599-DC97-438C-B310-92242B84E0F4}"/>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1</xdr:col>
                    <xdr:colOff>104775</xdr:colOff>
                    <xdr:row>31</xdr:row>
                    <xdr:rowOff>981075</xdr:rowOff>
                  </from>
                  <to>
                    <xdr:col>2</xdr:col>
                    <xdr:colOff>2533650</xdr:colOff>
                    <xdr:row>31</xdr:row>
                    <xdr:rowOff>1352550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104775</xdr:colOff>
                    <xdr:row>31</xdr:row>
                    <xdr:rowOff>1190625</xdr:rowOff>
                  </from>
                  <to>
                    <xdr:col>2</xdr:col>
                    <xdr:colOff>1495425</xdr:colOff>
                    <xdr:row>31</xdr:row>
                    <xdr:rowOff>1495425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104775</xdr:colOff>
                    <xdr:row>31</xdr:row>
                    <xdr:rowOff>1390650</xdr:rowOff>
                  </from>
                  <to>
                    <xdr:col>2</xdr:col>
                    <xdr:colOff>590550</xdr:colOff>
                    <xdr:row>31</xdr:row>
                    <xdr:rowOff>1657350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104775</xdr:colOff>
                    <xdr:row>31</xdr:row>
                    <xdr:rowOff>1552575</xdr:rowOff>
                  </from>
                  <to>
                    <xdr:col>2</xdr:col>
                    <xdr:colOff>619125</xdr:colOff>
                    <xdr:row>31</xdr:row>
                    <xdr:rowOff>1838325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104775</xdr:colOff>
                    <xdr:row>31</xdr:row>
                    <xdr:rowOff>1733550</xdr:rowOff>
                  </from>
                  <to>
                    <xdr:col>2</xdr:col>
                    <xdr:colOff>1028700</xdr:colOff>
                    <xdr:row>31</xdr:row>
                    <xdr:rowOff>2000250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104775</xdr:colOff>
                    <xdr:row>31</xdr:row>
                    <xdr:rowOff>1933575</xdr:rowOff>
                  </from>
                  <to>
                    <xdr:col>2</xdr:col>
                    <xdr:colOff>1638300</xdr:colOff>
                    <xdr:row>31</xdr:row>
                    <xdr:rowOff>2181225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209550</xdr:colOff>
                    <xdr:row>31</xdr:row>
                    <xdr:rowOff>676275</xdr:rowOff>
                  </from>
                  <to>
                    <xdr:col>4</xdr:col>
                    <xdr:colOff>2600325</xdr:colOff>
                    <xdr:row>31</xdr:row>
                    <xdr:rowOff>1047750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209550</xdr:colOff>
                    <xdr:row>31</xdr:row>
                    <xdr:rowOff>885825</xdr:rowOff>
                  </from>
                  <to>
                    <xdr:col>4</xdr:col>
                    <xdr:colOff>1571625</xdr:colOff>
                    <xdr:row>31</xdr:row>
                    <xdr:rowOff>1190625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209550</xdr:colOff>
                    <xdr:row>31</xdr:row>
                    <xdr:rowOff>1085850</xdr:rowOff>
                  </from>
                  <to>
                    <xdr:col>4</xdr:col>
                    <xdr:colOff>685800</xdr:colOff>
                    <xdr:row>31</xdr:row>
                    <xdr:rowOff>1352550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209550</xdr:colOff>
                    <xdr:row>31</xdr:row>
                    <xdr:rowOff>1247775</xdr:rowOff>
                  </from>
                  <to>
                    <xdr:col>4</xdr:col>
                    <xdr:colOff>714375</xdr:colOff>
                    <xdr:row>31</xdr:row>
                    <xdr:rowOff>1533525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209550</xdr:colOff>
                    <xdr:row>31</xdr:row>
                    <xdr:rowOff>1428750</xdr:rowOff>
                  </from>
                  <to>
                    <xdr:col>4</xdr:col>
                    <xdr:colOff>1114425</xdr:colOff>
                    <xdr:row>31</xdr:row>
                    <xdr:rowOff>1695450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209550</xdr:colOff>
                    <xdr:row>31</xdr:row>
                    <xdr:rowOff>1628775</xdr:rowOff>
                  </from>
                  <to>
                    <xdr:col>4</xdr:col>
                    <xdr:colOff>1714500</xdr:colOff>
                    <xdr:row>31</xdr:row>
                    <xdr:rowOff>1876425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219075</xdr:colOff>
                    <xdr:row>32</xdr:row>
                    <xdr:rowOff>219075</xdr:rowOff>
                  </from>
                  <to>
                    <xdr:col>4</xdr:col>
                    <xdr:colOff>2476500</xdr:colOff>
                    <xdr:row>32</xdr:row>
                    <xdr:rowOff>438150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219075</xdr:colOff>
                    <xdr:row>32</xdr:row>
                    <xdr:rowOff>381000</xdr:rowOff>
                  </from>
                  <to>
                    <xdr:col>4</xdr:col>
                    <xdr:colOff>2228850</xdr:colOff>
                    <xdr:row>32</xdr:row>
                    <xdr:rowOff>600075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219075</xdr:colOff>
                    <xdr:row>32</xdr:row>
                    <xdr:rowOff>523875</xdr:rowOff>
                  </from>
                  <to>
                    <xdr:col>4</xdr:col>
                    <xdr:colOff>1828800</xdr:colOff>
                    <xdr:row>33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2"/>
  </sheetPr>
  <dimension ref="B1:E38"/>
  <sheetViews>
    <sheetView showGridLines="0" showRowColHeaders="0" workbookViewId="0">
      <selection activeCell="B3" sqref="B3:E3"/>
    </sheetView>
  </sheetViews>
  <sheetFormatPr defaultColWidth="9.140625" defaultRowHeight="12.75" x14ac:dyDescent="0.2"/>
  <cols>
    <col min="1" max="1" width="2.28515625" style="76" customWidth="1"/>
    <col min="2" max="2" width="29.28515625" style="76" customWidth="1"/>
    <col min="3" max="3" width="24.42578125" style="76" customWidth="1"/>
    <col min="4" max="4" width="29.28515625" style="76" customWidth="1"/>
    <col min="5" max="5" width="24.42578125" style="76" customWidth="1"/>
    <col min="6" max="16384" width="9.140625" style="76"/>
  </cols>
  <sheetData>
    <row r="1" spans="2:5" ht="59.45" customHeight="1" x14ac:dyDescent="0.2"/>
    <row r="2" spans="2:5" s="95" customFormat="1" ht="27.6" customHeight="1" x14ac:dyDescent="0.2">
      <c r="B2" s="209" t="s">
        <v>37</v>
      </c>
      <c r="C2" s="209"/>
      <c r="D2" s="209"/>
      <c r="E2" s="209"/>
    </row>
    <row r="3" spans="2:5" ht="58.5" customHeight="1" x14ac:dyDescent="0.2">
      <c r="B3" s="212" t="s">
        <v>38</v>
      </c>
      <c r="C3" s="213"/>
      <c r="D3" s="213"/>
      <c r="E3" s="213"/>
    </row>
    <row r="4" spans="2:5" ht="15.75" x14ac:dyDescent="0.2">
      <c r="B4" s="188" t="s">
        <v>39</v>
      </c>
      <c r="C4" s="188"/>
      <c r="D4" s="188"/>
      <c r="E4" s="188"/>
    </row>
    <row r="5" spans="2:5" ht="35.25" customHeight="1" x14ac:dyDescent="0.2">
      <c r="B5" s="214" t="s">
        <v>40</v>
      </c>
      <c r="C5" s="215"/>
      <c r="D5" s="215"/>
      <c r="E5" s="216"/>
    </row>
    <row r="6" spans="2:5" ht="24" customHeight="1" x14ac:dyDescent="0.2">
      <c r="B6" s="217" t="s">
        <v>41</v>
      </c>
      <c r="C6" s="218"/>
      <c r="D6" s="218"/>
      <c r="E6" s="219"/>
    </row>
    <row r="8" spans="2:5" ht="13.5" customHeight="1" x14ac:dyDescent="0.2">
      <c r="B8" s="210" t="s">
        <v>42</v>
      </c>
      <c r="C8" s="211"/>
      <c r="D8" s="211"/>
      <c r="E8" s="211"/>
    </row>
    <row r="9" spans="2:5" ht="139.9" customHeight="1" x14ac:dyDescent="0.2">
      <c r="B9" s="199" t="s">
        <v>426</v>
      </c>
      <c r="C9" s="199"/>
      <c r="D9" s="199"/>
      <c r="E9" s="199"/>
    </row>
    <row r="10" spans="2:5" ht="15" customHeight="1" x14ac:dyDescent="0.2"/>
    <row r="11" spans="2:5" ht="15" customHeight="1" x14ac:dyDescent="0.2">
      <c r="B11" s="210" t="s">
        <v>43</v>
      </c>
      <c r="C11" s="211"/>
      <c r="D11" s="211"/>
      <c r="E11" s="211"/>
    </row>
    <row r="12" spans="2:5" x14ac:dyDescent="0.2">
      <c r="B12" s="200" t="s">
        <v>44</v>
      </c>
      <c r="C12" s="200"/>
      <c r="D12" s="200" t="s">
        <v>45</v>
      </c>
      <c r="E12" s="200"/>
    </row>
    <row r="13" spans="2:5" x14ac:dyDescent="0.2">
      <c r="B13" s="199" t="s">
        <v>46</v>
      </c>
      <c r="C13" s="199"/>
      <c r="D13" s="199" t="s">
        <v>47</v>
      </c>
      <c r="E13" s="199"/>
    </row>
    <row r="14" spans="2:5" x14ac:dyDescent="0.2">
      <c r="B14" s="199" t="s">
        <v>48</v>
      </c>
      <c r="C14" s="199"/>
      <c r="D14" s="199" t="s">
        <v>49</v>
      </c>
      <c r="E14" s="199"/>
    </row>
    <row r="15" spans="2:5" x14ac:dyDescent="0.2">
      <c r="B15" s="199" t="s">
        <v>427</v>
      </c>
      <c r="C15" s="199"/>
      <c r="D15" s="199" t="s">
        <v>50</v>
      </c>
      <c r="E15" s="199"/>
    </row>
    <row r="16" spans="2:5" x14ac:dyDescent="0.2">
      <c r="B16" s="199" t="s">
        <v>51</v>
      </c>
      <c r="C16" s="199"/>
      <c r="D16" s="199" t="s">
        <v>52</v>
      </c>
      <c r="E16" s="199"/>
    </row>
    <row r="17" spans="2:5" x14ac:dyDescent="0.2">
      <c r="B17" s="97"/>
      <c r="C17" s="97"/>
      <c r="D17" s="98"/>
      <c r="E17" s="98"/>
    </row>
    <row r="18" spans="2:5" ht="18.75" customHeight="1" x14ac:dyDescent="0.25">
      <c r="B18" s="197" t="s">
        <v>53</v>
      </c>
      <c r="C18" s="198"/>
      <c r="D18" s="198"/>
      <c r="E18" s="198"/>
    </row>
    <row r="19" spans="2:5" ht="87.75" customHeight="1" x14ac:dyDescent="0.2">
      <c r="B19" s="199" t="s">
        <v>428</v>
      </c>
      <c r="C19" s="199"/>
      <c r="D19" s="199"/>
      <c r="E19" s="199"/>
    </row>
    <row r="20" spans="2:5" ht="15" customHeight="1" x14ac:dyDescent="0.2">
      <c r="B20" s="201" t="s">
        <v>54</v>
      </c>
      <c r="C20" s="201"/>
      <c r="D20" s="201"/>
      <c r="E20" s="201"/>
    </row>
    <row r="22" spans="2:5" ht="15.75" x14ac:dyDescent="0.25">
      <c r="B22" s="203" t="s">
        <v>55</v>
      </c>
      <c r="C22" s="204"/>
      <c r="D22" s="204"/>
      <c r="E22" s="205"/>
    </row>
    <row r="23" spans="2:5" ht="122.45" customHeight="1" x14ac:dyDescent="0.2">
      <c r="B23" s="202" t="s">
        <v>429</v>
      </c>
      <c r="C23" s="202"/>
      <c r="D23" s="202"/>
      <c r="E23" s="202"/>
    </row>
    <row r="24" spans="2:5" ht="17.25" customHeight="1" x14ac:dyDescent="0.2">
      <c r="B24" s="206" t="s">
        <v>56</v>
      </c>
      <c r="C24" s="207"/>
      <c r="D24" s="207"/>
      <c r="E24" s="208"/>
    </row>
    <row r="26" spans="2:5" ht="15.75" x14ac:dyDescent="0.25">
      <c r="B26" s="197" t="s">
        <v>57</v>
      </c>
      <c r="C26" s="198"/>
      <c r="D26" s="198"/>
      <c r="E26" s="198"/>
    </row>
    <row r="27" spans="2:5" ht="12.75" customHeight="1" x14ac:dyDescent="0.2">
      <c r="B27" s="200" t="s">
        <v>44</v>
      </c>
      <c r="C27" s="200"/>
      <c r="D27" s="200" t="s">
        <v>58</v>
      </c>
      <c r="E27" s="200"/>
    </row>
    <row r="28" spans="2:5" ht="12.75" customHeight="1" x14ac:dyDescent="0.2">
      <c r="B28" s="199" t="s">
        <v>46</v>
      </c>
      <c r="C28" s="199"/>
      <c r="D28" s="199" t="s">
        <v>59</v>
      </c>
      <c r="E28" s="199"/>
    </row>
    <row r="29" spans="2:5" ht="12.75" customHeight="1" x14ac:dyDescent="0.2">
      <c r="B29" s="199" t="s">
        <v>48</v>
      </c>
      <c r="C29" s="199"/>
      <c r="D29" s="199" t="s">
        <v>60</v>
      </c>
      <c r="E29" s="199"/>
    </row>
    <row r="30" spans="2:5" ht="12.75" customHeight="1" x14ac:dyDescent="0.2">
      <c r="B30" s="199" t="s">
        <v>427</v>
      </c>
      <c r="C30" s="199"/>
      <c r="D30" s="199" t="s">
        <v>61</v>
      </c>
      <c r="E30" s="199"/>
    </row>
    <row r="31" spans="2:5" ht="12.75" customHeight="1" x14ac:dyDescent="0.2">
      <c r="B31" s="199" t="s">
        <v>51</v>
      </c>
      <c r="C31" s="199"/>
      <c r="D31" s="199" t="s">
        <v>62</v>
      </c>
      <c r="E31" s="199"/>
    </row>
    <row r="32" spans="2:5" ht="87" customHeight="1" x14ac:dyDescent="0.2">
      <c r="B32" s="199" t="s">
        <v>63</v>
      </c>
      <c r="C32" s="199"/>
      <c r="D32" s="199"/>
      <c r="E32" s="199"/>
    </row>
    <row r="34" spans="2:2" x14ac:dyDescent="0.2">
      <c r="B34" s="76" t="s">
        <v>36</v>
      </c>
    </row>
    <row r="35" spans="2:2" x14ac:dyDescent="0.2">
      <c r="B35" s="76" t="str">
        <f>Value_Application_Version</f>
        <v>Version 1.3 PY14</v>
      </c>
    </row>
    <row r="38" spans="2:2" ht="15" customHeight="1" x14ac:dyDescent="0.2"/>
  </sheetData>
  <sheetProtection algorithmName="SHA-512" hashValue="jniqThUtvFSvYom6FPb4vadKgtD18RkEHnJINfsjTVZoMQxBCoXWz/JPliquf+zmZBkN7QvkX2kSKu23dzrOpg==" saltValue="axtzTMC3ZxFdQUCqtIbPoQ==" spinCount="100000" sheet="1" objects="1" scenarios="1"/>
  <mergeCells count="36">
    <mergeCell ref="B2:E2"/>
    <mergeCell ref="B8:E8"/>
    <mergeCell ref="B14:C14"/>
    <mergeCell ref="D14:E14"/>
    <mergeCell ref="B15:C15"/>
    <mergeCell ref="B4:E4"/>
    <mergeCell ref="B3:E3"/>
    <mergeCell ref="B5:E5"/>
    <mergeCell ref="B12:C12"/>
    <mergeCell ref="B9:E9"/>
    <mergeCell ref="B11:E11"/>
    <mergeCell ref="D12:E12"/>
    <mergeCell ref="B13:C13"/>
    <mergeCell ref="D13:E13"/>
    <mergeCell ref="D15:E15"/>
    <mergeCell ref="B6:E6"/>
    <mergeCell ref="B32:E32"/>
    <mergeCell ref="B26:E26"/>
    <mergeCell ref="B23:E23"/>
    <mergeCell ref="B22:E22"/>
    <mergeCell ref="B24:E24"/>
    <mergeCell ref="B28:C28"/>
    <mergeCell ref="D28:E28"/>
    <mergeCell ref="B29:C29"/>
    <mergeCell ref="D29:E29"/>
    <mergeCell ref="B30:C30"/>
    <mergeCell ref="D30:E30"/>
    <mergeCell ref="B31:C31"/>
    <mergeCell ref="D31:E31"/>
    <mergeCell ref="B18:E18"/>
    <mergeCell ref="B19:E19"/>
    <mergeCell ref="B27:C27"/>
    <mergeCell ref="D27:E27"/>
    <mergeCell ref="B16:C16"/>
    <mergeCell ref="D16:E16"/>
    <mergeCell ref="B20:E20"/>
  </mergeCells>
  <hyperlinks>
    <hyperlink ref="B20" r:id="rId1" tooltip="Prescriptive Overview" display="Prescriptive Pre-Approval Process Over $5,000" xr:uid="{72E03B6F-2705-4779-AA9F-8FECBF86AB10}"/>
    <hyperlink ref="B20:C20" r:id="rId2" tooltip="Prescriptive Overview" display="Prescriptive Pre-Approval Process" xr:uid="{DA1980A1-51F4-42CA-94FB-453289A1E634}"/>
    <hyperlink ref="B24" r:id="rId3" xr:uid="{56098389-74F9-46C8-B863-A58AB46175F1}"/>
    <hyperlink ref="B6" r:id="rId4" xr:uid="{FD453EE6-DC98-4426-9B75-A0DB6C81623A}"/>
  </hyperlinks>
  <pageMargins left="0.7" right="0.7" top="0.75" bottom="0.75" header="0.3" footer="0.3"/>
  <pageSetup scale="68" orientation="landscape" verticalDpi="1200"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3"/>
  <sheetViews>
    <sheetView showGridLines="0" showRowColHeaders="0" workbookViewId="0">
      <selection activeCell="C4" sqref="C4"/>
    </sheetView>
  </sheetViews>
  <sheetFormatPr defaultColWidth="9.140625" defaultRowHeight="12.75" x14ac:dyDescent="0.2"/>
  <cols>
    <col min="1" max="1" width="2.28515625" style="76" customWidth="1"/>
    <col min="2" max="2" width="31.85546875" style="102" customWidth="1"/>
    <col min="3" max="3" width="39.140625" style="76" customWidth="1"/>
    <col min="4" max="4" width="1.7109375" style="76" customWidth="1"/>
    <col min="5" max="5" width="31.85546875" style="102" customWidth="1"/>
    <col min="6" max="6" width="39.140625" style="76" customWidth="1"/>
    <col min="7" max="7" width="9.140625" style="76"/>
    <col min="8" max="8" width="45.85546875" style="76" customWidth="1"/>
    <col min="9" max="16384" width="9.140625" style="76"/>
  </cols>
  <sheetData>
    <row r="1" spans="2:8" ht="53.25" customHeight="1" x14ac:dyDescent="0.2"/>
    <row r="2" spans="2:8" s="95" customFormat="1" ht="40.5" customHeight="1" x14ac:dyDescent="0.2">
      <c r="B2" s="209" t="s">
        <v>422</v>
      </c>
      <c r="C2" s="209"/>
      <c r="D2" s="209"/>
      <c r="E2" s="209"/>
      <c r="F2" s="209"/>
    </row>
    <row r="3" spans="2:8" ht="15.75" x14ac:dyDescent="0.2">
      <c r="B3" s="188" t="s">
        <v>65</v>
      </c>
      <c r="C3" s="188"/>
      <c r="E3" s="188" t="s">
        <v>64</v>
      </c>
      <c r="F3" s="188"/>
      <c r="H3" s="102"/>
    </row>
    <row r="4" spans="2:8" ht="12.75" customHeight="1" x14ac:dyDescent="0.2">
      <c r="B4" s="156" t="s">
        <v>66</v>
      </c>
      <c r="C4" s="93"/>
      <c r="E4" s="222" t="s">
        <v>67</v>
      </c>
      <c r="F4" s="223"/>
      <c r="H4" s="102"/>
    </row>
    <row r="5" spans="2:8" x14ac:dyDescent="0.2">
      <c r="B5" s="156" t="s">
        <v>68</v>
      </c>
      <c r="C5" s="93"/>
      <c r="E5" s="222"/>
      <c r="F5" s="223"/>
    </row>
    <row r="6" spans="2:8" ht="25.5" x14ac:dyDescent="0.2">
      <c r="B6" s="156" t="s">
        <v>69</v>
      </c>
      <c r="C6" s="93"/>
      <c r="E6" s="222"/>
      <c r="F6" s="223"/>
    </row>
    <row r="7" spans="2:8" x14ac:dyDescent="0.2">
      <c r="B7" s="156" t="s">
        <v>70</v>
      </c>
      <c r="C7" s="93"/>
      <c r="E7" s="222"/>
      <c r="F7" s="223"/>
    </row>
    <row r="8" spans="2:8" x14ac:dyDescent="0.2">
      <c r="B8" s="156" t="s">
        <v>71</v>
      </c>
      <c r="C8" s="93"/>
      <c r="E8" s="156" t="s">
        <v>72</v>
      </c>
      <c r="F8" s="100"/>
    </row>
    <row r="9" spans="2:8" ht="25.5" x14ac:dyDescent="0.2">
      <c r="B9" s="156" t="s">
        <v>73</v>
      </c>
      <c r="C9" s="93"/>
      <c r="E9" s="156" t="s">
        <v>74</v>
      </c>
      <c r="F9" s="100"/>
    </row>
    <row r="10" spans="2:8" x14ac:dyDescent="0.2">
      <c r="B10" s="156" t="s">
        <v>75</v>
      </c>
      <c r="C10" s="93"/>
      <c r="E10" s="156" t="s">
        <v>76</v>
      </c>
      <c r="F10" s="93"/>
    </row>
    <row r="11" spans="2:8" x14ac:dyDescent="0.2">
      <c r="B11" s="156" t="s">
        <v>77</v>
      </c>
      <c r="C11" s="93"/>
      <c r="E11" s="156" t="s">
        <v>78</v>
      </c>
      <c r="F11" s="93"/>
    </row>
    <row r="12" spans="2:8" ht="25.5" x14ac:dyDescent="0.2">
      <c r="B12" s="156" t="s">
        <v>79</v>
      </c>
      <c r="C12" s="93"/>
      <c r="E12" s="156" t="s">
        <v>80</v>
      </c>
      <c r="F12" s="93"/>
    </row>
    <row r="13" spans="2:8" ht="25.5" x14ac:dyDescent="0.2">
      <c r="B13" s="156" t="s">
        <v>430</v>
      </c>
      <c r="C13" s="93"/>
      <c r="E13" s="188" t="s">
        <v>81</v>
      </c>
      <c r="F13" s="188"/>
    </row>
    <row r="14" spans="2:8" ht="25.5" x14ac:dyDescent="0.2">
      <c r="B14" s="156" t="s">
        <v>82</v>
      </c>
      <c r="C14" s="93"/>
      <c r="D14" s="1"/>
      <c r="E14" s="156" t="s">
        <v>83</v>
      </c>
      <c r="F14" s="93"/>
    </row>
    <row r="15" spans="2:8" ht="15.75" x14ac:dyDescent="0.2">
      <c r="B15" s="188" t="s">
        <v>84</v>
      </c>
      <c r="C15" s="188"/>
      <c r="D15" s="1"/>
      <c r="E15" s="156" t="s">
        <v>85</v>
      </c>
      <c r="F15" s="93"/>
    </row>
    <row r="16" spans="2:8" x14ac:dyDescent="0.2">
      <c r="B16" s="156" t="s">
        <v>86</v>
      </c>
      <c r="C16" s="93"/>
      <c r="D16" s="1"/>
      <c r="E16" s="156" t="s">
        <v>87</v>
      </c>
      <c r="F16" s="93"/>
    </row>
    <row r="17" spans="2:6" x14ac:dyDescent="0.2">
      <c r="B17" s="156" t="s">
        <v>88</v>
      </c>
      <c r="C17" s="93"/>
      <c r="D17" s="1"/>
      <c r="E17" s="156" t="s">
        <v>70</v>
      </c>
      <c r="F17" s="93"/>
    </row>
    <row r="18" spans="2:6" x14ac:dyDescent="0.2">
      <c r="B18" s="156" t="s">
        <v>89</v>
      </c>
      <c r="C18" s="93"/>
      <c r="D18" s="1"/>
      <c r="E18" s="156" t="s">
        <v>71</v>
      </c>
      <c r="F18" s="93"/>
    </row>
    <row r="19" spans="2:6" x14ac:dyDescent="0.2">
      <c r="B19" s="156" t="s">
        <v>70</v>
      </c>
      <c r="C19" s="93"/>
      <c r="D19" s="1"/>
      <c r="E19" s="156" t="s">
        <v>90</v>
      </c>
      <c r="F19" s="93"/>
    </row>
    <row r="20" spans="2:6" x14ac:dyDescent="0.2">
      <c r="B20" s="156" t="s">
        <v>71</v>
      </c>
      <c r="C20" s="93"/>
      <c r="D20" s="1"/>
      <c r="E20" s="156" t="s">
        <v>75</v>
      </c>
      <c r="F20" s="93"/>
    </row>
    <row r="21" spans="2:6" x14ac:dyDescent="0.2">
      <c r="B21" s="156" t="s">
        <v>73</v>
      </c>
      <c r="C21" s="93"/>
      <c r="D21" s="1"/>
      <c r="E21" s="156" t="s">
        <v>91</v>
      </c>
      <c r="F21" s="93"/>
    </row>
    <row r="22" spans="2:6" x14ac:dyDescent="0.2">
      <c r="B22" s="156" t="s">
        <v>75</v>
      </c>
      <c r="C22" s="93"/>
      <c r="D22" s="1"/>
      <c r="E22" s="156" t="s">
        <v>92</v>
      </c>
      <c r="F22" s="93"/>
    </row>
    <row r="23" spans="2:6" x14ac:dyDescent="0.2">
      <c r="B23" s="156" t="s">
        <v>91</v>
      </c>
      <c r="C23" s="93"/>
      <c r="D23" s="1"/>
      <c r="E23" s="156" t="s">
        <v>93</v>
      </c>
      <c r="F23" s="93"/>
    </row>
    <row r="24" spans="2:6" x14ac:dyDescent="0.2">
      <c r="B24" s="156" t="s">
        <v>94</v>
      </c>
      <c r="C24" s="93"/>
      <c r="D24" s="1"/>
      <c r="E24" s="156" t="s">
        <v>95</v>
      </c>
      <c r="F24" s="93"/>
    </row>
    <row r="25" spans="2:6" ht="15.75" x14ac:dyDescent="0.2">
      <c r="B25" s="188" t="s">
        <v>96</v>
      </c>
      <c r="C25" s="188"/>
      <c r="D25" s="26"/>
      <c r="E25" s="156" t="s">
        <v>97</v>
      </c>
      <c r="F25" s="103"/>
    </row>
    <row r="26" spans="2:6" ht="25.5" x14ac:dyDescent="0.2">
      <c r="B26" s="156" t="s">
        <v>66</v>
      </c>
      <c r="C26" s="93"/>
      <c r="D26" s="26"/>
      <c r="E26" s="156" t="s">
        <v>98</v>
      </c>
      <c r="F26" s="93"/>
    </row>
    <row r="27" spans="2:6" x14ac:dyDescent="0.2">
      <c r="B27" s="156" t="s">
        <v>99</v>
      </c>
      <c r="C27" s="93"/>
      <c r="D27" s="1"/>
      <c r="E27" s="156" t="s">
        <v>100</v>
      </c>
      <c r="F27" s="104"/>
    </row>
    <row r="28" spans="2:6" x14ac:dyDescent="0.2">
      <c r="B28" s="156" t="s">
        <v>89</v>
      </c>
      <c r="C28" s="93"/>
      <c r="D28" s="1"/>
      <c r="E28" s="156" t="s">
        <v>101</v>
      </c>
      <c r="F28" s="93"/>
    </row>
    <row r="29" spans="2:6" x14ac:dyDescent="0.2">
      <c r="B29" s="156" t="s">
        <v>70</v>
      </c>
      <c r="C29" s="93"/>
      <c r="D29" s="26"/>
      <c r="E29" s="156" t="s">
        <v>432</v>
      </c>
      <c r="F29" s="93"/>
    </row>
    <row r="30" spans="2:6" x14ac:dyDescent="0.2">
      <c r="B30" s="156" t="s">
        <v>71</v>
      </c>
      <c r="C30" s="93"/>
      <c r="D30" s="26"/>
      <c r="E30" s="156" t="s">
        <v>431</v>
      </c>
      <c r="F30" s="93"/>
    </row>
    <row r="31" spans="2:6" ht="15.75" x14ac:dyDescent="0.2">
      <c r="B31" s="156" t="s">
        <v>73</v>
      </c>
      <c r="C31" s="93"/>
      <c r="D31" s="26"/>
      <c r="E31" s="220" t="s">
        <v>102</v>
      </c>
      <c r="F31" s="221"/>
    </row>
    <row r="32" spans="2:6" x14ac:dyDescent="0.2">
      <c r="B32" s="156" t="s">
        <v>75</v>
      </c>
      <c r="C32" s="93"/>
      <c r="D32" s="26"/>
      <c r="E32" s="156" t="s">
        <v>103</v>
      </c>
      <c r="F32" s="93"/>
    </row>
    <row r="33" spans="2:6" x14ac:dyDescent="0.2">
      <c r="B33" s="156" t="s">
        <v>91</v>
      </c>
      <c r="C33" s="93"/>
      <c r="D33" s="26"/>
      <c r="E33" s="156" t="s">
        <v>104</v>
      </c>
      <c r="F33" s="93"/>
    </row>
    <row r="34" spans="2:6" x14ac:dyDescent="0.2">
      <c r="B34" s="156" t="s">
        <v>105</v>
      </c>
      <c r="C34" s="93"/>
      <c r="D34" s="1"/>
      <c r="E34" s="156" t="s">
        <v>106</v>
      </c>
      <c r="F34" s="93"/>
    </row>
    <row r="35" spans="2:6" ht="15.75" x14ac:dyDescent="0.2">
      <c r="B35" s="220" t="s">
        <v>107</v>
      </c>
      <c r="C35" s="221"/>
      <c r="D35" s="1"/>
      <c r="E35" s="156" t="s">
        <v>108</v>
      </c>
      <c r="F35" s="93"/>
    </row>
    <row r="36" spans="2:6" ht="25.5" x14ac:dyDescent="0.2">
      <c r="B36" s="156" t="s">
        <v>109</v>
      </c>
      <c r="C36" s="93"/>
      <c r="D36" s="1"/>
      <c r="E36" s="156" t="s">
        <v>110</v>
      </c>
      <c r="F36" s="93"/>
    </row>
    <row r="37" spans="2:6" ht="25.5" x14ac:dyDescent="0.2">
      <c r="B37" s="156" t="s">
        <v>111</v>
      </c>
      <c r="C37" s="93"/>
      <c r="D37" s="1"/>
    </row>
    <row r="38" spans="2:6" x14ac:dyDescent="0.2">
      <c r="D38" s="1"/>
    </row>
    <row r="39" spans="2:6" x14ac:dyDescent="0.2">
      <c r="B39" s="76" t="s">
        <v>36</v>
      </c>
      <c r="E39" s="76"/>
    </row>
    <row r="40" spans="2:6" x14ac:dyDescent="0.2">
      <c r="B40" s="76" t="str">
        <f>Value_Application_Version</f>
        <v>Version 1.3 PY14</v>
      </c>
      <c r="E40" s="76"/>
    </row>
    <row r="41" spans="2:6" x14ac:dyDescent="0.2">
      <c r="B41" s="76"/>
      <c r="E41" s="76"/>
    </row>
    <row r="46" spans="2:6" x14ac:dyDescent="0.2">
      <c r="D46" s="1"/>
    </row>
    <row r="47" spans="2:6" x14ac:dyDescent="0.2">
      <c r="D47" s="1"/>
    </row>
    <row r="48" spans="2:6" x14ac:dyDescent="0.2">
      <c r="D48" s="1"/>
    </row>
    <row r="49" spans="4:6" x14ac:dyDescent="0.2">
      <c r="D49" s="1"/>
    </row>
    <row r="50" spans="4:6" x14ac:dyDescent="0.2">
      <c r="D50" s="1"/>
    </row>
    <row r="53" spans="4:6" x14ac:dyDescent="0.2">
      <c r="E53" s="35"/>
      <c r="F53" s="24"/>
    </row>
  </sheetData>
  <sheetProtection algorithmName="SHA-512" hashValue="o0Orm92ZJ9taIcR6SMpMemQTTPUdM8po/1b6UvgxtzpPsDIs44zgbY8dbfQ3HxlrrG5tHTntrAsQ20oXMcf2Tg==" saltValue="HN7BRK7ReY49sxzrv+m6VQ==" spinCount="100000" sheet="1" objects="1" scenarios="1"/>
  <mergeCells count="10">
    <mergeCell ref="B2:F2"/>
    <mergeCell ref="B35:C35"/>
    <mergeCell ref="E31:F31"/>
    <mergeCell ref="B3:C3"/>
    <mergeCell ref="B15:C15"/>
    <mergeCell ref="B25:C25"/>
    <mergeCell ref="E13:F13"/>
    <mergeCell ref="E3:F3"/>
    <mergeCell ref="E4:E7"/>
    <mergeCell ref="F4:F7"/>
  </mergeCells>
  <dataValidations count="12">
    <dataValidation type="list" allowBlank="1" showInputMessage="1" showErrorMessage="1" sqref="F28" xr:uid="{00000000-0002-0000-0000-000002000000}">
      <formula1>List_Bldg_Types</formula1>
    </dataValidation>
    <dataValidation type="list" allowBlank="1" showInputMessage="1" showErrorMessage="1" sqref="F10" xr:uid="{00000000-0002-0000-0000-000003000000}">
      <formula1>List_Programs</formula1>
    </dataValidation>
    <dataValidation type="list" allowBlank="1" showInputMessage="1" showErrorMessage="1" sqref="F11" xr:uid="{00000000-0002-0000-0000-000004000000}">
      <formula1>List_Project_Stage</formula1>
    </dataValidation>
    <dataValidation type="list" allowBlank="1" showInputMessage="1" showErrorMessage="1" sqref="C12" xr:uid="{0EBF6B33-1A25-49CE-80DE-696F82CF9E69}">
      <formula1>List_Biz_Class</formula1>
    </dataValidation>
    <dataValidation type="list" allowBlank="1" showInputMessage="1" showErrorMessage="1" sqref="C13" xr:uid="{0F89A28A-20F8-4D05-8E72-DB2A6565CB96}">
      <formula1>List_Y_N_U</formula1>
    </dataValidation>
    <dataValidation type="list" allowBlank="1" showInputMessage="1" showErrorMessage="1" sqref="C14" xr:uid="{120E868B-F5BC-44EE-B13D-327ECB6A0725}">
      <formula1>List_DBE_Option</formula1>
    </dataValidation>
    <dataValidation type="list" allowBlank="1" showInputMessage="1" showErrorMessage="1" sqref="C37" xr:uid="{CFD7840C-5FA5-4E75-9F4D-52B558FFD9A7}">
      <formula1>List_Source</formula1>
    </dataValidation>
    <dataValidation type="list" allowBlank="1" showInputMessage="1" showErrorMessage="1" sqref="C36 F32" xr:uid="{DC170A83-A959-4CA6-83A5-494973C08389}">
      <formula1>List_Contacts</formula1>
    </dataValidation>
    <dataValidation type="list" allowBlank="1" showInputMessage="1" showErrorMessage="1" sqref="F30" xr:uid="{4AF9D84C-08C0-47DC-940B-4578E57C7E71}">
      <formula1>List_Water_Heating</formula1>
    </dataValidation>
    <dataValidation type="list" allowBlank="1" showInputMessage="1" showErrorMessage="1" sqref="F29" xr:uid="{720DAE66-CD56-4ABB-8753-00BA9609686C}">
      <formula1>List_HVAC</formula1>
    </dataValidation>
    <dataValidation type="list" allowBlank="1" showInputMessage="1" showErrorMessage="1" sqref="F12" xr:uid="{86B206BE-1E08-4349-A3E6-E8C1334ABFB2}">
      <formula1>List_Install_Type</formula1>
    </dataValidation>
    <dataValidation type="list" allowBlank="1" showInputMessage="1" showErrorMessage="1" sqref="F36"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F26</xm:sqref>
        </x14:dataValidation>
        <x14:dataValidation type="list" allowBlank="1" showInputMessage="1" showErrorMessage="1" xr:uid="{8DBB6B1A-EC45-4445-AADC-6C9B4FC7FE62}">
          <x14:formula1>
            <xm:f>References!$AB$4:$AB$5</xm:f>
          </x14:formula1>
          <xm:sqref>F23 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19"/>
  <sheetViews>
    <sheetView showGridLines="0" showRowColHeaders="0" workbookViewId="0">
      <selection activeCell="B16" sqref="B16"/>
    </sheetView>
  </sheetViews>
  <sheetFormatPr defaultColWidth="9.140625" defaultRowHeight="12.75" x14ac:dyDescent="0.2"/>
  <cols>
    <col min="1" max="1" width="1.85546875" style="72" customWidth="1"/>
    <col min="2" max="2" width="56" style="72" customWidth="1"/>
    <col min="3" max="3" width="6.140625" style="72" customWidth="1"/>
    <col min="4" max="4" width="20.42578125" style="72" customWidth="1"/>
    <col min="5" max="5" width="29.42578125" style="72" customWidth="1"/>
    <col min="6" max="16384" width="9.140625" style="72"/>
  </cols>
  <sheetData>
    <row r="1" spans="2:5" ht="62.45" customHeight="1" x14ac:dyDescent="0.2"/>
    <row r="2" spans="2:5" s="101" customFormat="1" ht="28.9" customHeight="1" x14ac:dyDescent="0.2">
      <c r="B2" s="209" t="s">
        <v>172</v>
      </c>
      <c r="C2" s="209"/>
      <c r="D2" s="209"/>
      <c r="E2" s="209"/>
    </row>
    <row r="3" spans="2:5" ht="12.75" customHeight="1" x14ac:dyDescent="0.2"/>
    <row r="5" spans="2:5" x14ac:dyDescent="0.2">
      <c r="B5" s="148" t="s">
        <v>438</v>
      </c>
    </row>
    <row r="7" spans="2:5" x14ac:dyDescent="0.2">
      <c r="B7" s="196" t="s">
        <v>173</v>
      </c>
      <c r="C7" s="196"/>
      <c r="D7" s="196"/>
      <c r="E7" s="196"/>
    </row>
    <row r="8" spans="2:5" x14ac:dyDescent="0.2">
      <c r="B8" s="196"/>
      <c r="C8" s="196"/>
      <c r="D8" s="196"/>
      <c r="E8" s="196"/>
    </row>
    <row r="9" spans="2:5" x14ac:dyDescent="0.2">
      <c r="B9" s="196"/>
      <c r="C9" s="196"/>
      <c r="D9" s="196"/>
      <c r="E9" s="196"/>
    </row>
    <row r="10" spans="2:5" ht="26.25" customHeight="1" x14ac:dyDescent="0.2">
      <c r="B10" s="196"/>
      <c r="C10" s="196"/>
      <c r="D10" s="196"/>
      <c r="E10" s="196"/>
    </row>
    <row r="11" spans="2:5" x14ac:dyDescent="0.2">
      <c r="B11" s="85"/>
      <c r="C11" s="85"/>
      <c r="D11" s="85"/>
      <c r="E11" s="85"/>
    </row>
    <row r="12" spans="2:5" x14ac:dyDescent="0.2">
      <c r="B12" s="149" t="s">
        <v>174</v>
      </c>
      <c r="C12" s="85"/>
      <c r="D12" s="85"/>
      <c r="E12" s="85"/>
    </row>
    <row r="13" spans="2:5" x14ac:dyDescent="0.2">
      <c r="B13" s="85"/>
      <c r="C13" s="85"/>
      <c r="D13" s="85"/>
      <c r="E13" s="85"/>
    </row>
    <row r="14" spans="2:5" x14ac:dyDescent="0.2">
      <c r="B14" s="85"/>
      <c r="C14" s="85"/>
      <c r="D14" s="85"/>
      <c r="E14" s="85"/>
    </row>
    <row r="15" spans="2:5" x14ac:dyDescent="0.2">
      <c r="B15" s="148" t="s">
        <v>175</v>
      </c>
      <c r="D15" s="148" t="s">
        <v>176</v>
      </c>
    </row>
    <row r="16" spans="2:5" x14ac:dyDescent="0.2">
      <c r="B16" s="150"/>
      <c r="D16" s="100"/>
    </row>
    <row r="17" spans="2:2" ht="12.75" customHeight="1" x14ac:dyDescent="0.2"/>
    <row r="18" spans="2:2" x14ac:dyDescent="0.2">
      <c r="B18" s="72" t="s">
        <v>36</v>
      </c>
    </row>
    <row r="19" spans="2:2" x14ac:dyDescent="0.2">
      <c r="B19" s="72" t="str">
        <f>Value_Application_Version</f>
        <v>Version 1.3 PY14</v>
      </c>
    </row>
  </sheetData>
  <sheetProtection algorithmName="SHA-512" hashValue="wTX3NwuKj6oBBAFsq9iv8//mxhYC+qm9mUR9NuqWH8wSOumfvCzWgvTiWjVeBr9EmXFGSMIJ0Oo45DtDHMCvDQ==" saltValue="r22CPPv3DBUmheydnpmI8w==" spinCount="100000" sheet="1" objects="1" scenarios="1"/>
  <mergeCells count="2">
    <mergeCell ref="B2:E2"/>
    <mergeCell ref="B7:E10"/>
  </mergeCells>
  <hyperlinks>
    <hyperlink ref="B12" r:id="rId1" xr:uid="{31F080B0-8E2C-43C0-A77C-93D14170E88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F3D1-E9DE-44AC-8274-313AADBDB392}">
  <sheetPr>
    <tabColor theme="6"/>
  </sheetPr>
  <dimension ref="A1:N20"/>
  <sheetViews>
    <sheetView showGridLines="0" showRowColHeaders="0" workbookViewId="0">
      <selection activeCell="B4" sqref="B4"/>
    </sheetView>
  </sheetViews>
  <sheetFormatPr defaultColWidth="9.140625" defaultRowHeight="12.75" x14ac:dyDescent="0.2"/>
  <cols>
    <col min="1" max="1" width="21.85546875" style="72" customWidth="1"/>
    <col min="2" max="2" width="27.28515625" style="72" customWidth="1"/>
    <col min="3" max="3" width="5.28515625" style="72" customWidth="1"/>
    <col min="4" max="4" width="9.7109375" style="72" customWidth="1"/>
    <col min="5" max="5" width="36.42578125" style="72" customWidth="1"/>
    <col min="6" max="6" width="35.42578125" style="72" customWidth="1"/>
    <col min="7" max="7" width="28.28515625" style="72" customWidth="1"/>
    <col min="8" max="8" width="12.7109375" style="72" customWidth="1"/>
    <col min="9" max="9" width="14.5703125" style="72" customWidth="1"/>
    <col min="10" max="10" width="21.85546875" style="72" hidden="1" customWidth="1"/>
    <col min="11" max="11" width="14.5703125" style="72" hidden="1" customWidth="1"/>
    <col min="12" max="12" width="18.28515625" style="72" hidden="1" customWidth="1"/>
    <col min="13" max="13" width="12.28515625" style="72" hidden="1" customWidth="1"/>
    <col min="14" max="14" width="5.28515625" style="72" hidden="1" customWidth="1"/>
    <col min="15" max="22" width="9.140625" style="72"/>
    <col min="23" max="27" width="8.7109375" style="72"/>
    <col min="28" max="45" width="9.140625" style="72"/>
    <col min="46" max="46" width="8.7109375" style="72"/>
    <col min="47" max="16384" width="9.140625" style="72"/>
  </cols>
  <sheetData>
    <row r="1" spans="1:14" ht="54" customHeight="1" x14ac:dyDescent="0.2"/>
    <row r="2" spans="1:14" s="101" customFormat="1" ht="46.35" customHeight="1" x14ac:dyDescent="0.2">
      <c r="A2" s="209" t="s">
        <v>112</v>
      </c>
      <c r="B2" s="209"/>
      <c r="C2" s="209"/>
      <c r="D2" s="209"/>
      <c r="E2" s="209"/>
      <c r="F2" s="209"/>
      <c r="G2" s="209"/>
    </row>
    <row r="3" spans="1:14" ht="21" customHeight="1" x14ac:dyDescent="0.2">
      <c r="A3" s="224" t="s">
        <v>113</v>
      </c>
      <c r="B3" s="224"/>
      <c r="C3" s="224"/>
      <c r="D3" s="224"/>
      <c r="E3" s="224"/>
      <c r="F3" s="224"/>
      <c r="G3" s="224"/>
      <c r="H3" s="224"/>
      <c r="I3" s="224"/>
    </row>
    <row r="4" spans="1:14" ht="38.25" x14ac:dyDescent="0.2">
      <c r="A4" s="157" t="s">
        <v>44</v>
      </c>
      <c r="B4" s="112"/>
    </row>
    <row r="5" spans="1:14" ht="38.25" x14ac:dyDescent="0.2">
      <c r="A5" s="156" t="s">
        <v>114</v>
      </c>
      <c r="B5" s="93"/>
      <c r="E5" s="225" t="str">
        <f>IF(B5="Yes", "Submission of power logging data is required (two weeks logging data prior to leak repairs and two weeks post leak repairs).  Please contact your Energy Advisor or commercialapps@energysmartnola.com for information on submitting power logging data.", "")</f>
        <v/>
      </c>
      <c r="F5" s="225"/>
      <c r="G5" s="225"/>
      <c r="H5" s="225"/>
      <c r="I5" s="225"/>
    </row>
    <row r="6" spans="1:14" ht="76.5" x14ac:dyDescent="0.2">
      <c r="A6" s="156" t="s">
        <v>115</v>
      </c>
      <c r="B6" s="93"/>
      <c r="E6" s="225" t="str">
        <f>IF(B6="Yes", "Submission of air logging data is required (two weeks logging data prior to leak repairs and two weeks post leak repairs).  Please contact your Energy Advisor or commercialapps@energysmartnola.com for information on submitting air logging data.", "")</f>
        <v/>
      </c>
      <c r="F6" s="225"/>
      <c r="G6" s="225"/>
      <c r="H6" s="225"/>
      <c r="I6" s="225"/>
    </row>
    <row r="8" spans="1:14" ht="26.25" customHeight="1" x14ac:dyDescent="0.2">
      <c r="A8" s="224" t="s">
        <v>116</v>
      </c>
      <c r="B8" s="224"/>
      <c r="C8" s="224"/>
      <c r="D8" s="224"/>
      <c r="E8" s="224"/>
      <c r="F8" s="224"/>
      <c r="G8" s="224"/>
      <c r="H8" s="224"/>
      <c r="I8" s="224"/>
    </row>
    <row r="9" spans="1:14" ht="38.25" x14ac:dyDescent="0.2">
      <c r="A9" s="158" t="s">
        <v>117</v>
      </c>
      <c r="B9" s="158" t="s">
        <v>118</v>
      </c>
      <c r="C9" s="158" t="s">
        <v>119</v>
      </c>
      <c r="D9" s="158" t="s">
        <v>120</v>
      </c>
      <c r="E9" s="158" t="s">
        <v>121</v>
      </c>
      <c r="F9" s="158" t="s">
        <v>122</v>
      </c>
      <c r="G9" s="158" t="s">
        <v>123</v>
      </c>
      <c r="H9" s="158" t="s">
        <v>124</v>
      </c>
      <c r="I9" s="158" t="s">
        <v>125</v>
      </c>
      <c r="J9" s="105" t="s">
        <v>126</v>
      </c>
      <c r="K9" s="105" t="s">
        <v>127</v>
      </c>
      <c r="L9" s="105" t="s">
        <v>128</v>
      </c>
      <c r="M9" s="105" t="s">
        <v>129</v>
      </c>
      <c r="N9" s="105" t="s">
        <v>130</v>
      </c>
    </row>
    <row r="10" spans="1:14" x14ac:dyDescent="0.2">
      <c r="A10" s="93"/>
      <c r="B10" s="93"/>
      <c r="C10" s="109"/>
      <c r="D10" s="109"/>
      <c r="E10" s="110"/>
      <c r="F10" s="110"/>
      <c r="G10" s="110"/>
      <c r="H10" s="111"/>
      <c r="I10" s="111"/>
      <c r="J10" s="106" t="e">
        <f>Table_CompData_Input[[#This Row],[HP]]*Value_MaxIncent_perHP</f>
        <v>#N/A</v>
      </c>
      <c r="K10" s="107" t="str">
        <f>IFERROR(INDEX(Table_Shift_Hours[AOH], MATCH(Table_CompData_Input[[#This Row],[Operating schedule]], Table_Shift_Hours[List_Comp_ShiftType], 0)), "")</f>
        <v/>
      </c>
      <c r="L10" s="105" t="str">
        <f>IFERROR(INDEX(Table_Control_Eff[Efficiency (kW/cfm)], MATCH(Table_CompData_Input[[#This Row],[Control strategy]], Table_Control_Eff[List_Control_Type], 0)), "")</f>
        <v/>
      </c>
      <c r="M10" s="105" t="str">
        <f>IFERROR(INDEX(Table_Load_Mode[Assumed Load], MATCH(Table_CompData_Input[[#This Row],[Primary operating mode]], Table_Load_Mode[List_Operating_Mode], 0)), "")</f>
        <v/>
      </c>
      <c r="N10" s="105" t="str">
        <f>IFERROR(Table_CompData_Input[[#This Row],[CFM capacity]]*Table_CompData_Input[[#This Row],[Assumed Load]], "")</f>
        <v/>
      </c>
    </row>
    <row r="11" spans="1:14" x14ac:dyDescent="0.2">
      <c r="A11" s="93"/>
      <c r="B11" s="93"/>
      <c r="C11" s="109"/>
      <c r="D11" s="109"/>
      <c r="E11" s="110"/>
      <c r="F11" s="110"/>
      <c r="G11" s="110"/>
      <c r="H11" s="111"/>
      <c r="I11" s="111"/>
      <c r="J11" s="106" t="e">
        <f>Table_CompData_Input[[#This Row],[HP]]*Value_MaxIncent_perHP</f>
        <v>#N/A</v>
      </c>
      <c r="K11" s="107" t="str">
        <f>IFERROR(INDEX(Table_Shift_Hours[AOH], MATCH(Table_CompData_Input[[#This Row],[Operating schedule]], Table_Shift_Hours[List_Comp_ShiftType], 0)), "")</f>
        <v/>
      </c>
      <c r="L11" s="105" t="str">
        <f>IFERROR(INDEX(Table_Control_Eff[Efficiency (kW/cfm)], MATCH(Table_CompData_Input[[#This Row],[Control strategy]], Table_Control_Eff[List_Control_Type], 0)), "")</f>
        <v/>
      </c>
      <c r="M11" s="105" t="str">
        <f>IFERROR(INDEX(Table_Load_Mode[Assumed Load], MATCH(Table_CompData_Input[[#This Row],[Primary operating mode]], Table_Load_Mode[List_Operating_Mode], 0)), "")</f>
        <v/>
      </c>
      <c r="N11" s="105" t="str">
        <f>IFERROR(Table_CompData_Input[[#This Row],[CFM capacity]]*Table_CompData_Input[[#This Row],[Assumed Load]], "")</f>
        <v/>
      </c>
    </row>
    <row r="12" spans="1:14" x14ac:dyDescent="0.2">
      <c r="A12" s="93"/>
      <c r="B12" s="93"/>
      <c r="C12" s="109"/>
      <c r="D12" s="109"/>
      <c r="E12" s="110"/>
      <c r="F12" s="110"/>
      <c r="G12" s="110"/>
      <c r="H12" s="111"/>
      <c r="I12" s="111"/>
      <c r="J12" s="106" t="e">
        <f>Table_CompData_Input[[#This Row],[HP]]*Value_MaxIncent_perHP</f>
        <v>#N/A</v>
      </c>
      <c r="K12" s="107" t="str">
        <f>IFERROR(INDEX(Table_Shift_Hours[AOH], MATCH(Table_CompData_Input[[#This Row],[Operating schedule]], Table_Shift_Hours[List_Comp_ShiftType], 0)), "")</f>
        <v/>
      </c>
      <c r="L12" s="105" t="str">
        <f>IFERROR(INDEX(Table_Control_Eff[Efficiency (kW/cfm)], MATCH(Table_CompData_Input[[#This Row],[Control strategy]], Table_Control_Eff[List_Control_Type], 0)), "")</f>
        <v/>
      </c>
      <c r="M12" s="105" t="str">
        <f>IFERROR(INDEX(Table_Load_Mode[Assumed Load], MATCH(Table_CompData_Input[[#This Row],[Primary operating mode]], Table_Load_Mode[List_Operating_Mode], 0)), "")</f>
        <v/>
      </c>
      <c r="N12" s="105" t="str">
        <f>IFERROR(Table_CompData_Input[[#This Row],[CFM capacity]]*Table_CompData_Input[[#This Row],[Assumed Load]], "")</f>
        <v/>
      </c>
    </row>
    <row r="13" spans="1:14" x14ac:dyDescent="0.2">
      <c r="A13" s="93"/>
      <c r="B13" s="93"/>
      <c r="C13" s="109"/>
      <c r="D13" s="109"/>
      <c r="E13" s="110"/>
      <c r="F13" s="110"/>
      <c r="G13" s="110"/>
      <c r="H13" s="111"/>
      <c r="I13" s="111"/>
      <c r="J13" s="106" t="e">
        <f>Table_CompData_Input[[#This Row],[HP]]*Value_MaxIncent_perHP</f>
        <v>#N/A</v>
      </c>
      <c r="K13" s="107" t="str">
        <f>IFERROR(INDEX(Table_Shift_Hours[AOH], MATCH(Table_CompData_Input[[#This Row],[Operating schedule]], Table_Shift_Hours[List_Comp_ShiftType], 0)), "")</f>
        <v/>
      </c>
      <c r="L13" s="105" t="str">
        <f>IFERROR(INDEX(Table_Control_Eff[Efficiency (kW/cfm)], MATCH(Table_CompData_Input[[#This Row],[Control strategy]], Table_Control_Eff[List_Control_Type], 0)), "")</f>
        <v/>
      </c>
      <c r="M13" s="105" t="str">
        <f>IFERROR(INDEX(Table_Load_Mode[Assumed Load], MATCH(Table_CompData_Input[[#This Row],[Primary operating mode]], Table_Load_Mode[List_Operating_Mode], 0)), "")</f>
        <v/>
      </c>
      <c r="N13" s="105" t="str">
        <f>IFERROR(Table_CompData_Input[[#This Row],[CFM capacity]]*Table_CompData_Input[[#This Row],[Assumed Load]], "")</f>
        <v/>
      </c>
    </row>
    <row r="14" spans="1:14" x14ac:dyDescent="0.2">
      <c r="A14" s="93"/>
      <c r="B14" s="93"/>
      <c r="C14" s="109"/>
      <c r="D14" s="109"/>
      <c r="E14" s="110"/>
      <c r="F14" s="110"/>
      <c r="G14" s="110"/>
      <c r="H14" s="111"/>
      <c r="I14" s="111"/>
      <c r="J14" s="106" t="e">
        <f>Table_CompData_Input[[#This Row],[HP]]*Value_MaxIncent_perHP</f>
        <v>#N/A</v>
      </c>
      <c r="K14" s="107" t="str">
        <f>IFERROR(INDEX(Table_Shift_Hours[AOH], MATCH(Table_CompData_Input[[#This Row],[Operating schedule]], Table_Shift_Hours[List_Comp_ShiftType], 0)), "")</f>
        <v/>
      </c>
      <c r="L14" s="105" t="str">
        <f>IFERROR(INDEX(Table_Control_Eff[Efficiency (kW/cfm)], MATCH(Table_CompData_Input[[#This Row],[Control strategy]], Table_Control_Eff[List_Control_Type], 0)), "")</f>
        <v/>
      </c>
      <c r="M14" s="105" t="str">
        <f>IFERROR(INDEX(Table_Load_Mode[Assumed Load], MATCH(Table_CompData_Input[[#This Row],[Primary operating mode]], Table_Load_Mode[List_Operating_Mode], 0)), "")</f>
        <v/>
      </c>
      <c r="N14" s="105" t="str">
        <f>IFERROR(Table_CompData_Input[[#This Row],[CFM capacity]]*Table_CompData_Input[[#This Row],[Assumed Load]], "")</f>
        <v/>
      </c>
    </row>
    <row r="15" spans="1:14" x14ac:dyDescent="0.2">
      <c r="A15" s="93"/>
      <c r="B15" s="93"/>
      <c r="C15" s="109"/>
      <c r="D15" s="109"/>
      <c r="E15" s="110"/>
      <c r="F15" s="110"/>
      <c r="G15" s="110"/>
      <c r="H15" s="111"/>
      <c r="I15" s="111"/>
      <c r="J15" s="106" t="e">
        <f>Table_CompData_Input[[#This Row],[HP]]*Value_MaxIncent_perHP</f>
        <v>#N/A</v>
      </c>
      <c r="K15" s="107" t="str">
        <f>IFERROR(INDEX(Table_Shift_Hours[AOH], MATCH(Table_CompData_Input[[#This Row],[Operating schedule]], Table_Shift_Hours[List_Comp_ShiftType], 0)), "")</f>
        <v/>
      </c>
      <c r="L15" s="105" t="str">
        <f>IFERROR(INDEX(Table_Control_Eff[Efficiency (kW/cfm)], MATCH(Table_CompData_Input[[#This Row],[Control strategy]], Table_Control_Eff[List_Control_Type], 0)), "")</f>
        <v/>
      </c>
      <c r="M15" s="105" t="str">
        <f>IFERROR(INDEX(Table_Load_Mode[Assumed Load], MATCH(Table_CompData_Input[[#This Row],[Primary operating mode]], Table_Load_Mode[List_Operating_Mode], 0)), "")</f>
        <v/>
      </c>
      <c r="N15" s="105" t="str">
        <f>IFERROR(Table_CompData_Input[[#This Row],[CFM capacity]]*Table_CompData_Input[[#This Row],[Assumed Load]], "")</f>
        <v/>
      </c>
    </row>
    <row r="16" spans="1:14" x14ac:dyDescent="0.2">
      <c r="A16" s="93"/>
      <c r="B16" s="93"/>
      <c r="C16" s="109"/>
      <c r="D16" s="109"/>
      <c r="E16" s="110"/>
      <c r="F16" s="110"/>
      <c r="G16" s="110"/>
      <c r="H16" s="111"/>
      <c r="I16" s="111"/>
      <c r="J16" s="106" t="e">
        <f>Table_CompData_Input[[#This Row],[HP]]*Value_MaxIncent_perHP</f>
        <v>#N/A</v>
      </c>
      <c r="K16" s="107" t="str">
        <f>IFERROR(INDEX(Table_Shift_Hours[AOH], MATCH(Table_CompData_Input[[#This Row],[Operating schedule]], Table_Shift_Hours[List_Comp_ShiftType], 0)), "")</f>
        <v/>
      </c>
      <c r="L16" s="105" t="str">
        <f>IFERROR(INDEX(Table_Control_Eff[Efficiency (kW/cfm)], MATCH(Table_CompData_Input[[#This Row],[Control strategy]], Table_Control_Eff[List_Control_Type], 0)), "")</f>
        <v/>
      </c>
      <c r="M16" s="105" t="str">
        <f>IFERROR(INDEX(Table_Load_Mode[Assumed Load], MATCH(Table_CompData_Input[[#This Row],[Primary operating mode]], Table_Load_Mode[List_Operating_Mode], 0)), "")</f>
        <v/>
      </c>
      <c r="N16" s="105" t="str">
        <f>IFERROR(Table_CompData_Input[[#This Row],[CFM capacity]]*Table_CompData_Input[[#This Row],[Assumed Load]], "")</f>
        <v/>
      </c>
    </row>
    <row r="17" spans="1:14" x14ac:dyDescent="0.2">
      <c r="A17" s="93"/>
      <c r="B17" s="93"/>
      <c r="C17" s="109"/>
      <c r="D17" s="109"/>
      <c r="E17" s="110"/>
      <c r="F17" s="110"/>
      <c r="G17" s="110"/>
      <c r="H17" s="111"/>
      <c r="I17" s="111"/>
      <c r="J17" s="106" t="e">
        <f>Table_CompData_Input[[#This Row],[HP]]*Value_MaxIncent_perHP</f>
        <v>#N/A</v>
      </c>
      <c r="K17" s="107" t="str">
        <f>IFERROR(INDEX(Table_Shift_Hours[AOH], MATCH(Table_CompData_Input[[#This Row],[Operating schedule]], Table_Shift_Hours[List_Comp_ShiftType], 0)), "")</f>
        <v/>
      </c>
      <c r="L17" s="105" t="str">
        <f>IFERROR(INDEX(Table_Control_Eff[Efficiency (kW/cfm)], MATCH(Table_CompData_Input[[#This Row],[Control strategy]], Table_Control_Eff[List_Control_Type], 0)), "")</f>
        <v/>
      </c>
      <c r="M17" s="105" t="str">
        <f>IFERROR(INDEX(Table_Load_Mode[Assumed Load], MATCH(Table_CompData_Input[[#This Row],[Primary operating mode]], Table_Load_Mode[List_Operating_Mode], 0)), "")</f>
        <v/>
      </c>
      <c r="N17" s="105" t="str">
        <f>IFERROR(Table_CompData_Input[[#This Row],[CFM capacity]]*Table_CompData_Input[[#This Row],[Assumed Load]], "")</f>
        <v/>
      </c>
    </row>
    <row r="18" spans="1:14" x14ac:dyDescent="0.2">
      <c r="J18" s="108"/>
    </row>
    <row r="19" spans="1:14" x14ac:dyDescent="0.2">
      <c r="A19" s="72" t="s">
        <v>36</v>
      </c>
    </row>
    <row r="20" spans="1:14" x14ac:dyDescent="0.2">
      <c r="A20" s="72" t="str">
        <f>Value_Application_Version</f>
        <v>Version 1.3 PY14</v>
      </c>
    </row>
  </sheetData>
  <sheetProtection algorithmName="SHA-512" hashValue="q8f3vcGDsgVzizY7aGBZDJefWAFmMhdx1X+QzpisDEpjDlGs48UroEhvb4R3eib09Q98/52l/+UrBTyZGjg1iA==" saltValue="z0hk0m/tMGgvseqYFq3R9Q==" spinCount="100000" sheet="1" objects="1" scenarios="1"/>
  <mergeCells count="5">
    <mergeCell ref="A8:I8"/>
    <mergeCell ref="A2:G2"/>
    <mergeCell ref="A3:I3"/>
    <mergeCell ref="E5:I5"/>
    <mergeCell ref="E6:I6"/>
  </mergeCells>
  <dataValidations count="6">
    <dataValidation type="list" allowBlank="1" showInputMessage="1" showErrorMessage="1" sqref="G10:G17" xr:uid="{8C9DB011-2B20-4246-A71C-116720DFE942}">
      <formula1>List_Control_Type</formula1>
    </dataValidation>
    <dataValidation type="list" allowBlank="1" showInputMessage="1" showErrorMessage="1" sqref="E10:E17" xr:uid="{CE72EE37-1527-4D86-BB93-005879016CA0}">
      <formula1>List_Comp_ShiftType</formula1>
    </dataValidation>
    <dataValidation type="list" allowBlank="1" showInputMessage="1" showErrorMessage="1" sqref="F10:F17" xr:uid="{66D2E3F3-797A-4436-958A-095D16D8CE90}">
      <formula1>List_Operating_Mode</formula1>
    </dataValidation>
    <dataValidation type="list" allowBlank="1" showInputMessage="1" showErrorMessage="1" sqref="B4" xr:uid="{77F42EE4-E2BF-4825-A0E0-30197EEDD23B}">
      <formula1>List_Sys_ShiftType</formula1>
    </dataValidation>
    <dataValidation type="list" allowBlank="1" showInputMessage="1" showErrorMessage="1" sqref="B5:B6" xr:uid="{A2D04366-9570-4BD3-8FCB-18794FAFA325}">
      <formula1>List_Y_N</formula1>
    </dataValidation>
    <dataValidation type="whole" allowBlank="1" showInputMessage="1" showErrorMessage="1" sqref="H10:I17" xr:uid="{AC698DF8-4565-4D72-983A-239B96CC26A9}">
      <formula1>0</formula1>
      <formula2>200</formula2>
    </dataValidation>
  </dataValidations>
  <pageMargins left="0.7" right="0.7" top="0.75" bottom="0.75" header="0.3" footer="0.3"/>
  <pageSetup orientation="portrait" horizontalDpi="0" verticalDpi="0"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6"/>
  </sheetPr>
  <dimension ref="A1:AT354"/>
  <sheetViews>
    <sheetView showGridLines="0" showRowColHeaders="0" workbookViewId="0">
      <selection activeCell="C6" sqref="C6"/>
    </sheetView>
  </sheetViews>
  <sheetFormatPr defaultColWidth="9.140625" defaultRowHeight="12.75" customHeight="1" x14ac:dyDescent="0.2"/>
  <cols>
    <col min="1" max="1" width="2.140625" style="72" customWidth="1"/>
    <col min="2" max="2" width="5.28515625" style="72" customWidth="1"/>
    <col min="3" max="3" width="9.7109375" style="72" customWidth="1"/>
    <col min="4" max="4" width="24.85546875" style="72" customWidth="1"/>
    <col min="5" max="5" width="10" style="72" customWidth="1"/>
    <col min="6" max="6" width="8.85546875" style="72" customWidth="1"/>
    <col min="7" max="7" width="44.140625" style="72" customWidth="1"/>
    <col min="8" max="8" width="9.42578125" style="72" customWidth="1"/>
    <col min="9" max="9" width="12.42578125" style="72" customWidth="1"/>
    <col min="10" max="10" width="9.85546875" style="72" customWidth="1"/>
    <col min="11" max="11" width="10" style="72" customWidth="1"/>
    <col min="12" max="12" width="11" style="72" customWidth="1"/>
    <col min="13" max="13" width="12" style="72" customWidth="1"/>
    <col min="14" max="14" width="11.85546875" style="72" customWidth="1"/>
    <col min="15" max="15" width="10.85546875" style="72" bestFit="1" customWidth="1"/>
    <col min="16" max="16" width="12.28515625" style="72" customWidth="1"/>
    <col min="17" max="17" width="13.42578125" style="72" customWidth="1"/>
    <col min="18" max="18" width="9.5703125" style="72" customWidth="1"/>
    <col min="19" max="20" width="9.140625" style="72" hidden="1" customWidth="1"/>
    <col min="21" max="21" width="39.5703125" style="72" hidden="1" customWidth="1"/>
    <col min="22" max="16384" width="9.140625" style="72"/>
  </cols>
  <sheetData>
    <row r="1" spans="1:46" ht="62.25" customHeight="1" x14ac:dyDescent="0.2"/>
    <row r="2" spans="1:46" s="101" customFormat="1" ht="37.5" customHeight="1" x14ac:dyDescent="0.2">
      <c r="B2" s="209" t="s">
        <v>131</v>
      </c>
      <c r="C2" s="209"/>
      <c r="D2" s="209"/>
      <c r="E2" s="209"/>
      <c r="F2" s="209"/>
      <c r="G2" s="209"/>
      <c r="H2" s="209"/>
      <c r="I2" s="209"/>
      <c r="J2" s="209"/>
      <c r="K2" s="209"/>
      <c r="L2" s="209"/>
      <c r="M2" s="209"/>
      <c r="N2" s="209"/>
      <c r="O2" s="209"/>
      <c r="P2" s="113"/>
      <c r="Q2" s="113"/>
      <c r="R2" s="113"/>
    </row>
    <row r="3" spans="1:46" x14ac:dyDescent="0.2"/>
    <row r="4" spans="1:46" x14ac:dyDescent="0.2">
      <c r="A4" s="75"/>
      <c r="G4" s="226" t="s">
        <v>132</v>
      </c>
      <c r="H4" s="227"/>
      <c r="I4" s="114">
        <f>SUM(Table_Leaks1_Input[Total equipment cost],Table_Leaks2_Input[Total equipment cost] )</f>
        <v>0</v>
      </c>
      <c r="J4" s="114">
        <f>SUM(Table_Leaks1_Input[Total labor cost], Table_Leaks2_Input[Total labor cost])</f>
        <v>0</v>
      </c>
      <c r="K4" s="115">
        <f>SUM(Table_Leaks1_Input[Estimated leak size (cfm)], Table_Leaks2_Input[Estimated leak size (cfm)])</f>
        <v>0</v>
      </c>
      <c r="L4" s="116">
        <f>SUM(Table_Leaks1_Input[Estimated incentive], Table_Leaks2_Input[Estimated incentive])</f>
        <v>0</v>
      </c>
      <c r="M4" s="117">
        <f>SUM(Table_Leaks1_Input[Energy savings (kWh)], Table_Leaks2_Input[Energy savings (kWh)])</f>
        <v>0</v>
      </c>
      <c r="N4" s="118">
        <f>SUM(Table_Leaks1_Input[Demand reduction (kW)], Table_Leaks2_Input[Demand reduction (kW)])</f>
        <v>0</v>
      </c>
      <c r="O4" s="119">
        <f>SUM(Table_Leaks1_Input[Cost savings], Table_Leaks2_Input[Cost savings])</f>
        <v>0</v>
      </c>
      <c r="P4" s="119">
        <f>SUM(Table_Leaks1_Input[Gross measure cost], Table_Leaks2_Input[Gross measure cost])</f>
        <v>0</v>
      </c>
      <c r="Q4" s="119">
        <f>SUM(Table_Leaks1_Input[Net measure cost], Table_Leaks2_Input[Net measure cost])</f>
        <v>0</v>
      </c>
      <c r="R4" s="117">
        <f>SUM(Table_Leaks1_Input[Simple payback (years)], Table_Leaks2_Input[Simple payback (years)])</f>
        <v>0</v>
      </c>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row>
    <row r="5" spans="1:46" s="76" customFormat="1" ht="38.25" x14ac:dyDescent="0.2">
      <c r="A5" s="132"/>
      <c r="B5" s="133" t="s">
        <v>433</v>
      </c>
      <c r="C5" s="134" t="s">
        <v>133</v>
      </c>
      <c r="D5" s="134" t="s">
        <v>134</v>
      </c>
      <c r="E5" s="134" t="s">
        <v>135</v>
      </c>
      <c r="F5" s="134" t="s">
        <v>136</v>
      </c>
      <c r="G5" s="134" t="s">
        <v>137</v>
      </c>
      <c r="H5" s="134" t="s">
        <v>138</v>
      </c>
      <c r="I5" s="134" t="s">
        <v>139</v>
      </c>
      <c r="J5" s="134" t="s">
        <v>140</v>
      </c>
      <c r="K5" s="135" t="s">
        <v>141</v>
      </c>
      <c r="L5" s="136" t="s">
        <v>142</v>
      </c>
      <c r="M5" s="136" t="s">
        <v>154</v>
      </c>
      <c r="N5" s="136" t="s">
        <v>143</v>
      </c>
      <c r="O5" s="136" t="s">
        <v>144</v>
      </c>
      <c r="P5" s="136" t="s">
        <v>145</v>
      </c>
      <c r="Q5" s="136" t="s">
        <v>146</v>
      </c>
      <c r="R5" s="136" t="s">
        <v>147</v>
      </c>
      <c r="S5" s="137" t="s">
        <v>148</v>
      </c>
      <c r="T5" s="137" t="s">
        <v>149</v>
      </c>
      <c r="U5" s="137" t="s">
        <v>150</v>
      </c>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1:46" x14ac:dyDescent="0.2">
      <c r="A6" s="120"/>
      <c r="B6" s="121">
        <v>1</v>
      </c>
      <c r="C6" s="128"/>
      <c r="D6" s="129"/>
      <c r="E6" s="130"/>
      <c r="F6" s="130"/>
      <c r="G6" s="130"/>
      <c r="H6" s="130"/>
      <c r="I6" s="131"/>
      <c r="J6" s="131"/>
      <c r="K6" s="122" t="str">
        <f>IFERROR(INDEX(TABLE_UE_dB[Leak Size (cfm)], MATCH(Table_Leaks1_Input[[#This Row],[Lookup Value]], TABLE_UE_dB[Lookup Value], 0)),"")</f>
        <v/>
      </c>
      <c r="L6" s="123" t="str">
        <f>IF(Table_Leaks1_Input[[#This Row],[Repaired (Y/N)]]="Yes", Value_LeakRepairIR, "")</f>
        <v/>
      </c>
      <c r="M6" s="124" t="str">
        <f>IFERROR(Table_Leaks1_Input[[#This Row],[Estimated leak size (cfm)]]*Value_WeightAvgCompEff*Value_SysAOH,"" )</f>
        <v/>
      </c>
      <c r="N6" s="125" t="str">
        <f>IFERROR(Table_Leaks1_Input[[#This Row],[Estimated leak size (cfm)]]*Value_WeightAvgCompEff,"" )</f>
        <v/>
      </c>
      <c r="O6" s="123" t="str">
        <f>IFERROR(Table_Leaks1_Input[[#This Row],[Energy savings (kWh)]]*Input_AvgkWhRate, "")</f>
        <v/>
      </c>
      <c r="P6" s="123" t="str">
        <f>IF(Table_Leaks1_Input[[#This Row],[Pressure at leak (psig)]]="", "",Table_Leaks1_Input[[#This Row],[Total equipment cost]]+Table_Leaks1_Input[[#This Row],[Total labor cost]])</f>
        <v/>
      </c>
      <c r="Q6" s="123" t="str">
        <f>IFERROR(Table_Leaks1_Input[[#This Row],[Gross measure cost]]-Table_Leaks1_Input[[#This Row],[Estimated incentive]], "")</f>
        <v/>
      </c>
      <c r="R6" s="124" t="str">
        <f t="shared" ref="R6:R69" si="0">IFERROR($Q6/$O6,"")</f>
        <v/>
      </c>
      <c r="S6" s="126">
        <f>IF(OR(Table_Leaks1_Input[[#This Row],[Pressure at leak (psig)]]=0, Table_Leaks1_Input[[#This Row],[Pressure at leak (psig)]]=""),0,IF(Table_Leaks1_Input[[#This Row],[Pressure at leak (psig)]]&lt;20, 10, MROUND(Table_Leaks1_Input[[#This Row],[Pressure at leak (psig)]], 25)))</f>
        <v>0</v>
      </c>
      <c r="T6" s="126">
        <f>ROUND(Table_Leaks1_Input[[#This Row],[dB reading]],-1)</f>
        <v>0</v>
      </c>
      <c r="U6" s="127" t="str">
        <f>_xlfn.CONCAT(Table_Leaks1_Input[[#This Row],[Rounded dB Reading]],"psig ", Table_Leaks1_Input[[#This Row],[Rounded PSIG]],"db")</f>
        <v>0psig 0db</v>
      </c>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row>
    <row r="7" spans="1:46" x14ac:dyDescent="0.2">
      <c r="A7" s="120"/>
      <c r="B7" s="121">
        <v>2</v>
      </c>
      <c r="C7" s="128"/>
      <c r="D7" s="129"/>
      <c r="E7" s="130"/>
      <c r="F7" s="130"/>
      <c r="G7" s="130"/>
      <c r="H7" s="130"/>
      <c r="I7" s="131"/>
      <c r="J7" s="131"/>
      <c r="K7" s="122" t="str">
        <f>IFERROR(INDEX(TABLE_UE_dB[Leak Size (cfm)], MATCH(Table_Leaks1_Input[[#This Row],[Lookup Value]], TABLE_UE_dB[Lookup Value], 0)),"")</f>
        <v/>
      </c>
      <c r="L7" s="123" t="str">
        <f>IF(Table_Leaks1_Input[[#This Row],[Repaired (Y/N)]]="Yes", Value_LeakRepairIR, "")</f>
        <v/>
      </c>
      <c r="M7" s="124" t="str">
        <f>IFERROR(Table_Leaks1_Input[[#This Row],[Estimated leak size (cfm)]]*Value_WeightAvgCompEff*Value_SysAOH,"" )</f>
        <v/>
      </c>
      <c r="N7" s="125" t="str">
        <f>IFERROR(Table_Leaks1_Input[[#This Row],[Estimated leak size (cfm)]]*Value_WeightAvgCompEff,"" )</f>
        <v/>
      </c>
      <c r="O7" s="123" t="str">
        <f>IFERROR(Table_Leaks1_Input[[#This Row],[Energy savings (kWh)]]*Input_AvgkWhRate, "")</f>
        <v/>
      </c>
      <c r="P7" s="123" t="str">
        <f>IF(Table_Leaks1_Input[[#This Row],[Pressure at leak (psig)]]="", "",Table_Leaks1_Input[[#This Row],[Total equipment cost]]+Table_Leaks1_Input[[#This Row],[Total labor cost]])</f>
        <v/>
      </c>
      <c r="Q7" s="123" t="str">
        <f>IFERROR(Table_Leaks1_Input[[#This Row],[Gross measure cost]]-Table_Leaks1_Input[[#This Row],[Estimated incentive]], "")</f>
        <v/>
      </c>
      <c r="R7" s="124" t="str">
        <f t="shared" si="0"/>
        <v/>
      </c>
      <c r="S7" s="126">
        <f>IF(OR(Table_Leaks1_Input[[#This Row],[Pressure at leak (psig)]]=0, Table_Leaks1_Input[[#This Row],[Pressure at leak (psig)]]=""),0,IF(Table_Leaks1_Input[[#This Row],[Pressure at leak (psig)]]&lt;20, 10, MROUND(Table_Leaks1_Input[[#This Row],[Pressure at leak (psig)]], 25)))</f>
        <v>0</v>
      </c>
      <c r="T7" s="126">
        <f>ROUND(Table_Leaks1_Input[[#This Row],[dB reading]],-1)</f>
        <v>0</v>
      </c>
      <c r="U7" s="127" t="str">
        <f>_xlfn.CONCAT(Table_Leaks1_Input[[#This Row],[Rounded dB Reading]],"psig ", Table_Leaks1_Input[[#This Row],[Rounded PSIG]],"db")</f>
        <v>0psig 0db</v>
      </c>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row>
    <row r="8" spans="1:46" x14ac:dyDescent="0.2">
      <c r="A8" s="120"/>
      <c r="B8" s="121">
        <v>3</v>
      </c>
      <c r="C8" s="128"/>
      <c r="D8" s="129"/>
      <c r="E8" s="130"/>
      <c r="F8" s="130"/>
      <c r="G8" s="130"/>
      <c r="H8" s="130"/>
      <c r="I8" s="131"/>
      <c r="J8" s="131"/>
      <c r="K8" s="122" t="str">
        <f>IFERROR(INDEX(TABLE_UE_dB[Leak Size (cfm)], MATCH(Table_Leaks1_Input[[#This Row],[Lookup Value]], TABLE_UE_dB[Lookup Value], 0)),"")</f>
        <v/>
      </c>
      <c r="L8" s="123" t="str">
        <f>IF(Table_Leaks1_Input[[#This Row],[Repaired (Y/N)]]="Yes", Value_LeakRepairIR, "")</f>
        <v/>
      </c>
      <c r="M8" s="124" t="str">
        <f>IFERROR(Table_Leaks1_Input[[#This Row],[Estimated leak size (cfm)]]*Value_WeightAvgCompEff*Value_SysAOH,"" )</f>
        <v/>
      </c>
      <c r="N8" s="125" t="str">
        <f>IFERROR(Table_Leaks1_Input[[#This Row],[Estimated leak size (cfm)]]*Value_WeightAvgCompEff,"" )</f>
        <v/>
      </c>
      <c r="O8" s="123" t="str">
        <f>IFERROR(Table_Leaks1_Input[[#This Row],[Energy savings (kWh)]]*Input_AvgkWhRate, "")</f>
        <v/>
      </c>
      <c r="P8" s="123" t="str">
        <f>IF(Table_Leaks1_Input[[#This Row],[Pressure at leak (psig)]]="", "",Table_Leaks1_Input[[#This Row],[Total equipment cost]]+Table_Leaks1_Input[[#This Row],[Total labor cost]])</f>
        <v/>
      </c>
      <c r="Q8" s="123" t="str">
        <f>IFERROR(Table_Leaks1_Input[[#This Row],[Gross measure cost]]-Table_Leaks1_Input[[#This Row],[Estimated incentive]], "")</f>
        <v/>
      </c>
      <c r="R8" s="124" t="str">
        <f t="shared" si="0"/>
        <v/>
      </c>
      <c r="S8" s="126">
        <f>IF(OR(Table_Leaks1_Input[[#This Row],[Pressure at leak (psig)]]=0, Table_Leaks1_Input[[#This Row],[Pressure at leak (psig)]]=""),0,IF(Table_Leaks1_Input[[#This Row],[Pressure at leak (psig)]]&lt;20, 10, MROUND(Table_Leaks1_Input[[#This Row],[Pressure at leak (psig)]], 25)))</f>
        <v>0</v>
      </c>
      <c r="T8" s="126">
        <f>ROUND(Table_Leaks1_Input[[#This Row],[dB reading]],-1)</f>
        <v>0</v>
      </c>
      <c r="U8" s="127" t="str">
        <f>_xlfn.CONCAT(Table_Leaks1_Input[[#This Row],[Rounded dB Reading]],"psig ", Table_Leaks1_Input[[#This Row],[Rounded PSIG]],"db")</f>
        <v>0psig 0db</v>
      </c>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spans="1:46" x14ac:dyDescent="0.2">
      <c r="A9" s="120"/>
      <c r="B9" s="121">
        <v>4</v>
      </c>
      <c r="C9" s="128"/>
      <c r="D9" s="129"/>
      <c r="E9" s="130"/>
      <c r="F9" s="130"/>
      <c r="G9" s="130"/>
      <c r="H9" s="130"/>
      <c r="I9" s="131"/>
      <c r="J9" s="131"/>
      <c r="K9" s="122" t="str">
        <f>IFERROR(INDEX(TABLE_UE_dB[Leak Size (cfm)], MATCH(Table_Leaks1_Input[[#This Row],[Lookup Value]], TABLE_UE_dB[Lookup Value], 0)),"")</f>
        <v/>
      </c>
      <c r="L9" s="123" t="str">
        <f>IF(Table_Leaks1_Input[[#This Row],[Repaired (Y/N)]]="Yes", Value_LeakRepairIR, "")</f>
        <v/>
      </c>
      <c r="M9" s="124" t="str">
        <f>IFERROR(Table_Leaks1_Input[[#This Row],[Estimated leak size (cfm)]]*Value_WeightAvgCompEff*Value_SysAOH,"" )</f>
        <v/>
      </c>
      <c r="N9" s="125" t="str">
        <f>IFERROR(Table_Leaks1_Input[[#This Row],[Estimated leak size (cfm)]]*Value_WeightAvgCompEff,"" )</f>
        <v/>
      </c>
      <c r="O9" s="123" t="str">
        <f>IFERROR(Table_Leaks1_Input[[#This Row],[Energy savings (kWh)]]*Input_AvgkWhRate, "")</f>
        <v/>
      </c>
      <c r="P9" s="123" t="str">
        <f>IF(Table_Leaks1_Input[[#This Row],[Pressure at leak (psig)]]="", "",Table_Leaks1_Input[[#This Row],[Total equipment cost]]+Table_Leaks1_Input[[#This Row],[Total labor cost]])</f>
        <v/>
      </c>
      <c r="Q9" s="123" t="str">
        <f>IFERROR(Table_Leaks1_Input[[#This Row],[Gross measure cost]]-Table_Leaks1_Input[[#This Row],[Estimated incentive]], "")</f>
        <v/>
      </c>
      <c r="R9" s="124" t="str">
        <f t="shared" si="0"/>
        <v/>
      </c>
      <c r="S9" s="126">
        <f>IF(OR(Table_Leaks1_Input[[#This Row],[Pressure at leak (psig)]]=0, Table_Leaks1_Input[[#This Row],[Pressure at leak (psig)]]=""),0,IF(Table_Leaks1_Input[[#This Row],[Pressure at leak (psig)]]&lt;20, 10, MROUND(Table_Leaks1_Input[[#This Row],[Pressure at leak (psig)]], 25)))</f>
        <v>0</v>
      </c>
      <c r="T9" s="126">
        <f>ROUND(Table_Leaks1_Input[[#This Row],[dB reading]],-1)</f>
        <v>0</v>
      </c>
      <c r="U9" s="127" t="str">
        <f>_xlfn.CONCAT(Table_Leaks1_Input[[#This Row],[Rounded dB Reading]],"psig ", Table_Leaks1_Input[[#This Row],[Rounded PSIG]],"db")</f>
        <v>0psig 0db</v>
      </c>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spans="1:46" x14ac:dyDescent="0.2">
      <c r="A10" s="120"/>
      <c r="B10" s="121">
        <v>5</v>
      </c>
      <c r="C10" s="128"/>
      <c r="D10" s="129"/>
      <c r="E10" s="130"/>
      <c r="F10" s="130"/>
      <c r="G10" s="130"/>
      <c r="H10" s="130"/>
      <c r="I10" s="131"/>
      <c r="J10" s="131"/>
      <c r="K10" s="122" t="str">
        <f>IFERROR(INDEX(TABLE_UE_dB[Leak Size (cfm)], MATCH(Table_Leaks1_Input[[#This Row],[Lookup Value]], TABLE_UE_dB[Lookup Value], 0)),"")</f>
        <v/>
      </c>
      <c r="L10" s="123" t="str">
        <f>IF(Table_Leaks1_Input[[#This Row],[Repaired (Y/N)]]="Yes", Value_LeakRepairIR, "")</f>
        <v/>
      </c>
      <c r="M10" s="124" t="str">
        <f>IFERROR(Table_Leaks1_Input[[#This Row],[Estimated leak size (cfm)]]*Value_WeightAvgCompEff*Value_SysAOH,"" )</f>
        <v/>
      </c>
      <c r="N10" s="125" t="str">
        <f>IFERROR(Table_Leaks1_Input[[#This Row],[Estimated leak size (cfm)]]*Value_WeightAvgCompEff,"" )</f>
        <v/>
      </c>
      <c r="O10" s="123" t="str">
        <f>IFERROR(Table_Leaks1_Input[[#This Row],[Energy savings (kWh)]]*Input_AvgkWhRate, "")</f>
        <v/>
      </c>
      <c r="P10" s="123" t="str">
        <f>IF(Table_Leaks1_Input[[#This Row],[Pressure at leak (psig)]]="", "",Table_Leaks1_Input[[#This Row],[Total equipment cost]]+Table_Leaks1_Input[[#This Row],[Total labor cost]])</f>
        <v/>
      </c>
      <c r="Q10" s="123" t="str">
        <f>IFERROR(Table_Leaks1_Input[[#This Row],[Gross measure cost]]-Table_Leaks1_Input[[#This Row],[Estimated incentive]], "")</f>
        <v/>
      </c>
      <c r="R10" s="124" t="str">
        <f t="shared" si="0"/>
        <v/>
      </c>
      <c r="S10" s="126">
        <f>IF(OR(Table_Leaks1_Input[[#This Row],[Pressure at leak (psig)]]=0, Table_Leaks1_Input[[#This Row],[Pressure at leak (psig)]]=""),0,IF(Table_Leaks1_Input[[#This Row],[Pressure at leak (psig)]]&lt;20, 10, MROUND(Table_Leaks1_Input[[#This Row],[Pressure at leak (psig)]], 25)))</f>
        <v>0</v>
      </c>
      <c r="T10" s="126">
        <f>ROUND(Table_Leaks1_Input[[#This Row],[dB reading]],-1)</f>
        <v>0</v>
      </c>
      <c r="U10" s="127" t="str">
        <f>_xlfn.CONCAT(Table_Leaks1_Input[[#This Row],[Rounded dB Reading]],"psig ", Table_Leaks1_Input[[#This Row],[Rounded PSIG]],"db")</f>
        <v>0psig 0db</v>
      </c>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row>
    <row r="11" spans="1:46" x14ac:dyDescent="0.2">
      <c r="A11" s="120"/>
      <c r="B11" s="121">
        <v>6</v>
      </c>
      <c r="C11" s="128"/>
      <c r="D11" s="129"/>
      <c r="E11" s="130"/>
      <c r="F11" s="130"/>
      <c r="G11" s="130"/>
      <c r="H11" s="130"/>
      <c r="I11" s="131"/>
      <c r="J11" s="131"/>
      <c r="K11" s="122" t="str">
        <f>IFERROR(INDEX(TABLE_UE_dB[Leak Size (cfm)], MATCH(Table_Leaks1_Input[[#This Row],[Lookup Value]], TABLE_UE_dB[Lookup Value], 0)),"")</f>
        <v/>
      </c>
      <c r="L11" s="123" t="str">
        <f>IF(Table_Leaks1_Input[[#This Row],[Repaired (Y/N)]]="Yes", Value_LeakRepairIR, "")</f>
        <v/>
      </c>
      <c r="M11" s="124" t="str">
        <f>IFERROR(Table_Leaks1_Input[[#This Row],[Estimated leak size (cfm)]]*Value_WeightAvgCompEff*Value_SysAOH,"" )</f>
        <v/>
      </c>
      <c r="N11" s="125" t="str">
        <f>IFERROR(Table_Leaks1_Input[[#This Row],[Estimated leak size (cfm)]]*Value_WeightAvgCompEff,"" )</f>
        <v/>
      </c>
      <c r="O11" s="123" t="str">
        <f>IFERROR(Table_Leaks1_Input[[#This Row],[Energy savings (kWh)]]*Input_AvgkWhRate, "")</f>
        <v/>
      </c>
      <c r="P11" s="123" t="str">
        <f>IF(Table_Leaks1_Input[[#This Row],[Pressure at leak (psig)]]="", "",Table_Leaks1_Input[[#This Row],[Total equipment cost]]+Table_Leaks1_Input[[#This Row],[Total labor cost]])</f>
        <v/>
      </c>
      <c r="Q11" s="123" t="str">
        <f>IFERROR(Table_Leaks1_Input[[#This Row],[Gross measure cost]]-Table_Leaks1_Input[[#This Row],[Estimated incentive]], "")</f>
        <v/>
      </c>
      <c r="R11" s="124" t="str">
        <f t="shared" si="0"/>
        <v/>
      </c>
      <c r="S11" s="126">
        <f>IF(OR(Table_Leaks1_Input[[#This Row],[Pressure at leak (psig)]]=0, Table_Leaks1_Input[[#This Row],[Pressure at leak (psig)]]=""),0,IF(Table_Leaks1_Input[[#This Row],[Pressure at leak (psig)]]&lt;20, 10, MROUND(Table_Leaks1_Input[[#This Row],[Pressure at leak (psig)]], 25)))</f>
        <v>0</v>
      </c>
      <c r="T11" s="126">
        <f>ROUND(Table_Leaks1_Input[[#This Row],[dB reading]],-1)</f>
        <v>0</v>
      </c>
      <c r="U11" s="127" t="str">
        <f>_xlfn.CONCAT(Table_Leaks1_Input[[#This Row],[Rounded dB Reading]],"psig ", Table_Leaks1_Input[[#This Row],[Rounded PSIG]],"db")</f>
        <v>0psig 0db</v>
      </c>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row>
    <row r="12" spans="1:46" x14ac:dyDescent="0.2">
      <c r="A12" s="120"/>
      <c r="B12" s="121">
        <v>7</v>
      </c>
      <c r="C12" s="128"/>
      <c r="D12" s="129"/>
      <c r="E12" s="130"/>
      <c r="F12" s="130"/>
      <c r="G12" s="130"/>
      <c r="H12" s="130"/>
      <c r="I12" s="131"/>
      <c r="J12" s="131"/>
      <c r="K12" s="122" t="str">
        <f>IFERROR(INDEX(TABLE_UE_dB[Leak Size (cfm)], MATCH(Table_Leaks1_Input[[#This Row],[Lookup Value]], TABLE_UE_dB[Lookup Value], 0)),"")</f>
        <v/>
      </c>
      <c r="L12" s="123" t="str">
        <f>IF(Table_Leaks1_Input[[#This Row],[Repaired (Y/N)]]="Yes", Value_LeakRepairIR, "")</f>
        <v/>
      </c>
      <c r="M12" s="124" t="str">
        <f>IFERROR(Table_Leaks1_Input[[#This Row],[Estimated leak size (cfm)]]*Value_WeightAvgCompEff*Value_SysAOH,"" )</f>
        <v/>
      </c>
      <c r="N12" s="125" t="str">
        <f>IFERROR(Table_Leaks1_Input[[#This Row],[Estimated leak size (cfm)]]*Value_WeightAvgCompEff,"" )</f>
        <v/>
      </c>
      <c r="O12" s="123" t="str">
        <f>IFERROR(Table_Leaks1_Input[[#This Row],[Energy savings (kWh)]]*Input_AvgkWhRate, "")</f>
        <v/>
      </c>
      <c r="P12" s="123" t="str">
        <f>IF(Table_Leaks1_Input[[#This Row],[Pressure at leak (psig)]]="", "",Table_Leaks1_Input[[#This Row],[Total equipment cost]]+Table_Leaks1_Input[[#This Row],[Total labor cost]])</f>
        <v/>
      </c>
      <c r="Q12" s="123" t="str">
        <f>IFERROR(Table_Leaks1_Input[[#This Row],[Gross measure cost]]-Table_Leaks1_Input[[#This Row],[Estimated incentive]], "")</f>
        <v/>
      </c>
      <c r="R12" s="124" t="str">
        <f t="shared" si="0"/>
        <v/>
      </c>
      <c r="S12" s="126">
        <f>IF(OR(Table_Leaks1_Input[[#This Row],[Pressure at leak (psig)]]=0, Table_Leaks1_Input[[#This Row],[Pressure at leak (psig)]]=""),0,IF(Table_Leaks1_Input[[#This Row],[Pressure at leak (psig)]]&lt;20, 10, MROUND(Table_Leaks1_Input[[#This Row],[Pressure at leak (psig)]], 25)))</f>
        <v>0</v>
      </c>
      <c r="T12" s="126">
        <f>ROUND(Table_Leaks1_Input[[#This Row],[dB reading]],-1)</f>
        <v>0</v>
      </c>
      <c r="U12" s="127" t="str">
        <f>_xlfn.CONCAT(Table_Leaks1_Input[[#This Row],[Rounded dB Reading]],"psig ", Table_Leaks1_Input[[#This Row],[Rounded PSIG]],"db")</f>
        <v>0psig 0db</v>
      </c>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spans="1:46" x14ac:dyDescent="0.2">
      <c r="A13" s="120"/>
      <c r="B13" s="121">
        <v>8</v>
      </c>
      <c r="C13" s="128"/>
      <c r="D13" s="129"/>
      <c r="E13" s="130"/>
      <c r="F13" s="130"/>
      <c r="G13" s="130"/>
      <c r="H13" s="130"/>
      <c r="I13" s="131"/>
      <c r="J13" s="131"/>
      <c r="K13" s="122" t="str">
        <f>IFERROR(INDEX(TABLE_UE_dB[Leak Size (cfm)], MATCH(Table_Leaks1_Input[[#This Row],[Lookup Value]], TABLE_UE_dB[Lookup Value], 0)),"")</f>
        <v/>
      </c>
      <c r="L13" s="123" t="str">
        <f>IF(Table_Leaks1_Input[[#This Row],[Repaired (Y/N)]]="Yes", Value_LeakRepairIR, "")</f>
        <v/>
      </c>
      <c r="M13" s="124" t="str">
        <f>IFERROR(Table_Leaks1_Input[[#This Row],[Estimated leak size (cfm)]]*Value_WeightAvgCompEff*Value_SysAOH,"" )</f>
        <v/>
      </c>
      <c r="N13" s="125" t="str">
        <f>IFERROR(Table_Leaks1_Input[[#This Row],[Estimated leak size (cfm)]]*Value_WeightAvgCompEff,"" )</f>
        <v/>
      </c>
      <c r="O13" s="123" t="str">
        <f>IFERROR(Table_Leaks1_Input[[#This Row],[Energy savings (kWh)]]*Input_AvgkWhRate, "")</f>
        <v/>
      </c>
      <c r="P13" s="123" t="str">
        <f>IF(Table_Leaks1_Input[[#This Row],[Pressure at leak (psig)]]="", "",Table_Leaks1_Input[[#This Row],[Total equipment cost]]+Table_Leaks1_Input[[#This Row],[Total labor cost]])</f>
        <v/>
      </c>
      <c r="Q13" s="123" t="str">
        <f>IFERROR(Table_Leaks1_Input[[#This Row],[Gross measure cost]]-Table_Leaks1_Input[[#This Row],[Estimated incentive]], "")</f>
        <v/>
      </c>
      <c r="R13" s="124" t="str">
        <f t="shared" si="0"/>
        <v/>
      </c>
      <c r="S13" s="126">
        <f>IF(OR(Table_Leaks1_Input[[#This Row],[Pressure at leak (psig)]]=0, Table_Leaks1_Input[[#This Row],[Pressure at leak (psig)]]=""),0,IF(Table_Leaks1_Input[[#This Row],[Pressure at leak (psig)]]&lt;20, 10, MROUND(Table_Leaks1_Input[[#This Row],[Pressure at leak (psig)]], 25)))</f>
        <v>0</v>
      </c>
      <c r="T13" s="126">
        <f>ROUND(Table_Leaks1_Input[[#This Row],[dB reading]],-1)</f>
        <v>0</v>
      </c>
      <c r="U13" s="127" t="str">
        <f>_xlfn.CONCAT(Table_Leaks1_Input[[#This Row],[Rounded dB Reading]],"psig ", Table_Leaks1_Input[[#This Row],[Rounded PSIG]],"db")</f>
        <v>0psig 0db</v>
      </c>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spans="1:46" x14ac:dyDescent="0.2">
      <c r="A14" s="120"/>
      <c r="B14" s="121">
        <v>9</v>
      </c>
      <c r="C14" s="128"/>
      <c r="D14" s="129"/>
      <c r="E14" s="130"/>
      <c r="F14" s="130"/>
      <c r="G14" s="130"/>
      <c r="H14" s="130"/>
      <c r="I14" s="131"/>
      <c r="J14" s="131"/>
      <c r="K14" s="122" t="str">
        <f>IFERROR(INDEX(TABLE_UE_dB[Leak Size (cfm)], MATCH(Table_Leaks1_Input[[#This Row],[Lookup Value]], TABLE_UE_dB[Lookup Value], 0)),"")</f>
        <v/>
      </c>
      <c r="L14" s="123" t="str">
        <f>IF(Table_Leaks1_Input[[#This Row],[Repaired (Y/N)]]="Yes", Value_LeakRepairIR, "")</f>
        <v/>
      </c>
      <c r="M14" s="124" t="str">
        <f>IFERROR(Table_Leaks1_Input[[#This Row],[Estimated leak size (cfm)]]*Value_WeightAvgCompEff*Value_SysAOH,"" )</f>
        <v/>
      </c>
      <c r="N14" s="125" t="str">
        <f>IFERROR(Table_Leaks1_Input[[#This Row],[Estimated leak size (cfm)]]*Value_WeightAvgCompEff,"" )</f>
        <v/>
      </c>
      <c r="O14" s="123" t="str">
        <f>IFERROR(Table_Leaks1_Input[[#This Row],[Energy savings (kWh)]]*Input_AvgkWhRate, "")</f>
        <v/>
      </c>
      <c r="P14" s="123" t="str">
        <f>IF(Table_Leaks1_Input[[#This Row],[Pressure at leak (psig)]]="", "",Table_Leaks1_Input[[#This Row],[Total equipment cost]]+Table_Leaks1_Input[[#This Row],[Total labor cost]])</f>
        <v/>
      </c>
      <c r="Q14" s="123" t="str">
        <f>IFERROR(Table_Leaks1_Input[[#This Row],[Gross measure cost]]-Table_Leaks1_Input[[#This Row],[Estimated incentive]], "")</f>
        <v/>
      </c>
      <c r="R14" s="124" t="str">
        <f t="shared" si="0"/>
        <v/>
      </c>
      <c r="S14" s="126">
        <f>IF(OR(Table_Leaks1_Input[[#This Row],[Pressure at leak (psig)]]=0, Table_Leaks1_Input[[#This Row],[Pressure at leak (psig)]]=""),0,IF(Table_Leaks1_Input[[#This Row],[Pressure at leak (psig)]]&lt;20, 10, MROUND(Table_Leaks1_Input[[#This Row],[Pressure at leak (psig)]], 25)))</f>
        <v>0</v>
      </c>
      <c r="T14" s="126">
        <f>ROUND(Table_Leaks1_Input[[#This Row],[dB reading]],-1)</f>
        <v>0</v>
      </c>
      <c r="U14" s="127" t="str">
        <f>_xlfn.CONCAT(Table_Leaks1_Input[[#This Row],[Rounded dB Reading]],"psig ", Table_Leaks1_Input[[#This Row],[Rounded PSIG]],"db")</f>
        <v>0psig 0db</v>
      </c>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spans="1:46" x14ac:dyDescent="0.2">
      <c r="A15" s="120"/>
      <c r="B15" s="121">
        <v>10</v>
      </c>
      <c r="C15" s="128"/>
      <c r="D15" s="129"/>
      <c r="E15" s="130"/>
      <c r="F15" s="130"/>
      <c r="G15" s="130"/>
      <c r="H15" s="130"/>
      <c r="I15" s="131"/>
      <c r="J15" s="131"/>
      <c r="K15" s="122" t="str">
        <f>IFERROR(INDEX(TABLE_UE_dB[Leak Size (cfm)], MATCH(Table_Leaks1_Input[[#This Row],[Lookup Value]], TABLE_UE_dB[Lookup Value], 0)),"")</f>
        <v/>
      </c>
      <c r="L15" s="123" t="str">
        <f>IF(Table_Leaks1_Input[[#This Row],[Repaired (Y/N)]]="Yes", Value_LeakRepairIR, "")</f>
        <v/>
      </c>
      <c r="M15" s="124" t="str">
        <f>IFERROR(Table_Leaks1_Input[[#This Row],[Estimated leak size (cfm)]]*Value_WeightAvgCompEff*Value_SysAOH,"" )</f>
        <v/>
      </c>
      <c r="N15" s="125" t="str">
        <f>IFERROR(Table_Leaks1_Input[[#This Row],[Estimated leak size (cfm)]]*Value_WeightAvgCompEff,"" )</f>
        <v/>
      </c>
      <c r="O15" s="123" t="str">
        <f>IFERROR(Table_Leaks1_Input[[#This Row],[Energy savings (kWh)]]*Input_AvgkWhRate, "")</f>
        <v/>
      </c>
      <c r="P15" s="123" t="str">
        <f>IF(Table_Leaks1_Input[[#This Row],[Pressure at leak (psig)]]="", "",Table_Leaks1_Input[[#This Row],[Total equipment cost]]+Table_Leaks1_Input[[#This Row],[Total labor cost]])</f>
        <v/>
      </c>
      <c r="Q15" s="123" t="str">
        <f>IFERROR(Table_Leaks1_Input[[#This Row],[Gross measure cost]]-Table_Leaks1_Input[[#This Row],[Estimated incentive]], "")</f>
        <v/>
      </c>
      <c r="R15" s="124" t="str">
        <f t="shared" si="0"/>
        <v/>
      </c>
      <c r="S15" s="126">
        <f>IF(OR(Table_Leaks1_Input[[#This Row],[Pressure at leak (psig)]]=0, Table_Leaks1_Input[[#This Row],[Pressure at leak (psig)]]=""),0,IF(Table_Leaks1_Input[[#This Row],[Pressure at leak (psig)]]&lt;20, 10, MROUND(Table_Leaks1_Input[[#This Row],[Pressure at leak (psig)]], 25)))</f>
        <v>0</v>
      </c>
      <c r="T15" s="126">
        <f>ROUND(Table_Leaks1_Input[[#This Row],[dB reading]],-1)</f>
        <v>0</v>
      </c>
      <c r="U15" s="127" t="str">
        <f>_xlfn.CONCAT(Table_Leaks1_Input[[#This Row],[Rounded dB Reading]],"psig ", Table_Leaks1_Input[[#This Row],[Rounded PSIG]],"db")</f>
        <v>0psig 0db</v>
      </c>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row>
    <row r="16" spans="1:46" x14ac:dyDescent="0.2">
      <c r="A16" s="120"/>
      <c r="B16" s="121">
        <v>11</v>
      </c>
      <c r="C16" s="128"/>
      <c r="D16" s="129"/>
      <c r="E16" s="130"/>
      <c r="F16" s="130"/>
      <c r="G16" s="130"/>
      <c r="H16" s="130"/>
      <c r="I16" s="131"/>
      <c r="J16" s="131"/>
      <c r="K16" s="122" t="str">
        <f>IFERROR(INDEX(TABLE_UE_dB[Leak Size (cfm)], MATCH(Table_Leaks1_Input[[#This Row],[Lookup Value]], TABLE_UE_dB[Lookup Value], 0)),"")</f>
        <v/>
      </c>
      <c r="L16" s="123" t="str">
        <f>IF(Table_Leaks1_Input[[#This Row],[Repaired (Y/N)]]="Yes", Value_LeakRepairIR, "")</f>
        <v/>
      </c>
      <c r="M16" s="124" t="str">
        <f>IFERROR(Table_Leaks1_Input[[#This Row],[Estimated leak size (cfm)]]*Value_WeightAvgCompEff*Value_SysAOH,"" )</f>
        <v/>
      </c>
      <c r="N16" s="125" t="str">
        <f>IFERROR(Table_Leaks1_Input[[#This Row],[Estimated leak size (cfm)]]*Value_WeightAvgCompEff,"" )</f>
        <v/>
      </c>
      <c r="O16" s="123" t="str">
        <f>IFERROR(Table_Leaks1_Input[[#This Row],[Energy savings (kWh)]]*Input_AvgkWhRate, "")</f>
        <v/>
      </c>
      <c r="P16" s="123" t="str">
        <f>IF(Table_Leaks1_Input[[#This Row],[Pressure at leak (psig)]]="", "",Table_Leaks1_Input[[#This Row],[Total equipment cost]]+Table_Leaks1_Input[[#This Row],[Total labor cost]])</f>
        <v/>
      </c>
      <c r="Q16" s="123" t="str">
        <f>IFERROR(Table_Leaks1_Input[[#This Row],[Gross measure cost]]-Table_Leaks1_Input[[#This Row],[Estimated incentive]], "")</f>
        <v/>
      </c>
      <c r="R16" s="124" t="str">
        <f t="shared" si="0"/>
        <v/>
      </c>
      <c r="S16" s="126">
        <f>IF(OR(Table_Leaks1_Input[[#This Row],[Pressure at leak (psig)]]=0, Table_Leaks1_Input[[#This Row],[Pressure at leak (psig)]]=""),0,IF(Table_Leaks1_Input[[#This Row],[Pressure at leak (psig)]]&lt;20, 10, MROUND(Table_Leaks1_Input[[#This Row],[Pressure at leak (psig)]], 25)))</f>
        <v>0</v>
      </c>
      <c r="T16" s="126">
        <f>ROUND(Table_Leaks1_Input[[#This Row],[dB reading]],-1)</f>
        <v>0</v>
      </c>
      <c r="U16" s="127" t="str">
        <f>_xlfn.CONCAT(Table_Leaks1_Input[[#This Row],[Rounded dB Reading]],"psig ", Table_Leaks1_Input[[#This Row],[Rounded PSIG]],"db")</f>
        <v>0psig 0db</v>
      </c>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spans="1:46" x14ac:dyDescent="0.2">
      <c r="A17" s="120"/>
      <c r="B17" s="121">
        <v>12</v>
      </c>
      <c r="C17" s="128"/>
      <c r="D17" s="129"/>
      <c r="E17" s="130"/>
      <c r="F17" s="130"/>
      <c r="G17" s="130"/>
      <c r="H17" s="130"/>
      <c r="I17" s="131"/>
      <c r="J17" s="131"/>
      <c r="K17" s="122" t="str">
        <f>IFERROR(INDEX(TABLE_UE_dB[Leak Size (cfm)], MATCH(Table_Leaks1_Input[[#This Row],[Lookup Value]], TABLE_UE_dB[Lookup Value], 0)),"")</f>
        <v/>
      </c>
      <c r="L17" s="123" t="str">
        <f>IF(Table_Leaks1_Input[[#This Row],[Repaired (Y/N)]]="Yes", Value_LeakRepairIR, "")</f>
        <v/>
      </c>
      <c r="M17" s="124" t="str">
        <f>IFERROR(Table_Leaks1_Input[[#This Row],[Estimated leak size (cfm)]]*Value_WeightAvgCompEff*Value_SysAOH,"" )</f>
        <v/>
      </c>
      <c r="N17" s="125" t="str">
        <f>IFERROR(Table_Leaks1_Input[[#This Row],[Estimated leak size (cfm)]]*Value_WeightAvgCompEff,"" )</f>
        <v/>
      </c>
      <c r="O17" s="123" t="str">
        <f>IFERROR(Table_Leaks1_Input[[#This Row],[Energy savings (kWh)]]*Input_AvgkWhRate, "")</f>
        <v/>
      </c>
      <c r="P17" s="123" t="str">
        <f>IF(Table_Leaks1_Input[[#This Row],[Pressure at leak (psig)]]="", "",Table_Leaks1_Input[[#This Row],[Total equipment cost]]+Table_Leaks1_Input[[#This Row],[Total labor cost]])</f>
        <v/>
      </c>
      <c r="Q17" s="123" t="str">
        <f>IFERROR(Table_Leaks1_Input[[#This Row],[Gross measure cost]]-Table_Leaks1_Input[[#This Row],[Estimated incentive]], "")</f>
        <v/>
      </c>
      <c r="R17" s="124" t="str">
        <f t="shared" si="0"/>
        <v/>
      </c>
      <c r="S17" s="126">
        <f>IF(OR(Table_Leaks1_Input[[#This Row],[Pressure at leak (psig)]]=0, Table_Leaks1_Input[[#This Row],[Pressure at leak (psig)]]=""),0,IF(Table_Leaks1_Input[[#This Row],[Pressure at leak (psig)]]&lt;20, 10, MROUND(Table_Leaks1_Input[[#This Row],[Pressure at leak (psig)]], 25)))</f>
        <v>0</v>
      </c>
      <c r="T17" s="126">
        <f>ROUND(Table_Leaks1_Input[[#This Row],[dB reading]],-1)</f>
        <v>0</v>
      </c>
      <c r="U17" s="127" t="str">
        <f>_xlfn.CONCAT(Table_Leaks1_Input[[#This Row],[Rounded dB Reading]],"psig ", Table_Leaks1_Input[[#This Row],[Rounded PSIG]],"db")</f>
        <v>0psig 0db</v>
      </c>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spans="1:46" x14ac:dyDescent="0.2">
      <c r="A18" s="120"/>
      <c r="B18" s="121">
        <v>13</v>
      </c>
      <c r="C18" s="128"/>
      <c r="D18" s="129"/>
      <c r="E18" s="130"/>
      <c r="F18" s="130"/>
      <c r="G18" s="130"/>
      <c r="H18" s="130"/>
      <c r="I18" s="131"/>
      <c r="J18" s="131"/>
      <c r="K18" s="122" t="str">
        <f>IFERROR(INDEX(TABLE_UE_dB[Leak Size (cfm)], MATCH(Table_Leaks1_Input[[#This Row],[Lookup Value]], TABLE_UE_dB[Lookup Value], 0)),"")</f>
        <v/>
      </c>
      <c r="L18" s="123" t="str">
        <f>IF(Table_Leaks1_Input[[#This Row],[Repaired (Y/N)]]="Yes", Value_LeakRepairIR, "")</f>
        <v/>
      </c>
      <c r="M18" s="124" t="str">
        <f>IFERROR(Table_Leaks1_Input[[#This Row],[Estimated leak size (cfm)]]*Value_WeightAvgCompEff*Value_SysAOH,"" )</f>
        <v/>
      </c>
      <c r="N18" s="125" t="str">
        <f>IFERROR(Table_Leaks1_Input[[#This Row],[Estimated leak size (cfm)]]*Value_WeightAvgCompEff,"" )</f>
        <v/>
      </c>
      <c r="O18" s="123" t="str">
        <f>IFERROR(Table_Leaks1_Input[[#This Row],[Energy savings (kWh)]]*Input_AvgkWhRate, "")</f>
        <v/>
      </c>
      <c r="P18" s="123" t="str">
        <f>IF(Table_Leaks1_Input[[#This Row],[Pressure at leak (psig)]]="", "",Table_Leaks1_Input[[#This Row],[Total equipment cost]]+Table_Leaks1_Input[[#This Row],[Total labor cost]])</f>
        <v/>
      </c>
      <c r="Q18" s="123" t="str">
        <f>IFERROR(Table_Leaks1_Input[[#This Row],[Gross measure cost]]-Table_Leaks1_Input[[#This Row],[Estimated incentive]], "")</f>
        <v/>
      </c>
      <c r="R18" s="124" t="str">
        <f t="shared" si="0"/>
        <v/>
      </c>
      <c r="S18" s="126">
        <f>IF(OR(Table_Leaks1_Input[[#This Row],[Pressure at leak (psig)]]=0, Table_Leaks1_Input[[#This Row],[Pressure at leak (psig)]]=""),0,IF(Table_Leaks1_Input[[#This Row],[Pressure at leak (psig)]]&lt;20, 10, MROUND(Table_Leaks1_Input[[#This Row],[Pressure at leak (psig)]], 25)))</f>
        <v>0</v>
      </c>
      <c r="T18" s="126">
        <f>ROUND(Table_Leaks1_Input[[#This Row],[dB reading]],-1)</f>
        <v>0</v>
      </c>
      <c r="U18" s="127" t="str">
        <f>_xlfn.CONCAT(Table_Leaks1_Input[[#This Row],[Rounded dB Reading]],"psig ", Table_Leaks1_Input[[#This Row],[Rounded PSIG]],"db")</f>
        <v>0psig 0db</v>
      </c>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spans="1:46" x14ac:dyDescent="0.2">
      <c r="A19" s="120"/>
      <c r="B19" s="121">
        <v>14</v>
      </c>
      <c r="C19" s="128"/>
      <c r="D19" s="129"/>
      <c r="E19" s="130"/>
      <c r="F19" s="130"/>
      <c r="G19" s="130"/>
      <c r="H19" s="130"/>
      <c r="I19" s="131"/>
      <c r="J19" s="131"/>
      <c r="K19" s="122" t="str">
        <f>IFERROR(INDEX(TABLE_UE_dB[Leak Size (cfm)], MATCH(Table_Leaks1_Input[[#This Row],[Lookup Value]], TABLE_UE_dB[Lookup Value], 0)),"")</f>
        <v/>
      </c>
      <c r="L19" s="123" t="str">
        <f>IF(Table_Leaks1_Input[[#This Row],[Repaired (Y/N)]]="Yes", Value_LeakRepairIR, "")</f>
        <v/>
      </c>
      <c r="M19" s="124" t="str">
        <f>IFERROR(Table_Leaks1_Input[[#This Row],[Estimated leak size (cfm)]]*Value_WeightAvgCompEff*Value_SysAOH,"" )</f>
        <v/>
      </c>
      <c r="N19" s="125" t="str">
        <f>IFERROR(Table_Leaks1_Input[[#This Row],[Estimated leak size (cfm)]]*Value_WeightAvgCompEff,"" )</f>
        <v/>
      </c>
      <c r="O19" s="123" t="str">
        <f>IFERROR(Table_Leaks1_Input[[#This Row],[Energy savings (kWh)]]*Input_AvgkWhRate, "")</f>
        <v/>
      </c>
      <c r="P19" s="123" t="str">
        <f>IF(Table_Leaks1_Input[[#This Row],[Pressure at leak (psig)]]="", "",Table_Leaks1_Input[[#This Row],[Total equipment cost]]+Table_Leaks1_Input[[#This Row],[Total labor cost]])</f>
        <v/>
      </c>
      <c r="Q19" s="123" t="str">
        <f>IFERROR(Table_Leaks1_Input[[#This Row],[Gross measure cost]]-Table_Leaks1_Input[[#This Row],[Estimated incentive]], "")</f>
        <v/>
      </c>
      <c r="R19" s="124" t="str">
        <f t="shared" si="0"/>
        <v/>
      </c>
      <c r="S19" s="126">
        <f>IF(OR(Table_Leaks1_Input[[#This Row],[Pressure at leak (psig)]]=0, Table_Leaks1_Input[[#This Row],[Pressure at leak (psig)]]=""),0,IF(Table_Leaks1_Input[[#This Row],[Pressure at leak (psig)]]&lt;20, 10, MROUND(Table_Leaks1_Input[[#This Row],[Pressure at leak (psig)]], 25)))</f>
        <v>0</v>
      </c>
      <c r="T19" s="126">
        <f>ROUND(Table_Leaks1_Input[[#This Row],[dB reading]],-1)</f>
        <v>0</v>
      </c>
      <c r="U19" s="127" t="str">
        <f>_xlfn.CONCAT(Table_Leaks1_Input[[#This Row],[Rounded dB Reading]],"psig ", Table_Leaks1_Input[[#This Row],[Rounded PSIG]],"db")</f>
        <v>0psig 0db</v>
      </c>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spans="1:46" x14ac:dyDescent="0.2">
      <c r="A20" s="120"/>
      <c r="B20" s="121">
        <v>15</v>
      </c>
      <c r="C20" s="128"/>
      <c r="D20" s="129"/>
      <c r="E20" s="130"/>
      <c r="F20" s="130"/>
      <c r="G20" s="130"/>
      <c r="H20" s="130"/>
      <c r="I20" s="131"/>
      <c r="J20" s="131"/>
      <c r="K20" s="122" t="str">
        <f>IFERROR(INDEX(TABLE_UE_dB[Leak Size (cfm)], MATCH(Table_Leaks1_Input[[#This Row],[Lookup Value]], TABLE_UE_dB[Lookup Value], 0)),"")</f>
        <v/>
      </c>
      <c r="L20" s="123" t="str">
        <f>IF(Table_Leaks1_Input[[#This Row],[Repaired (Y/N)]]="Yes", Value_LeakRepairIR, "")</f>
        <v/>
      </c>
      <c r="M20" s="124" t="str">
        <f>IFERROR(Table_Leaks1_Input[[#This Row],[Estimated leak size (cfm)]]*Value_WeightAvgCompEff*Value_SysAOH,"" )</f>
        <v/>
      </c>
      <c r="N20" s="125" t="str">
        <f>IFERROR(Table_Leaks1_Input[[#This Row],[Estimated leak size (cfm)]]*Value_WeightAvgCompEff,"" )</f>
        <v/>
      </c>
      <c r="O20" s="123" t="str">
        <f>IFERROR(Table_Leaks1_Input[[#This Row],[Energy savings (kWh)]]*Input_AvgkWhRate, "")</f>
        <v/>
      </c>
      <c r="P20" s="123" t="str">
        <f>IF(Table_Leaks1_Input[[#This Row],[Pressure at leak (psig)]]="", "",Table_Leaks1_Input[[#This Row],[Total equipment cost]]+Table_Leaks1_Input[[#This Row],[Total labor cost]])</f>
        <v/>
      </c>
      <c r="Q20" s="123" t="str">
        <f>IFERROR(Table_Leaks1_Input[[#This Row],[Gross measure cost]]-Table_Leaks1_Input[[#This Row],[Estimated incentive]], "")</f>
        <v/>
      </c>
      <c r="R20" s="124" t="str">
        <f t="shared" si="0"/>
        <v/>
      </c>
      <c r="S20" s="126">
        <f>IF(OR(Table_Leaks1_Input[[#This Row],[Pressure at leak (psig)]]=0, Table_Leaks1_Input[[#This Row],[Pressure at leak (psig)]]=""),0,IF(Table_Leaks1_Input[[#This Row],[Pressure at leak (psig)]]&lt;20, 10, MROUND(Table_Leaks1_Input[[#This Row],[Pressure at leak (psig)]], 25)))</f>
        <v>0</v>
      </c>
      <c r="T20" s="126">
        <f>ROUND(Table_Leaks1_Input[[#This Row],[dB reading]],-1)</f>
        <v>0</v>
      </c>
      <c r="U20" s="127" t="str">
        <f>_xlfn.CONCAT(Table_Leaks1_Input[[#This Row],[Rounded dB Reading]],"psig ", Table_Leaks1_Input[[#This Row],[Rounded PSIG]],"db")</f>
        <v>0psig 0db</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x14ac:dyDescent="0.2">
      <c r="A21" s="120"/>
      <c r="B21" s="121">
        <v>16</v>
      </c>
      <c r="C21" s="128"/>
      <c r="D21" s="129"/>
      <c r="E21" s="130"/>
      <c r="F21" s="130"/>
      <c r="G21" s="130"/>
      <c r="H21" s="130"/>
      <c r="I21" s="131"/>
      <c r="J21" s="131"/>
      <c r="K21" s="122" t="str">
        <f>IFERROR(INDEX(TABLE_UE_dB[Leak Size (cfm)], MATCH(Table_Leaks1_Input[[#This Row],[Lookup Value]], TABLE_UE_dB[Lookup Value], 0)),"")</f>
        <v/>
      </c>
      <c r="L21" s="123" t="str">
        <f>IF(Table_Leaks1_Input[[#This Row],[Repaired (Y/N)]]="Yes", Value_LeakRepairIR, "")</f>
        <v/>
      </c>
      <c r="M21" s="124" t="str">
        <f>IFERROR(Table_Leaks1_Input[[#This Row],[Estimated leak size (cfm)]]*Value_WeightAvgCompEff*Value_SysAOH,"" )</f>
        <v/>
      </c>
      <c r="N21" s="125" t="str">
        <f>IFERROR(Table_Leaks1_Input[[#This Row],[Estimated leak size (cfm)]]*Value_WeightAvgCompEff,"" )</f>
        <v/>
      </c>
      <c r="O21" s="123" t="str">
        <f>IFERROR(Table_Leaks1_Input[[#This Row],[Energy savings (kWh)]]*Input_AvgkWhRate, "")</f>
        <v/>
      </c>
      <c r="P21" s="123" t="str">
        <f>IF(Table_Leaks1_Input[[#This Row],[Pressure at leak (psig)]]="", "",Table_Leaks1_Input[[#This Row],[Total equipment cost]]+Table_Leaks1_Input[[#This Row],[Total labor cost]])</f>
        <v/>
      </c>
      <c r="Q21" s="123" t="str">
        <f>IFERROR(Table_Leaks1_Input[[#This Row],[Gross measure cost]]-Table_Leaks1_Input[[#This Row],[Estimated incentive]], "")</f>
        <v/>
      </c>
      <c r="R21" s="124" t="str">
        <f t="shared" si="0"/>
        <v/>
      </c>
      <c r="S21" s="126">
        <f>IF(OR(Table_Leaks1_Input[[#This Row],[Pressure at leak (psig)]]=0, Table_Leaks1_Input[[#This Row],[Pressure at leak (psig)]]=""),0,IF(Table_Leaks1_Input[[#This Row],[Pressure at leak (psig)]]&lt;20, 10, MROUND(Table_Leaks1_Input[[#This Row],[Pressure at leak (psig)]], 25)))</f>
        <v>0</v>
      </c>
      <c r="T21" s="126">
        <f>ROUND(Table_Leaks1_Input[[#This Row],[dB reading]],-1)</f>
        <v>0</v>
      </c>
      <c r="U21" s="127" t="str">
        <f>_xlfn.CONCAT(Table_Leaks1_Input[[#This Row],[Rounded dB Reading]],"psig ", Table_Leaks1_Input[[#This Row],[Rounded PSIG]],"db")</f>
        <v>0psig 0db</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x14ac:dyDescent="0.2">
      <c r="A22" s="120"/>
      <c r="B22" s="121">
        <v>17</v>
      </c>
      <c r="C22" s="128"/>
      <c r="D22" s="129"/>
      <c r="E22" s="130"/>
      <c r="F22" s="130"/>
      <c r="G22" s="130"/>
      <c r="H22" s="130"/>
      <c r="I22" s="131"/>
      <c r="J22" s="131"/>
      <c r="K22" s="122" t="str">
        <f>IFERROR(INDEX(TABLE_UE_dB[Leak Size (cfm)], MATCH(Table_Leaks1_Input[[#This Row],[Lookup Value]], TABLE_UE_dB[Lookup Value], 0)),"")</f>
        <v/>
      </c>
      <c r="L22" s="123" t="str">
        <f>IF(Table_Leaks1_Input[[#This Row],[Repaired (Y/N)]]="Yes", Value_LeakRepairIR, "")</f>
        <v/>
      </c>
      <c r="M22" s="124" t="str">
        <f>IFERROR(Table_Leaks1_Input[[#This Row],[Estimated leak size (cfm)]]*Value_WeightAvgCompEff*Value_SysAOH,"" )</f>
        <v/>
      </c>
      <c r="N22" s="125" t="str">
        <f>IFERROR(Table_Leaks1_Input[[#This Row],[Estimated leak size (cfm)]]*Value_WeightAvgCompEff,"" )</f>
        <v/>
      </c>
      <c r="O22" s="123" t="str">
        <f>IFERROR(Table_Leaks1_Input[[#This Row],[Energy savings (kWh)]]*Input_AvgkWhRate, "")</f>
        <v/>
      </c>
      <c r="P22" s="123" t="str">
        <f>IF(Table_Leaks1_Input[[#This Row],[Pressure at leak (psig)]]="", "",Table_Leaks1_Input[[#This Row],[Total equipment cost]]+Table_Leaks1_Input[[#This Row],[Total labor cost]])</f>
        <v/>
      </c>
      <c r="Q22" s="123" t="str">
        <f>IFERROR(Table_Leaks1_Input[[#This Row],[Gross measure cost]]-Table_Leaks1_Input[[#This Row],[Estimated incentive]], "")</f>
        <v/>
      </c>
      <c r="R22" s="124" t="str">
        <f t="shared" si="0"/>
        <v/>
      </c>
      <c r="S22" s="126">
        <f>IF(OR(Table_Leaks1_Input[[#This Row],[Pressure at leak (psig)]]=0, Table_Leaks1_Input[[#This Row],[Pressure at leak (psig)]]=""),0,IF(Table_Leaks1_Input[[#This Row],[Pressure at leak (psig)]]&lt;20, 10, MROUND(Table_Leaks1_Input[[#This Row],[Pressure at leak (psig)]], 25)))</f>
        <v>0</v>
      </c>
      <c r="T22" s="126">
        <f>ROUND(Table_Leaks1_Input[[#This Row],[dB reading]],-1)</f>
        <v>0</v>
      </c>
      <c r="U22" s="127" t="str">
        <f>_xlfn.CONCAT(Table_Leaks1_Input[[#This Row],[Rounded dB Reading]],"psig ", Table_Leaks1_Input[[#This Row],[Rounded PSIG]],"db")</f>
        <v>0psig 0db</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x14ac:dyDescent="0.2">
      <c r="A23" s="120"/>
      <c r="B23" s="121">
        <v>18</v>
      </c>
      <c r="C23" s="128"/>
      <c r="D23" s="129"/>
      <c r="E23" s="130"/>
      <c r="F23" s="130"/>
      <c r="G23" s="130"/>
      <c r="H23" s="130"/>
      <c r="I23" s="131"/>
      <c r="J23" s="131"/>
      <c r="K23" s="122" t="str">
        <f>IFERROR(INDEX(TABLE_UE_dB[Leak Size (cfm)], MATCH(Table_Leaks1_Input[[#This Row],[Lookup Value]], TABLE_UE_dB[Lookup Value], 0)),"")</f>
        <v/>
      </c>
      <c r="L23" s="123" t="str">
        <f>IF(Table_Leaks1_Input[[#This Row],[Repaired (Y/N)]]="Yes", Value_LeakRepairIR, "")</f>
        <v/>
      </c>
      <c r="M23" s="124" t="str">
        <f>IFERROR(Table_Leaks1_Input[[#This Row],[Estimated leak size (cfm)]]*Value_WeightAvgCompEff*Value_SysAOH,"" )</f>
        <v/>
      </c>
      <c r="N23" s="125" t="str">
        <f>IFERROR(Table_Leaks1_Input[[#This Row],[Estimated leak size (cfm)]]*Value_WeightAvgCompEff,"" )</f>
        <v/>
      </c>
      <c r="O23" s="123" t="str">
        <f>IFERROR(Table_Leaks1_Input[[#This Row],[Energy savings (kWh)]]*Input_AvgkWhRate, "")</f>
        <v/>
      </c>
      <c r="P23" s="123" t="str">
        <f>IF(Table_Leaks1_Input[[#This Row],[Pressure at leak (psig)]]="", "",Table_Leaks1_Input[[#This Row],[Total equipment cost]]+Table_Leaks1_Input[[#This Row],[Total labor cost]])</f>
        <v/>
      </c>
      <c r="Q23" s="123" t="str">
        <f>IFERROR(Table_Leaks1_Input[[#This Row],[Gross measure cost]]-Table_Leaks1_Input[[#This Row],[Estimated incentive]], "")</f>
        <v/>
      </c>
      <c r="R23" s="124" t="str">
        <f t="shared" si="0"/>
        <v/>
      </c>
      <c r="S23" s="126">
        <f>IF(OR(Table_Leaks1_Input[[#This Row],[Pressure at leak (psig)]]=0, Table_Leaks1_Input[[#This Row],[Pressure at leak (psig)]]=""),0,IF(Table_Leaks1_Input[[#This Row],[Pressure at leak (psig)]]&lt;20, 10, MROUND(Table_Leaks1_Input[[#This Row],[Pressure at leak (psig)]], 25)))</f>
        <v>0</v>
      </c>
      <c r="T23" s="126">
        <f>ROUND(Table_Leaks1_Input[[#This Row],[dB reading]],-1)</f>
        <v>0</v>
      </c>
      <c r="U23" s="127" t="str">
        <f>_xlfn.CONCAT(Table_Leaks1_Input[[#This Row],[Rounded dB Reading]],"psig ", Table_Leaks1_Input[[#This Row],[Rounded PSIG]],"db")</f>
        <v>0psig 0db</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spans="1:46" x14ac:dyDescent="0.2">
      <c r="A24" s="120"/>
      <c r="B24" s="121">
        <v>19</v>
      </c>
      <c r="C24" s="128"/>
      <c r="D24" s="129"/>
      <c r="E24" s="130"/>
      <c r="F24" s="130"/>
      <c r="G24" s="130"/>
      <c r="H24" s="130"/>
      <c r="I24" s="131"/>
      <c r="J24" s="131"/>
      <c r="K24" s="122" t="str">
        <f>IFERROR(INDEX(TABLE_UE_dB[Leak Size (cfm)], MATCH(Table_Leaks1_Input[[#This Row],[Lookup Value]], TABLE_UE_dB[Lookup Value], 0)),"")</f>
        <v/>
      </c>
      <c r="L24" s="123" t="str">
        <f>IF(Table_Leaks1_Input[[#This Row],[Repaired (Y/N)]]="Yes", Value_LeakRepairIR, "")</f>
        <v/>
      </c>
      <c r="M24" s="124" t="str">
        <f>IFERROR(Table_Leaks1_Input[[#This Row],[Estimated leak size (cfm)]]*Value_WeightAvgCompEff*Value_SysAOH,"" )</f>
        <v/>
      </c>
      <c r="N24" s="125" t="str">
        <f>IFERROR(Table_Leaks1_Input[[#This Row],[Estimated leak size (cfm)]]*Value_WeightAvgCompEff,"" )</f>
        <v/>
      </c>
      <c r="O24" s="123" t="str">
        <f>IFERROR(Table_Leaks1_Input[[#This Row],[Energy savings (kWh)]]*Input_AvgkWhRate, "")</f>
        <v/>
      </c>
      <c r="P24" s="123" t="str">
        <f>IF(Table_Leaks1_Input[[#This Row],[Pressure at leak (psig)]]="", "",Table_Leaks1_Input[[#This Row],[Total equipment cost]]+Table_Leaks1_Input[[#This Row],[Total labor cost]])</f>
        <v/>
      </c>
      <c r="Q24" s="123" t="str">
        <f>IFERROR(Table_Leaks1_Input[[#This Row],[Gross measure cost]]-Table_Leaks1_Input[[#This Row],[Estimated incentive]], "")</f>
        <v/>
      </c>
      <c r="R24" s="124" t="str">
        <f t="shared" si="0"/>
        <v/>
      </c>
      <c r="S24" s="126">
        <f>IF(OR(Table_Leaks1_Input[[#This Row],[Pressure at leak (psig)]]=0, Table_Leaks1_Input[[#This Row],[Pressure at leak (psig)]]=""),0,IF(Table_Leaks1_Input[[#This Row],[Pressure at leak (psig)]]&lt;20, 10, MROUND(Table_Leaks1_Input[[#This Row],[Pressure at leak (psig)]], 25)))</f>
        <v>0</v>
      </c>
      <c r="T24" s="126">
        <f>ROUND(Table_Leaks1_Input[[#This Row],[dB reading]],-1)</f>
        <v>0</v>
      </c>
      <c r="U24" s="127" t="str">
        <f>_xlfn.CONCAT(Table_Leaks1_Input[[#This Row],[Rounded dB Reading]],"psig ", Table_Leaks1_Input[[#This Row],[Rounded PSIG]],"db")</f>
        <v>0psig 0db</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spans="1:46" x14ac:dyDescent="0.2">
      <c r="A25" s="120"/>
      <c r="B25" s="121">
        <v>20</v>
      </c>
      <c r="C25" s="128"/>
      <c r="D25" s="129"/>
      <c r="E25" s="130"/>
      <c r="F25" s="130"/>
      <c r="G25" s="130"/>
      <c r="H25" s="130"/>
      <c r="I25" s="131"/>
      <c r="J25" s="131"/>
      <c r="K25" s="122" t="str">
        <f>IFERROR(INDEX(TABLE_UE_dB[Leak Size (cfm)], MATCH(Table_Leaks1_Input[[#This Row],[Lookup Value]], TABLE_UE_dB[Lookup Value], 0)),"")</f>
        <v/>
      </c>
      <c r="L25" s="123" t="str">
        <f>IF(Table_Leaks1_Input[[#This Row],[Repaired (Y/N)]]="Yes", Value_LeakRepairIR, "")</f>
        <v/>
      </c>
      <c r="M25" s="124" t="str">
        <f>IFERROR(Table_Leaks1_Input[[#This Row],[Estimated leak size (cfm)]]*Value_WeightAvgCompEff*Value_SysAOH,"" )</f>
        <v/>
      </c>
      <c r="N25" s="125" t="str">
        <f>IFERROR(Table_Leaks1_Input[[#This Row],[Estimated leak size (cfm)]]*Value_WeightAvgCompEff,"" )</f>
        <v/>
      </c>
      <c r="O25" s="123" t="str">
        <f>IFERROR(Table_Leaks1_Input[[#This Row],[Energy savings (kWh)]]*Input_AvgkWhRate, "")</f>
        <v/>
      </c>
      <c r="P25" s="123" t="str">
        <f>IF(Table_Leaks1_Input[[#This Row],[Pressure at leak (psig)]]="", "",Table_Leaks1_Input[[#This Row],[Total equipment cost]]+Table_Leaks1_Input[[#This Row],[Total labor cost]])</f>
        <v/>
      </c>
      <c r="Q25" s="123" t="str">
        <f>IFERROR(Table_Leaks1_Input[[#This Row],[Gross measure cost]]-Table_Leaks1_Input[[#This Row],[Estimated incentive]], "")</f>
        <v/>
      </c>
      <c r="R25" s="124" t="str">
        <f t="shared" si="0"/>
        <v/>
      </c>
      <c r="S25" s="126">
        <f>IF(OR(Table_Leaks1_Input[[#This Row],[Pressure at leak (psig)]]=0, Table_Leaks1_Input[[#This Row],[Pressure at leak (psig)]]=""),0,IF(Table_Leaks1_Input[[#This Row],[Pressure at leak (psig)]]&lt;20, 10, MROUND(Table_Leaks1_Input[[#This Row],[Pressure at leak (psig)]], 25)))</f>
        <v>0</v>
      </c>
      <c r="T25" s="126">
        <f>ROUND(Table_Leaks1_Input[[#This Row],[dB reading]],-1)</f>
        <v>0</v>
      </c>
      <c r="U25" s="127" t="str">
        <f>_xlfn.CONCAT(Table_Leaks1_Input[[#This Row],[Rounded dB Reading]],"psig ", Table_Leaks1_Input[[#This Row],[Rounded PSIG]],"db")</f>
        <v>0psig 0db</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spans="1:46" x14ac:dyDescent="0.2">
      <c r="A26" s="120"/>
      <c r="B26" s="121">
        <v>21</v>
      </c>
      <c r="C26" s="128"/>
      <c r="D26" s="129"/>
      <c r="E26" s="130"/>
      <c r="F26" s="130"/>
      <c r="G26" s="130"/>
      <c r="H26" s="130"/>
      <c r="I26" s="131"/>
      <c r="J26" s="131"/>
      <c r="K26" s="122" t="str">
        <f>IFERROR(INDEX(TABLE_UE_dB[Leak Size (cfm)], MATCH(Table_Leaks1_Input[[#This Row],[Lookup Value]], TABLE_UE_dB[Lookup Value], 0)),"")</f>
        <v/>
      </c>
      <c r="L26" s="123" t="str">
        <f>IF(Table_Leaks1_Input[[#This Row],[Repaired (Y/N)]]="Yes", Value_LeakRepairIR, "")</f>
        <v/>
      </c>
      <c r="M26" s="124" t="str">
        <f>IFERROR(Table_Leaks1_Input[[#This Row],[Estimated leak size (cfm)]]*Value_WeightAvgCompEff*Value_SysAOH,"" )</f>
        <v/>
      </c>
      <c r="N26" s="125" t="str">
        <f>IFERROR(Table_Leaks1_Input[[#This Row],[Estimated leak size (cfm)]]*Value_WeightAvgCompEff,"" )</f>
        <v/>
      </c>
      <c r="O26" s="123" t="str">
        <f>IFERROR(Table_Leaks1_Input[[#This Row],[Energy savings (kWh)]]*Input_AvgkWhRate, "")</f>
        <v/>
      </c>
      <c r="P26" s="123" t="str">
        <f>IF(Table_Leaks1_Input[[#This Row],[Pressure at leak (psig)]]="", "",Table_Leaks1_Input[[#This Row],[Total equipment cost]]+Table_Leaks1_Input[[#This Row],[Total labor cost]])</f>
        <v/>
      </c>
      <c r="Q26" s="123" t="str">
        <f>IFERROR(Table_Leaks1_Input[[#This Row],[Gross measure cost]]-Table_Leaks1_Input[[#This Row],[Estimated incentive]], "")</f>
        <v/>
      </c>
      <c r="R26" s="124" t="str">
        <f t="shared" si="0"/>
        <v/>
      </c>
      <c r="S26" s="126">
        <f>IF(OR(Table_Leaks1_Input[[#This Row],[Pressure at leak (psig)]]=0, Table_Leaks1_Input[[#This Row],[Pressure at leak (psig)]]=""),0,IF(Table_Leaks1_Input[[#This Row],[Pressure at leak (psig)]]&lt;20, 10, MROUND(Table_Leaks1_Input[[#This Row],[Pressure at leak (psig)]], 25)))</f>
        <v>0</v>
      </c>
      <c r="T26" s="126">
        <f>ROUND(Table_Leaks1_Input[[#This Row],[dB reading]],-1)</f>
        <v>0</v>
      </c>
      <c r="U26" s="127" t="str">
        <f>_xlfn.CONCAT(Table_Leaks1_Input[[#This Row],[Rounded dB Reading]],"psig ", Table_Leaks1_Input[[#This Row],[Rounded PSIG]],"db")</f>
        <v>0psig 0db</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spans="1:46" x14ac:dyDescent="0.2">
      <c r="A27" s="120"/>
      <c r="B27" s="121">
        <v>22</v>
      </c>
      <c r="C27" s="128"/>
      <c r="D27" s="129"/>
      <c r="E27" s="130"/>
      <c r="F27" s="130"/>
      <c r="G27" s="130"/>
      <c r="H27" s="130"/>
      <c r="I27" s="131"/>
      <c r="J27" s="131"/>
      <c r="K27" s="122" t="str">
        <f>IFERROR(INDEX(TABLE_UE_dB[Leak Size (cfm)], MATCH(Table_Leaks1_Input[[#This Row],[Lookup Value]], TABLE_UE_dB[Lookup Value], 0)),"")</f>
        <v/>
      </c>
      <c r="L27" s="123" t="str">
        <f>IF(Table_Leaks1_Input[[#This Row],[Repaired (Y/N)]]="Yes", Value_LeakRepairIR, "")</f>
        <v/>
      </c>
      <c r="M27" s="124" t="str">
        <f>IFERROR(Table_Leaks1_Input[[#This Row],[Estimated leak size (cfm)]]*Value_WeightAvgCompEff*Value_SysAOH,"" )</f>
        <v/>
      </c>
      <c r="N27" s="125" t="str">
        <f>IFERROR(Table_Leaks1_Input[[#This Row],[Estimated leak size (cfm)]]*Value_WeightAvgCompEff,"" )</f>
        <v/>
      </c>
      <c r="O27" s="123" t="str">
        <f>IFERROR(Table_Leaks1_Input[[#This Row],[Energy savings (kWh)]]*Input_AvgkWhRate, "")</f>
        <v/>
      </c>
      <c r="P27" s="123" t="str">
        <f>IF(Table_Leaks1_Input[[#This Row],[Pressure at leak (psig)]]="", "",Table_Leaks1_Input[[#This Row],[Total equipment cost]]+Table_Leaks1_Input[[#This Row],[Total labor cost]])</f>
        <v/>
      </c>
      <c r="Q27" s="123" t="str">
        <f>IFERROR(Table_Leaks1_Input[[#This Row],[Gross measure cost]]-Table_Leaks1_Input[[#This Row],[Estimated incentive]], "")</f>
        <v/>
      </c>
      <c r="R27" s="124" t="str">
        <f t="shared" si="0"/>
        <v/>
      </c>
      <c r="S27" s="126">
        <f>IF(OR(Table_Leaks1_Input[[#This Row],[Pressure at leak (psig)]]=0, Table_Leaks1_Input[[#This Row],[Pressure at leak (psig)]]=""),0,IF(Table_Leaks1_Input[[#This Row],[Pressure at leak (psig)]]&lt;20, 10, MROUND(Table_Leaks1_Input[[#This Row],[Pressure at leak (psig)]], 25)))</f>
        <v>0</v>
      </c>
      <c r="T27" s="126">
        <f>ROUND(Table_Leaks1_Input[[#This Row],[dB reading]],-1)</f>
        <v>0</v>
      </c>
      <c r="U27" s="127" t="str">
        <f>_xlfn.CONCAT(Table_Leaks1_Input[[#This Row],[Rounded dB Reading]],"psig ", Table_Leaks1_Input[[#This Row],[Rounded PSIG]],"db")</f>
        <v>0psig 0db</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spans="1:46" x14ac:dyDescent="0.2">
      <c r="A28" s="120"/>
      <c r="B28" s="121">
        <v>23</v>
      </c>
      <c r="C28" s="128"/>
      <c r="D28" s="129"/>
      <c r="E28" s="130"/>
      <c r="F28" s="130"/>
      <c r="G28" s="130"/>
      <c r="H28" s="130"/>
      <c r="I28" s="131"/>
      <c r="J28" s="131"/>
      <c r="K28" s="122" t="str">
        <f>IFERROR(INDEX(TABLE_UE_dB[Leak Size (cfm)], MATCH(Table_Leaks1_Input[[#This Row],[Lookup Value]], TABLE_UE_dB[Lookup Value], 0)),"")</f>
        <v/>
      </c>
      <c r="L28" s="123" t="str">
        <f>IF(Table_Leaks1_Input[[#This Row],[Repaired (Y/N)]]="Yes", Value_LeakRepairIR, "")</f>
        <v/>
      </c>
      <c r="M28" s="124" t="str">
        <f>IFERROR(Table_Leaks1_Input[[#This Row],[Estimated leak size (cfm)]]*Value_WeightAvgCompEff*Value_SysAOH,"" )</f>
        <v/>
      </c>
      <c r="N28" s="125" t="str">
        <f>IFERROR(Table_Leaks1_Input[[#This Row],[Estimated leak size (cfm)]]*Value_WeightAvgCompEff,"" )</f>
        <v/>
      </c>
      <c r="O28" s="123" t="str">
        <f>IFERROR(Table_Leaks1_Input[[#This Row],[Energy savings (kWh)]]*Input_AvgkWhRate, "")</f>
        <v/>
      </c>
      <c r="P28" s="123" t="str">
        <f>IF(Table_Leaks1_Input[[#This Row],[Pressure at leak (psig)]]="", "",Table_Leaks1_Input[[#This Row],[Total equipment cost]]+Table_Leaks1_Input[[#This Row],[Total labor cost]])</f>
        <v/>
      </c>
      <c r="Q28" s="123" t="str">
        <f>IFERROR(Table_Leaks1_Input[[#This Row],[Gross measure cost]]-Table_Leaks1_Input[[#This Row],[Estimated incentive]], "")</f>
        <v/>
      </c>
      <c r="R28" s="124" t="str">
        <f t="shared" si="0"/>
        <v/>
      </c>
      <c r="S28" s="126">
        <f>IF(OR(Table_Leaks1_Input[[#This Row],[Pressure at leak (psig)]]=0, Table_Leaks1_Input[[#This Row],[Pressure at leak (psig)]]=""),0,IF(Table_Leaks1_Input[[#This Row],[Pressure at leak (psig)]]&lt;20, 10, MROUND(Table_Leaks1_Input[[#This Row],[Pressure at leak (psig)]], 25)))</f>
        <v>0</v>
      </c>
      <c r="T28" s="126">
        <f>ROUND(Table_Leaks1_Input[[#This Row],[dB reading]],-1)</f>
        <v>0</v>
      </c>
      <c r="U28" s="127" t="str">
        <f>_xlfn.CONCAT(Table_Leaks1_Input[[#This Row],[Rounded dB Reading]],"psig ", Table_Leaks1_Input[[#This Row],[Rounded PSIG]],"db")</f>
        <v>0psig 0db</v>
      </c>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spans="1:46" x14ac:dyDescent="0.2">
      <c r="A29" s="120"/>
      <c r="B29" s="121">
        <v>24</v>
      </c>
      <c r="C29" s="128"/>
      <c r="D29" s="129"/>
      <c r="E29" s="130"/>
      <c r="F29" s="130"/>
      <c r="G29" s="130"/>
      <c r="H29" s="130"/>
      <c r="I29" s="131"/>
      <c r="J29" s="131"/>
      <c r="K29" s="122" t="str">
        <f>IFERROR(INDEX(TABLE_UE_dB[Leak Size (cfm)], MATCH(Table_Leaks1_Input[[#This Row],[Lookup Value]], TABLE_UE_dB[Lookup Value], 0)),"")</f>
        <v/>
      </c>
      <c r="L29" s="123" t="str">
        <f>IF(Table_Leaks1_Input[[#This Row],[Repaired (Y/N)]]="Yes", Value_LeakRepairIR, "")</f>
        <v/>
      </c>
      <c r="M29" s="124" t="str">
        <f>IFERROR(Table_Leaks1_Input[[#This Row],[Estimated leak size (cfm)]]*Value_WeightAvgCompEff*Value_SysAOH,"" )</f>
        <v/>
      </c>
      <c r="N29" s="125" t="str">
        <f>IFERROR(Table_Leaks1_Input[[#This Row],[Estimated leak size (cfm)]]*Value_WeightAvgCompEff,"" )</f>
        <v/>
      </c>
      <c r="O29" s="123" t="str">
        <f>IFERROR(Table_Leaks1_Input[[#This Row],[Energy savings (kWh)]]*Input_AvgkWhRate, "")</f>
        <v/>
      </c>
      <c r="P29" s="123" t="str">
        <f>IF(Table_Leaks1_Input[[#This Row],[Pressure at leak (psig)]]="", "",Table_Leaks1_Input[[#This Row],[Total equipment cost]]+Table_Leaks1_Input[[#This Row],[Total labor cost]])</f>
        <v/>
      </c>
      <c r="Q29" s="123" t="str">
        <f>IFERROR(Table_Leaks1_Input[[#This Row],[Gross measure cost]]-Table_Leaks1_Input[[#This Row],[Estimated incentive]], "")</f>
        <v/>
      </c>
      <c r="R29" s="124" t="str">
        <f t="shared" si="0"/>
        <v/>
      </c>
      <c r="S29" s="126">
        <f>IF(OR(Table_Leaks1_Input[[#This Row],[Pressure at leak (psig)]]=0, Table_Leaks1_Input[[#This Row],[Pressure at leak (psig)]]=""),0,IF(Table_Leaks1_Input[[#This Row],[Pressure at leak (psig)]]&lt;20, 10, MROUND(Table_Leaks1_Input[[#This Row],[Pressure at leak (psig)]], 25)))</f>
        <v>0</v>
      </c>
      <c r="T29" s="126">
        <f>ROUND(Table_Leaks1_Input[[#This Row],[dB reading]],-1)</f>
        <v>0</v>
      </c>
      <c r="U29" s="127" t="str">
        <f>_xlfn.CONCAT(Table_Leaks1_Input[[#This Row],[Rounded dB Reading]],"psig ", Table_Leaks1_Input[[#This Row],[Rounded PSIG]],"db")</f>
        <v>0psig 0db</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spans="1:46" x14ac:dyDescent="0.2">
      <c r="A30" s="120"/>
      <c r="B30" s="121">
        <v>25</v>
      </c>
      <c r="C30" s="128"/>
      <c r="D30" s="129"/>
      <c r="E30" s="130"/>
      <c r="F30" s="130"/>
      <c r="G30" s="130"/>
      <c r="H30" s="130"/>
      <c r="I30" s="131"/>
      <c r="J30" s="131"/>
      <c r="K30" s="122" t="str">
        <f>IFERROR(INDEX(TABLE_UE_dB[Leak Size (cfm)], MATCH(Table_Leaks1_Input[[#This Row],[Lookup Value]], TABLE_UE_dB[Lookup Value], 0)),"")</f>
        <v/>
      </c>
      <c r="L30" s="123" t="str">
        <f>IF(Table_Leaks1_Input[[#This Row],[Repaired (Y/N)]]="Yes", Value_LeakRepairIR, "")</f>
        <v/>
      </c>
      <c r="M30" s="124" t="str">
        <f>IFERROR(Table_Leaks1_Input[[#This Row],[Estimated leak size (cfm)]]*Value_WeightAvgCompEff*Value_SysAOH,"" )</f>
        <v/>
      </c>
      <c r="N30" s="125" t="str">
        <f>IFERROR(Table_Leaks1_Input[[#This Row],[Estimated leak size (cfm)]]*Value_WeightAvgCompEff,"" )</f>
        <v/>
      </c>
      <c r="O30" s="123" t="str">
        <f>IFERROR(Table_Leaks1_Input[[#This Row],[Energy savings (kWh)]]*Input_AvgkWhRate, "")</f>
        <v/>
      </c>
      <c r="P30" s="123" t="str">
        <f>IF(Table_Leaks1_Input[[#This Row],[Pressure at leak (psig)]]="", "",Table_Leaks1_Input[[#This Row],[Total equipment cost]]+Table_Leaks1_Input[[#This Row],[Total labor cost]])</f>
        <v/>
      </c>
      <c r="Q30" s="123" t="str">
        <f>IFERROR(Table_Leaks1_Input[[#This Row],[Gross measure cost]]-Table_Leaks1_Input[[#This Row],[Estimated incentive]], "")</f>
        <v/>
      </c>
      <c r="R30" s="124" t="str">
        <f t="shared" si="0"/>
        <v/>
      </c>
      <c r="S30" s="126">
        <f>IF(OR(Table_Leaks1_Input[[#This Row],[Pressure at leak (psig)]]=0, Table_Leaks1_Input[[#This Row],[Pressure at leak (psig)]]=""),0,IF(Table_Leaks1_Input[[#This Row],[Pressure at leak (psig)]]&lt;20, 10, MROUND(Table_Leaks1_Input[[#This Row],[Pressure at leak (psig)]], 25)))</f>
        <v>0</v>
      </c>
      <c r="T30" s="126">
        <f>ROUND(Table_Leaks1_Input[[#This Row],[dB reading]],-1)</f>
        <v>0</v>
      </c>
      <c r="U30" s="127" t="str">
        <f>_xlfn.CONCAT(Table_Leaks1_Input[[#This Row],[Rounded dB Reading]],"psig ", Table_Leaks1_Input[[#This Row],[Rounded PSIG]],"db")</f>
        <v>0psig 0db</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spans="1:46" x14ac:dyDescent="0.2">
      <c r="A31" s="120"/>
      <c r="B31" s="121">
        <v>26</v>
      </c>
      <c r="C31" s="128"/>
      <c r="D31" s="129"/>
      <c r="E31" s="130"/>
      <c r="F31" s="130"/>
      <c r="G31" s="130"/>
      <c r="H31" s="130"/>
      <c r="I31" s="131"/>
      <c r="J31" s="131"/>
      <c r="K31" s="122" t="str">
        <f>IFERROR(INDEX(TABLE_UE_dB[Leak Size (cfm)], MATCH(Table_Leaks1_Input[[#This Row],[Lookup Value]], TABLE_UE_dB[Lookup Value], 0)),"")</f>
        <v/>
      </c>
      <c r="L31" s="123" t="str">
        <f>IF(Table_Leaks1_Input[[#This Row],[Repaired (Y/N)]]="Yes", Value_LeakRepairIR, "")</f>
        <v/>
      </c>
      <c r="M31" s="124" t="str">
        <f>IFERROR(Table_Leaks1_Input[[#This Row],[Estimated leak size (cfm)]]*Value_WeightAvgCompEff*Value_SysAOH,"" )</f>
        <v/>
      </c>
      <c r="N31" s="125" t="str">
        <f>IFERROR(Table_Leaks1_Input[[#This Row],[Estimated leak size (cfm)]]*Value_WeightAvgCompEff,"" )</f>
        <v/>
      </c>
      <c r="O31" s="123" t="str">
        <f>IFERROR(Table_Leaks1_Input[[#This Row],[Energy savings (kWh)]]*Input_AvgkWhRate, "")</f>
        <v/>
      </c>
      <c r="P31" s="123" t="str">
        <f>IF(Table_Leaks1_Input[[#This Row],[Pressure at leak (psig)]]="", "",Table_Leaks1_Input[[#This Row],[Total equipment cost]]+Table_Leaks1_Input[[#This Row],[Total labor cost]])</f>
        <v/>
      </c>
      <c r="Q31" s="123" t="str">
        <f>IFERROR(Table_Leaks1_Input[[#This Row],[Gross measure cost]]-Table_Leaks1_Input[[#This Row],[Estimated incentive]], "")</f>
        <v/>
      </c>
      <c r="R31" s="124" t="str">
        <f t="shared" si="0"/>
        <v/>
      </c>
      <c r="S31" s="126">
        <f>IF(OR(Table_Leaks1_Input[[#This Row],[Pressure at leak (psig)]]=0, Table_Leaks1_Input[[#This Row],[Pressure at leak (psig)]]=""),0,IF(Table_Leaks1_Input[[#This Row],[Pressure at leak (psig)]]&lt;20, 10, MROUND(Table_Leaks1_Input[[#This Row],[Pressure at leak (psig)]], 25)))</f>
        <v>0</v>
      </c>
      <c r="T31" s="126">
        <f>ROUND(Table_Leaks1_Input[[#This Row],[dB reading]],-1)</f>
        <v>0</v>
      </c>
      <c r="U31" s="127" t="str">
        <f>_xlfn.CONCAT(Table_Leaks1_Input[[#This Row],[Rounded dB Reading]],"psig ", Table_Leaks1_Input[[#This Row],[Rounded PSIG]],"db")</f>
        <v>0psig 0db</v>
      </c>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spans="1:46" x14ac:dyDescent="0.2">
      <c r="A32" s="75"/>
      <c r="B32" s="121">
        <v>27</v>
      </c>
      <c r="C32" s="128"/>
      <c r="D32" s="129"/>
      <c r="E32" s="130"/>
      <c r="F32" s="130"/>
      <c r="G32" s="130"/>
      <c r="H32" s="130"/>
      <c r="I32" s="131"/>
      <c r="J32" s="131"/>
      <c r="K32" s="122" t="str">
        <f>IFERROR(INDEX(TABLE_UE_dB[Leak Size (cfm)], MATCH(Table_Leaks1_Input[[#This Row],[Lookup Value]], TABLE_UE_dB[Lookup Value], 0)),"")</f>
        <v/>
      </c>
      <c r="L32" s="123" t="str">
        <f>IF(Table_Leaks1_Input[[#This Row],[Repaired (Y/N)]]="Yes", Value_LeakRepairIR, "")</f>
        <v/>
      </c>
      <c r="M32" s="124" t="str">
        <f>IFERROR(Table_Leaks1_Input[[#This Row],[Estimated leak size (cfm)]]*Value_WeightAvgCompEff*Value_SysAOH,"" )</f>
        <v/>
      </c>
      <c r="N32" s="125" t="str">
        <f>IFERROR(Table_Leaks1_Input[[#This Row],[Estimated leak size (cfm)]]*Value_WeightAvgCompEff,"" )</f>
        <v/>
      </c>
      <c r="O32" s="123" t="str">
        <f>IFERROR(Table_Leaks1_Input[[#This Row],[Energy savings (kWh)]]*Input_AvgkWhRate, "")</f>
        <v/>
      </c>
      <c r="P32" s="123" t="str">
        <f>IF(Table_Leaks1_Input[[#This Row],[Pressure at leak (psig)]]="", "",Table_Leaks1_Input[[#This Row],[Total equipment cost]]+Table_Leaks1_Input[[#This Row],[Total labor cost]])</f>
        <v/>
      </c>
      <c r="Q32" s="123" t="str">
        <f>IFERROR(Table_Leaks1_Input[[#This Row],[Gross measure cost]]-Table_Leaks1_Input[[#This Row],[Estimated incentive]], "")</f>
        <v/>
      </c>
      <c r="R32" s="124" t="str">
        <f t="shared" si="0"/>
        <v/>
      </c>
      <c r="S32" s="126">
        <f>IF(OR(Table_Leaks1_Input[[#This Row],[Pressure at leak (psig)]]=0, Table_Leaks1_Input[[#This Row],[Pressure at leak (psig)]]=""),0,IF(Table_Leaks1_Input[[#This Row],[Pressure at leak (psig)]]&lt;20, 10, MROUND(Table_Leaks1_Input[[#This Row],[Pressure at leak (psig)]], 25)))</f>
        <v>0</v>
      </c>
      <c r="T32" s="126">
        <f>ROUND(Table_Leaks1_Input[[#This Row],[dB reading]],-1)</f>
        <v>0</v>
      </c>
      <c r="U32" s="127" t="str">
        <f>_xlfn.CONCAT(Table_Leaks1_Input[[#This Row],[Rounded dB Reading]],"psig ", Table_Leaks1_Input[[#This Row],[Rounded PSIG]],"db")</f>
        <v>0psig 0db</v>
      </c>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x14ac:dyDescent="0.2">
      <c r="A33" s="75"/>
      <c r="B33" s="121">
        <v>28</v>
      </c>
      <c r="C33" s="128"/>
      <c r="D33" s="129"/>
      <c r="E33" s="130"/>
      <c r="F33" s="130"/>
      <c r="G33" s="130"/>
      <c r="H33" s="130"/>
      <c r="I33" s="131"/>
      <c r="J33" s="131"/>
      <c r="K33" s="122" t="str">
        <f>IFERROR(INDEX(TABLE_UE_dB[Leak Size (cfm)], MATCH(Table_Leaks1_Input[[#This Row],[Lookup Value]], TABLE_UE_dB[Lookup Value], 0)),"")</f>
        <v/>
      </c>
      <c r="L33" s="123" t="str">
        <f>IF(Table_Leaks1_Input[[#This Row],[Repaired (Y/N)]]="Yes", Value_LeakRepairIR, "")</f>
        <v/>
      </c>
      <c r="M33" s="124" t="str">
        <f>IFERROR(Table_Leaks1_Input[[#This Row],[Estimated leak size (cfm)]]*Value_WeightAvgCompEff*Value_SysAOH,"" )</f>
        <v/>
      </c>
      <c r="N33" s="125" t="str">
        <f>IFERROR(Table_Leaks1_Input[[#This Row],[Estimated leak size (cfm)]]*Value_WeightAvgCompEff,"" )</f>
        <v/>
      </c>
      <c r="O33" s="123" t="str">
        <f>IFERROR(Table_Leaks1_Input[[#This Row],[Energy savings (kWh)]]*Input_AvgkWhRate, "")</f>
        <v/>
      </c>
      <c r="P33" s="123" t="str">
        <f>IF(Table_Leaks1_Input[[#This Row],[Pressure at leak (psig)]]="", "",Table_Leaks1_Input[[#This Row],[Total equipment cost]]+Table_Leaks1_Input[[#This Row],[Total labor cost]])</f>
        <v/>
      </c>
      <c r="Q33" s="123" t="str">
        <f>IFERROR(Table_Leaks1_Input[[#This Row],[Gross measure cost]]-Table_Leaks1_Input[[#This Row],[Estimated incentive]], "")</f>
        <v/>
      </c>
      <c r="R33" s="124" t="str">
        <f t="shared" si="0"/>
        <v/>
      </c>
      <c r="S33" s="126">
        <f>IF(OR(Table_Leaks1_Input[[#This Row],[Pressure at leak (psig)]]=0, Table_Leaks1_Input[[#This Row],[Pressure at leak (psig)]]=""),0,IF(Table_Leaks1_Input[[#This Row],[Pressure at leak (psig)]]&lt;20, 10, MROUND(Table_Leaks1_Input[[#This Row],[Pressure at leak (psig)]], 25)))</f>
        <v>0</v>
      </c>
      <c r="T33" s="126">
        <f>ROUND(Table_Leaks1_Input[[#This Row],[dB reading]],-1)</f>
        <v>0</v>
      </c>
      <c r="U33" s="127" t="str">
        <f>_xlfn.CONCAT(Table_Leaks1_Input[[#This Row],[Rounded dB Reading]],"psig ", Table_Leaks1_Input[[#This Row],[Rounded PSIG]],"db")</f>
        <v>0psig 0db</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x14ac:dyDescent="0.2">
      <c r="A34" s="75"/>
      <c r="B34" s="121">
        <v>29</v>
      </c>
      <c r="C34" s="128"/>
      <c r="D34" s="129"/>
      <c r="E34" s="130"/>
      <c r="F34" s="130"/>
      <c r="G34" s="130"/>
      <c r="H34" s="130"/>
      <c r="I34" s="131"/>
      <c r="J34" s="131"/>
      <c r="K34" s="122" t="str">
        <f>IFERROR(INDEX(TABLE_UE_dB[Leak Size (cfm)], MATCH(Table_Leaks1_Input[[#This Row],[Lookup Value]], TABLE_UE_dB[Lookup Value], 0)),"")</f>
        <v/>
      </c>
      <c r="L34" s="123" t="str">
        <f>IF(Table_Leaks1_Input[[#This Row],[Repaired (Y/N)]]="Yes", Value_LeakRepairIR, "")</f>
        <v/>
      </c>
      <c r="M34" s="124" t="str">
        <f>IFERROR(Table_Leaks1_Input[[#This Row],[Estimated leak size (cfm)]]*Value_WeightAvgCompEff*Value_SysAOH,"" )</f>
        <v/>
      </c>
      <c r="N34" s="125" t="str">
        <f>IFERROR(Table_Leaks1_Input[[#This Row],[Estimated leak size (cfm)]]*Value_WeightAvgCompEff,"" )</f>
        <v/>
      </c>
      <c r="O34" s="123" t="str">
        <f>IFERROR(Table_Leaks1_Input[[#This Row],[Energy savings (kWh)]]*Input_AvgkWhRate, "")</f>
        <v/>
      </c>
      <c r="P34" s="123" t="str">
        <f>IF(Table_Leaks1_Input[[#This Row],[Pressure at leak (psig)]]="", "",Table_Leaks1_Input[[#This Row],[Total equipment cost]]+Table_Leaks1_Input[[#This Row],[Total labor cost]])</f>
        <v/>
      </c>
      <c r="Q34" s="123" t="str">
        <f>IFERROR(Table_Leaks1_Input[[#This Row],[Gross measure cost]]-Table_Leaks1_Input[[#This Row],[Estimated incentive]], "")</f>
        <v/>
      </c>
      <c r="R34" s="124" t="str">
        <f t="shared" si="0"/>
        <v/>
      </c>
      <c r="S34" s="126">
        <f>IF(OR(Table_Leaks1_Input[[#This Row],[Pressure at leak (psig)]]=0, Table_Leaks1_Input[[#This Row],[Pressure at leak (psig)]]=""),0,IF(Table_Leaks1_Input[[#This Row],[Pressure at leak (psig)]]&lt;20, 10, MROUND(Table_Leaks1_Input[[#This Row],[Pressure at leak (psig)]], 25)))</f>
        <v>0</v>
      </c>
      <c r="T34" s="126">
        <f>ROUND(Table_Leaks1_Input[[#This Row],[dB reading]],-1)</f>
        <v>0</v>
      </c>
      <c r="U34" s="127" t="str">
        <f>_xlfn.CONCAT(Table_Leaks1_Input[[#This Row],[Rounded dB Reading]],"psig ", Table_Leaks1_Input[[#This Row],[Rounded PSIG]],"db")</f>
        <v>0psig 0db</v>
      </c>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x14ac:dyDescent="0.2">
      <c r="A35" s="75"/>
      <c r="B35" s="121">
        <v>30</v>
      </c>
      <c r="C35" s="128"/>
      <c r="D35" s="129"/>
      <c r="E35" s="130"/>
      <c r="F35" s="130"/>
      <c r="G35" s="130"/>
      <c r="H35" s="130"/>
      <c r="I35" s="131"/>
      <c r="J35" s="131"/>
      <c r="K35" s="122" t="str">
        <f>IFERROR(INDEX(TABLE_UE_dB[Leak Size (cfm)], MATCH(Table_Leaks1_Input[[#This Row],[Lookup Value]], TABLE_UE_dB[Lookup Value], 0)),"")</f>
        <v/>
      </c>
      <c r="L35" s="123" t="str">
        <f>IF(Table_Leaks1_Input[[#This Row],[Repaired (Y/N)]]="Yes", Value_LeakRepairIR, "")</f>
        <v/>
      </c>
      <c r="M35" s="124" t="str">
        <f>IFERROR(Table_Leaks1_Input[[#This Row],[Estimated leak size (cfm)]]*Value_WeightAvgCompEff*Value_SysAOH,"" )</f>
        <v/>
      </c>
      <c r="N35" s="125" t="str">
        <f>IFERROR(Table_Leaks1_Input[[#This Row],[Estimated leak size (cfm)]]*Value_WeightAvgCompEff,"" )</f>
        <v/>
      </c>
      <c r="O35" s="123" t="str">
        <f>IFERROR(Table_Leaks1_Input[[#This Row],[Energy savings (kWh)]]*Input_AvgkWhRate, "")</f>
        <v/>
      </c>
      <c r="P35" s="123" t="str">
        <f>IF(Table_Leaks1_Input[[#This Row],[Pressure at leak (psig)]]="", "",Table_Leaks1_Input[[#This Row],[Total equipment cost]]+Table_Leaks1_Input[[#This Row],[Total labor cost]])</f>
        <v/>
      </c>
      <c r="Q35" s="123" t="str">
        <f>IFERROR(Table_Leaks1_Input[[#This Row],[Gross measure cost]]-Table_Leaks1_Input[[#This Row],[Estimated incentive]], "")</f>
        <v/>
      </c>
      <c r="R35" s="124" t="str">
        <f t="shared" si="0"/>
        <v/>
      </c>
      <c r="S35" s="126">
        <f>IF(OR(Table_Leaks1_Input[[#This Row],[Pressure at leak (psig)]]=0, Table_Leaks1_Input[[#This Row],[Pressure at leak (psig)]]=""),0,IF(Table_Leaks1_Input[[#This Row],[Pressure at leak (psig)]]&lt;20, 10, MROUND(Table_Leaks1_Input[[#This Row],[Pressure at leak (psig)]], 25)))</f>
        <v>0</v>
      </c>
      <c r="T35" s="126">
        <f>ROUND(Table_Leaks1_Input[[#This Row],[dB reading]],-1)</f>
        <v>0</v>
      </c>
      <c r="U35" s="127" t="str">
        <f>_xlfn.CONCAT(Table_Leaks1_Input[[#This Row],[Rounded dB Reading]],"psig ", Table_Leaks1_Input[[#This Row],[Rounded PSIG]],"db")</f>
        <v>0psig 0db</v>
      </c>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x14ac:dyDescent="0.2">
      <c r="A36" s="75"/>
      <c r="B36" s="121">
        <v>31</v>
      </c>
      <c r="C36" s="128"/>
      <c r="D36" s="129"/>
      <c r="E36" s="130"/>
      <c r="F36" s="130"/>
      <c r="G36" s="130"/>
      <c r="H36" s="130"/>
      <c r="I36" s="131"/>
      <c r="J36" s="131"/>
      <c r="K36" s="122" t="str">
        <f>IFERROR(INDEX(TABLE_UE_dB[Leak Size (cfm)], MATCH(Table_Leaks1_Input[[#This Row],[Lookup Value]], TABLE_UE_dB[Lookup Value], 0)),"")</f>
        <v/>
      </c>
      <c r="L36" s="123" t="str">
        <f>IF(Table_Leaks1_Input[[#This Row],[Repaired (Y/N)]]="Yes", Value_LeakRepairIR, "")</f>
        <v/>
      </c>
      <c r="M36" s="124" t="str">
        <f>IFERROR(Table_Leaks1_Input[[#This Row],[Estimated leak size (cfm)]]*Value_WeightAvgCompEff*Value_SysAOH,"" )</f>
        <v/>
      </c>
      <c r="N36" s="125" t="str">
        <f>IFERROR(Table_Leaks1_Input[[#This Row],[Estimated leak size (cfm)]]*Value_WeightAvgCompEff,"" )</f>
        <v/>
      </c>
      <c r="O36" s="123" t="str">
        <f>IFERROR(Table_Leaks1_Input[[#This Row],[Energy savings (kWh)]]*Input_AvgkWhRate, "")</f>
        <v/>
      </c>
      <c r="P36" s="123" t="str">
        <f>IF(Table_Leaks1_Input[[#This Row],[Pressure at leak (psig)]]="", "",Table_Leaks1_Input[[#This Row],[Total equipment cost]]+Table_Leaks1_Input[[#This Row],[Total labor cost]])</f>
        <v/>
      </c>
      <c r="Q36" s="123" t="str">
        <f>IFERROR(Table_Leaks1_Input[[#This Row],[Gross measure cost]]-Table_Leaks1_Input[[#This Row],[Estimated incentive]], "")</f>
        <v/>
      </c>
      <c r="R36" s="124" t="str">
        <f t="shared" si="0"/>
        <v/>
      </c>
      <c r="S36" s="126">
        <f>IF(OR(Table_Leaks1_Input[[#This Row],[Pressure at leak (psig)]]=0, Table_Leaks1_Input[[#This Row],[Pressure at leak (psig)]]=""),0,IF(Table_Leaks1_Input[[#This Row],[Pressure at leak (psig)]]&lt;20, 10, MROUND(Table_Leaks1_Input[[#This Row],[Pressure at leak (psig)]], 25)))</f>
        <v>0</v>
      </c>
      <c r="T36" s="126">
        <f>ROUND(Table_Leaks1_Input[[#This Row],[dB reading]],-1)</f>
        <v>0</v>
      </c>
      <c r="U36" s="127" t="str">
        <f>_xlfn.CONCAT(Table_Leaks1_Input[[#This Row],[Rounded dB Reading]],"psig ", Table_Leaks1_Input[[#This Row],[Rounded PSIG]],"db")</f>
        <v>0psig 0db</v>
      </c>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x14ac:dyDescent="0.2">
      <c r="A37" s="75"/>
      <c r="B37" s="121">
        <v>32</v>
      </c>
      <c r="C37" s="128"/>
      <c r="D37" s="129"/>
      <c r="E37" s="130"/>
      <c r="F37" s="130"/>
      <c r="G37" s="130"/>
      <c r="H37" s="130"/>
      <c r="I37" s="131"/>
      <c r="J37" s="131"/>
      <c r="K37" s="122" t="str">
        <f>IFERROR(INDEX(TABLE_UE_dB[Leak Size (cfm)], MATCH(Table_Leaks1_Input[[#This Row],[Lookup Value]], TABLE_UE_dB[Lookup Value], 0)),"")</f>
        <v/>
      </c>
      <c r="L37" s="123" t="str">
        <f>IF(Table_Leaks1_Input[[#This Row],[Repaired (Y/N)]]="Yes", Value_LeakRepairIR, "")</f>
        <v/>
      </c>
      <c r="M37" s="124" t="str">
        <f>IFERROR(Table_Leaks1_Input[[#This Row],[Estimated leak size (cfm)]]*Value_WeightAvgCompEff*Value_SysAOH,"" )</f>
        <v/>
      </c>
      <c r="N37" s="125" t="str">
        <f>IFERROR(Table_Leaks1_Input[[#This Row],[Estimated leak size (cfm)]]*Value_WeightAvgCompEff,"" )</f>
        <v/>
      </c>
      <c r="O37" s="123" t="str">
        <f>IFERROR(Table_Leaks1_Input[[#This Row],[Energy savings (kWh)]]*Input_AvgkWhRate, "")</f>
        <v/>
      </c>
      <c r="P37" s="123" t="str">
        <f>IF(Table_Leaks1_Input[[#This Row],[Pressure at leak (psig)]]="", "",Table_Leaks1_Input[[#This Row],[Total equipment cost]]+Table_Leaks1_Input[[#This Row],[Total labor cost]])</f>
        <v/>
      </c>
      <c r="Q37" s="123" t="str">
        <f>IFERROR(Table_Leaks1_Input[[#This Row],[Gross measure cost]]-Table_Leaks1_Input[[#This Row],[Estimated incentive]], "")</f>
        <v/>
      </c>
      <c r="R37" s="124" t="str">
        <f t="shared" si="0"/>
        <v/>
      </c>
      <c r="S37" s="126">
        <f>IF(OR(Table_Leaks1_Input[[#This Row],[Pressure at leak (psig)]]=0, Table_Leaks1_Input[[#This Row],[Pressure at leak (psig)]]=""),0,IF(Table_Leaks1_Input[[#This Row],[Pressure at leak (psig)]]&lt;20, 10, MROUND(Table_Leaks1_Input[[#This Row],[Pressure at leak (psig)]], 25)))</f>
        <v>0</v>
      </c>
      <c r="T37" s="126">
        <f>ROUND(Table_Leaks1_Input[[#This Row],[dB reading]],-1)</f>
        <v>0</v>
      </c>
      <c r="U37" s="127" t="str">
        <f>_xlfn.CONCAT(Table_Leaks1_Input[[#This Row],[Rounded dB Reading]],"psig ", Table_Leaks1_Input[[#This Row],[Rounded PSIG]],"db")</f>
        <v>0psig 0db</v>
      </c>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x14ac:dyDescent="0.2">
      <c r="A38" s="75"/>
      <c r="B38" s="121">
        <v>33</v>
      </c>
      <c r="C38" s="128"/>
      <c r="D38" s="129"/>
      <c r="E38" s="130"/>
      <c r="F38" s="130"/>
      <c r="G38" s="130"/>
      <c r="H38" s="130"/>
      <c r="I38" s="131"/>
      <c r="J38" s="131"/>
      <c r="K38" s="122" t="str">
        <f>IFERROR(INDEX(TABLE_UE_dB[Leak Size (cfm)], MATCH(Table_Leaks1_Input[[#This Row],[Lookup Value]], TABLE_UE_dB[Lookup Value], 0)),"")</f>
        <v/>
      </c>
      <c r="L38" s="123" t="str">
        <f>IF(Table_Leaks1_Input[[#This Row],[Repaired (Y/N)]]="Yes", Value_LeakRepairIR, "")</f>
        <v/>
      </c>
      <c r="M38" s="124" t="str">
        <f>IFERROR(Table_Leaks1_Input[[#This Row],[Estimated leak size (cfm)]]*Value_WeightAvgCompEff*Value_SysAOH,"" )</f>
        <v/>
      </c>
      <c r="N38" s="125" t="str">
        <f>IFERROR(Table_Leaks1_Input[[#This Row],[Estimated leak size (cfm)]]*Value_WeightAvgCompEff,"" )</f>
        <v/>
      </c>
      <c r="O38" s="123" t="str">
        <f>IFERROR(Table_Leaks1_Input[[#This Row],[Energy savings (kWh)]]*Input_AvgkWhRate, "")</f>
        <v/>
      </c>
      <c r="P38" s="123" t="str">
        <f>IF(Table_Leaks1_Input[[#This Row],[Pressure at leak (psig)]]="", "",Table_Leaks1_Input[[#This Row],[Total equipment cost]]+Table_Leaks1_Input[[#This Row],[Total labor cost]])</f>
        <v/>
      </c>
      <c r="Q38" s="123" t="str">
        <f>IFERROR(Table_Leaks1_Input[[#This Row],[Gross measure cost]]-Table_Leaks1_Input[[#This Row],[Estimated incentive]], "")</f>
        <v/>
      </c>
      <c r="R38" s="124" t="str">
        <f t="shared" si="0"/>
        <v/>
      </c>
      <c r="S38" s="126">
        <f>IF(OR(Table_Leaks1_Input[[#This Row],[Pressure at leak (psig)]]=0, Table_Leaks1_Input[[#This Row],[Pressure at leak (psig)]]=""),0,IF(Table_Leaks1_Input[[#This Row],[Pressure at leak (psig)]]&lt;20, 10, MROUND(Table_Leaks1_Input[[#This Row],[Pressure at leak (psig)]], 25)))</f>
        <v>0</v>
      </c>
      <c r="T38" s="126">
        <f>ROUND(Table_Leaks1_Input[[#This Row],[dB reading]],-1)</f>
        <v>0</v>
      </c>
      <c r="U38" s="127" t="str">
        <f>_xlfn.CONCAT(Table_Leaks1_Input[[#This Row],[Rounded dB Reading]],"psig ", Table_Leaks1_Input[[#This Row],[Rounded PSIG]],"db")</f>
        <v>0psig 0db</v>
      </c>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x14ac:dyDescent="0.2">
      <c r="A39" s="75"/>
      <c r="B39" s="121">
        <v>34</v>
      </c>
      <c r="C39" s="128"/>
      <c r="D39" s="129"/>
      <c r="E39" s="130"/>
      <c r="F39" s="130"/>
      <c r="G39" s="130"/>
      <c r="H39" s="130"/>
      <c r="I39" s="131"/>
      <c r="J39" s="131"/>
      <c r="K39" s="122" t="str">
        <f>IFERROR(INDEX(TABLE_UE_dB[Leak Size (cfm)], MATCH(Table_Leaks1_Input[[#This Row],[Lookup Value]], TABLE_UE_dB[Lookup Value], 0)),"")</f>
        <v/>
      </c>
      <c r="L39" s="123" t="str">
        <f>IF(Table_Leaks1_Input[[#This Row],[Repaired (Y/N)]]="Yes", Value_LeakRepairIR, "")</f>
        <v/>
      </c>
      <c r="M39" s="124" t="str">
        <f>IFERROR(Table_Leaks1_Input[[#This Row],[Estimated leak size (cfm)]]*Value_WeightAvgCompEff*Value_SysAOH,"" )</f>
        <v/>
      </c>
      <c r="N39" s="125" t="str">
        <f>IFERROR(Table_Leaks1_Input[[#This Row],[Estimated leak size (cfm)]]*Value_WeightAvgCompEff,"" )</f>
        <v/>
      </c>
      <c r="O39" s="123" t="str">
        <f>IFERROR(Table_Leaks1_Input[[#This Row],[Energy savings (kWh)]]*Input_AvgkWhRate, "")</f>
        <v/>
      </c>
      <c r="P39" s="123" t="str">
        <f>IF(Table_Leaks1_Input[[#This Row],[Pressure at leak (psig)]]="", "",Table_Leaks1_Input[[#This Row],[Total equipment cost]]+Table_Leaks1_Input[[#This Row],[Total labor cost]])</f>
        <v/>
      </c>
      <c r="Q39" s="123" t="str">
        <f>IFERROR(Table_Leaks1_Input[[#This Row],[Gross measure cost]]-Table_Leaks1_Input[[#This Row],[Estimated incentive]], "")</f>
        <v/>
      </c>
      <c r="R39" s="124" t="str">
        <f t="shared" si="0"/>
        <v/>
      </c>
      <c r="S39" s="126">
        <f>IF(OR(Table_Leaks1_Input[[#This Row],[Pressure at leak (psig)]]=0, Table_Leaks1_Input[[#This Row],[Pressure at leak (psig)]]=""),0,IF(Table_Leaks1_Input[[#This Row],[Pressure at leak (psig)]]&lt;20, 10, MROUND(Table_Leaks1_Input[[#This Row],[Pressure at leak (psig)]], 25)))</f>
        <v>0</v>
      </c>
      <c r="T39" s="126">
        <f>ROUND(Table_Leaks1_Input[[#This Row],[dB reading]],-1)</f>
        <v>0</v>
      </c>
      <c r="U39" s="127" t="str">
        <f>_xlfn.CONCAT(Table_Leaks1_Input[[#This Row],[Rounded dB Reading]],"psig ", Table_Leaks1_Input[[#This Row],[Rounded PSIG]],"db")</f>
        <v>0psig 0db</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x14ac:dyDescent="0.2">
      <c r="A40" s="75"/>
      <c r="B40" s="121">
        <v>35</v>
      </c>
      <c r="C40" s="128"/>
      <c r="D40" s="129"/>
      <c r="E40" s="130"/>
      <c r="F40" s="130"/>
      <c r="G40" s="130"/>
      <c r="H40" s="130"/>
      <c r="I40" s="131"/>
      <c r="J40" s="131"/>
      <c r="K40" s="122" t="str">
        <f>IFERROR(INDEX(TABLE_UE_dB[Leak Size (cfm)], MATCH(Table_Leaks1_Input[[#This Row],[Lookup Value]], TABLE_UE_dB[Lookup Value], 0)),"")</f>
        <v/>
      </c>
      <c r="L40" s="123" t="str">
        <f>IF(Table_Leaks1_Input[[#This Row],[Repaired (Y/N)]]="Yes", Value_LeakRepairIR, "")</f>
        <v/>
      </c>
      <c r="M40" s="124" t="str">
        <f>IFERROR(Table_Leaks1_Input[[#This Row],[Estimated leak size (cfm)]]*Value_WeightAvgCompEff*Value_SysAOH,"" )</f>
        <v/>
      </c>
      <c r="N40" s="125" t="str">
        <f>IFERROR(Table_Leaks1_Input[[#This Row],[Estimated leak size (cfm)]]*Value_WeightAvgCompEff,"" )</f>
        <v/>
      </c>
      <c r="O40" s="123" t="str">
        <f>IFERROR(Table_Leaks1_Input[[#This Row],[Energy savings (kWh)]]*Input_AvgkWhRate, "")</f>
        <v/>
      </c>
      <c r="P40" s="123" t="str">
        <f>IF(Table_Leaks1_Input[[#This Row],[Pressure at leak (psig)]]="", "",Table_Leaks1_Input[[#This Row],[Total equipment cost]]+Table_Leaks1_Input[[#This Row],[Total labor cost]])</f>
        <v/>
      </c>
      <c r="Q40" s="123" t="str">
        <f>IFERROR(Table_Leaks1_Input[[#This Row],[Gross measure cost]]-Table_Leaks1_Input[[#This Row],[Estimated incentive]], "")</f>
        <v/>
      </c>
      <c r="R40" s="124" t="str">
        <f t="shared" si="0"/>
        <v/>
      </c>
      <c r="S40" s="126">
        <f>IF(OR(Table_Leaks1_Input[[#This Row],[Pressure at leak (psig)]]=0, Table_Leaks1_Input[[#This Row],[Pressure at leak (psig)]]=""),0,IF(Table_Leaks1_Input[[#This Row],[Pressure at leak (psig)]]&lt;20, 10, MROUND(Table_Leaks1_Input[[#This Row],[Pressure at leak (psig)]], 25)))</f>
        <v>0</v>
      </c>
      <c r="T40" s="126">
        <f>ROUND(Table_Leaks1_Input[[#This Row],[dB reading]],-1)</f>
        <v>0</v>
      </c>
      <c r="U40" s="127" t="str">
        <f>_xlfn.CONCAT(Table_Leaks1_Input[[#This Row],[Rounded dB Reading]],"psig ", Table_Leaks1_Input[[#This Row],[Rounded PSIG]],"db")</f>
        <v>0psig 0db</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x14ac:dyDescent="0.2">
      <c r="A41" s="75"/>
      <c r="B41" s="121">
        <v>36</v>
      </c>
      <c r="C41" s="128"/>
      <c r="D41" s="129"/>
      <c r="E41" s="130"/>
      <c r="F41" s="130"/>
      <c r="G41" s="130"/>
      <c r="H41" s="130"/>
      <c r="I41" s="131"/>
      <c r="J41" s="131"/>
      <c r="K41" s="122" t="str">
        <f>IFERROR(INDEX(TABLE_UE_dB[Leak Size (cfm)], MATCH(Table_Leaks1_Input[[#This Row],[Lookup Value]], TABLE_UE_dB[Lookup Value], 0)),"")</f>
        <v/>
      </c>
      <c r="L41" s="123" t="str">
        <f>IF(Table_Leaks1_Input[[#This Row],[Repaired (Y/N)]]="Yes", Value_LeakRepairIR, "")</f>
        <v/>
      </c>
      <c r="M41" s="124" t="str">
        <f>IFERROR(Table_Leaks1_Input[[#This Row],[Estimated leak size (cfm)]]*Value_WeightAvgCompEff*Value_SysAOH,"" )</f>
        <v/>
      </c>
      <c r="N41" s="125" t="str">
        <f>IFERROR(Table_Leaks1_Input[[#This Row],[Estimated leak size (cfm)]]*Value_WeightAvgCompEff,"" )</f>
        <v/>
      </c>
      <c r="O41" s="123" t="str">
        <f>IFERROR(Table_Leaks1_Input[[#This Row],[Energy savings (kWh)]]*Input_AvgkWhRate, "")</f>
        <v/>
      </c>
      <c r="P41" s="123" t="str">
        <f>IF(Table_Leaks1_Input[[#This Row],[Pressure at leak (psig)]]="", "",Table_Leaks1_Input[[#This Row],[Total equipment cost]]+Table_Leaks1_Input[[#This Row],[Total labor cost]])</f>
        <v/>
      </c>
      <c r="Q41" s="123" t="str">
        <f>IFERROR(Table_Leaks1_Input[[#This Row],[Gross measure cost]]-Table_Leaks1_Input[[#This Row],[Estimated incentive]], "")</f>
        <v/>
      </c>
      <c r="R41" s="124" t="str">
        <f t="shared" si="0"/>
        <v/>
      </c>
      <c r="S41" s="126">
        <f>IF(OR(Table_Leaks1_Input[[#This Row],[Pressure at leak (psig)]]=0, Table_Leaks1_Input[[#This Row],[Pressure at leak (psig)]]=""),0,IF(Table_Leaks1_Input[[#This Row],[Pressure at leak (psig)]]&lt;20, 10, MROUND(Table_Leaks1_Input[[#This Row],[Pressure at leak (psig)]], 25)))</f>
        <v>0</v>
      </c>
      <c r="T41" s="126">
        <f>ROUND(Table_Leaks1_Input[[#This Row],[dB reading]],-1)</f>
        <v>0</v>
      </c>
      <c r="U41" s="127" t="str">
        <f>_xlfn.CONCAT(Table_Leaks1_Input[[#This Row],[Rounded dB Reading]],"psig ", Table_Leaks1_Input[[#This Row],[Rounded PSIG]],"db")</f>
        <v>0psig 0db</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x14ac:dyDescent="0.2">
      <c r="A42" s="75"/>
      <c r="B42" s="121">
        <v>37</v>
      </c>
      <c r="C42" s="128"/>
      <c r="D42" s="129"/>
      <c r="E42" s="130"/>
      <c r="F42" s="130"/>
      <c r="G42" s="130"/>
      <c r="H42" s="130"/>
      <c r="I42" s="131"/>
      <c r="J42" s="131"/>
      <c r="K42" s="122" t="str">
        <f>IFERROR(INDEX(TABLE_UE_dB[Leak Size (cfm)], MATCH(Table_Leaks1_Input[[#This Row],[Lookup Value]], TABLE_UE_dB[Lookup Value], 0)),"")</f>
        <v/>
      </c>
      <c r="L42" s="123" t="str">
        <f>IF(Table_Leaks1_Input[[#This Row],[Repaired (Y/N)]]="Yes", Value_LeakRepairIR, "")</f>
        <v/>
      </c>
      <c r="M42" s="124" t="str">
        <f>IFERROR(Table_Leaks1_Input[[#This Row],[Estimated leak size (cfm)]]*Value_WeightAvgCompEff*Value_SysAOH,"" )</f>
        <v/>
      </c>
      <c r="N42" s="125" t="str">
        <f>IFERROR(Table_Leaks1_Input[[#This Row],[Estimated leak size (cfm)]]*Value_WeightAvgCompEff,"" )</f>
        <v/>
      </c>
      <c r="O42" s="123" t="str">
        <f>IFERROR(Table_Leaks1_Input[[#This Row],[Energy savings (kWh)]]*Input_AvgkWhRate, "")</f>
        <v/>
      </c>
      <c r="P42" s="123" t="str">
        <f>IF(Table_Leaks1_Input[[#This Row],[Pressure at leak (psig)]]="", "",Table_Leaks1_Input[[#This Row],[Total equipment cost]]+Table_Leaks1_Input[[#This Row],[Total labor cost]])</f>
        <v/>
      </c>
      <c r="Q42" s="123" t="str">
        <f>IFERROR(Table_Leaks1_Input[[#This Row],[Gross measure cost]]-Table_Leaks1_Input[[#This Row],[Estimated incentive]], "")</f>
        <v/>
      </c>
      <c r="R42" s="124" t="str">
        <f t="shared" si="0"/>
        <v/>
      </c>
      <c r="S42" s="126">
        <f>IF(OR(Table_Leaks1_Input[[#This Row],[Pressure at leak (psig)]]=0, Table_Leaks1_Input[[#This Row],[Pressure at leak (psig)]]=""),0,IF(Table_Leaks1_Input[[#This Row],[Pressure at leak (psig)]]&lt;20, 10, MROUND(Table_Leaks1_Input[[#This Row],[Pressure at leak (psig)]], 25)))</f>
        <v>0</v>
      </c>
      <c r="T42" s="126">
        <f>ROUND(Table_Leaks1_Input[[#This Row],[dB reading]],-1)</f>
        <v>0</v>
      </c>
      <c r="U42" s="127" t="str">
        <f>_xlfn.CONCAT(Table_Leaks1_Input[[#This Row],[Rounded dB Reading]],"psig ", Table_Leaks1_Input[[#This Row],[Rounded PSIG]],"db")</f>
        <v>0psig 0db</v>
      </c>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x14ac:dyDescent="0.2">
      <c r="A43" s="75"/>
      <c r="B43" s="121">
        <v>38</v>
      </c>
      <c r="C43" s="128"/>
      <c r="D43" s="129"/>
      <c r="E43" s="130"/>
      <c r="F43" s="130"/>
      <c r="G43" s="130"/>
      <c r="H43" s="130"/>
      <c r="I43" s="131"/>
      <c r="J43" s="131"/>
      <c r="K43" s="122" t="str">
        <f>IFERROR(INDEX(TABLE_UE_dB[Leak Size (cfm)], MATCH(Table_Leaks1_Input[[#This Row],[Lookup Value]], TABLE_UE_dB[Lookup Value], 0)),"")</f>
        <v/>
      </c>
      <c r="L43" s="123" t="str">
        <f>IF(Table_Leaks1_Input[[#This Row],[Repaired (Y/N)]]="Yes", Value_LeakRepairIR, "")</f>
        <v/>
      </c>
      <c r="M43" s="124" t="str">
        <f>IFERROR(Table_Leaks1_Input[[#This Row],[Estimated leak size (cfm)]]*Value_WeightAvgCompEff*Value_SysAOH,"" )</f>
        <v/>
      </c>
      <c r="N43" s="125" t="str">
        <f>IFERROR(Table_Leaks1_Input[[#This Row],[Estimated leak size (cfm)]]*Value_WeightAvgCompEff,"" )</f>
        <v/>
      </c>
      <c r="O43" s="123" t="str">
        <f>IFERROR(Table_Leaks1_Input[[#This Row],[Energy savings (kWh)]]*Input_AvgkWhRate, "")</f>
        <v/>
      </c>
      <c r="P43" s="123" t="str">
        <f>IF(Table_Leaks1_Input[[#This Row],[Pressure at leak (psig)]]="", "",Table_Leaks1_Input[[#This Row],[Total equipment cost]]+Table_Leaks1_Input[[#This Row],[Total labor cost]])</f>
        <v/>
      </c>
      <c r="Q43" s="123" t="str">
        <f>IFERROR(Table_Leaks1_Input[[#This Row],[Gross measure cost]]-Table_Leaks1_Input[[#This Row],[Estimated incentive]], "")</f>
        <v/>
      </c>
      <c r="R43" s="124" t="str">
        <f t="shared" si="0"/>
        <v/>
      </c>
      <c r="S43" s="126">
        <f>IF(OR(Table_Leaks1_Input[[#This Row],[Pressure at leak (psig)]]=0, Table_Leaks1_Input[[#This Row],[Pressure at leak (psig)]]=""),0,IF(Table_Leaks1_Input[[#This Row],[Pressure at leak (psig)]]&lt;20, 10, MROUND(Table_Leaks1_Input[[#This Row],[Pressure at leak (psig)]], 25)))</f>
        <v>0</v>
      </c>
      <c r="T43" s="126">
        <f>ROUND(Table_Leaks1_Input[[#This Row],[dB reading]],-1)</f>
        <v>0</v>
      </c>
      <c r="U43" s="127" t="str">
        <f>_xlfn.CONCAT(Table_Leaks1_Input[[#This Row],[Rounded dB Reading]],"psig ", Table_Leaks1_Input[[#This Row],[Rounded PSIG]],"db")</f>
        <v>0psig 0db</v>
      </c>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
      <c r="A44" s="75"/>
      <c r="B44" s="121">
        <v>39</v>
      </c>
      <c r="C44" s="128"/>
      <c r="D44" s="129"/>
      <c r="E44" s="130"/>
      <c r="F44" s="130"/>
      <c r="G44" s="130"/>
      <c r="H44" s="130"/>
      <c r="I44" s="131"/>
      <c r="J44" s="131"/>
      <c r="K44" s="122" t="str">
        <f>IFERROR(INDEX(TABLE_UE_dB[Leak Size (cfm)], MATCH(Table_Leaks1_Input[[#This Row],[Lookup Value]], TABLE_UE_dB[Lookup Value], 0)),"")</f>
        <v/>
      </c>
      <c r="L44" s="123" t="str">
        <f>IF(Table_Leaks1_Input[[#This Row],[Repaired (Y/N)]]="Yes", Value_LeakRepairIR, "")</f>
        <v/>
      </c>
      <c r="M44" s="124" t="str">
        <f>IFERROR(Table_Leaks1_Input[[#This Row],[Estimated leak size (cfm)]]*Value_WeightAvgCompEff*Value_SysAOH,"" )</f>
        <v/>
      </c>
      <c r="N44" s="125" t="str">
        <f>IFERROR(Table_Leaks1_Input[[#This Row],[Estimated leak size (cfm)]]*Value_WeightAvgCompEff,"" )</f>
        <v/>
      </c>
      <c r="O44" s="123" t="str">
        <f>IFERROR(Table_Leaks1_Input[[#This Row],[Energy savings (kWh)]]*Input_AvgkWhRate, "")</f>
        <v/>
      </c>
      <c r="P44" s="123" t="str">
        <f>IF(Table_Leaks1_Input[[#This Row],[Pressure at leak (psig)]]="", "",Table_Leaks1_Input[[#This Row],[Total equipment cost]]+Table_Leaks1_Input[[#This Row],[Total labor cost]])</f>
        <v/>
      </c>
      <c r="Q44" s="123" t="str">
        <f>IFERROR(Table_Leaks1_Input[[#This Row],[Gross measure cost]]-Table_Leaks1_Input[[#This Row],[Estimated incentive]], "")</f>
        <v/>
      </c>
      <c r="R44" s="124" t="str">
        <f t="shared" si="0"/>
        <v/>
      </c>
      <c r="S44" s="126">
        <f>IF(OR(Table_Leaks1_Input[[#This Row],[Pressure at leak (psig)]]=0, Table_Leaks1_Input[[#This Row],[Pressure at leak (psig)]]=""),0,IF(Table_Leaks1_Input[[#This Row],[Pressure at leak (psig)]]&lt;20, 10, MROUND(Table_Leaks1_Input[[#This Row],[Pressure at leak (psig)]], 25)))</f>
        <v>0</v>
      </c>
      <c r="T44" s="126">
        <f>ROUND(Table_Leaks1_Input[[#This Row],[dB reading]],-1)</f>
        <v>0</v>
      </c>
      <c r="U44" s="127" t="str">
        <f>_xlfn.CONCAT(Table_Leaks1_Input[[#This Row],[Rounded dB Reading]],"psig ", Table_Leaks1_Input[[#This Row],[Rounded PSIG]],"db")</f>
        <v>0psig 0db</v>
      </c>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row>
    <row r="45" spans="1:46" x14ac:dyDescent="0.2">
      <c r="A45" s="75"/>
      <c r="B45" s="121">
        <v>40</v>
      </c>
      <c r="C45" s="128"/>
      <c r="D45" s="129"/>
      <c r="E45" s="130"/>
      <c r="F45" s="130"/>
      <c r="G45" s="130"/>
      <c r="H45" s="130"/>
      <c r="I45" s="131"/>
      <c r="J45" s="131"/>
      <c r="K45" s="122" t="str">
        <f>IFERROR(INDEX(TABLE_UE_dB[Leak Size (cfm)], MATCH(Table_Leaks1_Input[[#This Row],[Lookup Value]], TABLE_UE_dB[Lookup Value], 0)),"")</f>
        <v/>
      </c>
      <c r="L45" s="123" t="str">
        <f>IF(Table_Leaks1_Input[[#This Row],[Repaired (Y/N)]]="Yes", Value_LeakRepairIR, "")</f>
        <v/>
      </c>
      <c r="M45" s="124" t="str">
        <f>IFERROR(Table_Leaks1_Input[[#This Row],[Estimated leak size (cfm)]]*Value_WeightAvgCompEff*Value_SysAOH,"" )</f>
        <v/>
      </c>
      <c r="N45" s="125" t="str">
        <f>IFERROR(Table_Leaks1_Input[[#This Row],[Estimated leak size (cfm)]]*Value_WeightAvgCompEff,"" )</f>
        <v/>
      </c>
      <c r="O45" s="123" t="str">
        <f>IFERROR(Table_Leaks1_Input[[#This Row],[Energy savings (kWh)]]*Input_AvgkWhRate, "")</f>
        <v/>
      </c>
      <c r="P45" s="123" t="str">
        <f>IF(Table_Leaks1_Input[[#This Row],[Pressure at leak (psig)]]="", "",Table_Leaks1_Input[[#This Row],[Total equipment cost]]+Table_Leaks1_Input[[#This Row],[Total labor cost]])</f>
        <v/>
      </c>
      <c r="Q45" s="123" t="str">
        <f>IFERROR(Table_Leaks1_Input[[#This Row],[Gross measure cost]]-Table_Leaks1_Input[[#This Row],[Estimated incentive]], "")</f>
        <v/>
      </c>
      <c r="R45" s="124" t="str">
        <f t="shared" si="0"/>
        <v/>
      </c>
      <c r="S45" s="126">
        <f>IF(OR(Table_Leaks1_Input[[#This Row],[Pressure at leak (psig)]]=0, Table_Leaks1_Input[[#This Row],[Pressure at leak (psig)]]=""),0,IF(Table_Leaks1_Input[[#This Row],[Pressure at leak (psig)]]&lt;20, 10, MROUND(Table_Leaks1_Input[[#This Row],[Pressure at leak (psig)]], 25)))</f>
        <v>0</v>
      </c>
      <c r="T45" s="126">
        <f>ROUND(Table_Leaks1_Input[[#This Row],[dB reading]],-1)</f>
        <v>0</v>
      </c>
      <c r="U45" s="127" t="str">
        <f>_xlfn.CONCAT(Table_Leaks1_Input[[#This Row],[Rounded dB Reading]],"psig ", Table_Leaks1_Input[[#This Row],[Rounded PSIG]],"db")</f>
        <v>0psig 0db</v>
      </c>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row>
    <row r="46" spans="1:46" x14ac:dyDescent="0.2">
      <c r="A46" s="75"/>
      <c r="B46" s="121">
        <v>41</v>
      </c>
      <c r="C46" s="128"/>
      <c r="D46" s="129"/>
      <c r="E46" s="130"/>
      <c r="F46" s="130"/>
      <c r="G46" s="130"/>
      <c r="H46" s="130"/>
      <c r="I46" s="131"/>
      <c r="J46" s="131"/>
      <c r="K46" s="122" t="str">
        <f>IFERROR(INDEX(TABLE_UE_dB[Leak Size (cfm)], MATCH(Table_Leaks1_Input[[#This Row],[Lookup Value]], TABLE_UE_dB[Lookup Value], 0)),"")</f>
        <v/>
      </c>
      <c r="L46" s="123" t="str">
        <f>IF(Table_Leaks1_Input[[#This Row],[Repaired (Y/N)]]="Yes", Value_LeakRepairIR, "")</f>
        <v/>
      </c>
      <c r="M46" s="124" t="str">
        <f>IFERROR(Table_Leaks1_Input[[#This Row],[Estimated leak size (cfm)]]*Value_WeightAvgCompEff*Value_SysAOH,"" )</f>
        <v/>
      </c>
      <c r="N46" s="125" t="str">
        <f>IFERROR(Table_Leaks1_Input[[#This Row],[Estimated leak size (cfm)]]*Value_WeightAvgCompEff,"" )</f>
        <v/>
      </c>
      <c r="O46" s="123" t="str">
        <f>IFERROR(Table_Leaks1_Input[[#This Row],[Energy savings (kWh)]]*Input_AvgkWhRate, "")</f>
        <v/>
      </c>
      <c r="P46" s="123" t="str">
        <f>IF(Table_Leaks1_Input[[#This Row],[Pressure at leak (psig)]]="", "",Table_Leaks1_Input[[#This Row],[Total equipment cost]]+Table_Leaks1_Input[[#This Row],[Total labor cost]])</f>
        <v/>
      </c>
      <c r="Q46" s="123" t="str">
        <f>IFERROR(Table_Leaks1_Input[[#This Row],[Gross measure cost]]-Table_Leaks1_Input[[#This Row],[Estimated incentive]], "")</f>
        <v/>
      </c>
      <c r="R46" s="124" t="str">
        <f t="shared" si="0"/>
        <v/>
      </c>
      <c r="S46" s="126">
        <f>IF(OR(Table_Leaks1_Input[[#This Row],[Pressure at leak (psig)]]=0, Table_Leaks1_Input[[#This Row],[Pressure at leak (psig)]]=""),0,IF(Table_Leaks1_Input[[#This Row],[Pressure at leak (psig)]]&lt;20, 10, MROUND(Table_Leaks1_Input[[#This Row],[Pressure at leak (psig)]], 25)))</f>
        <v>0</v>
      </c>
      <c r="T46" s="126">
        <f>ROUND(Table_Leaks1_Input[[#This Row],[dB reading]],-1)</f>
        <v>0</v>
      </c>
      <c r="U46" s="127" t="str">
        <f>_xlfn.CONCAT(Table_Leaks1_Input[[#This Row],[Rounded dB Reading]],"psig ", Table_Leaks1_Input[[#This Row],[Rounded PSIG]],"db")</f>
        <v>0psig 0db</v>
      </c>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row>
    <row r="47" spans="1:46" x14ac:dyDescent="0.2">
      <c r="A47" s="75"/>
      <c r="B47" s="121">
        <v>42</v>
      </c>
      <c r="C47" s="128"/>
      <c r="D47" s="129"/>
      <c r="E47" s="130"/>
      <c r="F47" s="130"/>
      <c r="G47" s="130"/>
      <c r="H47" s="130"/>
      <c r="I47" s="131"/>
      <c r="J47" s="131"/>
      <c r="K47" s="122" t="str">
        <f>IFERROR(INDEX(TABLE_UE_dB[Leak Size (cfm)], MATCH(Table_Leaks1_Input[[#This Row],[Lookup Value]], TABLE_UE_dB[Lookup Value], 0)),"")</f>
        <v/>
      </c>
      <c r="L47" s="123" t="str">
        <f>IF(Table_Leaks1_Input[[#This Row],[Repaired (Y/N)]]="Yes", Value_LeakRepairIR, "")</f>
        <v/>
      </c>
      <c r="M47" s="124" t="str">
        <f>IFERROR(Table_Leaks1_Input[[#This Row],[Estimated leak size (cfm)]]*Value_WeightAvgCompEff*Value_SysAOH,"" )</f>
        <v/>
      </c>
      <c r="N47" s="125" t="str">
        <f>IFERROR(Table_Leaks1_Input[[#This Row],[Estimated leak size (cfm)]]*Value_WeightAvgCompEff,"" )</f>
        <v/>
      </c>
      <c r="O47" s="123" t="str">
        <f>IFERROR(Table_Leaks1_Input[[#This Row],[Energy savings (kWh)]]*Input_AvgkWhRate, "")</f>
        <v/>
      </c>
      <c r="P47" s="123" t="str">
        <f>IF(Table_Leaks1_Input[[#This Row],[Pressure at leak (psig)]]="", "",Table_Leaks1_Input[[#This Row],[Total equipment cost]]+Table_Leaks1_Input[[#This Row],[Total labor cost]])</f>
        <v/>
      </c>
      <c r="Q47" s="123" t="str">
        <f>IFERROR(Table_Leaks1_Input[[#This Row],[Gross measure cost]]-Table_Leaks1_Input[[#This Row],[Estimated incentive]], "")</f>
        <v/>
      </c>
      <c r="R47" s="124" t="str">
        <f t="shared" si="0"/>
        <v/>
      </c>
      <c r="S47" s="126">
        <f>IF(OR(Table_Leaks1_Input[[#This Row],[Pressure at leak (psig)]]=0, Table_Leaks1_Input[[#This Row],[Pressure at leak (psig)]]=""),0,IF(Table_Leaks1_Input[[#This Row],[Pressure at leak (psig)]]&lt;20, 10, MROUND(Table_Leaks1_Input[[#This Row],[Pressure at leak (psig)]], 25)))</f>
        <v>0</v>
      </c>
      <c r="T47" s="126">
        <f>ROUND(Table_Leaks1_Input[[#This Row],[dB reading]],-1)</f>
        <v>0</v>
      </c>
      <c r="U47" s="127" t="str">
        <f>_xlfn.CONCAT(Table_Leaks1_Input[[#This Row],[Rounded dB Reading]],"psig ", Table_Leaks1_Input[[#This Row],[Rounded PSIG]],"db")</f>
        <v>0psig 0db</v>
      </c>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row>
    <row r="48" spans="1:46" x14ac:dyDescent="0.2">
      <c r="A48" s="75"/>
      <c r="B48" s="121">
        <v>43</v>
      </c>
      <c r="C48" s="128"/>
      <c r="D48" s="129"/>
      <c r="E48" s="130"/>
      <c r="F48" s="130"/>
      <c r="G48" s="130"/>
      <c r="H48" s="130"/>
      <c r="I48" s="131"/>
      <c r="J48" s="131"/>
      <c r="K48" s="122" t="str">
        <f>IFERROR(INDEX(TABLE_UE_dB[Leak Size (cfm)], MATCH(Table_Leaks1_Input[[#This Row],[Lookup Value]], TABLE_UE_dB[Lookup Value], 0)),"")</f>
        <v/>
      </c>
      <c r="L48" s="123" t="str">
        <f>IF(Table_Leaks1_Input[[#This Row],[Repaired (Y/N)]]="Yes", Value_LeakRepairIR, "")</f>
        <v/>
      </c>
      <c r="M48" s="124" t="str">
        <f>IFERROR(Table_Leaks1_Input[[#This Row],[Estimated leak size (cfm)]]*Value_WeightAvgCompEff*Value_SysAOH,"" )</f>
        <v/>
      </c>
      <c r="N48" s="125" t="str">
        <f>IFERROR(Table_Leaks1_Input[[#This Row],[Estimated leak size (cfm)]]*Value_WeightAvgCompEff,"" )</f>
        <v/>
      </c>
      <c r="O48" s="123" t="str">
        <f>IFERROR(Table_Leaks1_Input[[#This Row],[Energy savings (kWh)]]*Input_AvgkWhRate, "")</f>
        <v/>
      </c>
      <c r="P48" s="123" t="str">
        <f>IF(Table_Leaks1_Input[[#This Row],[Pressure at leak (psig)]]="", "",Table_Leaks1_Input[[#This Row],[Total equipment cost]]+Table_Leaks1_Input[[#This Row],[Total labor cost]])</f>
        <v/>
      </c>
      <c r="Q48" s="123" t="str">
        <f>IFERROR(Table_Leaks1_Input[[#This Row],[Gross measure cost]]-Table_Leaks1_Input[[#This Row],[Estimated incentive]], "")</f>
        <v/>
      </c>
      <c r="R48" s="124" t="str">
        <f t="shared" si="0"/>
        <v/>
      </c>
      <c r="S48" s="126">
        <f>IF(OR(Table_Leaks1_Input[[#This Row],[Pressure at leak (psig)]]=0, Table_Leaks1_Input[[#This Row],[Pressure at leak (psig)]]=""),0,IF(Table_Leaks1_Input[[#This Row],[Pressure at leak (psig)]]&lt;20, 10, MROUND(Table_Leaks1_Input[[#This Row],[Pressure at leak (psig)]], 25)))</f>
        <v>0</v>
      </c>
      <c r="T48" s="126">
        <f>ROUND(Table_Leaks1_Input[[#This Row],[dB reading]],-1)</f>
        <v>0</v>
      </c>
      <c r="U48" s="127" t="str">
        <f>_xlfn.CONCAT(Table_Leaks1_Input[[#This Row],[Rounded dB Reading]],"psig ", Table_Leaks1_Input[[#This Row],[Rounded PSIG]],"db")</f>
        <v>0psig 0db</v>
      </c>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row>
    <row r="49" spans="1:46" x14ac:dyDescent="0.2">
      <c r="A49" s="75"/>
      <c r="B49" s="121">
        <v>44</v>
      </c>
      <c r="C49" s="128"/>
      <c r="D49" s="129"/>
      <c r="E49" s="130"/>
      <c r="F49" s="130"/>
      <c r="G49" s="130"/>
      <c r="H49" s="130"/>
      <c r="I49" s="131"/>
      <c r="J49" s="131"/>
      <c r="K49" s="122" t="str">
        <f>IFERROR(INDEX(TABLE_UE_dB[Leak Size (cfm)], MATCH(Table_Leaks1_Input[[#This Row],[Lookup Value]], TABLE_UE_dB[Lookup Value], 0)),"")</f>
        <v/>
      </c>
      <c r="L49" s="123" t="str">
        <f>IF(Table_Leaks1_Input[[#This Row],[Repaired (Y/N)]]="Yes", Value_LeakRepairIR, "")</f>
        <v/>
      </c>
      <c r="M49" s="124" t="str">
        <f>IFERROR(Table_Leaks1_Input[[#This Row],[Estimated leak size (cfm)]]*Value_WeightAvgCompEff*Value_SysAOH,"" )</f>
        <v/>
      </c>
      <c r="N49" s="125" t="str">
        <f>IFERROR(Table_Leaks1_Input[[#This Row],[Estimated leak size (cfm)]]*Value_WeightAvgCompEff,"" )</f>
        <v/>
      </c>
      <c r="O49" s="123" t="str">
        <f>IFERROR(Table_Leaks1_Input[[#This Row],[Energy savings (kWh)]]*Input_AvgkWhRate, "")</f>
        <v/>
      </c>
      <c r="P49" s="123" t="str">
        <f>IF(Table_Leaks1_Input[[#This Row],[Pressure at leak (psig)]]="", "",Table_Leaks1_Input[[#This Row],[Total equipment cost]]+Table_Leaks1_Input[[#This Row],[Total labor cost]])</f>
        <v/>
      </c>
      <c r="Q49" s="123" t="str">
        <f>IFERROR(Table_Leaks1_Input[[#This Row],[Gross measure cost]]-Table_Leaks1_Input[[#This Row],[Estimated incentive]], "")</f>
        <v/>
      </c>
      <c r="R49" s="124" t="str">
        <f t="shared" si="0"/>
        <v/>
      </c>
      <c r="S49" s="126">
        <f>IF(OR(Table_Leaks1_Input[[#This Row],[Pressure at leak (psig)]]=0, Table_Leaks1_Input[[#This Row],[Pressure at leak (psig)]]=""),0,IF(Table_Leaks1_Input[[#This Row],[Pressure at leak (psig)]]&lt;20, 10, MROUND(Table_Leaks1_Input[[#This Row],[Pressure at leak (psig)]], 25)))</f>
        <v>0</v>
      </c>
      <c r="T49" s="126">
        <f>ROUND(Table_Leaks1_Input[[#This Row],[dB reading]],-1)</f>
        <v>0</v>
      </c>
      <c r="U49" s="127" t="str">
        <f>_xlfn.CONCAT(Table_Leaks1_Input[[#This Row],[Rounded dB Reading]],"psig ", Table_Leaks1_Input[[#This Row],[Rounded PSIG]],"db")</f>
        <v>0psig 0db</v>
      </c>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row>
    <row r="50" spans="1:46" x14ac:dyDescent="0.2">
      <c r="A50" s="75"/>
      <c r="B50" s="121">
        <v>45</v>
      </c>
      <c r="C50" s="128"/>
      <c r="D50" s="129"/>
      <c r="E50" s="130"/>
      <c r="F50" s="130"/>
      <c r="G50" s="130"/>
      <c r="H50" s="130"/>
      <c r="I50" s="131"/>
      <c r="J50" s="131"/>
      <c r="K50" s="122" t="str">
        <f>IFERROR(INDEX(TABLE_UE_dB[Leak Size (cfm)], MATCH(Table_Leaks1_Input[[#This Row],[Lookup Value]], TABLE_UE_dB[Lookup Value], 0)),"")</f>
        <v/>
      </c>
      <c r="L50" s="123" t="str">
        <f>IF(Table_Leaks1_Input[[#This Row],[Repaired (Y/N)]]="Yes", Value_LeakRepairIR, "")</f>
        <v/>
      </c>
      <c r="M50" s="124" t="str">
        <f>IFERROR(Table_Leaks1_Input[[#This Row],[Estimated leak size (cfm)]]*Value_WeightAvgCompEff*Value_SysAOH,"" )</f>
        <v/>
      </c>
      <c r="N50" s="125" t="str">
        <f>IFERROR(Table_Leaks1_Input[[#This Row],[Estimated leak size (cfm)]]*Value_WeightAvgCompEff,"" )</f>
        <v/>
      </c>
      <c r="O50" s="123" t="str">
        <f>IFERROR(Table_Leaks1_Input[[#This Row],[Energy savings (kWh)]]*Input_AvgkWhRate, "")</f>
        <v/>
      </c>
      <c r="P50" s="123" t="str">
        <f>IF(Table_Leaks1_Input[[#This Row],[Pressure at leak (psig)]]="", "",Table_Leaks1_Input[[#This Row],[Total equipment cost]]+Table_Leaks1_Input[[#This Row],[Total labor cost]])</f>
        <v/>
      </c>
      <c r="Q50" s="123" t="str">
        <f>IFERROR(Table_Leaks1_Input[[#This Row],[Gross measure cost]]-Table_Leaks1_Input[[#This Row],[Estimated incentive]], "")</f>
        <v/>
      </c>
      <c r="R50" s="124" t="str">
        <f t="shared" si="0"/>
        <v/>
      </c>
      <c r="S50" s="126">
        <f>IF(OR(Table_Leaks1_Input[[#This Row],[Pressure at leak (psig)]]=0, Table_Leaks1_Input[[#This Row],[Pressure at leak (psig)]]=""),0,IF(Table_Leaks1_Input[[#This Row],[Pressure at leak (psig)]]&lt;20, 10, MROUND(Table_Leaks1_Input[[#This Row],[Pressure at leak (psig)]], 25)))</f>
        <v>0</v>
      </c>
      <c r="T50" s="126">
        <f>ROUND(Table_Leaks1_Input[[#This Row],[dB reading]],-1)</f>
        <v>0</v>
      </c>
      <c r="U50" s="127" t="str">
        <f>_xlfn.CONCAT(Table_Leaks1_Input[[#This Row],[Rounded dB Reading]],"psig ", Table_Leaks1_Input[[#This Row],[Rounded PSIG]],"db")</f>
        <v>0psig 0db</v>
      </c>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row>
    <row r="51" spans="1:46" x14ac:dyDescent="0.2">
      <c r="A51" s="75"/>
      <c r="B51" s="121">
        <v>46</v>
      </c>
      <c r="C51" s="128"/>
      <c r="D51" s="129"/>
      <c r="E51" s="130"/>
      <c r="F51" s="130"/>
      <c r="G51" s="130"/>
      <c r="H51" s="130"/>
      <c r="I51" s="131"/>
      <c r="J51" s="131"/>
      <c r="K51" s="122" t="str">
        <f>IFERROR(INDEX(TABLE_UE_dB[Leak Size (cfm)], MATCH(Table_Leaks1_Input[[#This Row],[Lookup Value]], TABLE_UE_dB[Lookup Value], 0)),"")</f>
        <v/>
      </c>
      <c r="L51" s="123" t="str">
        <f>IF(Table_Leaks1_Input[[#This Row],[Repaired (Y/N)]]="Yes", Value_LeakRepairIR, "")</f>
        <v/>
      </c>
      <c r="M51" s="124" t="str">
        <f>IFERROR(Table_Leaks1_Input[[#This Row],[Estimated leak size (cfm)]]*Value_WeightAvgCompEff*Value_SysAOH,"" )</f>
        <v/>
      </c>
      <c r="N51" s="125" t="str">
        <f>IFERROR(Table_Leaks1_Input[[#This Row],[Estimated leak size (cfm)]]*Value_WeightAvgCompEff,"" )</f>
        <v/>
      </c>
      <c r="O51" s="123" t="str">
        <f>IFERROR(Table_Leaks1_Input[[#This Row],[Energy savings (kWh)]]*Input_AvgkWhRate, "")</f>
        <v/>
      </c>
      <c r="P51" s="123" t="str">
        <f>IF(Table_Leaks1_Input[[#This Row],[Pressure at leak (psig)]]="", "",Table_Leaks1_Input[[#This Row],[Total equipment cost]]+Table_Leaks1_Input[[#This Row],[Total labor cost]])</f>
        <v/>
      </c>
      <c r="Q51" s="123" t="str">
        <f>IFERROR(Table_Leaks1_Input[[#This Row],[Gross measure cost]]-Table_Leaks1_Input[[#This Row],[Estimated incentive]], "")</f>
        <v/>
      </c>
      <c r="R51" s="124" t="str">
        <f t="shared" si="0"/>
        <v/>
      </c>
      <c r="S51" s="126">
        <f>IF(OR(Table_Leaks1_Input[[#This Row],[Pressure at leak (psig)]]=0, Table_Leaks1_Input[[#This Row],[Pressure at leak (psig)]]=""),0,IF(Table_Leaks1_Input[[#This Row],[Pressure at leak (psig)]]&lt;20, 10, MROUND(Table_Leaks1_Input[[#This Row],[Pressure at leak (psig)]], 25)))</f>
        <v>0</v>
      </c>
      <c r="T51" s="126">
        <f>ROUND(Table_Leaks1_Input[[#This Row],[dB reading]],-1)</f>
        <v>0</v>
      </c>
      <c r="U51" s="127" t="str">
        <f>_xlfn.CONCAT(Table_Leaks1_Input[[#This Row],[Rounded dB Reading]],"psig ", Table_Leaks1_Input[[#This Row],[Rounded PSIG]],"db")</f>
        <v>0psig 0db</v>
      </c>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row>
    <row r="52" spans="1:46" x14ac:dyDescent="0.2">
      <c r="A52" s="75"/>
      <c r="B52" s="121">
        <v>47</v>
      </c>
      <c r="C52" s="128"/>
      <c r="D52" s="129"/>
      <c r="E52" s="130"/>
      <c r="F52" s="130"/>
      <c r="G52" s="130"/>
      <c r="H52" s="130"/>
      <c r="I52" s="131"/>
      <c r="J52" s="131"/>
      <c r="K52" s="122" t="str">
        <f>IFERROR(INDEX(TABLE_UE_dB[Leak Size (cfm)], MATCH(Table_Leaks1_Input[[#This Row],[Lookup Value]], TABLE_UE_dB[Lookup Value], 0)),"")</f>
        <v/>
      </c>
      <c r="L52" s="123" t="str">
        <f>IF(Table_Leaks1_Input[[#This Row],[Repaired (Y/N)]]="Yes", Value_LeakRepairIR, "")</f>
        <v/>
      </c>
      <c r="M52" s="124" t="str">
        <f>IFERROR(Table_Leaks1_Input[[#This Row],[Estimated leak size (cfm)]]*Value_WeightAvgCompEff*Value_SysAOH,"" )</f>
        <v/>
      </c>
      <c r="N52" s="125" t="str">
        <f>IFERROR(Table_Leaks1_Input[[#This Row],[Estimated leak size (cfm)]]*Value_WeightAvgCompEff,"" )</f>
        <v/>
      </c>
      <c r="O52" s="123" t="str">
        <f>IFERROR(Table_Leaks1_Input[[#This Row],[Energy savings (kWh)]]*Input_AvgkWhRate, "")</f>
        <v/>
      </c>
      <c r="P52" s="123" t="str">
        <f>IF(Table_Leaks1_Input[[#This Row],[Pressure at leak (psig)]]="", "",Table_Leaks1_Input[[#This Row],[Total equipment cost]]+Table_Leaks1_Input[[#This Row],[Total labor cost]])</f>
        <v/>
      </c>
      <c r="Q52" s="123" t="str">
        <f>IFERROR(Table_Leaks1_Input[[#This Row],[Gross measure cost]]-Table_Leaks1_Input[[#This Row],[Estimated incentive]], "")</f>
        <v/>
      </c>
      <c r="R52" s="124" t="str">
        <f t="shared" si="0"/>
        <v/>
      </c>
      <c r="S52" s="126">
        <f>IF(OR(Table_Leaks1_Input[[#This Row],[Pressure at leak (psig)]]=0, Table_Leaks1_Input[[#This Row],[Pressure at leak (psig)]]=""),0,IF(Table_Leaks1_Input[[#This Row],[Pressure at leak (psig)]]&lt;20, 10, MROUND(Table_Leaks1_Input[[#This Row],[Pressure at leak (psig)]], 25)))</f>
        <v>0</v>
      </c>
      <c r="T52" s="126">
        <f>ROUND(Table_Leaks1_Input[[#This Row],[dB reading]],-1)</f>
        <v>0</v>
      </c>
      <c r="U52" s="127" t="str">
        <f>_xlfn.CONCAT(Table_Leaks1_Input[[#This Row],[Rounded dB Reading]],"psig ", Table_Leaks1_Input[[#This Row],[Rounded PSIG]],"db")</f>
        <v>0psig 0db</v>
      </c>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row>
    <row r="53" spans="1:46" x14ac:dyDescent="0.2">
      <c r="A53" s="75"/>
      <c r="B53" s="121">
        <v>48</v>
      </c>
      <c r="C53" s="128"/>
      <c r="D53" s="129"/>
      <c r="E53" s="130"/>
      <c r="F53" s="130"/>
      <c r="G53" s="130"/>
      <c r="H53" s="130"/>
      <c r="I53" s="131"/>
      <c r="J53" s="131"/>
      <c r="K53" s="122" t="str">
        <f>IFERROR(INDEX(TABLE_UE_dB[Leak Size (cfm)], MATCH(Table_Leaks1_Input[[#This Row],[Lookup Value]], TABLE_UE_dB[Lookup Value], 0)),"")</f>
        <v/>
      </c>
      <c r="L53" s="123" t="str">
        <f>IF(Table_Leaks1_Input[[#This Row],[Repaired (Y/N)]]="Yes", Value_LeakRepairIR, "")</f>
        <v/>
      </c>
      <c r="M53" s="124" t="str">
        <f>IFERROR(Table_Leaks1_Input[[#This Row],[Estimated leak size (cfm)]]*Value_WeightAvgCompEff*Value_SysAOH,"" )</f>
        <v/>
      </c>
      <c r="N53" s="125" t="str">
        <f>IFERROR(Table_Leaks1_Input[[#This Row],[Estimated leak size (cfm)]]*Value_WeightAvgCompEff,"" )</f>
        <v/>
      </c>
      <c r="O53" s="123" t="str">
        <f>IFERROR(Table_Leaks1_Input[[#This Row],[Energy savings (kWh)]]*Input_AvgkWhRate, "")</f>
        <v/>
      </c>
      <c r="P53" s="123" t="str">
        <f>IF(Table_Leaks1_Input[[#This Row],[Pressure at leak (psig)]]="", "",Table_Leaks1_Input[[#This Row],[Total equipment cost]]+Table_Leaks1_Input[[#This Row],[Total labor cost]])</f>
        <v/>
      </c>
      <c r="Q53" s="123" t="str">
        <f>IFERROR(Table_Leaks1_Input[[#This Row],[Gross measure cost]]-Table_Leaks1_Input[[#This Row],[Estimated incentive]], "")</f>
        <v/>
      </c>
      <c r="R53" s="124" t="str">
        <f t="shared" si="0"/>
        <v/>
      </c>
      <c r="S53" s="126">
        <f>IF(OR(Table_Leaks1_Input[[#This Row],[Pressure at leak (psig)]]=0, Table_Leaks1_Input[[#This Row],[Pressure at leak (psig)]]=""),0,IF(Table_Leaks1_Input[[#This Row],[Pressure at leak (psig)]]&lt;20, 10, MROUND(Table_Leaks1_Input[[#This Row],[Pressure at leak (psig)]], 25)))</f>
        <v>0</v>
      </c>
      <c r="T53" s="126">
        <f>ROUND(Table_Leaks1_Input[[#This Row],[dB reading]],-1)</f>
        <v>0</v>
      </c>
      <c r="U53" s="127" t="str">
        <f>_xlfn.CONCAT(Table_Leaks1_Input[[#This Row],[Rounded dB Reading]],"psig ", Table_Leaks1_Input[[#This Row],[Rounded PSIG]],"db")</f>
        <v>0psig 0db</v>
      </c>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row>
    <row r="54" spans="1:46" x14ac:dyDescent="0.2">
      <c r="A54" s="75"/>
      <c r="B54" s="121">
        <v>49</v>
      </c>
      <c r="C54" s="128"/>
      <c r="D54" s="129"/>
      <c r="E54" s="130"/>
      <c r="F54" s="130"/>
      <c r="G54" s="130"/>
      <c r="H54" s="130"/>
      <c r="I54" s="131"/>
      <c r="J54" s="131"/>
      <c r="K54" s="122" t="str">
        <f>IFERROR(INDEX(TABLE_UE_dB[Leak Size (cfm)], MATCH(Table_Leaks1_Input[[#This Row],[Lookup Value]], TABLE_UE_dB[Lookup Value], 0)),"")</f>
        <v/>
      </c>
      <c r="L54" s="123" t="str">
        <f>IF(Table_Leaks1_Input[[#This Row],[Repaired (Y/N)]]="Yes", Value_LeakRepairIR, "")</f>
        <v/>
      </c>
      <c r="M54" s="124" t="str">
        <f>IFERROR(Table_Leaks1_Input[[#This Row],[Estimated leak size (cfm)]]*Value_WeightAvgCompEff*Value_SysAOH,"" )</f>
        <v/>
      </c>
      <c r="N54" s="125" t="str">
        <f>IFERROR(Table_Leaks1_Input[[#This Row],[Estimated leak size (cfm)]]*Value_WeightAvgCompEff,"" )</f>
        <v/>
      </c>
      <c r="O54" s="123" t="str">
        <f>IFERROR(Table_Leaks1_Input[[#This Row],[Energy savings (kWh)]]*Input_AvgkWhRate, "")</f>
        <v/>
      </c>
      <c r="P54" s="123" t="str">
        <f>IF(Table_Leaks1_Input[[#This Row],[Pressure at leak (psig)]]="", "",Table_Leaks1_Input[[#This Row],[Total equipment cost]]+Table_Leaks1_Input[[#This Row],[Total labor cost]])</f>
        <v/>
      </c>
      <c r="Q54" s="123" t="str">
        <f>IFERROR(Table_Leaks1_Input[[#This Row],[Gross measure cost]]-Table_Leaks1_Input[[#This Row],[Estimated incentive]], "")</f>
        <v/>
      </c>
      <c r="R54" s="124" t="str">
        <f t="shared" si="0"/>
        <v/>
      </c>
      <c r="S54" s="126">
        <f>IF(OR(Table_Leaks1_Input[[#This Row],[Pressure at leak (psig)]]=0, Table_Leaks1_Input[[#This Row],[Pressure at leak (psig)]]=""),0,IF(Table_Leaks1_Input[[#This Row],[Pressure at leak (psig)]]&lt;20, 10, MROUND(Table_Leaks1_Input[[#This Row],[Pressure at leak (psig)]], 25)))</f>
        <v>0</v>
      </c>
      <c r="T54" s="126">
        <f>ROUND(Table_Leaks1_Input[[#This Row],[dB reading]],-1)</f>
        <v>0</v>
      </c>
      <c r="U54" s="127" t="str">
        <f>_xlfn.CONCAT(Table_Leaks1_Input[[#This Row],[Rounded dB Reading]],"psig ", Table_Leaks1_Input[[#This Row],[Rounded PSIG]],"db")</f>
        <v>0psig 0db</v>
      </c>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row>
    <row r="55" spans="1:46" x14ac:dyDescent="0.2">
      <c r="A55" s="75"/>
      <c r="B55" s="121">
        <v>50</v>
      </c>
      <c r="C55" s="128"/>
      <c r="D55" s="129"/>
      <c r="E55" s="130"/>
      <c r="F55" s="130"/>
      <c r="G55" s="130"/>
      <c r="H55" s="130"/>
      <c r="I55" s="131"/>
      <c r="J55" s="131"/>
      <c r="K55" s="122" t="str">
        <f>IFERROR(INDEX(TABLE_UE_dB[Leak Size (cfm)], MATCH(Table_Leaks1_Input[[#This Row],[Lookup Value]], TABLE_UE_dB[Lookup Value], 0)),"")</f>
        <v/>
      </c>
      <c r="L55" s="123" t="str">
        <f>IF(Table_Leaks1_Input[[#This Row],[Repaired (Y/N)]]="Yes", Value_LeakRepairIR, "")</f>
        <v/>
      </c>
      <c r="M55" s="124" t="str">
        <f>IFERROR(Table_Leaks1_Input[[#This Row],[Estimated leak size (cfm)]]*Value_WeightAvgCompEff*Value_SysAOH,"" )</f>
        <v/>
      </c>
      <c r="N55" s="125" t="str">
        <f>IFERROR(Table_Leaks1_Input[[#This Row],[Estimated leak size (cfm)]]*Value_WeightAvgCompEff,"" )</f>
        <v/>
      </c>
      <c r="O55" s="123" t="str">
        <f>IFERROR(Table_Leaks1_Input[[#This Row],[Energy savings (kWh)]]*Input_AvgkWhRate, "")</f>
        <v/>
      </c>
      <c r="P55" s="123" t="str">
        <f>IF(Table_Leaks1_Input[[#This Row],[Pressure at leak (psig)]]="", "",Table_Leaks1_Input[[#This Row],[Total equipment cost]]+Table_Leaks1_Input[[#This Row],[Total labor cost]])</f>
        <v/>
      </c>
      <c r="Q55" s="123" t="str">
        <f>IFERROR(Table_Leaks1_Input[[#This Row],[Gross measure cost]]-Table_Leaks1_Input[[#This Row],[Estimated incentive]], "")</f>
        <v/>
      </c>
      <c r="R55" s="124" t="str">
        <f t="shared" si="0"/>
        <v/>
      </c>
      <c r="S55" s="126">
        <f>IF(OR(Table_Leaks1_Input[[#This Row],[Pressure at leak (psig)]]=0, Table_Leaks1_Input[[#This Row],[Pressure at leak (psig)]]=""),0,IF(Table_Leaks1_Input[[#This Row],[Pressure at leak (psig)]]&lt;20, 10, MROUND(Table_Leaks1_Input[[#This Row],[Pressure at leak (psig)]], 25)))</f>
        <v>0</v>
      </c>
      <c r="T55" s="126">
        <f>ROUND(Table_Leaks1_Input[[#This Row],[dB reading]],-1)</f>
        <v>0</v>
      </c>
      <c r="U55" s="127" t="str">
        <f>_xlfn.CONCAT(Table_Leaks1_Input[[#This Row],[Rounded dB Reading]],"psig ", Table_Leaks1_Input[[#This Row],[Rounded PSIG]],"db")</f>
        <v>0psig 0db</v>
      </c>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row>
    <row r="56" spans="1:46" x14ac:dyDescent="0.2">
      <c r="A56" s="75"/>
      <c r="B56" s="121">
        <v>51</v>
      </c>
      <c r="C56" s="128"/>
      <c r="D56" s="129"/>
      <c r="E56" s="130"/>
      <c r="F56" s="130"/>
      <c r="G56" s="130"/>
      <c r="H56" s="130"/>
      <c r="I56" s="131"/>
      <c r="J56" s="131"/>
      <c r="K56" s="122" t="str">
        <f>IFERROR(INDEX(TABLE_UE_dB[Leak Size (cfm)], MATCH(Table_Leaks1_Input[[#This Row],[Lookup Value]], TABLE_UE_dB[Lookup Value], 0)),"")</f>
        <v/>
      </c>
      <c r="L56" s="123" t="str">
        <f>IF(Table_Leaks1_Input[[#This Row],[Repaired (Y/N)]]="Yes", Value_LeakRepairIR, "")</f>
        <v/>
      </c>
      <c r="M56" s="124" t="str">
        <f>IFERROR(Table_Leaks1_Input[[#This Row],[Estimated leak size (cfm)]]*Value_WeightAvgCompEff*Value_SysAOH,"" )</f>
        <v/>
      </c>
      <c r="N56" s="125" t="str">
        <f>IFERROR(Table_Leaks1_Input[[#This Row],[Estimated leak size (cfm)]]*Value_WeightAvgCompEff,"" )</f>
        <v/>
      </c>
      <c r="O56" s="123" t="str">
        <f>IFERROR(Table_Leaks1_Input[[#This Row],[Energy savings (kWh)]]*Input_AvgkWhRate, "")</f>
        <v/>
      </c>
      <c r="P56" s="123" t="str">
        <f>IF(Table_Leaks1_Input[[#This Row],[Pressure at leak (psig)]]="", "",Table_Leaks1_Input[[#This Row],[Total equipment cost]]+Table_Leaks1_Input[[#This Row],[Total labor cost]])</f>
        <v/>
      </c>
      <c r="Q56" s="123" t="str">
        <f>IFERROR(Table_Leaks1_Input[[#This Row],[Gross measure cost]]-Table_Leaks1_Input[[#This Row],[Estimated incentive]], "")</f>
        <v/>
      </c>
      <c r="R56" s="124" t="str">
        <f t="shared" si="0"/>
        <v/>
      </c>
      <c r="S56" s="126">
        <f>IF(OR(Table_Leaks1_Input[[#This Row],[Pressure at leak (psig)]]=0, Table_Leaks1_Input[[#This Row],[Pressure at leak (psig)]]=""),0,IF(Table_Leaks1_Input[[#This Row],[Pressure at leak (psig)]]&lt;20, 10, MROUND(Table_Leaks1_Input[[#This Row],[Pressure at leak (psig)]], 25)))</f>
        <v>0</v>
      </c>
      <c r="T56" s="126">
        <f>ROUND(Table_Leaks1_Input[[#This Row],[dB reading]],-1)</f>
        <v>0</v>
      </c>
      <c r="U56" s="127" t="str">
        <f>_xlfn.CONCAT(Table_Leaks1_Input[[#This Row],[Rounded dB Reading]],"psig ", Table_Leaks1_Input[[#This Row],[Rounded PSIG]],"db")</f>
        <v>0psig 0db</v>
      </c>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row>
    <row r="57" spans="1:46" x14ac:dyDescent="0.2">
      <c r="A57" s="75"/>
      <c r="B57" s="121">
        <v>52</v>
      </c>
      <c r="C57" s="128"/>
      <c r="D57" s="129"/>
      <c r="E57" s="130"/>
      <c r="F57" s="130"/>
      <c r="G57" s="130"/>
      <c r="H57" s="130"/>
      <c r="I57" s="131"/>
      <c r="J57" s="131"/>
      <c r="K57" s="122" t="str">
        <f>IFERROR(INDEX(TABLE_UE_dB[Leak Size (cfm)], MATCH(Table_Leaks1_Input[[#This Row],[Lookup Value]], TABLE_UE_dB[Lookup Value], 0)),"")</f>
        <v/>
      </c>
      <c r="L57" s="123" t="str">
        <f>IF(Table_Leaks1_Input[[#This Row],[Repaired (Y/N)]]="Yes", Value_LeakRepairIR, "")</f>
        <v/>
      </c>
      <c r="M57" s="124" t="str">
        <f>IFERROR(Table_Leaks1_Input[[#This Row],[Estimated leak size (cfm)]]*Value_WeightAvgCompEff*Value_SysAOH,"" )</f>
        <v/>
      </c>
      <c r="N57" s="125" t="str">
        <f>IFERROR(Table_Leaks1_Input[[#This Row],[Estimated leak size (cfm)]]*Value_WeightAvgCompEff,"" )</f>
        <v/>
      </c>
      <c r="O57" s="123" t="str">
        <f>IFERROR(Table_Leaks1_Input[[#This Row],[Energy savings (kWh)]]*Input_AvgkWhRate, "")</f>
        <v/>
      </c>
      <c r="P57" s="123" t="str">
        <f>IF(Table_Leaks1_Input[[#This Row],[Pressure at leak (psig)]]="", "",Table_Leaks1_Input[[#This Row],[Total equipment cost]]+Table_Leaks1_Input[[#This Row],[Total labor cost]])</f>
        <v/>
      </c>
      <c r="Q57" s="123" t="str">
        <f>IFERROR(Table_Leaks1_Input[[#This Row],[Gross measure cost]]-Table_Leaks1_Input[[#This Row],[Estimated incentive]], "")</f>
        <v/>
      </c>
      <c r="R57" s="124" t="str">
        <f t="shared" si="0"/>
        <v/>
      </c>
      <c r="S57" s="126">
        <f>IF(OR(Table_Leaks1_Input[[#This Row],[Pressure at leak (psig)]]=0, Table_Leaks1_Input[[#This Row],[Pressure at leak (psig)]]=""),0,IF(Table_Leaks1_Input[[#This Row],[Pressure at leak (psig)]]&lt;20, 10, MROUND(Table_Leaks1_Input[[#This Row],[Pressure at leak (psig)]], 25)))</f>
        <v>0</v>
      </c>
      <c r="T57" s="126">
        <f>ROUND(Table_Leaks1_Input[[#This Row],[dB reading]],-1)</f>
        <v>0</v>
      </c>
      <c r="U57" s="127" t="str">
        <f>_xlfn.CONCAT(Table_Leaks1_Input[[#This Row],[Rounded dB Reading]],"psig ", Table_Leaks1_Input[[#This Row],[Rounded PSIG]],"db")</f>
        <v>0psig 0db</v>
      </c>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row>
    <row r="58" spans="1:46" x14ac:dyDescent="0.2">
      <c r="A58" s="75"/>
      <c r="B58" s="121">
        <v>53</v>
      </c>
      <c r="C58" s="128"/>
      <c r="D58" s="129"/>
      <c r="E58" s="130"/>
      <c r="F58" s="130"/>
      <c r="G58" s="130"/>
      <c r="H58" s="130"/>
      <c r="I58" s="131"/>
      <c r="J58" s="131"/>
      <c r="K58" s="122" t="str">
        <f>IFERROR(INDEX(TABLE_UE_dB[Leak Size (cfm)], MATCH(Table_Leaks1_Input[[#This Row],[Lookup Value]], TABLE_UE_dB[Lookup Value], 0)),"")</f>
        <v/>
      </c>
      <c r="L58" s="123" t="str">
        <f>IF(Table_Leaks1_Input[[#This Row],[Repaired (Y/N)]]="Yes", Value_LeakRepairIR, "")</f>
        <v/>
      </c>
      <c r="M58" s="124" t="str">
        <f>IFERROR(Table_Leaks1_Input[[#This Row],[Estimated leak size (cfm)]]*Value_WeightAvgCompEff*Value_SysAOH,"" )</f>
        <v/>
      </c>
      <c r="N58" s="125" t="str">
        <f>IFERROR(Table_Leaks1_Input[[#This Row],[Estimated leak size (cfm)]]*Value_WeightAvgCompEff,"" )</f>
        <v/>
      </c>
      <c r="O58" s="123" t="str">
        <f>IFERROR(Table_Leaks1_Input[[#This Row],[Energy savings (kWh)]]*Input_AvgkWhRate, "")</f>
        <v/>
      </c>
      <c r="P58" s="123" t="str">
        <f>IF(Table_Leaks1_Input[[#This Row],[Pressure at leak (psig)]]="", "",Table_Leaks1_Input[[#This Row],[Total equipment cost]]+Table_Leaks1_Input[[#This Row],[Total labor cost]])</f>
        <v/>
      </c>
      <c r="Q58" s="123" t="str">
        <f>IFERROR(Table_Leaks1_Input[[#This Row],[Gross measure cost]]-Table_Leaks1_Input[[#This Row],[Estimated incentive]], "")</f>
        <v/>
      </c>
      <c r="R58" s="124" t="str">
        <f t="shared" si="0"/>
        <v/>
      </c>
      <c r="S58" s="126">
        <f>IF(OR(Table_Leaks1_Input[[#This Row],[Pressure at leak (psig)]]=0, Table_Leaks1_Input[[#This Row],[Pressure at leak (psig)]]=""),0,IF(Table_Leaks1_Input[[#This Row],[Pressure at leak (psig)]]&lt;20, 10, MROUND(Table_Leaks1_Input[[#This Row],[Pressure at leak (psig)]], 25)))</f>
        <v>0</v>
      </c>
      <c r="T58" s="126">
        <f>ROUND(Table_Leaks1_Input[[#This Row],[dB reading]],-1)</f>
        <v>0</v>
      </c>
      <c r="U58" s="127" t="str">
        <f>_xlfn.CONCAT(Table_Leaks1_Input[[#This Row],[Rounded dB Reading]],"psig ", Table_Leaks1_Input[[#This Row],[Rounded PSIG]],"db")</f>
        <v>0psig 0db</v>
      </c>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row>
    <row r="59" spans="1:46" x14ac:dyDescent="0.2">
      <c r="A59" s="75"/>
      <c r="B59" s="121">
        <v>54</v>
      </c>
      <c r="C59" s="128"/>
      <c r="D59" s="129"/>
      <c r="E59" s="130"/>
      <c r="F59" s="130"/>
      <c r="G59" s="130"/>
      <c r="H59" s="130"/>
      <c r="I59" s="131"/>
      <c r="J59" s="131"/>
      <c r="K59" s="122" t="str">
        <f>IFERROR(INDEX(TABLE_UE_dB[Leak Size (cfm)], MATCH(Table_Leaks1_Input[[#This Row],[Lookup Value]], TABLE_UE_dB[Lookup Value], 0)),"")</f>
        <v/>
      </c>
      <c r="L59" s="123" t="str">
        <f>IF(Table_Leaks1_Input[[#This Row],[Repaired (Y/N)]]="Yes", Value_LeakRepairIR, "")</f>
        <v/>
      </c>
      <c r="M59" s="124" t="str">
        <f>IFERROR(Table_Leaks1_Input[[#This Row],[Estimated leak size (cfm)]]*Value_WeightAvgCompEff*Value_SysAOH,"" )</f>
        <v/>
      </c>
      <c r="N59" s="125" t="str">
        <f>IFERROR(Table_Leaks1_Input[[#This Row],[Estimated leak size (cfm)]]*Value_WeightAvgCompEff,"" )</f>
        <v/>
      </c>
      <c r="O59" s="123" t="str">
        <f>IFERROR(Table_Leaks1_Input[[#This Row],[Energy savings (kWh)]]*Input_AvgkWhRate, "")</f>
        <v/>
      </c>
      <c r="P59" s="123" t="str">
        <f>IF(Table_Leaks1_Input[[#This Row],[Pressure at leak (psig)]]="", "",Table_Leaks1_Input[[#This Row],[Total equipment cost]]+Table_Leaks1_Input[[#This Row],[Total labor cost]])</f>
        <v/>
      </c>
      <c r="Q59" s="123" t="str">
        <f>IFERROR(Table_Leaks1_Input[[#This Row],[Gross measure cost]]-Table_Leaks1_Input[[#This Row],[Estimated incentive]], "")</f>
        <v/>
      </c>
      <c r="R59" s="124" t="str">
        <f t="shared" si="0"/>
        <v/>
      </c>
      <c r="S59" s="126">
        <f>IF(OR(Table_Leaks1_Input[[#This Row],[Pressure at leak (psig)]]=0, Table_Leaks1_Input[[#This Row],[Pressure at leak (psig)]]=""),0,IF(Table_Leaks1_Input[[#This Row],[Pressure at leak (psig)]]&lt;20, 10, MROUND(Table_Leaks1_Input[[#This Row],[Pressure at leak (psig)]], 25)))</f>
        <v>0</v>
      </c>
      <c r="T59" s="126">
        <f>ROUND(Table_Leaks1_Input[[#This Row],[dB reading]],-1)</f>
        <v>0</v>
      </c>
      <c r="U59" s="127" t="str">
        <f>_xlfn.CONCAT(Table_Leaks1_Input[[#This Row],[Rounded dB Reading]],"psig ", Table_Leaks1_Input[[#This Row],[Rounded PSIG]],"db")</f>
        <v>0psig 0db</v>
      </c>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row>
    <row r="60" spans="1:46" x14ac:dyDescent="0.2">
      <c r="A60" s="75"/>
      <c r="B60" s="121">
        <v>55</v>
      </c>
      <c r="C60" s="128"/>
      <c r="D60" s="129"/>
      <c r="E60" s="130"/>
      <c r="F60" s="130"/>
      <c r="G60" s="130"/>
      <c r="H60" s="130"/>
      <c r="I60" s="131"/>
      <c r="J60" s="131"/>
      <c r="K60" s="122" t="str">
        <f>IFERROR(INDEX(TABLE_UE_dB[Leak Size (cfm)], MATCH(Table_Leaks1_Input[[#This Row],[Lookup Value]], TABLE_UE_dB[Lookup Value], 0)),"")</f>
        <v/>
      </c>
      <c r="L60" s="123" t="str">
        <f>IF(Table_Leaks1_Input[[#This Row],[Repaired (Y/N)]]="Yes", Value_LeakRepairIR, "")</f>
        <v/>
      </c>
      <c r="M60" s="124" t="str">
        <f>IFERROR(Table_Leaks1_Input[[#This Row],[Estimated leak size (cfm)]]*Value_WeightAvgCompEff*Value_SysAOH,"" )</f>
        <v/>
      </c>
      <c r="N60" s="125" t="str">
        <f>IFERROR(Table_Leaks1_Input[[#This Row],[Estimated leak size (cfm)]]*Value_WeightAvgCompEff,"" )</f>
        <v/>
      </c>
      <c r="O60" s="123" t="str">
        <f>IFERROR(Table_Leaks1_Input[[#This Row],[Energy savings (kWh)]]*Input_AvgkWhRate, "")</f>
        <v/>
      </c>
      <c r="P60" s="123" t="str">
        <f>IF(Table_Leaks1_Input[[#This Row],[Pressure at leak (psig)]]="", "",Table_Leaks1_Input[[#This Row],[Total equipment cost]]+Table_Leaks1_Input[[#This Row],[Total labor cost]])</f>
        <v/>
      </c>
      <c r="Q60" s="123" t="str">
        <f>IFERROR(Table_Leaks1_Input[[#This Row],[Gross measure cost]]-Table_Leaks1_Input[[#This Row],[Estimated incentive]], "")</f>
        <v/>
      </c>
      <c r="R60" s="124" t="str">
        <f t="shared" si="0"/>
        <v/>
      </c>
      <c r="S60" s="126">
        <f>IF(OR(Table_Leaks1_Input[[#This Row],[Pressure at leak (psig)]]=0, Table_Leaks1_Input[[#This Row],[Pressure at leak (psig)]]=""),0,IF(Table_Leaks1_Input[[#This Row],[Pressure at leak (psig)]]&lt;20, 10, MROUND(Table_Leaks1_Input[[#This Row],[Pressure at leak (psig)]], 25)))</f>
        <v>0</v>
      </c>
      <c r="T60" s="126">
        <f>ROUND(Table_Leaks1_Input[[#This Row],[dB reading]],-1)</f>
        <v>0</v>
      </c>
      <c r="U60" s="127" t="str">
        <f>_xlfn.CONCAT(Table_Leaks1_Input[[#This Row],[Rounded dB Reading]],"psig ", Table_Leaks1_Input[[#This Row],[Rounded PSIG]],"db")</f>
        <v>0psig 0db</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row>
    <row r="61" spans="1:46" x14ac:dyDescent="0.2">
      <c r="A61" s="75"/>
      <c r="B61" s="121">
        <v>56</v>
      </c>
      <c r="C61" s="128"/>
      <c r="D61" s="129"/>
      <c r="E61" s="130"/>
      <c r="F61" s="130"/>
      <c r="G61" s="130"/>
      <c r="H61" s="130"/>
      <c r="I61" s="131"/>
      <c r="J61" s="131"/>
      <c r="K61" s="122" t="str">
        <f>IFERROR(INDEX(TABLE_UE_dB[Leak Size (cfm)], MATCH(Table_Leaks1_Input[[#This Row],[Lookup Value]], TABLE_UE_dB[Lookup Value], 0)),"")</f>
        <v/>
      </c>
      <c r="L61" s="123" t="str">
        <f>IF(Table_Leaks1_Input[[#This Row],[Repaired (Y/N)]]="Yes", Value_LeakRepairIR, "")</f>
        <v/>
      </c>
      <c r="M61" s="124" t="str">
        <f>IFERROR(Table_Leaks1_Input[[#This Row],[Estimated leak size (cfm)]]*Value_WeightAvgCompEff*Value_SysAOH,"" )</f>
        <v/>
      </c>
      <c r="N61" s="125" t="str">
        <f>IFERROR(Table_Leaks1_Input[[#This Row],[Estimated leak size (cfm)]]*Value_WeightAvgCompEff,"" )</f>
        <v/>
      </c>
      <c r="O61" s="123" t="str">
        <f>IFERROR(Table_Leaks1_Input[[#This Row],[Energy savings (kWh)]]*Input_AvgkWhRate, "")</f>
        <v/>
      </c>
      <c r="P61" s="123" t="str">
        <f>IF(Table_Leaks1_Input[[#This Row],[Pressure at leak (psig)]]="", "",Table_Leaks1_Input[[#This Row],[Total equipment cost]]+Table_Leaks1_Input[[#This Row],[Total labor cost]])</f>
        <v/>
      </c>
      <c r="Q61" s="123" t="str">
        <f>IFERROR(Table_Leaks1_Input[[#This Row],[Gross measure cost]]-Table_Leaks1_Input[[#This Row],[Estimated incentive]], "")</f>
        <v/>
      </c>
      <c r="R61" s="124" t="str">
        <f t="shared" si="0"/>
        <v/>
      </c>
      <c r="S61" s="126">
        <f>IF(OR(Table_Leaks1_Input[[#This Row],[Pressure at leak (psig)]]=0, Table_Leaks1_Input[[#This Row],[Pressure at leak (psig)]]=""),0,IF(Table_Leaks1_Input[[#This Row],[Pressure at leak (psig)]]&lt;20, 10, MROUND(Table_Leaks1_Input[[#This Row],[Pressure at leak (psig)]], 25)))</f>
        <v>0</v>
      </c>
      <c r="T61" s="126">
        <f>ROUND(Table_Leaks1_Input[[#This Row],[dB reading]],-1)</f>
        <v>0</v>
      </c>
      <c r="U61" s="127" t="str">
        <f>_xlfn.CONCAT(Table_Leaks1_Input[[#This Row],[Rounded dB Reading]],"psig ", Table_Leaks1_Input[[#This Row],[Rounded PSIG]],"db")</f>
        <v>0psig 0db</v>
      </c>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row>
    <row r="62" spans="1:46" x14ac:dyDescent="0.2">
      <c r="A62" s="75"/>
      <c r="B62" s="121">
        <v>57</v>
      </c>
      <c r="C62" s="128"/>
      <c r="D62" s="129"/>
      <c r="E62" s="130"/>
      <c r="F62" s="130"/>
      <c r="G62" s="130"/>
      <c r="H62" s="130"/>
      <c r="I62" s="131"/>
      <c r="J62" s="131"/>
      <c r="K62" s="122" t="str">
        <f>IFERROR(INDEX(TABLE_UE_dB[Leak Size (cfm)], MATCH(Table_Leaks1_Input[[#This Row],[Lookup Value]], TABLE_UE_dB[Lookup Value], 0)),"")</f>
        <v/>
      </c>
      <c r="L62" s="123" t="str">
        <f>IF(Table_Leaks1_Input[[#This Row],[Repaired (Y/N)]]="Yes", Value_LeakRepairIR, "")</f>
        <v/>
      </c>
      <c r="M62" s="124" t="str">
        <f>IFERROR(Table_Leaks1_Input[[#This Row],[Estimated leak size (cfm)]]*Value_WeightAvgCompEff*Value_SysAOH,"" )</f>
        <v/>
      </c>
      <c r="N62" s="125" t="str">
        <f>IFERROR(Table_Leaks1_Input[[#This Row],[Estimated leak size (cfm)]]*Value_WeightAvgCompEff,"" )</f>
        <v/>
      </c>
      <c r="O62" s="123" t="str">
        <f>IFERROR(Table_Leaks1_Input[[#This Row],[Energy savings (kWh)]]*Input_AvgkWhRate, "")</f>
        <v/>
      </c>
      <c r="P62" s="123" t="str">
        <f>IF(Table_Leaks1_Input[[#This Row],[Pressure at leak (psig)]]="", "",Table_Leaks1_Input[[#This Row],[Total equipment cost]]+Table_Leaks1_Input[[#This Row],[Total labor cost]])</f>
        <v/>
      </c>
      <c r="Q62" s="123" t="str">
        <f>IFERROR(Table_Leaks1_Input[[#This Row],[Gross measure cost]]-Table_Leaks1_Input[[#This Row],[Estimated incentive]], "")</f>
        <v/>
      </c>
      <c r="R62" s="124" t="str">
        <f t="shared" si="0"/>
        <v/>
      </c>
      <c r="S62" s="126">
        <f>IF(OR(Table_Leaks1_Input[[#This Row],[Pressure at leak (psig)]]=0, Table_Leaks1_Input[[#This Row],[Pressure at leak (psig)]]=""),0,IF(Table_Leaks1_Input[[#This Row],[Pressure at leak (psig)]]&lt;20, 10, MROUND(Table_Leaks1_Input[[#This Row],[Pressure at leak (psig)]], 25)))</f>
        <v>0</v>
      </c>
      <c r="T62" s="126">
        <f>ROUND(Table_Leaks1_Input[[#This Row],[dB reading]],-1)</f>
        <v>0</v>
      </c>
      <c r="U62" s="127" t="str">
        <f>_xlfn.CONCAT(Table_Leaks1_Input[[#This Row],[Rounded dB Reading]],"psig ", Table_Leaks1_Input[[#This Row],[Rounded PSIG]],"db")</f>
        <v>0psig 0db</v>
      </c>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row>
    <row r="63" spans="1:46" x14ac:dyDescent="0.2">
      <c r="A63" s="75"/>
      <c r="B63" s="121">
        <v>58</v>
      </c>
      <c r="C63" s="128"/>
      <c r="D63" s="129"/>
      <c r="E63" s="130"/>
      <c r="F63" s="130"/>
      <c r="G63" s="130"/>
      <c r="H63" s="130"/>
      <c r="I63" s="131"/>
      <c r="J63" s="131"/>
      <c r="K63" s="122" t="str">
        <f>IFERROR(INDEX(TABLE_UE_dB[Leak Size (cfm)], MATCH(Table_Leaks1_Input[[#This Row],[Lookup Value]], TABLE_UE_dB[Lookup Value], 0)),"")</f>
        <v/>
      </c>
      <c r="L63" s="123" t="str">
        <f>IF(Table_Leaks1_Input[[#This Row],[Repaired (Y/N)]]="Yes", Value_LeakRepairIR, "")</f>
        <v/>
      </c>
      <c r="M63" s="124" t="str">
        <f>IFERROR(Table_Leaks1_Input[[#This Row],[Estimated leak size (cfm)]]*Value_WeightAvgCompEff*Value_SysAOH,"" )</f>
        <v/>
      </c>
      <c r="N63" s="125" t="str">
        <f>IFERROR(Table_Leaks1_Input[[#This Row],[Estimated leak size (cfm)]]*Value_WeightAvgCompEff,"" )</f>
        <v/>
      </c>
      <c r="O63" s="123" t="str">
        <f>IFERROR(Table_Leaks1_Input[[#This Row],[Energy savings (kWh)]]*Input_AvgkWhRate, "")</f>
        <v/>
      </c>
      <c r="P63" s="123" t="str">
        <f>IF(Table_Leaks1_Input[[#This Row],[Pressure at leak (psig)]]="", "",Table_Leaks1_Input[[#This Row],[Total equipment cost]]+Table_Leaks1_Input[[#This Row],[Total labor cost]])</f>
        <v/>
      </c>
      <c r="Q63" s="123" t="str">
        <f>IFERROR(Table_Leaks1_Input[[#This Row],[Gross measure cost]]-Table_Leaks1_Input[[#This Row],[Estimated incentive]], "")</f>
        <v/>
      </c>
      <c r="R63" s="124" t="str">
        <f t="shared" si="0"/>
        <v/>
      </c>
      <c r="S63" s="126">
        <f>IF(OR(Table_Leaks1_Input[[#This Row],[Pressure at leak (psig)]]=0, Table_Leaks1_Input[[#This Row],[Pressure at leak (psig)]]=""),0,IF(Table_Leaks1_Input[[#This Row],[Pressure at leak (psig)]]&lt;20, 10, MROUND(Table_Leaks1_Input[[#This Row],[Pressure at leak (psig)]], 25)))</f>
        <v>0</v>
      </c>
      <c r="T63" s="126">
        <f>ROUND(Table_Leaks1_Input[[#This Row],[dB reading]],-1)</f>
        <v>0</v>
      </c>
      <c r="U63" s="127" t="str">
        <f>_xlfn.CONCAT(Table_Leaks1_Input[[#This Row],[Rounded dB Reading]],"psig ", Table_Leaks1_Input[[#This Row],[Rounded PSIG]],"db")</f>
        <v>0psig 0db</v>
      </c>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row>
    <row r="64" spans="1:46" x14ac:dyDescent="0.2">
      <c r="A64" s="75"/>
      <c r="B64" s="121">
        <v>59</v>
      </c>
      <c r="C64" s="128"/>
      <c r="D64" s="129"/>
      <c r="E64" s="130"/>
      <c r="F64" s="130"/>
      <c r="G64" s="130"/>
      <c r="H64" s="130"/>
      <c r="I64" s="131"/>
      <c r="J64" s="131"/>
      <c r="K64" s="122" t="str">
        <f>IFERROR(INDEX(TABLE_UE_dB[Leak Size (cfm)], MATCH(Table_Leaks1_Input[[#This Row],[Lookup Value]], TABLE_UE_dB[Lookup Value], 0)),"")</f>
        <v/>
      </c>
      <c r="L64" s="123" t="str">
        <f>IF(Table_Leaks1_Input[[#This Row],[Repaired (Y/N)]]="Yes", Value_LeakRepairIR, "")</f>
        <v/>
      </c>
      <c r="M64" s="124" t="str">
        <f>IFERROR(Table_Leaks1_Input[[#This Row],[Estimated leak size (cfm)]]*Value_WeightAvgCompEff*Value_SysAOH,"" )</f>
        <v/>
      </c>
      <c r="N64" s="125" t="str">
        <f>IFERROR(Table_Leaks1_Input[[#This Row],[Estimated leak size (cfm)]]*Value_WeightAvgCompEff,"" )</f>
        <v/>
      </c>
      <c r="O64" s="123" t="str">
        <f>IFERROR(Table_Leaks1_Input[[#This Row],[Energy savings (kWh)]]*Input_AvgkWhRate, "")</f>
        <v/>
      </c>
      <c r="P64" s="123" t="str">
        <f>IF(Table_Leaks1_Input[[#This Row],[Pressure at leak (psig)]]="", "",Table_Leaks1_Input[[#This Row],[Total equipment cost]]+Table_Leaks1_Input[[#This Row],[Total labor cost]])</f>
        <v/>
      </c>
      <c r="Q64" s="123" t="str">
        <f>IFERROR(Table_Leaks1_Input[[#This Row],[Gross measure cost]]-Table_Leaks1_Input[[#This Row],[Estimated incentive]], "")</f>
        <v/>
      </c>
      <c r="R64" s="124" t="str">
        <f t="shared" si="0"/>
        <v/>
      </c>
      <c r="S64" s="126">
        <f>IF(OR(Table_Leaks1_Input[[#This Row],[Pressure at leak (psig)]]=0, Table_Leaks1_Input[[#This Row],[Pressure at leak (psig)]]=""),0,IF(Table_Leaks1_Input[[#This Row],[Pressure at leak (psig)]]&lt;20, 10, MROUND(Table_Leaks1_Input[[#This Row],[Pressure at leak (psig)]], 25)))</f>
        <v>0</v>
      </c>
      <c r="T64" s="126">
        <f>ROUND(Table_Leaks1_Input[[#This Row],[dB reading]],-1)</f>
        <v>0</v>
      </c>
      <c r="U64" s="127" t="str">
        <f>_xlfn.CONCAT(Table_Leaks1_Input[[#This Row],[Rounded dB Reading]],"psig ", Table_Leaks1_Input[[#This Row],[Rounded PSIG]],"db")</f>
        <v>0psig 0db</v>
      </c>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row>
    <row r="65" spans="1:46" x14ac:dyDescent="0.2">
      <c r="A65" s="75"/>
      <c r="B65" s="121">
        <v>60</v>
      </c>
      <c r="C65" s="128"/>
      <c r="D65" s="129"/>
      <c r="E65" s="130"/>
      <c r="F65" s="130"/>
      <c r="G65" s="130"/>
      <c r="H65" s="130"/>
      <c r="I65" s="131"/>
      <c r="J65" s="131"/>
      <c r="K65" s="122" t="str">
        <f>IFERROR(INDEX(TABLE_UE_dB[Leak Size (cfm)], MATCH(Table_Leaks1_Input[[#This Row],[Lookup Value]], TABLE_UE_dB[Lookup Value], 0)),"")</f>
        <v/>
      </c>
      <c r="L65" s="123" t="str">
        <f>IF(Table_Leaks1_Input[[#This Row],[Repaired (Y/N)]]="Yes", Value_LeakRepairIR, "")</f>
        <v/>
      </c>
      <c r="M65" s="124" t="str">
        <f>IFERROR(Table_Leaks1_Input[[#This Row],[Estimated leak size (cfm)]]*Value_WeightAvgCompEff*Value_SysAOH,"" )</f>
        <v/>
      </c>
      <c r="N65" s="125" t="str">
        <f>IFERROR(Table_Leaks1_Input[[#This Row],[Estimated leak size (cfm)]]*Value_WeightAvgCompEff,"" )</f>
        <v/>
      </c>
      <c r="O65" s="123" t="str">
        <f>IFERROR(Table_Leaks1_Input[[#This Row],[Energy savings (kWh)]]*Input_AvgkWhRate, "")</f>
        <v/>
      </c>
      <c r="P65" s="123" t="str">
        <f>IF(Table_Leaks1_Input[[#This Row],[Pressure at leak (psig)]]="", "",Table_Leaks1_Input[[#This Row],[Total equipment cost]]+Table_Leaks1_Input[[#This Row],[Total labor cost]])</f>
        <v/>
      </c>
      <c r="Q65" s="123" t="str">
        <f>IFERROR(Table_Leaks1_Input[[#This Row],[Gross measure cost]]-Table_Leaks1_Input[[#This Row],[Estimated incentive]], "")</f>
        <v/>
      </c>
      <c r="R65" s="124" t="str">
        <f t="shared" si="0"/>
        <v/>
      </c>
      <c r="S65" s="126">
        <f>IF(OR(Table_Leaks1_Input[[#This Row],[Pressure at leak (psig)]]=0, Table_Leaks1_Input[[#This Row],[Pressure at leak (psig)]]=""),0,IF(Table_Leaks1_Input[[#This Row],[Pressure at leak (psig)]]&lt;20, 10, MROUND(Table_Leaks1_Input[[#This Row],[Pressure at leak (psig)]], 25)))</f>
        <v>0</v>
      </c>
      <c r="T65" s="126">
        <f>ROUND(Table_Leaks1_Input[[#This Row],[dB reading]],-1)</f>
        <v>0</v>
      </c>
      <c r="U65" s="127" t="str">
        <f>_xlfn.CONCAT(Table_Leaks1_Input[[#This Row],[Rounded dB Reading]],"psig ", Table_Leaks1_Input[[#This Row],[Rounded PSIG]],"db")</f>
        <v>0psig 0db</v>
      </c>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row>
    <row r="66" spans="1:46" x14ac:dyDescent="0.2">
      <c r="A66" s="75"/>
      <c r="B66" s="121">
        <v>61</v>
      </c>
      <c r="C66" s="128"/>
      <c r="D66" s="129"/>
      <c r="E66" s="130"/>
      <c r="F66" s="130"/>
      <c r="G66" s="130"/>
      <c r="H66" s="130"/>
      <c r="I66" s="131"/>
      <c r="J66" s="131"/>
      <c r="K66" s="122" t="str">
        <f>IFERROR(INDEX(TABLE_UE_dB[Leak Size (cfm)], MATCH(Table_Leaks1_Input[[#This Row],[Lookup Value]], TABLE_UE_dB[Lookup Value], 0)),"")</f>
        <v/>
      </c>
      <c r="L66" s="123" t="str">
        <f>IF(Table_Leaks1_Input[[#This Row],[Repaired (Y/N)]]="Yes", Value_LeakRepairIR, "")</f>
        <v/>
      </c>
      <c r="M66" s="124" t="str">
        <f>IFERROR(Table_Leaks1_Input[[#This Row],[Estimated leak size (cfm)]]*Value_WeightAvgCompEff*Value_SysAOH,"" )</f>
        <v/>
      </c>
      <c r="N66" s="125" t="str">
        <f>IFERROR(Table_Leaks1_Input[[#This Row],[Estimated leak size (cfm)]]*Value_WeightAvgCompEff,"" )</f>
        <v/>
      </c>
      <c r="O66" s="123" t="str">
        <f>IFERROR(Table_Leaks1_Input[[#This Row],[Energy savings (kWh)]]*Input_AvgkWhRate, "")</f>
        <v/>
      </c>
      <c r="P66" s="123" t="str">
        <f>IF(Table_Leaks1_Input[[#This Row],[Pressure at leak (psig)]]="", "",Table_Leaks1_Input[[#This Row],[Total equipment cost]]+Table_Leaks1_Input[[#This Row],[Total labor cost]])</f>
        <v/>
      </c>
      <c r="Q66" s="123" t="str">
        <f>IFERROR(Table_Leaks1_Input[[#This Row],[Gross measure cost]]-Table_Leaks1_Input[[#This Row],[Estimated incentive]], "")</f>
        <v/>
      </c>
      <c r="R66" s="124" t="str">
        <f t="shared" si="0"/>
        <v/>
      </c>
      <c r="S66" s="126">
        <f>IF(OR(Table_Leaks1_Input[[#This Row],[Pressure at leak (psig)]]=0, Table_Leaks1_Input[[#This Row],[Pressure at leak (psig)]]=""),0,IF(Table_Leaks1_Input[[#This Row],[Pressure at leak (psig)]]&lt;20, 10, MROUND(Table_Leaks1_Input[[#This Row],[Pressure at leak (psig)]], 25)))</f>
        <v>0</v>
      </c>
      <c r="T66" s="126">
        <f>ROUND(Table_Leaks1_Input[[#This Row],[dB reading]],-1)</f>
        <v>0</v>
      </c>
      <c r="U66" s="127" t="str">
        <f>_xlfn.CONCAT(Table_Leaks1_Input[[#This Row],[Rounded dB Reading]],"psig ", Table_Leaks1_Input[[#This Row],[Rounded PSIG]],"db")</f>
        <v>0psig 0db</v>
      </c>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row>
    <row r="67" spans="1:46" x14ac:dyDescent="0.2">
      <c r="A67" s="75"/>
      <c r="B67" s="121">
        <v>62</v>
      </c>
      <c r="C67" s="128"/>
      <c r="D67" s="129"/>
      <c r="E67" s="130"/>
      <c r="F67" s="130"/>
      <c r="G67" s="130"/>
      <c r="H67" s="130"/>
      <c r="I67" s="131"/>
      <c r="J67" s="131"/>
      <c r="K67" s="122" t="str">
        <f>IFERROR(INDEX(TABLE_UE_dB[Leak Size (cfm)], MATCH(Table_Leaks1_Input[[#This Row],[Lookup Value]], TABLE_UE_dB[Lookup Value], 0)),"")</f>
        <v/>
      </c>
      <c r="L67" s="123" t="str">
        <f>IF(Table_Leaks1_Input[[#This Row],[Repaired (Y/N)]]="Yes", Value_LeakRepairIR, "")</f>
        <v/>
      </c>
      <c r="M67" s="124" t="str">
        <f>IFERROR(Table_Leaks1_Input[[#This Row],[Estimated leak size (cfm)]]*Value_WeightAvgCompEff*Value_SysAOH,"" )</f>
        <v/>
      </c>
      <c r="N67" s="125" t="str">
        <f>IFERROR(Table_Leaks1_Input[[#This Row],[Estimated leak size (cfm)]]*Value_WeightAvgCompEff,"" )</f>
        <v/>
      </c>
      <c r="O67" s="123" t="str">
        <f>IFERROR(Table_Leaks1_Input[[#This Row],[Energy savings (kWh)]]*Input_AvgkWhRate, "")</f>
        <v/>
      </c>
      <c r="P67" s="123" t="str">
        <f>IF(Table_Leaks1_Input[[#This Row],[Pressure at leak (psig)]]="", "",Table_Leaks1_Input[[#This Row],[Total equipment cost]]+Table_Leaks1_Input[[#This Row],[Total labor cost]])</f>
        <v/>
      </c>
      <c r="Q67" s="123" t="str">
        <f>IFERROR(Table_Leaks1_Input[[#This Row],[Gross measure cost]]-Table_Leaks1_Input[[#This Row],[Estimated incentive]], "")</f>
        <v/>
      </c>
      <c r="R67" s="124" t="str">
        <f t="shared" si="0"/>
        <v/>
      </c>
      <c r="S67" s="126">
        <f>IF(OR(Table_Leaks1_Input[[#This Row],[Pressure at leak (psig)]]=0, Table_Leaks1_Input[[#This Row],[Pressure at leak (psig)]]=""),0,IF(Table_Leaks1_Input[[#This Row],[Pressure at leak (psig)]]&lt;20, 10, MROUND(Table_Leaks1_Input[[#This Row],[Pressure at leak (psig)]], 25)))</f>
        <v>0</v>
      </c>
      <c r="T67" s="126">
        <f>ROUND(Table_Leaks1_Input[[#This Row],[dB reading]],-1)</f>
        <v>0</v>
      </c>
      <c r="U67" s="127" t="str">
        <f>_xlfn.CONCAT(Table_Leaks1_Input[[#This Row],[Rounded dB Reading]],"psig ", Table_Leaks1_Input[[#This Row],[Rounded PSIG]],"db")</f>
        <v>0psig 0db</v>
      </c>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row>
    <row r="68" spans="1:46" x14ac:dyDescent="0.2">
      <c r="A68" s="75"/>
      <c r="B68" s="121">
        <v>63</v>
      </c>
      <c r="C68" s="128"/>
      <c r="D68" s="129"/>
      <c r="E68" s="130"/>
      <c r="F68" s="130"/>
      <c r="G68" s="130"/>
      <c r="H68" s="130"/>
      <c r="I68" s="131"/>
      <c r="J68" s="131"/>
      <c r="K68" s="122" t="str">
        <f>IFERROR(INDEX(TABLE_UE_dB[Leak Size (cfm)], MATCH(Table_Leaks1_Input[[#This Row],[Lookup Value]], TABLE_UE_dB[Lookup Value], 0)),"")</f>
        <v/>
      </c>
      <c r="L68" s="123" t="str">
        <f>IF(Table_Leaks1_Input[[#This Row],[Repaired (Y/N)]]="Yes", Value_LeakRepairIR, "")</f>
        <v/>
      </c>
      <c r="M68" s="124" t="str">
        <f>IFERROR(Table_Leaks1_Input[[#This Row],[Estimated leak size (cfm)]]*Value_WeightAvgCompEff*Value_SysAOH,"" )</f>
        <v/>
      </c>
      <c r="N68" s="125" t="str">
        <f>IFERROR(Table_Leaks1_Input[[#This Row],[Estimated leak size (cfm)]]*Value_WeightAvgCompEff,"" )</f>
        <v/>
      </c>
      <c r="O68" s="123" t="str">
        <f>IFERROR(Table_Leaks1_Input[[#This Row],[Energy savings (kWh)]]*Input_AvgkWhRate, "")</f>
        <v/>
      </c>
      <c r="P68" s="123" t="str">
        <f>IF(Table_Leaks1_Input[[#This Row],[Pressure at leak (psig)]]="", "",Table_Leaks1_Input[[#This Row],[Total equipment cost]]+Table_Leaks1_Input[[#This Row],[Total labor cost]])</f>
        <v/>
      </c>
      <c r="Q68" s="123" t="str">
        <f>IFERROR(Table_Leaks1_Input[[#This Row],[Gross measure cost]]-Table_Leaks1_Input[[#This Row],[Estimated incentive]], "")</f>
        <v/>
      </c>
      <c r="R68" s="124" t="str">
        <f t="shared" si="0"/>
        <v/>
      </c>
      <c r="S68" s="126">
        <f>IF(OR(Table_Leaks1_Input[[#This Row],[Pressure at leak (psig)]]=0, Table_Leaks1_Input[[#This Row],[Pressure at leak (psig)]]=""),0,IF(Table_Leaks1_Input[[#This Row],[Pressure at leak (psig)]]&lt;20, 10, MROUND(Table_Leaks1_Input[[#This Row],[Pressure at leak (psig)]], 25)))</f>
        <v>0</v>
      </c>
      <c r="T68" s="126">
        <f>ROUND(Table_Leaks1_Input[[#This Row],[dB reading]],-1)</f>
        <v>0</v>
      </c>
      <c r="U68" s="127" t="str">
        <f>_xlfn.CONCAT(Table_Leaks1_Input[[#This Row],[Rounded dB Reading]],"psig ", Table_Leaks1_Input[[#This Row],[Rounded PSIG]],"db")</f>
        <v>0psig 0db</v>
      </c>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row>
    <row r="69" spans="1:46" x14ac:dyDescent="0.2">
      <c r="A69" s="75"/>
      <c r="B69" s="121">
        <v>64</v>
      </c>
      <c r="C69" s="128"/>
      <c r="D69" s="129"/>
      <c r="E69" s="130"/>
      <c r="F69" s="130"/>
      <c r="G69" s="130"/>
      <c r="H69" s="130"/>
      <c r="I69" s="131"/>
      <c r="J69" s="131"/>
      <c r="K69" s="122" t="str">
        <f>IFERROR(INDEX(TABLE_UE_dB[Leak Size (cfm)], MATCH(Table_Leaks1_Input[[#This Row],[Lookup Value]], TABLE_UE_dB[Lookup Value], 0)),"")</f>
        <v/>
      </c>
      <c r="L69" s="123" t="str">
        <f>IF(Table_Leaks1_Input[[#This Row],[Repaired (Y/N)]]="Yes", Value_LeakRepairIR, "")</f>
        <v/>
      </c>
      <c r="M69" s="124" t="str">
        <f>IFERROR(Table_Leaks1_Input[[#This Row],[Estimated leak size (cfm)]]*Value_WeightAvgCompEff*Value_SysAOH,"" )</f>
        <v/>
      </c>
      <c r="N69" s="125" t="str">
        <f>IFERROR(Table_Leaks1_Input[[#This Row],[Estimated leak size (cfm)]]*Value_WeightAvgCompEff,"" )</f>
        <v/>
      </c>
      <c r="O69" s="123" t="str">
        <f>IFERROR(Table_Leaks1_Input[[#This Row],[Energy savings (kWh)]]*Input_AvgkWhRate, "")</f>
        <v/>
      </c>
      <c r="P69" s="123" t="str">
        <f>IF(Table_Leaks1_Input[[#This Row],[Pressure at leak (psig)]]="", "",Table_Leaks1_Input[[#This Row],[Total equipment cost]]+Table_Leaks1_Input[[#This Row],[Total labor cost]])</f>
        <v/>
      </c>
      <c r="Q69" s="123" t="str">
        <f>IFERROR(Table_Leaks1_Input[[#This Row],[Gross measure cost]]-Table_Leaks1_Input[[#This Row],[Estimated incentive]], "")</f>
        <v/>
      </c>
      <c r="R69" s="124" t="str">
        <f t="shared" si="0"/>
        <v/>
      </c>
      <c r="S69" s="126">
        <f>IF(OR(Table_Leaks1_Input[[#This Row],[Pressure at leak (psig)]]=0, Table_Leaks1_Input[[#This Row],[Pressure at leak (psig)]]=""),0,IF(Table_Leaks1_Input[[#This Row],[Pressure at leak (psig)]]&lt;20, 10, MROUND(Table_Leaks1_Input[[#This Row],[Pressure at leak (psig)]], 25)))</f>
        <v>0</v>
      </c>
      <c r="T69" s="126">
        <f>ROUND(Table_Leaks1_Input[[#This Row],[dB reading]],-1)</f>
        <v>0</v>
      </c>
      <c r="U69" s="127" t="str">
        <f>_xlfn.CONCAT(Table_Leaks1_Input[[#This Row],[Rounded dB Reading]],"psig ", Table_Leaks1_Input[[#This Row],[Rounded PSIG]],"db")</f>
        <v>0psig 0db</v>
      </c>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row>
    <row r="70" spans="1:46" x14ac:dyDescent="0.2">
      <c r="A70" s="75"/>
      <c r="B70" s="121">
        <v>65</v>
      </c>
      <c r="C70" s="128"/>
      <c r="D70" s="129"/>
      <c r="E70" s="130"/>
      <c r="F70" s="130"/>
      <c r="G70" s="130"/>
      <c r="H70" s="130"/>
      <c r="I70" s="131"/>
      <c r="J70" s="131"/>
      <c r="K70" s="122" t="str">
        <f>IFERROR(INDEX(TABLE_UE_dB[Leak Size (cfm)], MATCH(Table_Leaks1_Input[[#This Row],[Lookup Value]], TABLE_UE_dB[Lookup Value], 0)),"")</f>
        <v/>
      </c>
      <c r="L70" s="123" t="str">
        <f>IF(Table_Leaks1_Input[[#This Row],[Repaired (Y/N)]]="Yes", Value_LeakRepairIR, "")</f>
        <v/>
      </c>
      <c r="M70" s="124" t="str">
        <f>IFERROR(Table_Leaks1_Input[[#This Row],[Estimated leak size (cfm)]]*Value_WeightAvgCompEff*Value_SysAOH,"" )</f>
        <v/>
      </c>
      <c r="N70" s="125" t="str">
        <f>IFERROR(Table_Leaks1_Input[[#This Row],[Estimated leak size (cfm)]]*Value_WeightAvgCompEff,"" )</f>
        <v/>
      </c>
      <c r="O70" s="123" t="str">
        <f>IFERROR(Table_Leaks1_Input[[#This Row],[Energy savings (kWh)]]*Input_AvgkWhRate, "")</f>
        <v/>
      </c>
      <c r="P70" s="123" t="str">
        <f>IF(Table_Leaks1_Input[[#This Row],[Pressure at leak (psig)]]="", "",Table_Leaks1_Input[[#This Row],[Total equipment cost]]+Table_Leaks1_Input[[#This Row],[Total labor cost]])</f>
        <v/>
      </c>
      <c r="Q70" s="123" t="str">
        <f>IFERROR(Table_Leaks1_Input[[#This Row],[Gross measure cost]]-Table_Leaks1_Input[[#This Row],[Estimated incentive]], "")</f>
        <v/>
      </c>
      <c r="R70" s="124" t="str">
        <f t="shared" ref="R70:R133" si="1">IFERROR($Q70/$O70,"")</f>
        <v/>
      </c>
      <c r="S70" s="126">
        <f>IF(OR(Table_Leaks1_Input[[#This Row],[Pressure at leak (psig)]]=0, Table_Leaks1_Input[[#This Row],[Pressure at leak (psig)]]=""),0,IF(Table_Leaks1_Input[[#This Row],[Pressure at leak (psig)]]&lt;20, 10, MROUND(Table_Leaks1_Input[[#This Row],[Pressure at leak (psig)]], 25)))</f>
        <v>0</v>
      </c>
      <c r="T70" s="126">
        <f>ROUND(Table_Leaks1_Input[[#This Row],[dB reading]],-1)</f>
        <v>0</v>
      </c>
      <c r="U70" s="127" t="str">
        <f>_xlfn.CONCAT(Table_Leaks1_Input[[#This Row],[Rounded dB Reading]],"psig ", Table_Leaks1_Input[[#This Row],[Rounded PSIG]],"db")</f>
        <v>0psig 0db</v>
      </c>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row>
    <row r="71" spans="1:46" x14ac:dyDescent="0.2">
      <c r="A71" s="75"/>
      <c r="B71" s="121">
        <v>66</v>
      </c>
      <c r="C71" s="128"/>
      <c r="D71" s="129"/>
      <c r="E71" s="130"/>
      <c r="F71" s="130"/>
      <c r="G71" s="130"/>
      <c r="H71" s="130"/>
      <c r="I71" s="131"/>
      <c r="J71" s="131"/>
      <c r="K71" s="122" t="str">
        <f>IFERROR(INDEX(TABLE_UE_dB[Leak Size (cfm)], MATCH(Table_Leaks1_Input[[#This Row],[Lookup Value]], TABLE_UE_dB[Lookup Value], 0)),"")</f>
        <v/>
      </c>
      <c r="L71" s="123" t="str">
        <f>IF(Table_Leaks1_Input[[#This Row],[Repaired (Y/N)]]="Yes", Value_LeakRepairIR, "")</f>
        <v/>
      </c>
      <c r="M71" s="124" t="str">
        <f>IFERROR(Table_Leaks1_Input[[#This Row],[Estimated leak size (cfm)]]*Value_WeightAvgCompEff*Value_SysAOH,"" )</f>
        <v/>
      </c>
      <c r="N71" s="125" t="str">
        <f>IFERROR(Table_Leaks1_Input[[#This Row],[Estimated leak size (cfm)]]*Value_WeightAvgCompEff,"" )</f>
        <v/>
      </c>
      <c r="O71" s="123" t="str">
        <f>IFERROR(Table_Leaks1_Input[[#This Row],[Energy savings (kWh)]]*Input_AvgkWhRate, "")</f>
        <v/>
      </c>
      <c r="P71" s="123" t="str">
        <f>IF(Table_Leaks1_Input[[#This Row],[Pressure at leak (psig)]]="", "",Table_Leaks1_Input[[#This Row],[Total equipment cost]]+Table_Leaks1_Input[[#This Row],[Total labor cost]])</f>
        <v/>
      </c>
      <c r="Q71" s="123" t="str">
        <f>IFERROR(Table_Leaks1_Input[[#This Row],[Gross measure cost]]-Table_Leaks1_Input[[#This Row],[Estimated incentive]], "")</f>
        <v/>
      </c>
      <c r="R71" s="124" t="str">
        <f t="shared" si="1"/>
        <v/>
      </c>
      <c r="S71" s="126">
        <f>IF(OR(Table_Leaks1_Input[[#This Row],[Pressure at leak (psig)]]=0, Table_Leaks1_Input[[#This Row],[Pressure at leak (psig)]]=""),0,IF(Table_Leaks1_Input[[#This Row],[Pressure at leak (psig)]]&lt;20, 10, MROUND(Table_Leaks1_Input[[#This Row],[Pressure at leak (psig)]], 25)))</f>
        <v>0</v>
      </c>
      <c r="T71" s="126">
        <f>ROUND(Table_Leaks1_Input[[#This Row],[dB reading]],-1)</f>
        <v>0</v>
      </c>
      <c r="U71" s="127" t="str">
        <f>_xlfn.CONCAT(Table_Leaks1_Input[[#This Row],[Rounded dB Reading]],"psig ", Table_Leaks1_Input[[#This Row],[Rounded PSIG]],"db")</f>
        <v>0psig 0db</v>
      </c>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row>
    <row r="72" spans="1:46" x14ac:dyDescent="0.2">
      <c r="A72" s="75"/>
      <c r="B72" s="121">
        <v>67</v>
      </c>
      <c r="C72" s="128"/>
      <c r="D72" s="129"/>
      <c r="E72" s="130"/>
      <c r="F72" s="130"/>
      <c r="G72" s="130"/>
      <c r="H72" s="130"/>
      <c r="I72" s="131"/>
      <c r="J72" s="131"/>
      <c r="K72" s="122" t="str">
        <f>IFERROR(INDEX(TABLE_UE_dB[Leak Size (cfm)], MATCH(Table_Leaks1_Input[[#This Row],[Lookup Value]], TABLE_UE_dB[Lookup Value], 0)),"")</f>
        <v/>
      </c>
      <c r="L72" s="123" t="str">
        <f>IF(Table_Leaks1_Input[[#This Row],[Repaired (Y/N)]]="Yes", Value_LeakRepairIR, "")</f>
        <v/>
      </c>
      <c r="M72" s="124" t="str">
        <f>IFERROR(Table_Leaks1_Input[[#This Row],[Estimated leak size (cfm)]]*Value_WeightAvgCompEff*Value_SysAOH,"" )</f>
        <v/>
      </c>
      <c r="N72" s="125" t="str">
        <f>IFERROR(Table_Leaks1_Input[[#This Row],[Estimated leak size (cfm)]]*Value_WeightAvgCompEff,"" )</f>
        <v/>
      </c>
      <c r="O72" s="123" t="str">
        <f>IFERROR(Table_Leaks1_Input[[#This Row],[Energy savings (kWh)]]*Input_AvgkWhRate, "")</f>
        <v/>
      </c>
      <c r="P72" s="123" t="str">
        <f>IF(Table_Leaks1_Input[[#This Row],[Pressure at leak (psig)]]="", "",Table_Leaks1_Input[[#This Row],[Total equipment cost]]+Table_Leaks1_Input[[#This Row],[Total labor cost]])</f>
        <v/>
      </c>
      <c r="Q72" s="123" t="str">
        <f>IFERROR(Table_Leaks1_Input[[#This Row],[Gross measure cost]]-Table_Leaks1_Input[[#This Row],[Estimated incentive]], "")</f>
        <v/>
      </c>
      <c r="R72" s="124" t="str">
        <f t="shared" si="1"/>
        <v/>
      </c>
      <c r="S72" s="126">
        <f>IF(OR(Table_Leaks1_Input[[#This Row],[Pressure at leak (psig)]]=0, Table_Leaks1_Input[[#This Row],[Pressure at leak (psig)]]=""),0,IF(Table_Leaks1_Input[[#This Row],[Pressure at leak (psig)]]&lt;20, 10, MROUND(Table_Leaks1_Input[[#This Row],[Pressure at leak (psig)]], 25)))</f>
        <v>0</v>
      </c>
      <c r="T72" s="126">
        <f>ROUND(Table_Leaks1_Input[[#This Row],[dB reading]],-1)</f>
        <v>0</v>
      </c>
      <c r="U72" s="127" t="str">
        <f>_xlfn.CONCAT(Table_Leaks1_Input[[#This Row],[Rounded dB Reading]],"psig ", Table_Leaks1_Input[[#This Row],[Rounded PSIG]],"db")</f>
        <v>0psig 0db</v>
      </c>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row>
    <row r="73" spans="1:46" x14ac:dyDescent="0.2">
      <c r="A73" s="75"/>
      <c r="B73" s="121">
        <v>68</v>
      </c>
      <c r="C73" s="128"/>
      <c r="D73" s="129"/>
      <c r="E73" s="130"/>
      <c r="F73" s="130"/>
      <c r="G73" s="130"/>
      <c r="H73" s="130"/>
      <c r="I73" s="131"/>
      <c r="J73" s="131"/>
      <c r="K73" s="122" t="str">
        <f>IFERROR(INDEX(TABLE_UE_dB[Leak Size (cfm)], MATCH(Table_Leaks1_Input[[#This Row],[Lookup Value]], TABLE_UE_dB[Lookup Value], 0)),"")</f>
        <v/>
      </c>
      <c r="L73" s="123" t="str">
        <f>IF(Table_Leaks1_Input[[#This Row],[Repaired (Y/N)]]="Yes", Value_LeakRepairIR, "")</f>
        <v/>
      </c>
      <c r="M73" s="124" t="str">
        <f>IFERROR(Table_Leaks1_Input[[#This Row],[Estimated leak size (cfm)]]*Value_WeightAvgCompEff*Value_SysAOH,"" )</f>
        <v/>
      </c>
      <c r="N73" s="125" t="str">
        <f>IFERROR(Table_Leaks1_Input[[#This Row],[Estimated leak size (cfm)]]*Value_WeightAvgCompEff,"" )</f>
        <v/>
      </c>
      <c r="O73" s="123" t="str">
        <f>IFERROR(Table_Leaks1_Input[[#This Row],[Energy savings (kWh)]]*Input_AvgkWhRate, "")</f>
        <v/>
      </c>
      <c r="P73" s="123" t="str">
        <f>IF(Table_Leaks1_Input[[#This Row],[Pressure at leak (psig)]]="", "",Table_Leaks1_Input[[#This Row],[Total equipment cost]]+Table_Leaks1_Input[[#This Row],[Total labor cost]])</f>
        <v/>
      </c>
      <c r="Q73" s="123" t="str">
        <f>IFERROR(Table_Leaks1_Input[[#This Row],[Gross measure cost]]-Table_Leaks1_Input[[#This Row],[Estimated incentive]], "")</f>
        <v/>
      </c>
      <c r="R73" s="124" t="str">
        <f t="shared" si="1"/>
        <v/>
      </c>
      <c r="S73" s="126">
        <f>IF(OR(Table_Leaks1_Input[[#This Row],[Pressure at leak (psig)]]=0, Table_Leaks1_Input[[#This Row],[Pressure at leak (psig)]]=""),0,IF(Table_Leaks1_Input[[#This Row],[Pressure at leak (psig)]]&lt;20, 10, MROUND(Table_Leaks1_Input[[#This Row],[Pressure at leak (psig)]], 25)))</f>
        <v>0</v>
      </c>
      <c r="T73" s="126">
        <f>ROUND(Table_Leaks1_Input[[#This Row],[dB reading]],-1)</f>
        <v>0</v>
      </c>
      <c r="U73" s="127" t="str">
        <f>_xlfn.CONCAT(Table_Leaks1_Input[[#This Row],[Rounded dB Reading]],"psig ", Table_Leaks1_Input[[#This Row],[Rounded PSIG]],"db")</f>
        <v>0psig 0db</v>
      </c>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row>
    <row r="74" spans="1:46" x14ac:dyDescent="0.2">
      <c r="A74" s="75"/>
      <c r="B74" s="121">
        <v>69</v>
      </c>
      <c r="C74" s="128"/>
      <c r="D74" s="129"/>
      <c r="E74" s="130"/>
      <c r="F74" s="130"/>
      <c r="G74" s="130"/>
      <c r="H74" s="130"/>
      <c r="I74" s="131"/>
      <c r="J74" s="131"/>
      <c r="K74" s="122" t="str">
        <f>IFERROR(INDEX(TABLE_UE_dB[Leak Size (cfm)], MATCH(Table_Leaks1_Input[[#This Row],[Lookup Value]], TABLE_UE_dB[Lookup Value], 0)),"")</f>
        <v/>
      </c>
      <c r="L74" s="123" t="str">
        <f>IF(Table_Leaks1_Input[[#This Row],[Repaired (Y/N)]]="Yes", Value_LeakRepairIR, "")</f>
        <v/>
      </c>
      <c r="M74" s="124" t="str">
        <f>IFERROR(Table_Leaks1_Input[[#This Row],[Estimated leak size (cfm)]]*Value_WeightAvgCompEff*Value_SysAOH,"" )</f>
        <v/>
      </c>
      <c r="N74" s="125" t="str">
        <f>IFERROR(Table_Leaks1_Input[[#This Row],[Estimated leak size (cfm)]]*Value_WeightAvgCompEff,"" )</f>
        <v/>
      </c>
      <c r="O74" s="123" t="str">
        <f>IFERROR(Table_Leaks1_Input[[#This Row],[Energy savings (kWh)]]*Input_AvgkWhRate, "")</f>
        <v/>
      </c>
      <c r="P74" s="123" t="str">
        <f>IF(Table_Leaks1_Input[[#This Row],[Pressure at leak (psig)]]="", "",Table_Leaks1_Input[[#This Row],[Total equipment cost]]+Table_Leaks1_Input[[#This Row],[Total labor cost]])</f>
        <v/>
      </c>
      <c r="Q74" s="123" t="str">
        <f>IFERROR(Table_Leaks1_Input[[#This Row],[Gross measure cost]]-Table_Leaks1_Input[[#This Row],[Estimated incentive]], "")</f>
        <v/>
      </c>
      <c r="R74" s="124" t="str">
        <f t="shared" si="1"/>
        <v/>
      </c>
      <c r="S74" s="126">
        <f>IF(OR(Table_Leaks1_Input[[#This Row],[Pressure at leak (psig)]]=0, Table_Leaks1_Input[[#This Row],[Pressure at leak (psig)]]=""),0,IF(Table_Leaks1_Input[[#This Row],[Pressure at leak (psig)]]&lt;20, 10, MROUND(Table_Leaks1_Input[[#This Row],[Pressure at leak (psig)]], 25)))</f>
        <v>0</v>
      </c>
      <c r="T74" s="126">
        <f>ROUND(Table_Leaks1_Input[[#This Row],[dB reading]],-1)</f>
        <v>0</v>
      </c>
      <c r="U74" s="127" t="str">
        <f>_xlfn.CONCAT(Table_Leaks1_Input[[#This Row],[Rounded dB Reading]],"psig ", Table_Leaks1_Input[[#This Row],[Rounded PSIG]],"db")</f>
        <v>0psig 0db</v>
      </c>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6" x14ac:dyDescent="0.2">
      <c r="A75" s="75"/>
      <c r="B75" s="121">
        <v>70</v>
      </c>
      <c r="C75" s="128"/>
      <c r="D75" s="129"/>
      <c r="E75" s="130"/>
      <c r="F75" s="130"/>
      <c r="G75" s="130"/>
      <c r="H75" s="130"/>
      <c r="I75" s="131"/>
      <c r="J75" s="131"/>
      <c r="K75" s="122" t="str">
        <f>IFERROR(INDEX(TABLE_UE_dB[Leak Size (cfm)], MATCH(Table_Leaks1_Input[[#This Row],[Lookup Value]], TABLE_UE_dB[Lookup Value], 0)),"")</f>
        <v/>
      </c>
      <c r="L75" s="123" t="str">
        <f>IF(Table_Leaks1_Input[[#This Row],[Repaired (Y/N)]]="Yes", Value_LeakRepairIR, "")</f>
        <v/>
      </c>
      <c r="M75" s="124" t="str">
        <f>IFERROR(Table_Leaks1_Input[[#This Row],[Estimated leak size (cfm)]]*Value_WeightAvgCompEff*Value_SysAOH,"" )</f>
        <v/>
      </c>
      <c r="N75" s="125" t="str">
        <f>IFERROR(Table_Leaks1_Input[[#This Row],[Estimated leak size (cfm)]]*Value_WeightAvgCompEff,"" )</f>
        <v/>
      </c>
      <c r="O75" s="123" t="str">
        <f>IFERROR(Table_Leaks1_Input[[#This Row],[Energy savings (kWh)]]*Input_AvgkWhRate, "")</f>
        <v/>
      </c>
      <c r="P75" s="123" t="str">
        <f>IF(Table_Leaks1_Input[[#This Row],[Pressure at leak (psig)]]="", "",Table_Leaks1_Input[[#This Row],[Total equipment cost]]+Table_Leaks1_Input[[#This Row],[Total labor cost]])</f>
        <v/>
      </c>
      <c r="Q75" s="123" t="str">
        <f>IFERROR(Table_Leaks1_Input[[#This Row],[Gross measure cost]]-Table_Leaks1_Input[[#This Row],[Estimated incentive]], "")</f>
        <v/>
      </c>
      <c r="R75" s="124" t="str">
        <f t="shared" si="1"/>
        <v/>
      </c>
      <c r="S75" s="126">
        <f>IF(OR(Table_Leaks1_Input[[#This Row],[Pressure at leak (psig)]]=0, Table_Leaks1_Input[[#This Row],[Pressure at leak (psig)]]=""),0,IF(Table_Leaks1_Input[[#This Row],[Pressure at leak (psig)]]&lt;20, 10, MROUND(Table_Leaks1_Input[[#This Row],[Pressure at leak (psig)]], 25)))</f>
        <v>0</v>
      </c>
      <c r="T75" s="126">
        <f>ROUND(Table_Leaks1_Input[[#This Row],[dB reading]],-1)</f>
        <v>0</v>
      </c>
      <c r="U75" s="127" t="str">
        <f>_xlfn.CONCAT(Table_Leaks1_Input[[#This Row],[Rounded dB Reading]],"psig ", Table_Leaks1_Input[[#This Row],[Rounded PSIG]],"db")</f>
        <v>0psig 0db</v>
      </c>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row>
    <row r="76" spans="1:46" x14ac:dyDescent="0.2">
      <c r="A76" s="75"/>
      <c r="B76" s="121">
        <v>71</v>
      </c>
      <c r="C76" s="128"/>
      <c r="D76" s="129"/>
      <c r="E76" s="130"/>
      <c r="F76" s="130"/>
      <c r="G76" s="130"/>
      <c r="H76" s="130"/>
      <c r="I76" s="131"/>
      <c r="J76" s="131"/>
      <c r="K76" s="122" t="str">
        <f>IFERROR(INDEX(TABLE_UE_dB[Leak Size (cfm)], MATCH(Table_Leaks1_Input[[#This Row],[Lookup Value]], TABLE_UE_dB[Lookup Value], 0)),"")</f>
        <v/>
      </c>
      <c r="L76" s="123" t="str">
        <f>IF(Table_Leaks1_Input[[#This Row],[Repaired (Y/N)]]="Yes", Value_LeakRepairIR, "")</f>
        <v/>
      </c>
      <c r="M76" s="124" t="str">
        <f>IFERROR(Table_Leaks1_Input[[#This Row],[Estimated leak size (cfm)]]*Value_WeightAvgCompEff*Value_SysAOH,"" )</f>
        <v/>
      </c>
      <c r="N76" s="125" t="str">
        <f>IFERROR(Table_Leaks1_Input[[#This Row],[Estimated leak size (cfm)]]*Value_WeightAvgCompEff,"" )</f>
        <v/>
      </c>
      <c r="O76" s="123" t="str">
        <f>IFERROR(Table_Leaks1_Input[[#This Row],[Energy savings (kWh)]]*Input_AvgkWhRate, "")</f>
        <v/>
      </c>
      <c r="P76" s="123" t="str">
        <f>IF(Table_Leaks1_Input[[#This Row],[Pressure at leak (psig)]]="", "",Table_Leaks1_Input[[#This Row],[Total equipment cost]]+Table_Leaks1_Input[[#This Row],[Total labor cost]])</f>
        <v/>
      </c>
      <c r="Q76" s="123" t="str">
        <f>IFERROR(Table_Leaks1_Input[[#This Row],[Gross measure cost]]-Table_Leaks1_Input[[#This Row],[Estimated incentive]], "")</f>
        <v/>
      </c>
      <c r="R76" s="124" t="str">
        <f t="shared" si="1"/>
        <v/>
      </c>
      <c r="S76" s="126">
        <f>IF(OR(Table_Leaks1_Input[[#This Row],[Pressure at leak (psig)]]=0, Table_Leaks1_Input[[#This Row],[Pressure at leak (psig)]]=""),0,IF(Table_Leaks1_Input[[#This Row],[Pressure at leak (psig)]]&lt;20, 10, MROUND(Table_Leaks1_Input[[#This Row],[Pressure at leak (psig)]], 25)))</f>
        <v>0</v>
      </c>
      <c r="T76" s="126">
        <f>ROUND(Table_Leaks1_Input[[#This Row],[dB reading]],-1)</f>
        <v>0</v>
      </c>
      <c r="U76" s="127" t="str">
        <f>_xlfn.CONCAT(Table_Leaks1_Input[[#This Row],[Rounded dB Reading]],"psig ", Table_Leaks1_Input[[#This Row],[Rounded PSIG]],"db")</f>
        <v>0psig 0db</v>
      </c>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row>
    <row r="77" spans="1:46" x14ac:dyDescent="0.2">
      <c r="A77" s="75"/>
      <c r="B77" s="121">
        <v>72</v>
      </c>
      <c r="C77" s="128"/>
      <c r="D77" s="129"/>
      <c r="E77" s="130"/>
      <c r="F77" s="130"/>
      <c r="G77" s="130"/>
      <c r="H77" s="130"/>
      <c r="I77" s="131"/>
      <c r="J77" s="131"/>
      <c r="K77" s="122" t="str">
        <f>IFERROR(INDEX(TABLE_UE_dB[Leak Size (cfm)], MATCH(Table_Leaks1_Input[[#This Row],[Lookup Value]], TABLE_UE_dB[Lookup Value], 0)),"")</f>
        <v/>
      </c>
      <c r="L77" s="123" t="str">
        <f>IF(Table_Leaks1_Input[[#This Row],[Repaired (Y/N)]]="Yes", Value_LeakRepairIR, "")</f>
        <v/>
      </c>
      <c r="M77" s="124" t="str">
        <f>IFERROR(Table_Leaks1_Input[[#This Row],[Estimated leak size (cfm)]]*Value_WeightAvgCompEff*Value_SysAOH,"" )</f>
        <v/>
      </c>
      <c r="N77" s="125" t="str">
        <f>IFERROR(Table_Leaks1_Input[[#This Row],[Estimated leak size (cfm)]]*Value_WeightAvgCompEff,"" )</f>
        <v/>
      </c>
      <c r="O77" s="123" t="str">
        <f>IFERROR(Table_Leaks1_Input[[#This Row],[Energy savings (kWh)]]*Input_AvgkWhRate, "")</f>
        <v/>
      </c>
      <c r="P77" s="123" t="str">
        <f>IF(Table_Leaks1_Input[[#This Row],[Pressure at leak (psig)]]="", "",Table_Leaks1_Input[[#This Row],[Total equipment cost]]+Table_Leaks1_Input[[#This Row],[Total labor cost]])</f>
        <v/>
      </c>
      <c r="Q77" s="123" t="str">
        <f>IFERROR(Table_Leaks1_Input[[#This Row],[Gross measure cost]]-Table_Leaks1_Input[[#This Row],[Estimated incentive]], "")</f>
        <v/>
      </c>
      <c r="R77" s="124" t="str">
        <f t="shared" si="1"/>
        <v/>
      </c>
      <c r="S77" s="126">
        <f>IF(OR(Table_Leaks1_Input[[#This Row],[Pressure at leak (psig)]]=0, Table_Leaks1_Input[[#This Row],[Pressure at leak (psig)]]=""),0,IF(Table_Leaks1_Input[[#This Row],[Pressure at leak (psig)]]&lt;20, 10, MROUND(Table_Leaks1_Input[[#This Row],[Pressure at leak (psig)]], 25)))</f>
        <v>0</v>
      </c>
      <c r="T77" s="126">
        <f>ROUND(Table_Leaks1_Input[[#This Row],[dB reading]],-1)</f>
        <v>0</v>
      </c>
      <c r="U77" s="127" t="str">
        <f>_xlfn.CONCAT(Table_Leaks1_Input[[#This Row],[Rounded dB Reading]],"psig ", Table_Leaks1_Input[[#This Row],[Rounded PSIG]],"db")</f>
        <v>0psig 0db</v>
      </c>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row>
    <row r="78" spans="1:46" x14ac:dyDescent="0.2">
      <c r="A78" s="75"/>
      <c r="B78" s="121">
        <v>73</v>
      </c>
      <c r="C78" s="128"/>
      <c r="D78" s="129"/>
      <c r="E78" s="130"/>
      <c r="F78" s="130"/>
      <c r="G78" s="130"/>
      <c r="H78" s="130"/>
      <c r="I78" s="131"/>
      <c r="J78" s="131"/>
      <c r="K78" s="122" t="str">
        <f>IFERROR(INDEX(TABLE_UE_dB[Leak Size (cfm)], MATCH(Table_Leaks1_Input[[#This Row],[Lookup Value]], TABLE_UE_dB[Lookup Value], 0)),"")</f>
        <v/>
      </c>
      <c r="L78" s="123" t="str">
        <f>IF(Table_Leaks1_Input[[#This Row],[Repaired (Y/N)]]="Yes", Value_LeakRepairIR, "")</f>
        <v/>
      </c>
      <c r="M78" s="124" t="str">
        <f>IFERROR(Table_Leaks1_Input[[#This Row],[Estimated leak size (cfm)]]*Value_WeightAvgCompEff*Value_SysAOH,"" )</f>
        <v/>
      </c>
      <c r="N78" s="125" t="str">
        <f>IFERROR(Table_Leaks1_Input[[#This Row],[Estimated leak size (cfm)]]*Value_WeightAvgCompEff,"" )</f>
        <v/>
      </c>
      <c r="O78" s="123" t="str">
        <f>IFERROR(Table_Leaks1_Input[[#This Row],[Energy savings (kWh)]]*Input_AvgkWhRate, "")</f>
        <v/>
      </c>
      <c r="P78" s="123" t="str">
        <f>IF(Table_Leaks1_Input[[#This Row],[Pressure at leak (psig)]]="", "",Table_Leaks1_Input[[#This Row],[Total equipment cost]]+Table_Leaks1_Input[[#This Row],[Total labor cost]])</f>
        <v/>
      </c>
      <c r="Q78" s="123" t="str">
        <f>IFERROR(Table_Leaks1_Input[[#This Row],[Gross measure cost]]-Table_Leaks1_Input[[#This Row],[Estimated incentive]], "")</f>
        <v/>
      </c>
      <c r="R78" s="124" t="str">
        <f t="shared" si="1"/>
        <v/>
      </c>
      <c r="S78" s="126">
        <f>IF(OR(Table_Leaks1_Input[[#This Row],[Pressure at leak (psig)]]=0, Table_Leaks1_Input[[#This Row],[Pressure at leak (psig)]]=""),0,IF(Table_Leaks1_Input[[#This Row],[Pressure at leak (psig)]]&lt;20, 10, MROUND(Table_Leaks1_Input[[#This Row],[Pressure at leak (psig)]], 25)))</f>
        <v>0</v>
      </c>
      <c r="T78" s="126">
        <f>ROUND(Table_Leaks1_Input[[#This Row],[dB reading]],-1)</f>
        <v>0</v>
      </c>
      <c r="U78" s="127" t="str">
        <f>_xlfn.CONCAT(Table_Leaks1_Input[[#This Row],[Rounded dB Reading]],"psig ", Table_Leaks1_Input[[#This Row],[Rounded PSIG]],"db")</f>
        <v>0psig 0db</v>
      </c>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row>
    <row r="79" spans="1:46" x14ac:dyDescent="0.2">
      <c r="A79" s="75"/>
      <c r="B79" s="121">
        <v>74</v>
      </c>
      <c r="C79" s="128"/>
      <c r="D79" s="129"/>
      <c r="E79" s="130"/>
      <c r="F79" s="130"/>
      <c r="G79" s="130"/>
      <c r="H79" s="130"/>
      <c r="I79" s="131"/>
      <c r="J79" s="131"/>
      <c r="K79" s="122" t="str">
        <f>IFERROR(INDEX(TABLE_UE_dB[Leak Size (cfm)], MATCH(Table_Leaks1_Input[[#This Row],[Lookup Value]], TABLE_UE_dB[Lookup Value], 0)),"")</f>
        <v/>
      </c>
      <c r="L79" s="123" t="str">
        <f>IF(Table_Leaks1_Input[[#This Row],[Repaired (Y/N)]]="Yes", Value_LeakRepairIR, "")</f>
        <v/>
      </c>
      <c r="M79" s="124" t="str">
        <f>IFERROR(Table_Leaks1_Input[[#This Row],[Estimated leak size (cfm)]]*Value_WeightAvgCompEff*Value_SysAOH,"" )</f>
        <v/>
      </c>
      <c r="N79" s="125" t="str">
        <f>IFERROR(Table_Leaks1_Input[[#This Row],[Estimated leak size (cfm)]]*Value_WeightAvgCompEff,"" )</f>
        <v/>
      </c>
      <c r="O79" s="123" t="str">
        <f>IFERROR(Table_Leaks1_Input[[#This Row],[Energy savings (kWh)]]*Input_AvgkWhRate, "")</f>
        <v/>
      </c>
      <c r="P79" s="123" t="str">
        <f>IF(Table_Leaks1_Input[[#This Row],[Pressure at leak (psig)]]="", "",Table_Leaks1_Input[[#This Row],[Total equipment cost]]+Table_Leaks1_Input[[#This Row],[Total labor cost]])</f>
        <v/>
      </c>
      <c r="Q79" s="123" t="str">
        <f>IFERROR(Table_Leaks1_Input[[#This Row],[Gross measure cost]]-Table_Leaks1_Input[[#This Row],[Estimated incentive]], "")</f>
        <v/>
      </c>
      <c r="R79" s="124" t="str">
        <f t="shared" si="1"/>
        <v/>
      </c>
      <c r="S79" s="126">
        <f>IF(OR(Table_Leaks1_Input[[#This Row],[Pressure at leak (psig)]]=0, Table_Leaks1_Input[[#This Row],[Pressure at leak (psig)]]=""),0,IF(Table_Leaks1_Input[[#This Row],[Pressure at leak (psig)]]&lt;20, 10, MROUND(Table_Leaks1_Input[[#This Row],[Pressure at leak (psig)]], 25)))</f>
        <v>0</v>
      </c>
      <c r="T79" s="126">
        <f>ROUND(Table_Leaks1_Input[[#This Row],[dB reading]],-1)</f>
        <v>0</v>
      </c>
      <c r="U79" s="127" t="str">
        <f>_xlfn.CONCAT(Table_Leaks1_Input[[#This Row],[Rounded dB Reading]],"psig ", Table_Leaks1_Input[[#This Row],[Rounded PSIG]],"db")</f>
        <v>0psig 0db</v>
      </c>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row>
    <row r="80" spans="1:46" x14ac:dyDescent="0.2">
      <c r="A80" s="75"/>
      <c r="B80" s="121">
        <v>75</v>
      </c>
      <c r="C80" s="128"/>
      <c r="D80" s="129"/>
      <c r="E80" s="130"/>
      <c r="F80" s="130"/>
      <c r="G80" s="130"/>
      <c r="H80" s="130"/>
      <c r="I80" s="131"/>
      <c r="J80" s="131"/>
      <c r="K80" s="122" t="str">
        <f>IFERROR(INDEX(TABLE_UE_dB[Leak Size (cfm)], MATCH(Table_Leaks1_Input[[#This Row],[Lookup Value]], TABLE_UE_dB[Lookup Value], 0)),"")</f>
        <v/>
      </c>
      <c r="L80" s="123" t="str">
        <f>IF(Table_Leaks1_Input[[#This Row],[Repaired (Y/N)]]="Yes", Value_LeakRepairIR, "")</f>
        <v/>
      </c>
      <c r="M80" s="124" t="str">
        <f>IFERROR(Table_Leaks1_Input[[#This Row],[Estimated leak size (cfm)]]*Value_WeightAvgCompEff*Value_SysAOH,"" )</f>
        <v/>
      </c>
      <c r="N80" s="125" t="str">
        <f>IFERROR(Table_Leaks1_Input[[#This Row],[Estimated leak size (cfm)]]*Value_WeightAvgCompEff,"" )</f>
        <v/>
      </c>
      <c r="O80" s="123" t="str">
        <f>IFERROR(Table_Leaks1_Input[[#This Row],[Energy savings (kWh)]]*Input_AvgkWhRate, "")</f>
        <v/>
      </c>
      <c r="P80" s="123" t="str">
        <f>IF(Table_Leaks1_Input[[#This Row],[Pressure at leak (psig)]]="", "",Table_Leaks1_Input[[#This Row],[Total equipment cost]]+Table_Leaks1_Input[[#This Row],[Total labor cost]])</f>
        <v/>
      </c>
      <c r="Q80" s="123" t="str">
        <f>IFERROR(Table_Leaks1_Input[[#This Row],[Gross measure cost]]-Table_Leaks1_Input[[#This Row],[Estimated incentive]], "")</f>
        <v/>
      </c>
      <c r="R80" s="124" t="str">
        <f t="shared" si="1"/>
        <v/>
      </c>
      <c r="S80" s="126">
        <f>IF(OR(Table_Leaks1_Input[[#This Row],[Pressure at leak (psig)]]=0, Table_Leaks1_Input[[#This Row],[Pressure at leak (psig)]]=""),0,IF(Table_Leaks1_Input[[#This Row],[Pressure at leak (psig)]]&lt;20, 10, MROUND(Table_Leaks1_Input[[#This Row],[Pressure at leak (psig)]], 25)))</f>
        <v>0</v>
      </c>
      <c r="T80" s="126">
        <f>ROUND(Table_Leaks1_Input[[#This Row],[dB reading]],-1)</f>
        <v>0</v>
      </c>
      <c r="U80" s="127" t="str">
        <f>_xlfn.CONCAT(Table_Leaks1_Input[[#This Row],[Rounded dB Reading]],"psig ", Table_Leaks1_Input[[#This Row],[Rounded PSIG]],"db")</f>
        <v>0psig 0db</v>
      </c>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row>
    <row r="81" spans="1:46" x14ac:dyDescent="0.2">
      <c r="A81" s="75"/>
      <c r="B81" s="121">
        <v>76</v>
      </c>
      <c r="C81" s="128"/>
      <c r="D81" s="129"/>
      <c r="E81" s="130"/>
      <c r="F81" s="130"/>
      <c r="G81" s="130"/>
      <c r="H81" s="130"/>
      <c r="I81" s="131"/>
      <c r="J81" s="131"/>
      <c r="K81" s="122" t="str">
        <f>IFERROR(INDEX(TABLE_UE_dB[Leak Size (cfm)], MATCH(Table_Leaks1_Input[[#This Row],[Lookup Value]], TABLE_UE_dB[Lookup Value], 0)),"")</f>
        <v/>
      </c>
      <c r="L81" s="123" t="str">
        <f>IF(Table_Leaks1_Input[[#This Row],[Repaired (Y/N)]]="Yes", Value_LeakRepairIR, "")</f>
        <v/>
      </c>
      <c r="M81" s="124" t="str">
        <f>IFERROR(Table_Leaks1_Input[[#This Row],[Estimated leak size (cfm)]]*Value_WeightAvgCompEff*Value_SysAOH,"" )</f>
        <v/>
      </c>
      <c r="N81" s="125" t="str">
        <f>IFERROR(Table_Leaks1_Input[[#This Row],[Estimated leak size (cfm)]]*Value_WeightAvgCompEff,"" )</f>
        <v/>
      </c>
      <c r="O81" s="123" t="str">
        <f>IFERROR(Table_Leaks1_Input[[#This Row],[Energy savings (kWh)]]*Input_AvgkWhRate, "")</f>
        <v/>
      </c>
      <c r="P81" s="123" t="str">
        <f>IF(Table_Leaks1_Input[[#This Row],[Pressure at leak (psig)]]="", "",Table_Leaks1_Input[[#This Row],[Total equipment cost]]+Table_Leaks1_Input[[#This Row],[Total labor cost]])</f>
        <v/>
      </c>
      <c r="Q81" s="123" t="str">
        <f>IFERROR(Table_Leaks1_Input[[#This Row],[Gross measure cost]]-Table_Leaks1_Input[[#This Row],[Estimated incentive]], "")</f>
        <v/>
      </c>
      <c r="R81" s="124" t="str">
        <f t="shared" si="1"/>
        <v/>
      </c>
      <c r="S81" s="126">
        <f>IF(OR(Table_Leaks1_Input[[#This Row],[Pressure at leak (psig)]]=0, Table_Leaks1_Input[[#This Row],[Pressure at leak (psig)]]=""),0,IF(Table_Leaks1_Input[[#This Row],[Pressure at leak (psig)]]&lt;20, 10, MROUND(Table_Leaks1_Input[[#This Row],[Pressure at leak (psig)]], 25)))</f>
        <v>0</v>
      </c>
      <c r="T81" s="126">
        <f>ROUND(Table_Leaks1_Input[[#This Row],[dB reading]],-1)</f>
        <v>0</v>
      </c>
      <c r="U81" s="127" t="str">
        <f>_xlfn.CONCAT(Table_Leaks1_Input[[#This Row],[Rounded dB Reading]],"psig ", Table_Leaks1_Input[[#This Row],[Rounded PSIG]],"db")</f>
        <v>0psig 0db</v>
      </c>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row>
    <row r="82" spans="1:46" x14ac:dyDescent="0.2">
      <c r="A82" s="75"/>
      <c r="B82" s="121">
        <v>77</v>
      </c>
      <c r="C82" s="128"/>
      <c r="D82" s="129"/>
      <c r="E82" s="130"/>
      <c r="F82" s="130"/>
      <c r="G82" s="130"/>
      <c r="H82" s="130"/>
      <c r="I82" s="131"/>
      <c r="J82" s="131"/>
      <c r="K82" s="122" t="str">
        <f>IFERROR(INDEX(TABLE_UE_dB[Leak Size (cfm)], MATCH(Table_Leaks1_Input[[#This Row],[Lookup Value]], TABLE_UE_dB[Lookup Value], 0)),"")</f>
        <v/>
      </c>
      <c r="L82" s="123" t="str">
        <f>IF(Table_Leaks1_Input[[#This Row],[Repaired (Y/N)]]="Yes", Value_LeakRepairIR, "")</f>
        <v/>
      </c>
      <c r="M82" s="124" t="str">
        <f>IFERROR(Table_Leaks1_Input[[#This Row],[Estimated leak size (cfm)]]*Value_WeightAvgCompEff*Value_SysAOH,"" )</f>
        <v/>
      </c>
      <c r="N82" s="125" t="str">
        <f>IFERROR(Table_Leaks1_Input[[#This Row],[Estimated leak size (cfm)]]*Value_WeightAvgCompEff,"" )</f>
        <v/>
      </c>
      <c r="O82" s="123" t="str">
        <f>IFERROR(Table_Leaks1_Input[[#This Row],[Energy savings (kWh)]]*Input_AvgkWhRate, "")</f>
        <v/>
      </c>
      <c r="P82" s="123" t="str">
        <f>IF(Table_Leaks1_Input[[#This Row],[Pressure at leak (psig)]]="", "",Table_Leaks1_Input[[#This Row],[Total equipment cost]]+Table_Leaks1_Input[[#This Row],[Total labor cost]])</f>
        <v/>
      </c>
      <c r="Q82" s="123" t="str">
        <f>IFERROR(Table_Leaks1_Input[[#This Row],[Gross measure cost]]-Table_Leaks1_Input[[#This Row],[Estimated incentive]], "")</f>
        <v/>
      </c>
      <c r="R82" s="124" t="str">
        <f t="shared" si="1"/>
        <v/>
      </c>
      <c r="S82" s="126">
        <f>IF(OR(Table_Leaks1_Input[[#This Row],[Pressure at leak (psig)]]=0, Table_Leaks1_Input[[#This Row],[Pressure at leak (psig)]]=""),0,IF(Table_Leaks1_Input[[#This Row],[Pressure at leak (psig)]]&lt;20, 10, MROUND(Table_Leaks1_Input[[#This Row],[Pressure at leak (psig)]], 25)))</f>
        <v>0</v>
      </c>
      <c r="T82" s="126">
        <f>ROUND(Table_Leaks1_Input[[#This Row],[dB reading]],-1)</f>
        <v>0</v>
      </c>
      <c r="U82" s="127" t="str">
        <f>_xlfn.CONCAT(Table_Leaks1_Input[[#This Row],[Rounded dB Reading]],"psig ", Table_Leaks1_Input[[#This Row],[Rounded PSIG]],"db")</f>
        <v>0psig 0db</v>
      </c>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46" x14ac:dyDescent="0.2">
      <c r="A83" s="75"/>
      <c r="B83" s="121">
        <v>78</v>
      </c>
      <c r="C83" s="128"/>
      <c r="D83" s="129"/>
      <c r="E83" s="130"/>
      <c r="F83" s="130"/>
      <c r="G83" s="130"/>
      <c r="H83" s="130"/>
      <c r="I83" s="131"/>
      <c r="J83" s="131"/>
      <c r="K83" s="122" t="str">
        <f>IFERROR(INDEX(TABLE_UE_dB[Leak Size (cfm)], MATCH(Table_Leaks1_Input[[#This Row],[Lookup Value]], TABLE_UE_dB[Lookup Value], 0)),"")</f>
        <v/>
      </c>
      <c r="L83" s="123" t="str">
        <f>IF(Table_Leaks1_Input[[#This Row],[Repaired (Y/N)]]="Yes", Value_LeakRepairIR, "")</f>
        <v/>
      </c>
      <c r="M83" s="124" t="str">
        <f>IFERROR(Table_Leaks1_Input[[#This Row],[Estimated leak size (cfm)]]*Value_WeightAvgCompEff*Value_SysAOH,"" )</f>
        <v/>
      </c>
      <c r="N83" s="125" t="str">
        <f>IFERROR(Table_Leaks1_Input[[#This Row],[Estimated leak size (cfm)]]*Value_WeightAvgCompEff,"" )</f>
        <v/>
      </c>
      <c r="O83" s="123" t="str">
        <f>IFERROR(Table_Leaks1_Input[[#This Row],[Energy savings (kWh)]]*Input_AvgkWhRate, "")</f>
        <v/>
      </c>
      <c r="P83" s="123" t="str">
        <f>IF(Table_Leaks1_Input[[#This Row],[Pressure at leak (psig)]]="", "",Table_Leaks1_Input[[#This Row],[Total equipment cost]]+Table_Leaks1_Input[[#This Row],[Total labor cost]])</f>
        <v/>
      </c>
      <c r="Q83" s="123" t="str">
        <f>IFERROR(Table_Leaks1_Input[[#This Row],[Gross measure cost]]-Table_Leaks1_Input[[#This Row],[Estimated incentive]], "")</f>
        <v/>
      </c>
      <c r="R83" s="124" t="str">
        <f t="shared" si="1"/>
        <v/>
      </c>
      <c r="S83" s="126">
        <f>IF(OR(Table_Leaks1_Input[[#This Row],[Pressure at leak (psig)]]=0, Table_Leaks1_Input[[#This Row],[Pressure at leak (psig)]]=""),0,IF(Table_Leaks1_Input[[#This Row],[Pressure at leak (psig)]]&lt;20, 10, MROUND(Table_Leaks1_Input[[#This Row],[Pressure at leak (psig)]], 25)))</f>
        <v>0</v>
      </c>
      <c r="T83" s="126">
        <f>ROUND(Table_Leaks1_Input[[#This Row],[dB reading]],-1)</f>
        <v>0</v>
      </c>
      <c r="U83" s="127" t="str">
        <f>_xlfn.CONCAT(Table_Leaks1_Input[[#This Row],[Rounded dB Reading]],"psig ", Table_Leaks1_Input[[#This Row],[Rounded PSIG]],"db")</f>
        <v>0psig 0db</v>
      </c>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row>
    <row r="84" spans="1:46" x14ac:dyDescent="0.2">
      <c r="A84" s="75"/>
      <c r="B84" s="121">
        <v>79</v>
      </c>
      <c r="C84" s="128"/>
      <c r="D84" s="129"/>
      <c r="E84" s="130"/>
      <c r="F84" s="130"/>
      <c r="G84" s="130"/>
      <c r="H84" s="130"/>
      <c r="I84" s="131"/>
      <c r="J84" s="131"/>
      <c r="K84" s="122" t="str">
        <f>IFERROR(INDEX(TABLE_UE_dB[Leak Size (cfm)], MATCH(Table_Leaks1_Input[[#This Row],[Lookup Value]], TABLE_UE_dB[Lookup Value], 0)),"")</f>
        <v/>
      </c>
      <c r="L84" s="123" t="str">
        <f>IF(Table_Leaks1_Input[[#This Row],[Repaired (Y/N)]]="Yes", Value_LeakRepairIR, "")</f>
        <v/>
      </c>
      <c r="M84" s="124" t="str">
        <f>IFERROR(Table_Leaks1_Input[[#This Row],[Estimated leak size (cfm)]]*Value_WeightAvgCompEff*Value_SysAOH,"" )</f>
        <v/>
      </c>
      <c r="N84" s="125" t="str">
        <f>IFERROR(Table_Leaks1_Input[[#This Row],[Estimated leak size (cfm)]]*Value_WeightAvgCompEff,"" )</f>
        <v/>
      </c>
      <c r="O84" s="123" t="str">
        <f>IFERROR(Table_Leaks1_Input[[#This Row],[Energy savings (kWh)]]*Input_AvgkWhRate, "")</f>
        <v/>
      </c>
      <c r="P84" s="123" t="str">
        <f>IF(Table_Leaks1_Input[[#This Row],[Pressure at leak (psig)]]="", "",Table_Leaks1_Input[[#This Row],[Total equipment cost]]+Table_Leaks1_Input[[#This Row],[Total labor cost]])</f>
        <v/>
      </c>
      <c r="Q84" s="123" t="str">
        <f>IFERROR(Table_Leaks1_Input[[#This Row],[Gross measure cost]]-Table_Leaks1_Input[[#This Row],[Estimated incentive]], "")</f>
        <v/>
      </c>
      <c r="R84" s="124" t="str">
        <f t="shared" si="1"/>
        <v/>
      </c>
      <c r="S84" s="126">
        <f>IF(OR(Table_Leaks1_Input[[#This Row],[Pressure at leak (psig)]]=0, Table_Leaks1_Input[[#This Row],[Pressure at leak (psig)]]=""),0,IF(Table_Leaks1_Input[[#This Row],[Pressure at leak (psig)]]&lt;20, 10, MROUND(Table_Leaks1_Input[[#This Row],[Pressure at leak (psig)]], 25)))</f>
        <v>0</v>
      </c>
      <c r="T84" s="126">
        <f>ROUND(Table_Leaks1_Input[[#This Row],[dB reading]],-1)</f>
        <v>0</v>
      </c>
      <c r="U84" s="127" t="str">
        <f>_xlfn.CONCAT(Table_Leaks1_Input[[#This Row],[Rounded dB Reading]],"psig ", Table_Leaks1_Input[[#This Row],[Rounded PSIG]],"db")</f>
        <v>0psig 0db</v>
      </c>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46" x14ac:dyDescent="0.2">
      <c r="A85" s="75"/>
      <c r="B85" s="121">
        <v>80</v>
      </c>
      <c r="C85" s="128"/>
      <c r="D85" s="129"/>
      <c r="E85" s="130"/>
      <c r="F85" s="130"/>
      <c r="G85" s="130"/>
      <c r="H85" s="130"/>
      <c r="I85" s="131"/>
      <c r="J85" s="131"/>
      <c r="K85" s="122" t="str">
        <f>IFERROR(INDEX(TABLE_UE_dB[Leak Size (cfm)], MATCH(Table_Leaks1_Input[[#This Row],[Lookup Value]], TABLE_UE_dB[Lookup Value], 0)),"")</f>
        <v/>
      </c>
      <c r="L85" s="123" t="str">
        <f>IF(Table_Leaks1_Input[[#This Row],[Repaired (Y/N)]]="Yes", Value_LeakRepairIR, "")</f>
        <v/>
      </c>
      <c r="M85" s="124" t="str">
        <f>IFERROR(Table_Leaks1_Input[[#This Row],[Estimated leak size (cfm)]]*Value_WeightAvgCompEff*Value_SysAOH,"" )</f>
        <v/>
      </c>
      <c r="N85" s="125" t="str">
        <f>IFERROR(Table_Leaks1_Input[[#This Row],[Estimated leak size (cfm)]]*Value_WeightAvgCompEff,"" )</f>
        <v/>
      </c>
      <c r="O85" s="123" t="str">
        <f>IFERROR(Table_Leaks1_Input[[#This Row],[Energy savings (kWh)]]*Input_AvgkWhRate, "")</f>
        <v/>
      </c>
      <c r="P85" s="123" t="str">
        <f>IF(Table_Leaks1_Input[[#This Row],[Pressure at leak (psig)]]="", "",Table_Leaks1_Input[[#This Row],[Total equipment cost]]+Table_Leaks1_Input[[#This Row],[Total labor cost]])</f>
        <v/>
      </c>
      <c r="Q85" s="123" t="str">
        <f>IFERROR(Table_Leaks1_Input[[#This Row],[Gross measure cost]]-Table_Leaks1_Input[[#This Row],[Estimated incentive]], "")</f>
        <v/>
      </c>
      <c r="R85" s="124" t="str">
        <f t="shared" si="1"/>
        <v/>
      </c>
      <c r="S85" s="126">
        <f>IF(OR(Table_Leaks1_Input[[#This Row],[Pressure at leak (psig)]]=0, Table_Leaks1_Input[[#This Row],[Pressure at leak (psig)]]=""),0,IF(Table_Leaks1_Input[[#This Row],[Pressure at leak (psig)]]&lt;20, 10, MROUND(Table_Leaks1_Input[[#This Row],[Pressure at leak (psig)]], 25)))</f>
        <v>0</v>
      </c>
      <c r="T85" s="126">
        <f>ROUND(Table_Leaks1_Input[[#This Row],[dB reading]],-1)</f>
        <v>0</v>
      </c>
      <c r="U85" s="127" t="str">
        <f>_xlfn.CONCAT(Table_Leaks1_Input[[#This Row],[Rounded dB Reading]],"psig ", Table_Leaks1_Input[[#This Row],[Rounded PSIG]],"db")</f>
        <v>0psig 0db</v>
      </c>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row>
    <row r="86" spans="1:46" x14ac:dyDescent="0.2">
      <c r="A86" s="75"/>
      <c r="B86" s="121">
        <v>81</v>
      </c>
      <c r="C86" s="128"/>
      <c r="D86" s="129"/>
      <c r="E86" s="130"/>
      <c r="F86" s="130"/>
      <c r="G86" s="130"/>
      <c r="H86" s="130"/>
      <c r="I86" s="131"/>
      <c r="J86" s="131"/>
      <c r="K86" s="122" t="str">
        <f>IFERROR(INDEX(TABLE_UE_dB[Leak Size (cfm)], MATCH(Table_Leaks1_Input[[#This Row],[Lookup Value]], TABLE_UE_dB[Lookup Value], 0)),"")</f>
        <v/>
      </c>
      <c r="L86" s="123" t="str">
        <f>IF(Table_Leaks1_Input[[#This Row],[Repaired (Y/N)]]="Yes", Value_LeakRepairIR, "")</f>
        <v/>
      </c>
      <c r="M86" s="124" t="str">
        <f>IFERROR(Table_Leaks1_Input[[#This Row],[Estimated leak size (cfm)]]*Value_WeightAvgCompEff*Value_SysAOH,"" )</f>
        <v/>
      </c>
      <c r="N86" s="125" t="str">
        <f>IFERROR(Table_Leaks1_Input[[#This Row],[Estimated leak size (cfm)]]*Value_WeightAvgCompEff,"" )</f>
        <v/>
      </c>
      <c r="O86" s="123" t="str">
        <f>IFERROR(Table_Leaks1_Input[[#This Row],[Energy savings (kWh)]]*Input_AvgkWhRate, "")</f>
        <v/>
      </c>
      <c r="P86" s="123" t="str">
        <f>IF(Table_Leaks1_Input[[#This Row],[Pressure at leak (psig)]]="", "",Table_Leaks1_Input[[#This Row],[Total equipment cost]]+Table_Leaks1_Input[[#This Row],[Total labor cost]])</f>
        <v/>
      </c>
      <c r="Q86" s="123" t="str">
        <f>IFERROR(Table_Leaks1_Input[[#This Row],[Gross measure cost]]-Table_Leaks1_Input[[#This Row],[Estimated incentive]], "")</f>
        <v/>
      </c>
      <c r="R86" s="124" t="str">
        <f t="shared" si="1"/>
        <v/>
      </c>
      <c r="S86" s="126">
        <f>IF(OR(Table_Leaks1_Input[[#This Row],[Pressure at leak (psig)]]=0, Table_Leaks1_Input[[#This Row],[Pressure at leak (psig)]]=""),0,IF(Table_Leaks1_Input[[#This Row],[Pressure at leak (psig)]]&lt;20, 10, MROUND(Table_Leaks1_Input[[#This Row],[Pressure at leak (psig)]], 25)))</f>
        <v>0</v>
      </c>
      <c r="T86" s="126">
        <f>ROUND(Table_Leaks1_Input[[#This Row],[dB reading]],-1)</f>
        <v>0</v>
      </c>
      <c r="U86" s="127" t="str">
        <f>_xlfn.CONCAT(Table_Leaks1_Input[[#This Row],[Rounded dB Reading]],"psig ", Table_Leaks1_Input[[#This Row],[Rounded PSIG]],"db")</f>
        <v>0psig 0db</v>
      </c>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row>
    <row r="87" spans="1:46" x14ac:dyDescent="0.2">
      <c r="A87" s="75"/>
      <c r="B87" s="121">
        <v>82</v>
      </c>
      <c r="C87" s="128"/>
      <c r="D87" s="129"/>
      <c r="E87" s="130"/>
      <c r="F87" s="130"/>
      <c r="G87" s="130"/>
      <c r="H87" s="130"/>
      <c r="I87" s="131"/>
      <c r="J87" s="131"/>
      <c r="K87" s="122" t="str">
        <f>IFERROR(INDEX(TABLE_UE_dB[Leak Size (cfm)], MATCH(Table_Leaks1_Input[[#This Row],[Lookup Value]], TABLE_UE_dB[Lookup Value], 0)),"")</f>
        <v/>
      </c>
      <c r="L87" s="123" t="str">
        <f>IF(Table_Leaks1_Input[[#This Row],[Repaired (Y/N)]]="Yes", Value_LeakRepairIR, "")</f>
        <v/>
      </c>
      <c r="M87" s="124" t="str">
        <f>IFERROR(Table_Leaks1_Input[[#This Row],[Estimated leak size (cfm)]]*Value_WeightAvgCompEff*Value_SysAOH,"" )</f>
        <v/>
      </c>
      <c r="N87" s="125" t="str">
        <f>IFERROR(Table_Leaks1_Input[[#This Row],[Estimated leak size (cfm)]]*Value_WeightAvgCompEff,"" )</f>
        <v/>
      </c>
      <c r="O87" s="123" t="str">
        <f>IFERROR(Table_Leaks1_Input[[#This Row],[Energy savings (kWh)]]*Input_AvgkWhRate, "")</f>
        <v/>
      </c>
      <c r="P87" s="123" t="str">
        <f>IF(Table_Leaks1_Input[[#This Row],[Pressure at leak (psig)]]="", "",Table_Leaks1_Input[[#This Row],[Total equipment cost]]+Table_Leaks1_Input[[#This Row],[Total labor cost]])</f>
        <v/>
      </c>
      <c r="Q87" s="123" t="str">
        <f>IFERROR(Table_Leaks1_Input[[#This Row],[Gross measure cost]]-Table_Leaks1_Input[[#This Row],[Estimated incentive]], "")</f>
        <v/>
      </c>
      <c r="R87" s="124" t="str">
        <f t="shared" si="1"/>
        <v/>
      </c>
      <c r="S87" s="126">
        <f>IF(OR(Table_Leaks1_Input[[#This Row],[Pressure at leak (psig)]]=0, Table_Leaks1_Input[[#This Row],[Pressure at leak (psig)]]=""),0,IF(Table_Leaks1_Input[[#This Row],[Pressure at leak (psig)]]&lt;20, 10, MROUND(Table_Leaks1_Input[[#This Row],[Pressure at leak (psig)]], 25)))</f>
        <v>0</v>
      </c>
      <c r="T87" s="126">
        <f>ROUND(Table_Leaks1_Input[[#This Row],[dB reading]],-1)</f>
        <v>0</v>
      </c>
      <c r="U87" s="127" t="str">
        <f>_xlfn.CONCAT(Table_Leaks1_Input[[#This Row],[Rounded dB Reading]],"psig ", Table_Leaks1_Input[[#This Row],[Rounded PSIG]],"db")</f>
        <v>0psig 0db</v>
      </c>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row>
    <row r="88" spans="1:46" x14ac:dyDescent="0.2">
      <c r="A88" s="75"/>
      <c r="B88" s="121">
        <v>83</v>
      </c>
      <c r="C88" s="128"/>
      <c r="D88" s="129"/>
      <c r="E88" s="130"/>
      <c r="F88" s="130"/>
      <c r="G88" s="130"/>
      <c r="H88" s="130"/>
      <c r="I88" s="131"/>
      <c r="J88" s="131"/>
      <c r="K88" s="122" t="str">
        <f>IFERROR(INDEX(TABLE_UE_dB[Leak Size (cfm)], MATCH(Table_Leaks1_Input[[#This Row],[Lookup Value]], TABLE_UE_dB[Lookup Value], 0)),"")</f>
        <v/>
      </c>
      <c r="L88" s="123" t="str">
        <f>IF(Table_Leaks1_Input[[#This Row],[Repaired (Y/N)]]="Yes", Value_LeakRepairIR, "")</f>
        <v/>
      </c>
      <c r="M88" s="124" t="str">
        <f>IFERROR(Table_Leaks1_Input[[#This Row],[Estimated leak size (cfm)]]*Value_WeightAvgCompEff*Value_SysAOH,"" )</f>
        <v/>
      </c>
      <c r="N88" s="125" t="str">
        <f>IFERROR(Table_Leaks1_Input[[#This Row],[Estimated leak size (cfm)]]*Value_WeightAvgCompEff,"" )</f>
        <v/>
      </c>
      <c r="O88" s="123" t="str">
        <f>IFERROR(Table_Leaks1_Input[[#This Row],[Energy savings (kWh)]]*Input_AvgkWhRate, "")</f>
        <v/>
      </c>
      <c r="P88" s="123" t="str">
        <f>IF(Table_Leaks1_Input[[#This Row],[Pressure at leak (psig)]]="", "",Table_Leaks1_Input[[#This Row],[Total equipment cost]]+Table_Leaks1_Input[[#This Row],[Total labor cost]])</f>
        <v/>
      </c>
      <c r="Q88" s="123" t="str">
        <f>IFERROR(Table_Leaks1_Input[[#This Row],[Gross measure cost]]-Table_Leaks1_Input[[#This Row],[Estimated incentive]], "")</f>
        <v/>
      </c>
      <c r="R88" s="124" t="str">
        <f t="shared" si="1"/>
        <v/>
      </c>
      <c r="S88" s="126">
        <f>IF(OR(Table_Leaks1_Input[[#This Row],[Pressure at leak (psig)]]=0, Table_Leaks1_Input[[#This Row],[Pressure at leak (psig)]]=""),0,IF(Table_Leaks1_Input[[#This Row],[Pressure at leak (psig)]]&lt;20, 10, MROUND(Table_Leaks1_Input[[#This Row],[Pressure at leak (psig)]], 25)))</f>
        <v>0</v>
      </c>
      <c r="T88" s="126">
        <f>ROUND(Table_Leaks1_Input[[#This Row],[dB reading]],-1)</f>
        <v>0</v>
      </c>
      <c r="U88" s="127" t="str">
        <f>_xlfn.CONCAT(Table_Leaks1_Input[[#This Row],[Rounded dB Reading]],"psig ", Table_Leaks1_Input[[#This Row],[Rounded PSIG]],"db")</f>
        <v>0psig 0db</v>
      </c>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row>
    <row r="89" spans="1:46" x14ac:dyDescent="0.2">
      <c r="A89" s="75"/>
      <c r="B89" s="121">
        <v>84</v>
      </c>
      <c r="C89" s="128"/>
      <c r="D89" s="129"/>
      <c r="E89" s="130"/>
      <c r="F89" s="130"/>
      <c r="G89" s="130"/>
      <c r="H89" s="130"/>
      <c r="I89" s="131"/>
      <c r="J89" s="131"/>
      <c r="K89" s="122" t="str">
        <f>IFERROR(INDEX(TABLE_UE_dB[Leak Size (cfm)], MATCH(Table_Leaks1_Input[[#This Row],[Lookup Value]], TABLE_UE_dB[Lookup Value], 0)),"")</f>
        <v/>
      </c>
      <c r="L89" s="123" t="str">
        <f>IF(Table_Leaks1_Input[[#This Row],[Repaired (Y/N)]]="Yes", Value_LeakRepairIR, "")</f>
        <v/>
      </c>
      <c r="M89" s="124" t="str">
        <f>IFERROR(Table_Leaks1_Input[[#This Row],[Estimated leak size (cfm)]]*Value_WeightAvgCompEff*Value_SysAOH,"" )</f>
        <v/>
      </c>
      <c r="N89" s="125" t="str">
        <f>IFERROR(Table_Leaks1_Input[[#This Row],[Estimated leak size (cfm)]]*Value_WeightAvgCompEff,"" )</f>
        <v/>
      </c>
      <c r="O89" s="123" t="str">
        <f>IFERROR(Table_Leaks1_Input[[#This Row],[Energy savings (kWh)]]*Input_AvgkWhRate, "")</f>
        <v/>
      </c>
      <c r="P89" s="123" t="str">
        <f>IF(Table_Leaks1_Input[[#This Row],[Pressure at leak (psig)]]="", "",Table_Leaks1_Input[[#This Row],[Total equipment cost]]+Table_Leaks1_Input[[#This Row],[Total labor cost]])</f>
        <v/>
      </c>
      <c r="Q89" s="123" t="str">
        <f>IFERROR(Table_Leaks1_Input[[#This Row],[Gross measure cost]]-Table_Leaks1_Input[[#This Row],[Estimated incentive]], "")</f>
        <v/>
      </c>
      <c r="R89" s="124" t="str">
        <f t="shared" si="1"/>
        <v/>
      </c>
      <c r="S89" s="126">
        <f>IF(OR(Table_Leaks1_Input[[#This Row],[Pressure at leak (psig)]]=0, Table_Leaks1_Input[[#This Row],[Pressure at leak (psig)]]=""),0,IF(Table_Leaks1_Input[[#This Row],[Pressure at leak (psig)]]&lt;20, 10, MROUND(Table_Leaks1_Input[[#This Row],[Pressure at leak (psig)]], 25)))</f>
        <v>0</v>
      </c>
      <c r="T89" s="126">
        <f>ROUND(Table_Leaks1_Input[[#This Row],[dB reading]],-1)</f>
        <v>0</v>
      </c>
      <c r="U89" s="127" t="str">
        <f>_xlfn.CONCAT(Table_Leaks1_Input[[#This Row],[Rounded dB Reading]],"psig ", Table_Leaks1_Input[[#This Row],[Rounded PSIG]],"db")</f>
        <v>0psig 0db</v>
      </c>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row>
    <row r="90" spans="1:46" x14ac:dyDescent="0.2">
      <c r="A90" s="75"/>
      <c r="B90" s="121">
        <v>85</v>
      </c>
      <c r="C90" s="128"/>
      <c r="D90" s="129"/>
      <c r="E90" s="130"/>
      <c r="F90" s="130"/>
      <c r="G90" s="130"/>
      <c r="H90" s="130"/>
      <c r="I90" s="131"/>
      <c r="J90" s="131"/>
      <c r="K90" s="122" t="str">
        <f>IFERROR(INDEX(TABLE_UE_dB[Leak Size (cfm)], MATCH(Table_Leaks1_Input[[#This Row],[Lookup Value]], TABLE_UE_dB[Lookup Value], 0)),"")</f>
        <v/>
      </c>
      <c r="L90" s="123" t="str">
        <f>IF(Table_Leaks1_Input[[#This Row],[Repaired (Y/N)]]="Yes", Value_LeakRepairIR, "")</f>
        <v/>
      </c>
      <c r="M90" s="124" t="str">
        <f>IFERROR(Table_Leaks1_Input[[#This Row],[Estimated leak size (cfm)]]*Value_WeightAvgCompEff*Value_SysAOH,"" )</f>
        <v/>
      </c>
      <c r="N90" s="125" t="str">
        <f>IFERROR(Table_Leaks1_Input[[#This Row],[Estimated leak size (cfm)]]*Value_WeightAvgCompEff,"" )</f>
        <v/>
      </c>
      <c r="O90" s="123" t="str">
        <f>IFERROR(Table_Leaks1_Input[[#This Row],[Energy savings (kWh)]]*Input_AvgkWhRate, "")</f>
        <v/>
      </c>
      <c r="P90" s="123" t="str">
        <f>IF(Table_Leaks1_Input[[#This Row],[Pressure at leak (psig)]]="", "",Table_Leaks1_Input[[#This Row],[Total equipment cost]]+Table_Leaks1_Input[[#This Row],[Total labor cost]])</f>
        <v/>
      </c>
      <c r="Q90" s="123" t="str">
        <f>IFERROR(Table_Leaks1_Input[[#This Row],[Gross measure cost]]-Table_Leaks1_Input[[#This Row],[Estimated incentive]], "")</f>
        <v/>
      </c>
      <c r="R90" s="124" t="str">
        <f t="shared" si="1"/>
        <v/>
      </c>
      <c r="S90" s="126">
        <f>IF(OR(Table_Leaks1_Input[[#This Row],[Pressure at leak (psig)]]=0, Table_Leaks1_Input[[#This Row],[Pressure at leak (psig)]]=""),0,IF(Table_Leaks1_Input[[#This Row],[Pressure at leak (psig)]]&lt;20, 10, MROUND(Table_Leaks1_Input[[#This Row],[Pressure at leak (psig)]], 25)))</f>
        <v>0</v>
      </c>
      <c r="T90" s="126">
        <f>ROUND(Table_Leaks1_Input[[#This Row],[dB reading]],-1)</f>
        <v>0</v>
      </c>
      <c r="U90" s="127" t="str">
        <f>_xlfn.CONCAT(Table_Leaks1_Input[[#This Row],[Rounded dB Reading]],"psig ", Table_Leaks1_Input[[#This Row],[Rounded PSIG]],"db")</f>
        <v>0psig 0db</v>
      </c>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row>
    <row r="91" spans="1:46" x14ac:dyDescent="0.2">
      <c r="A91" s="75"/>
      <c r="B91" s="121">
        <v>86</v>
      </c>
      <c r="C91" s="128"/>
      <c r="D91" s="129"/>
      <c r="E91" s="130"/>
      <c r="F91" s="130"/>
      <c r="G91" s="130"/>
      <c r="H91" s="130"/>
      <c r="I91" s="131"/>
      <c r="J91" s="131"/>
      <c r="K91" s="122" t="str">
        <f>IFERROR(INDEX(TABLE_UE_dB[Leak Size (cfm)], MATCH(Table_Leaks1_Input[[#This Row],[Lookup Value]], TABLE_UE_dB[Lookup Value], 0)),"")</f>
        <v/>
      </c>
      <c r="L91" s="123" t="str">
        <f>IF(Table_Leaks1_Input[[#This Row],[Repaired (Y/N)]]="Yes", Value_LeakRepairIR, "")</f>
        <v/>
      </c>
      <c r="M91" s="124" t="str">
        <f>IFERROR(Table_Leaks1_Input[[#This Row],[Estimated leak size (cfm)]]*Value_WeightAvgCompEff*Value_SysAOH,"" )</f>
        <v/>
      </c>
      <c r="N91" s="125" t="str">
        <f>IFERROR(Table_Leaks1_Input[[#This Row],[Estimated leak size (cfm)]]*Value_WeightAvgCompEff,"" )</f>
        <v/>
      </c>
      <c r="O91" s="123" t="str">
        <f>IFERROR(Table_Leaks1_Input[[#This Row],[Energy savings (kWh)]]*Input_AvgkWhRate, "")</f>
        <v/>
      </c>
      <c r="P91" s="123" t="str">
        <f>IF(Table_Leaks1_Input[[#This Row],[Pressure at leak (psig)]]="", "",Table_Leaks1_Input[[#This Row],[Total equipment cost]]+Table_Leaks1_Input[[#This Row],[Total labor cost]])</f>
        <v/>
      </c>
      <c r="Q91" s="123" t="str">
        <f>IFERROR(Table_Leaks1_Input[[#This Row],[Gross measure cost]]-Table_Leaks1_Input[[#This Row],[Estimated incentive]], "")</f>
        <v/>
      </c>
      <c r="R91" s="124" t="str">
        <f t="shared" si="1"/>
        <v/>
      </c>
      <c r="S91" s="126">
        <f>IF(OR(Table_Leaks1_Input[[#This Row],[Pressure at leak (psig)]]=0, Table_Leaks1_Input[[#This Row],[Pressure at leak (psig)]]=""),0,IF(Table_Leaks1_Input[[#This Row],[Pressure at leak (psig)]]&lt;20, 10, MROUND(Table_Leaks1_Input[[#This Row],[Pressure at leak (psig)]], 25)))</f>
        <v>0</v>
      </c>
      <c r="T91" s="126">
        <f>ROUND(Table_Leaks1_Input[[#This Row],[dB reading]],-1)</f>
        <v>0</v>
      </c>
      <c r="U91" s="127" t="str">
        <f>_xlfn.CONCAT(Table_Leaks1_Input[[#This Row],[Rounded dB Reading]],"psig ", Table_Leaks1_Input[[#This Row],[Rounded PSIG]],"db")</f>
        <v>0psig 0db</v>
      </c>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row>
    <row r="92" spans="1:46" x14ac:dyDescent="0.2">
      <c r="A92" s="75"/>
      <c r="B92" s="121">
        <v>87</v>
      </c>
      <c r="C92" s="128"/>
      <c r="D92" s="129"/>
      <c r="E92" s="130"/>
      <c r="F92" s="130"/>
      <c r="G92" s="130"/>
      <c r="H92" s="130"/>
      <c r="I92" s="131"/>
      <c r="J92" s="131"/>
      <c r="K92" s="122" t="str">
        <f>IFERROR(INDEX(TABLE_UE_dB[Leak Size (cfm)], MATCH(Table_Leaks1_Input[[#This Row],[Lookup Value]], TABLE_UE_dB[Lookup Value], 0)),"")</f>
        <v/>
      </c>
      <c r="L92" s="123" t="str">
        <f>IF(Table_Leaks1_Input[[#This Row],[Repaired (Y/N)]]="Yes", Value_LeakRepairIR, "")</f>
        <v/>
      </c>
      <c r="M92" s="124" t="str">
        <f>IFERROR(Table_Leaks1_Input[[#This Row],[Estimated leak size (cfm)]]*Value_WeightAvgCompEff*Value_SysAOH,"" )</f>
        <v/>
      </c>
      <c r="N92" s="125" t="str">
        <f>IFERROR(Table_Leaks1_Input[[#This Row],[Estimated leak size (cfm)]]*Value_WeightAvgCompEff,"" )</f>
        <v/>
      </c>
      <c r="O92" s="123" t="str">
        <f>IFERROR(Table_Leaks1_Input[[#This Row],[Energy savings (kWh)]]*Input_AvgkWhRate, "")</f>
        <v/>
      </c>
      <c r="P92" s="123" t="str">
        <f>IF(Table_Leaks1_Input[[#This Row],[Pressure at leak (psig)]]="", "",Table_Leaks1_Input[[#This Row],[Total equipment cost]]+Table_Leaks1_Input[[#This Row],[Total labor cost]])</f>
        <v/>
      </c>
      <c r="Q92" s="123" t="str">
        <f>IFERROR(Table_Leaks1_Input[[#This Row],[Gross measure cost]]-Table_Leaks1_Input[[#This Row],[Estimated incentive]], "")</f>
        <v/>
      </c>
      <c r="R92" s="124" t="str">
        <f t="shared" si="1"/>
        <v/>
      </c>
      <c r="S92" s="126">
        <f>IF(OR(Table_Leaks1_Input[[#This Row],[Pressure at leak (psig)]]=0, Table_Leaks1_Input[[#This Row],[Pressure at leak (psig)]]=""),0,IF(Table_Leaks1_Input[[#This Row],[Pressure at leak (psig)]]&lt;20, 10, MROUND(Table_Leaks1_Input[[#This Row],[Pressure at leak (psig)]], 25)))</f>
        <v>0</v>
      </c>
      <c r="T92" s="126">
        <f>ROUND(Table_Leaks1_Input[[#This Row],[dB reading]],-1)</f>
        <v>0</v>
      </c>
      <c r="U92" s="127" t="str">
        <f>_xlfn.CONCAT(Table_Leaks1_Input[[#This Row],[Rounded dB Reading]],"psig ", Table_Leaks1_Input[[#This Row],[Rounded PSIG]],"db")</f>
        <v>0psig 0db</v>
      </c>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row>
    <row r="93" spans="1:46" x14ac:dyDescent="0.2">
      <c r="A93" s="75"/>
      <c r="B93" s="121">
        <v>88</v>
      </c>
      <c r="C93" s="128"/>
      <c r="D93" s="129"/>
      <c r="E93" s="130"/>
      <c r="F93" s="130"/>
      <c r="G93" s="130"/>
      <c r="H93" s="130"/>
      <c r="I93" s="131"/>
      <c r="J93" s="131"/>
      <c r="K93" s="122" t="str">
        <f>IFERROR(INDEX(TABLE_UE_dB[Leak Size (cfm)], MATCH(Table_Leaks1_Input[[#This Row],[Lookup Value]], TABLE_UE_dB[Lookup Value], 0)),"")</f>
        <v/>
      </c>
      <c r="L93" s="123" t="str">
        <f>IF(Table_Leaks1_Input[[#This Row],[Repaired (Y/N)]]="Yes", Value_LeakRepairIR, "")</f>
        <v/>
      </c>
      <c r="M93" s="124" t="str">
        <f>IFERROR(Table_Leaks1_Input[[#This Row],[Estimated leak size (cfm)]]*Value_WeightAvgCompEff*Value_SysAOH,"" )</f>
        <v/>
      </c>
      <c r="N93" s="125" t="str">
        <f>IFERROR(Table_Leaks1_Input[[#This Row],[Estimated leak size (cfm)]]*Value_WeightAvgCompEff,"" )</f>
        <v/>
      </c>
      <c r="O93" s="123" t="str">
        <f>IFERROR(Table_Leaks1_Input[[#This Row],[Energy savings (kWh)]]*Input_AvgkWhRate, "")</f>
        <v/>
      </c>
      <c r="P93" s="123" t="str">
        <f>IF(Table_Leaks1_Input[[#This Row],[Pressure at leak (psig)]]="", "",Table_Leaks1_Input[[#This Row],[Total equipment cost]]+Table_Leaks1_Input[[#This Row],[Total labor cost]])</f>
        <v/>
      </c>
      <c r="Q93" s="123" t="str">
        <f>IFERROR(Table_Leaks1_Input[[#This Row],[Gross measure cost]]-Table_Leaks1_Input[[#This Row],[Estimated incentive]], "")</f>
        <v/>
      </c>
      <c r="R93" s="124" t="str">
        <f t="shared" si="1"/>
        <v/>
      </c>
      <c r="S93" s="126">
        <f>IF(OR(Table_Leaks1_Input[[#This Row],[Pressure at leak (psig)]]=0, Table_Leaks1_Input[[#This Row],[Pressure at leak (psig)]]=""),0,IF(Table_Leaks1_Input[[#This Row],[Pressure at leak (psig)]]&lt;20, 10, MROUND(Table_Leaks1_Input[[#This Row],[Pressure at leak (psig)]], 25)))</f>
        <v>0</v>
      </c>
      <c r="T93" s="126">
        <f>ROUND(Table_Leaks1_Input[[#This Row],[dB reading]],-1)</f>
        <v>0</v>
      </c>
      <c r="U93" s="127" t="str">
        <f>_xlfn.CONCAT(Table_Leaks1_Input[[#This Row],[Rounded dB Reading]],"psig ", Table_Leaks1_Input[[#This Row],[Rounded PSIG]],"db")</f>
        <v>0psig 0db</v>
      </c>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row>
    <row r="94" spans="1:46" x14ac:dyDescent="0.2">
      <c r="A94" s="75"/>
      <c r="B94" s="121">
        <v>89</v>
      </c>
      <c r="C94" s="128"/>
      <c r="D94" s="129"/>
      <c r="E94" s="130"/>
      <c r="F94" s="130"/>
      <c r="G94" s="130"/>
      <c r="H94" s="130"/>
      <c r="I94" s="131"/>
      <c r="J94" s="131"/>
      <c r="K94" s="122" t="str">
        <f>IFERROR(INDEX(TABLE_UE_dB[Leak Size (cfm)], MATCH(Table_Leaks1_Input[[#This Row],[Lookup Value]], TABLE_UE_dB[Lookup Value], 0)),"")</f>
        <v/>
      </c>
      <c r="L94" s="123" t="str">
        <f>IF(Table_Leaks1_Input[[#This Row],[Repaired (Y/N)]]="Yes", Value_LeakRepairIR, "")</f>
        <v/>
      </c>
      <c r="M94" s="124" t="str">
        <f>IFERROR(Table_Leaks1_Input[[#This Row],[Estimated leak size (cfm)]]*Value_WeightAvgCompEff*Value_SysAOH,"" )</f>
        <v/>
      </c>
      <c r="N94" s="125" t="str">
        <f>IFERROR(Table_Leaks1_Input[[#This Row],[Estimated leak size (cfm)]]*Value_WeightAvgCompEff,"" )</f>
        <v/>
      </c>
      <c r="O94" s="123" t="str">
        <f>IFERROR(Table_Leaks1_Input[[#This Row],[Energy savings (kWh)]]*Input_AvgkWhRate, "")</f>
        <v/>
      </c>
      <c r="P94" s="123" t="str">
        <f>IF(Table_Leaks1_Input[[#This Row],[Pressure at leak (psig)]]="", "",Table_Leaks1_Input[[#This Row],[Total equipment cost]]+Table_Leaks1_Input[[#This Row],[Total labor cost]])</f>
        <v/>
      </c>
      <c r="Q94" s="123" t="str">
        <f>IFERROR(Table_Leaks1_Input[[#This Row],[Gross measure cost]]-Table_Leaks1_Input[[#This Row],[Estimated incentive]], "")</f>
        <v/>
      </c>
      <c r="R94" s="124" t="str">
        <f t="shared" si="1"/>
        <v/>
      </c>
      <c r="S94" s="126">
        <f>IF(OR(Table_Leaks1_Input[[#This Row],[Pressure at leak (psig)]]=0, Table_Leaks1_Input[[#This Row],[Pressure at leak (psig)]]=""),0,IF(Table_Leaks1_Input[[#This Row],[Pressure at leak (psig)]]&lt;20, 10, MROUND(Table_Leaks1_Input[[#This Row],[Pressure at leak (psig)]], 25)))</f>
        <v>0</v>
      </c>
      <c r="T94" s="126">
        <f>ROUND(Table_Leaks1_Input[[#This Row],[dB reading]],-1)</f>
        <v>0</v>
      </c>
      <c r="U94" s="127" t="str">
        <f>_xlfn.CONCAT(Table_Leaks1_Input[[#This Row],[Rounded dB Reading]],"psig ", Table_Leaks1_Input[[#This Row],[Rounded PSIG]],"db")</f>
        <v>0psig 0db</v>
      </c>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row>
    <row r="95" spans="1:46" x14ac:dyDescent="0.2">
      <c r="A95" s="75"/>
      <c r="B95" s="121">
        <v>90</v>
      </c>
      <c r="C95" s="128"/>
      <c r="D95" s="129"/>
      <c r="E95" s="130"/>
      <c r="F95" s="130"/>
      <c r="G95" s="130"/>
      <c r="H95" s="130"/>
      <c r="I95" s="131"/>
      <c r="J95" s="131"/>
      <c r="K95" s="122" t="str">
        <f>IFERROR(INDEX(TABLE_UE_dB[Leak Size (cfm)], MATCH(Table_Leaks1_Input[[#This Row],[Lookup Value]], TABLE_UE_dB[Lookup Value], 0)),"")</f>
        <v/>
      </c>
      <c r="L95" s="123" t="str">
        <f>IF(Table_Leaks1_Input[[#This Row],[Repaired (Y/N)]]="Yes", Value_LeakRepairIR, "")</f>
        <v/>
      </c>
      <c r="M95" s="124" t="str">
        <f>IFERROR(Table_Leaks1_Input[[#This Row],[Estimated leak size (cfm)]]*Value_WeightAvgCompEff*Value_SysAOH,"" )</f>
        <v/>
      </c>
      <c r="N95" s="125" t="str">
        <f>IFERROR(Table_Leaks1_Input[[#This Row],[Estimated leak size (cfm)]]*Value_WeightAvgCompEff,"" )</f>
        <v/>
      </c>
      <c r="O95" s="123" t="str">
        <f>IFERROR(Table_Leaks1_Input[[#This Row],[Energy savings (kWh)]]*Input_AvgkWhRate, "")</f>
        <v/>
      </c>
      <c r="P95" s="123" t="str">
        <f>IF(Table_Leaks1_Input[[#This Row],[Pressure at leak (psig)]]="", "",Table_Leaks1_Input[[#This Row],[Total equipment cost]]+Table_Leaks1_Input[[#This Row],[Total labor cost]])</f>
        <v/>
      </c>
      <c r="Q95" s="123" t="str">
        <f>IFERROR(Table_Leaks1_Input[[#This Row],[Gross measure cost]]-Table_Leaks1_Input[[#This Row],[Estimated incentive]], "")</f>
        <v/>
      </c>
      <c r="R95" s="124" t="str">
        <f t="shared" si="1"/>
        <v/>
      </c>
      <c r="S95" s="126">
        <f>IF(OR(Table_Leaks1_Input[[#This Row],[Pressure at leak (psig)]]=0, Table_Leaks1_Input[[#This Row],[Pressure at leak (psig)]]=""),0,IF(Table_Leaks1_Input[[#This Row],[Pressure at leak (psig)]]&lt;20, 10, MROUND(Table_Leaks1_Input[[#This Row],[Pressure at leak (psig)]], 25)))</f>
        <v>0</v>
      </c>
      <c r="T95" s="126">
        <f>ROUND(Table_Leaks1_Input[[#This Row],[dB reading]],-1)</f>
        <v>0</v>
      </c>
      <c r="U95" s="127" t="str">
        <f>_xlfn.CONCAT(Table_Leaks1_Input[[#This Row],[Rounded dB Reading]],"psig ", Table_Leaks1_Input[[#This Row],[Rounded PSIG]],"db")</f>
        <v>0psig 0db</v>
      </c>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row>
    <row r="96" spans="1:46" x14ac:dyDescent="0.2">
      <c r="A96" s="75"/>
      <c r="B96" s="121">
        <v>91</v>
      </c>
      <c r="C96" s="128"/>
      <c r="D96" s="129"/>
      <c r="E96" s="130"/>
      <c r="F96" s="130"/>
      <c r="G96" s="130"/>
      <c r="H96" s="130"/>
      <c r="I96" s="131"/>
      <c r="J96" s="131"/>
      <c r="K96" s="122" t="str">
        <f>IFERROR(INDEX(TABLE_UE_dB[Leak Size (cfm)], MATCH(Table_Leaks1_Input[[#This Row],[Lookup Value]], TABLE_UE_dB[Lookup Value], 0)),"")</f>
        <v/>
      </c>
      <c r="L96" s="123" t="str">
        <f>IF(Table_Leaks1_Input[[#This Row],[Repaired (Y/N)]]="Yes", Value_LeakRepairIR, "")</f>
        <v/>
      </c>
      <c r="M96" s="124" t="str">
        <f>IFERROR(Table_Leaks1_Input[[#This Row],[Estimated leak size (cfm)]]*Value_WeightAvgCompEff*Value_SysAOH,"" )</f>
        <v/>
      </c>
      <c r="N96" s="125" t="str">
        <f>IFERROR(Table_Leaks1_Input[[#This Row],[Estimated leak size (cfm)]]*Value_WeightAvgCompEff,"" )</f>
        <v/>
      </c>
      <c r="O96" s="123" t="str">
        <f>IFERROR(Table_Leaks1_Input[[#This Row],[Energy savings (kWh)]]*Input_AvgkWhRate, "")</f>
        <v/>
      </c>
      <c r="P96" s="123" t="str">
        <f>IF(Table_Leaks1_Input[[#This Row],[Pressure at leak (psig)]]="", "",Table_Leaks1_Input[[#This Row],[Total equipment cost]]+Table_Leaks1_Input[[#This Row],[Total labor cost]])</f>
        <v/>
      </c>
      <c r="Q96" s="123" t="str">
        <f>IFERROR(Table_Leaks1_Input[[#This Row],[Gross measure cost]]-Table_Leaks1_Input[[#This Row],[Estimated incentive]], "")</f>
        <v/>
      </c>
      <c r="R96" s="124" t="str">
        <f t="shared" si="1"/>
        <v/>
      </c>
      <c r="S96" s="126">
        <f>IF(OR(Table_Leaks1_Input[[#This Row],[Pressure at leak (psig)]]=0, Table_Leaks1_Input[[#This Row],[Pressure at leak (psig)]]=""),0,IF(Table_Leaks1_Input[[#This Row],[Pressure at leak (psig)]]&lt;20, 10, MROUND(Table_Leaks1_Input[[#This Row],[Pressure at leak (psig)]], 25)))</f>
        <v>0</v>
      </c>
      <c r="T96" s="126">
        <f>ROUND(Table_Leaks1_Input[[#This Row],[dB reading]],-1)</f>
        <v>0</v>
      </c>
      <c r="U96" s="127" t="str">
        <f>_xlfn.CONCAT(Table_Leaks1_Input[[#This Row],[Rounded dB Reading]],"psig ", Table_Leaks1_Input[[#This Row],[Rounded PSIG]],"db")</f>
        <v>0psig 0db</v>
      </c>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row>
    <row r="97" spans="1:46" x14ac:dyDescent="0.2">
      <c r="A97" s="75"/>
      <c r="B97" s="121">
        <v>92</v>
      </c>
      <c r="C97" s="128"/>
      <c r="D97" s="129"/>
      <c r="E97" s="130"/>
      <c r="F97" s="130"/>
      <c r="G97" s="130"/>
      <c r="H97" s="130"/>
      <c r="I97" s="131"/>
      <c r="J97" s="131"/>
      <c r="K97" s="122" t="str">
        <f>IFERROR(INDEX(TABLE_UE_dB[Leak Size (cfm)], MATCH(Table_Leaks1_Input[[#This Row],[Lookup Value]], TABLE_UE_dB[Lookup Value], 0)),"")</f>
        <v/>
      </c>
      <c r="L97" s="123" t="str">
        <f>IF(Table_Leaks1_Input[[#This Row],[Repaired (Y/N)]]="Yes", Value_LeakRepairIR, "")</f>
        <v/>
      </c>
      <c r="M97" s="124" t="str">
        <f>IFERROR(Table_Leaks1_Input[[#This Row],[Estimated leak size (cfm)]]*Value_WeightAvgCompEff*Value_SysAOH,"" )</f>
        <v/>
      </c>
      <c r="N97" s="125" t="str">
        <f>IFERROR(Table_Leaks1_Input[[#This Row],[Estimated leak size (cfm)]]*Value_WeightAvgCompEff,"" )</f>
        <v/>
      </c>
      <c r="O97" s="123" t="str">
        <f>IFERROR(Table_Leaks1_Input[[#This Row],[Energy savings (kWh)]]*Input_AvgkWhRate, "")</f>
        <v/>
      </c>
      <c r="P97" s="123" t="str">
        <f>IF(Table_Leaks1_Input[[#This Row],[Pressure at leak (psig)]]="", "",Table_Leaks1_Input[[#This Row],[Total equipment cost]]+Table_Leaks1_Input[[#This Row],[Total labor cost]])</f>
        <v/>
      </c>
      <c r="Q97" s="123" t="str">
        <f>IFERROR(Table_Leaks1_Input[[#This Row],[Gross measure cost]]-Table_Leaks1_Input[[#This Row],[Estimated incentive]], "")</f>
        <v/>
      </c>
      <c r="R97" s="124" t="str">
        <f t="shared" si="1"/>
        <v/>
      </c>
      <c r="S97" s="126">
        <f>IF(OR(Table_Leaks1_Input[[#This Row],[Pressure at leak (psig)]]=0, Table_Leaks1_Input[[#This Row],[Pressure at leak (psig)]]=""),0,IF(Table_Leaks1_Input[[#This Row],[Pressure at leak (psig)]]&lt;20, 10, MROUND(Table_Leaks1_Input[[#This Row],[Pressure at leak (psig)]], 25)))</f>
        <v>0</v>
      </c>
      <c r="T97" s="126">
        <f>ROUND(Table_Leaks1_Input[[#This Row],[dB reading]],-1)</f>
        <v>0</v>
      </c>
      <c r="U97" s="127" t="str">
        <f>_xlfn.CONCAT(Table_Leaks1_Input[[#This Row],[Rounded dB Reading]],"psig ", Table_Leaks1_Input[[#This Row],[Rounded PSIG]],"db")</f>
        <v>0psig 0db</v>
      </c>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row>
    <row r="98" spans="1:46" x14ac:dyDescent="0.2">
      <c r="A98" s="75"/>
      <c r="B98" s="121">
        <v>93</v>
      </c>
      <c r="C98" s="128"/>
      <c r="D98" s="129"/>
      <c r="E98" s="130"/>
      <c r="F98" s="130"/>
      <c r="G98" s="130"/>
      <c r="H98" s="130"/>
      <c r="I98" s="131"/>
      <c r="J98" s="131"/>
      <c r="K98" s="122" t="str">
        <f>IFERROR(INDEX(TABLE_UE_dB[Leak Size (cfm)], MATCH(Table_Leaks1_Input[[#This Row],[Lookup Value]], TABLE_UE_dB[Lookup Value], 0)),"")</f>
        <v/>
      </c>
      <c r="L98" s="123" t="str">
        <f>IF(Table_Leaks1_Input[[#This Row],[Repaired (Y/N)]]="Yes", Value_LeakRepairIR, "")</f>
        <v/>
      </c>
      <c r="M98" s="124" t="str">
        <f>IFERROR(Table_Leaks1_Input[[#This Row],[Estimated leak size (cfm)]]*Value_WeightAvgCompEff*Value_SysAOH,"" )</f>
        <v/>
      </c>
      <c r="N98" s="125" t="str">
        <f>IFERROR(Table_Leaks1_Input[[#This Row],[Estimated leak size (cfm)]]*Value_WeightAvgCompEff,"" )</f>
        <v/>
      </c>
      <c r="O98" s="123" t="str">
        <f>IFERROR(Table_Leaks1_Input[[#This Row],[Energy savings (kWh)]]*Input_AvgkWhRate, "")</f>
        <v/>
      </c>
      <c r="P98" s="123" t="str">
        <f>IF(Table_Leaks1_Input[[#This Row],[Pressure at leak (psig)]]="", "",Table_Leaks1_Input[[#This Row],[Total equipment cost]]+Table_Leaks1_Input[[#This Row],[Total labor cost]])</f>
        <v/>
      </c>
      <c r="Q98" s="123" t="str">
        <f>IFERROR(Table_Leaks1_Input[[#This Row],[Gross measure cost]]-Table_Leaks1_Input[[#This Row],[Estimated incentive]], "")</f>
        <v/>
      </c>
      <c r="R98" s="124" t="str">
        <f t="shared" si="1"/>
        <v/>
      </c>
      <c r="S98" s="126">
        <f>IF(OR(Table_Leaks1_Input[[#This Row],[Pressure at leak (psig)]]=0, Table_Leaks1_Input[[#This Row],[Pressure at leak (psig)]]=""),0,IF(Table_Leaks1_Input[[#This Row],[Pressure at leak (psig)]]&lt;20, 10, MROUND(Table_Leaks1_Input[[#This Row],[Pressure at leak (psig)]], 25)))</f>
        <v>0</v>
      </c>
      <c r="T98" s="126">
        <f>ROUND(Table_Leaks1_Input[[#This Row],[dB reading]],-1)</f>
        <v>0</v>
      </c>
      <c r="U98" s="127" t="str">
        <f>_xlfn.CONCAT(Table_Leaks1_Input[[#This Row],[Rounded dB Reading]],"psig ", Table_Leaks1_Input[[#This Row],[Rounded PSIG]],"db")</f>
        <v>0psig 0db</v>
      </c>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row>
    <row r="99" spans="1:46" x14ac:dyDescent="0.2">
      <c r="A99" s="75"/>
      <c r="B99" s="121">
        <v>94</v>
      </c>
      <c r="C99" s="128"/>
      <c r="D99" s="129"/>
      <c r="E99" s="130"/>
      <c r="F99" s="130"/>
      <c r="G99" s="130"/>
      <c r="H99" s="130"/>
      <c r="I99" s="131"/>
      <c r="J99" s="131"/>
      <c r="K99" s="122" t="str">
        <f>IFERROR(INDEX(TABLE_UE_dB[Leak Size (cfm)], MATCH(Table_Leaks1_Input[[#This Row],[Lookup Value]], TABLE_UE_dB[Lookup Value], 0)),"")</f>
        <v/>
      </c>
      <c r="L99" s="123" t="str">
        <f>IF(Table_Leaks1_Input[[#This Row],[Repaired (Y/N)]]="Yes", Value_LeakRepairIR, "")</f>
        <v/>
      </c>
      <c r="M99" s="124" t="str">
        <f>IFERROR(Table_Leaks1_Input[[#This Row],[Estimated leak size (cfm)]]*Value_WeightAvgCompEff*Value_SysAOH,"" )</f>
        <v/>
      </c>
      <c r="N99" s="125" t="str">
        <f>IFERROR(Table_Leaks1_Input[[#This Row],[Estimated leak size (cfm)]]*Value_WeightAvgCompEff,"" )</f>
        <v/>
      </c>
      <c r="O99" s="123" t="str">
        <f>IFERROR(Table_Leaks1_Input[[#This Row],[Energy savings (kWh)]]*Input_AvgkWhRate, "")</f>
        <v/>
      </c>
      <c r="P99" s="123" t="str">
        <f>IF(Table_Leaks1_Input[[#This Row],[Pressure at leak (psig)]]="", "",Table_Leaks1_Input[[#This Row],[Total equipment cost]]+Table_Leaks1_Input[[#This Row],[Total labor cost]])</f>
        <v/>
      </c>
      <c r="Q99" s="123" t="str">
        <f>IFERROR(Table_Leaks1_Input[[#This Row],[Gross measure cost]]-Table_Leaks1_Input[[#This Row],[Estimated incentive]], "")</f>
        <v/>
      </c>
      <c r="R99" s="124" t="str">
        <f t="shared" si="1"/>
        <v/>
      </c>
      <c r="S99" s="126">
        <f>IF(OR(Table_Leaks1_Input[[#This Row],[Pressure at leak (psig)]]=0, Table_Leaks1_Input[[#This Row],[Pressure at leak (psig)]]=""),0,IF(Table_Leaks1_Input[[#This Row],[Pressure at leak (psig)]]&lt;20, 10, MROUND(Table_Leaks1_Input[[#This Row],[Pressure at leak (psig)]], 25)))</f>
        <v>0</v>
      </c>
      <c r="T99" s="126">
        <f>ROUND(Table_Leaks1_Input[[#This Row],[dB reading]],-1)</f>
        <v>0</v>
      </c>
      <c r="U99" s="127" t="str">
        <f>_xlfn.CONCAT(Table_Leaks1_Input[[#This Row],[Rounded dB Reading]],"psig ", Table_Leaks1_Input[[#This Row],[Rounded PSIG]],"db")</f>
        <v>0psig 0db</v>
      </c>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row>
    <row r="100" spans="1:46" x14ac:dyDescent="0.2">
      <c r="A100" s="75"/>
      <c r="B100" s="121">
        <v>95</v>
      </c>
      <c r="C100" s="128"/>
      <c r="D100" s="129"/>
      <c r="E100" s="130"/>
      <c r="F100" s="130"/>
      <c r="G100" s="130"/>
      <c r="H100" s="130"/>
      <c r="I100" s="131"/>
      <c r="J100" s="131"/>
      <c r="K100" s="122" t="str">
        <f>IFERROR(INDEX(TABLE_UE_dB[Leak Size (cfm)], MATCH(Table_Leaks1_Input[[#This Row],[Lookup Value]], TABLE_UE_dB[Lookup Value], 0)),"")</f>
        <v/>
      </c>
      <c r="L100" s="123" t="str">
        <f>IF(Table_Leaks1_Input[[#This Row],[Repaired (Y/N)]]="Yes", Value_LeakRepairIR, "")</f>
        <v/>
      </c>
      <c r="M100" s="124" t="str">
        <f>IFERROR(Table_Leaks1_Input[[#This Row],[Estimated leak size (cfm)]]*Value_WeightAvgCompEff*Value_SysAOH,"" )</f>
        <v/>
      </c>
      <c r="N100" s="125" t="str">
        <f>IFERROR(Table_Leaks1_Input[[#This Row],[Estimated leak size (cfm)]]*Value_WeightAvgCompEff,"" )</f>
        <v/>
      </c>
      <c r="O100" s="123" t="str">
        <f>IFERROR(Table_Leaks1_Input[[#This Row],[Energy savings (kWh)]]*Input_AvgkWhRate, "")</f>
        <v/>
      </c>
      <c r="P100" s="123" t="str">
        <f>IF(Table_Leaks1_Input[[#This Row],[Pressure at leak (psig)]]="", "",Table_Leaks1_Input[[#This Row],[Total equipment cost]]+Table_Leaks1_Input[[#This Row],[Total labor cost]])</f>
        <v/>
      </c>
      <c r="Q100" s="123" t="str">
        <f>IFERROR(Table_Leaks1_Input[[#This Row],[Gross measure cost]]-Table_Leaks1_Input[[#This Row],[Estimated incentive]], "")</f>
        <v/>
      </c>
      <c r="R100" s="124" t="str">
        <f t="shared" si="1"/>
        <v/>
      </c>
      <c r="S100" s="126">
        <f>IF(OR(Table_Leaks1_Input[[#This Row],[Pressure at leak (psig)]]=0, Table_Leaks1_Input[[#This Row],[Pressure at leak (psig)]]=""),0,IF(Table_Leaks1_Input[[#This Row],[Pressure at leak (psig)]]&lt;20, 10, MROUND(Table_Leaks1_Input[[#This Row],[Pressure at leak (psig)]], 25)))</f>
        <v>0</v>
      </c>
      <c r="T100" s="126">
        <f>ROUND(Table_Leaks1_Input[[#This Row],[dB reading]],-1)</f>
        <v>0</v>
      </c>
      <c r="U100" s="127" t="str">
        <f>_xlfn.CONCAT(Table_Leaks1_Input[[#This Row],[Rounded dB Reading]],"psig ", Table_Leaks1_Input[[#This Row],[Rounded PSIG]],"db")</f>
        <v>0psig 0db</v>
      </c>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row>
    <row r="101" spans="1:46" x14ac:dyDescent="0.2">
      <c r="A101" s="75"/>
      <c r="B101" s="121">
        <v>96</v>
      </c>
      <c r="C101" s="128"/>
      <c r="D101" s="129"/>
      <c r="E101" s="130"/>
      <c r="F101" s="130"/>
      <c r="G101" s="130"/>
      <c r="H101" s="130"/>
      <c r="I101" s="131"/>
      <c r="J101" s="131"/>
      <c r="K101" s="122" t="str">
        <f>IFERROR(INDEX(TABLE_UE_dB[Leak Size (cfm)], MATCH(Table_Leaks1_Input[[#This Row],[Lookup Value]], TABLE_UE_dB[Lookup Value], 0)),"")</f>
        <v/>
      </c>
      <c r="L101" s="123" t="str">
        <f>IF(Table_Leaks1_Input[[#This Row],[Repaired (Y/N)]]="Yes", Value_LeakRepairIR, "")</f>
        <v/>
      </c>
      <c r="M101" s="124" t="str">
        <f>IFERROR(Table_Leaks1_Input[[#This Row],[Estimated leak size (cfm)]]*Value_WeightAvgCompEff*Value_SysAOH,"" )</f>
        <v/>
      </c>
      <c r="N101" s="125" t="str">
        <f>IFERROR(Table_Leaks1_Input[[#This Row],[Estimated leak size (cfm)]]*Value_WeightAvgCompEff,"" )</f>
        <v/>
      </c>
      <c r="O101" s="123" t="str">
        <f>IFERROR(Table_Leaks1_Input[[#This Row],[Energy savings (kWh)]]*Input_AvgkWhRate, "")</f>
        <v/>
      </c>
      <c r="P101" s="123" t="str">
        <f>IF(Table_Leaks1_Input[[#This Row],[Pressure at leak (psig)]]="", "",Table_Leaks1_Input[[#This Row],[Total equipment cost]]+Table_Leaks1_Input[[#This Row],[Total labor cost]])</f>
        <v/>
      </c>
      <c r="Q101" s="123" t="str">
        <f>IFERROR(Table_Leaks1_Input[[#This Row],[Gross measure cost]]-Table_Leaks1_Input[[#This Row],[Estimated incentive]], "")</f>
        <v/>
      </c>
      <c r="R101" s="124" t="str">
        <f t="shared" si="1"/>
        <v/>
      </c>
      <c r="S101" s="126">
        <f>IF(OR(Table_Leaks1_Input[[#This Row],[Pressure at leak (psig)]]=0, Table_Leaks1_Input[[#This Row],[Pressure at leak (psig)]]=""),0,IF(Table_Leaks1_Input[[#This Row],[Pressure at leak (psig)]]&lt;20, 10, MROUND(Table_Leaks1_Input[[#This Row],[Pressure at leak (psig)]], 25)))</f>
        <v>0</v>
      </c>
      <c r="T101" s="126">
        <f>ROUND(Table_Leaks1_Input[[#This Row],[dB reading]],-1)</f>
        <v>0</v>
      </c>
      <c r="U101" s="127" t="str">
        <f>_xlfn.CONCAT(Table_Leaks1_Input[[#This Row],[Rounded dB Reading]],"psig ", Table_Leaks1_Input[[#This Row],[Rounded PSIG]],"db")</f>
        <v>0psig 0db</v>
      </c>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row>
    <row r="102" spans="1:46" x14ac:dyDescent="0.2">
      <c r="A102" s="75"/>
      <c r="B102" s="121">
        <v>97</v>
      </c>
      <c r="C102" s="128"/>
      <c r="D102" s="129"/>
      <c r="E102" s="130"/>
      <c r="F102" s="130"/>
      <c r="G102" s="130"/>
      <c r="H102" s="130"/>
      <c r="I102" s="131"/>
      <c r="J102" s="131"/>
      <c r="K102" s="122" t="str">
        <f>IFERROR(INDEX(TABLE_UE_dB[Leak Size (cfm)], MATCH(Table_Leaks1_Input[[#This Row],[Lookup Value]], TABLE_UE_dB[Lookup Value], 0)),"")</f>
        <v/>
      </c>
      <c r="L102" s="123" t="str">
        <f>IF(Table_Leaks1_Input[[#This Row],[Repaired (Y/N)]]="Yes", Value_LeakRepairIR, "")</f>
        <v/>
      </c>
      <c r="M102" s="124" t="str">
        <f>IFERROR(Table_Leaks1_Input[[#This Row],[Estimated leak size (cfm)]]*Value_WeightAvgCompEff*Value_SysAOH,"" )</f>
        <v/>
      </c>
      <c r="N102" s="125" t="str">
        <f>IFERROR(Table_Leaks1_Input[[#This Row],[Estimated leak size (cfm)]]*Value_WeightAvgCompEff,"" )</f>
        <v/>
      </c>
      <c r="O102" s="123" t="str">
        <f>IFERROR(Table_Leaks1_Input[[#This Row],[Energy savings (kWh)]]*Input_AvgkWhRate, "")</f>
        <v/>
      </c>
      <c r="P102" s="123" t="str">
        <f>IF(Table_Leaks1_Input[[#This Row],[Pressure at leak (psig)]]="", "",Table_Leaks1_Input[[#This Row],[Total equipment cost]]+Table_Leaks1_Input[[#This Row],[Total labor cost]])</f>
        <v/>
      </c>
      <c r="Q102" s="123" t="str">
        <f>IFERROR(Table_Leaks1_Input[[#This Row],[Gross measure cost]]-Table_Leaks1_Input[[#This Row],[Estimated incentive]], "")</f>
        <v/>
      </c>
      <c r="R102" s="124" t="str">
        <f t="shared" si="1"/>
        <v/>
      </c>
      <c r="S102" s="126">
        <f>IF(OR(Table_Leaks1_Input[[#This Row],[Pressure at leak (psig)]]=0, Table_Leaks1_Input[[#This Row],[Pressure at leak (psig)]]=""),0,IF(Table_Leaks1_Input[[#This Row],[Pressure at leak (psig)]]&lt;20, 10, MROUND(Table_Leaks1_Input[[#This Row],[Pressure at leak (psig)]], 25)))</f>
        <v>0</v>
      </c>
      <c r="T102" s="126">
        <f>ROUND(Table_Leaks1_Input[[#This Row],[dB reading]],-1)</f>
        <v>0</v>
      </c>
      <c r="U102" s="127" t="str">
        <f>_xlfn.CONCAT(Table_Leaks1_Input[[#This Row],[Rounded dB Reading]],"psig ", Table_Leaks1_Input[[#This Row],[Rounded PSIG]],"db")</f>
        <v>0psig 0db</v>
      </c>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row>
    <row r="103" spans="1:46" x14ac:dyDescent="0.2">
      <c r="A103" s="75"/>
      <c r="B103" s="121">
        <v>98</v>
      </c>
      <c r="C103" s="128"/>
      <c r="D103" s="129"/>
      <c r="E103" s="130"/>
      <c r="F103" s="130"/>
      <c r="G103" s="130"/>
      <c r="H103" s="130"/>
      <c r="I103" s="131"/>
      <c r="J103" s="131"/>
      <c r="K103" s="122" t="str">
        <f>IFERROR(INDEX(TABLE_UE_dB[Leak Size (cfm)], MATCH(Table_Leaks1_Input[[#This Row],[Lookup Value]], TABLE_UE_dB[Lookup Value], 0)),"")</f>
        <v/>
      </c>
      <c r="L103" s="123" t="str">
        <f>IF(Table_Leaks1_Input[[#This Row],[Repaired (Y/N)]]="Yes", Value_LeakRepairIR, "")</f>
        <v/>
      </c>
      <c r="M103" s="124" t="str">
        <f>IFERROR(Table_Leaks1_Input[[#This Row],[Estimated leak size (cfm)]]*Value_WeightAvgCompEff*Value_SysAOH,"" )</f>
        <v/>
      </c>
      <c r="N103" s="125" t="str">
        <f>IFERROR(Table_Leaks1_Input[[#This Row],[Estimated leak size (cfm)]]*Value_WeightAvgCompEff,"" )</f>
        <v/>
      </c>
      <c r="O103" s="123" t="str">
        <f>IFERROR(Table_Leaks1_Input[[#This Row],[Energy savings (kWh)]]*Input_AvgkWhRate, "")</f>
        <v/>
      </c>
      <c r="P103" s="123" t="str">
        <f>IF(Table_Leaks1_Input[[#This Row],[Pressure at leak (psig)]]="", "",Table_Leaks1_Input[[#This Row],[Total equipment cost]]+Table_Leaks1_Input[[#This Row],[Total labor cost]])</f>
        <v/>
      </c>
      <c r="Q103" s="123" t="str">
        <f>IFERROR(Table_Leaks1_Input[[#This Row],[Gross measure cost]]-Table_Leaks1_Input[[#This Row],[Estimated incentive]], "")</f>
        <v/>
      </c>
      <c r="R103" s="124" t="str">
        <f t="shared" si="1"/>
        <v/>
      </c>
      <c r="S103" s="126">
        <f>IF(OR(Table_Leaks1_Input[[#This Row],[Pressure at leak (psig)]]=0, Table_Leaks1_Input[[#This Row],[Pressure at leak (psig)]]=""),0,IF(Table_Leaks1_Input[[#This Row],[Pressure at leak (psig)]]&lt;20, 10, MROUND(Table_Leaks1_Input[[#This Row],[Pressure at leak (psig)]], 25)))</f>
        <v>0</v>
      </c>
      <c r="T103" s="126">
        <f>ROUND(Table_Leaks1_Input[[#This Row],[dB reading]],-1)</f>
        <v>0</v>
      </c>
      <c r="U103" s="127" t="str">
        <f>_xlfn.CONCAT(Table_Leaks1_Input[[#This Row],[Rounded dB Reading]],"psig ", Table_Leaks1_Input[[#This Row],[Rounded PSIG]],"db")</f>
        <v>0psig 0db</v>
      </c>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row>
    <row r="104" spans="1:46" x14ac:dyDescent="0.2">
      <c r="A104" s="75"/>
      <c r="B104" s="121">
        <v>99</v>
      </c>
      <c r="C104" s="128"/>
      <c r="D104" s="129"/>
      <c r="E104" s="130"/>
      <c r="F104" s="130"/>
      <c r="G104" s="130"/>
      <c r="H104" s="130"/>
      <c r="I104" s="131"/>
      <c r="J104" s="131"/>
      <c r="K104" s="122" t="str">
        <f>IFERROR(INDEX(TABLE_UE_dB[Leak Size (cfm)], MATCH(Table_Leaks1_Input[[#This Row],[Lookup Value]], TABLE_UE_dB[Lookup Value], 0)),"")</f>
        <v/>
      </c>
      <c r="L104" s="123" t="str">
        <f>IF(Table_Leaks1_Input[[#This Row],[Repaired (Y/N)]]="Yes", Value_LeakRepairIR, "")</f>
        <v/>
      </c>
      <c r="M104" s="124" t="str">
        <f>IFERROR(Table_Leaks1_Input[[#This Row],[Estimated leak size (cfm)]]*Value_WeightAvgCompEff*Value_SysAOH,"" )</f>
        <v/>
      </c>
      <c r="N104" s="125" t="str">
        <f>IFERROR(Table_Leaks1_Input[[#This Row],[Estimated leak size (cfm)]]*Value_WeightAvgCompEff,"" )</f>
        <v/>
      </c>
      <c r="O104" s="123" t="str">
        <f>IFERROR(Table_Leaks1_Input[[#This Row],[Energy savings (kWh)]]*Input_AvgkWhRate, "")</f>
        <v/>
      </c>
      <c r="P104" s="123" t="str">
        <f>IF(Table_Leaks1_Input[[#This Row],[Pressure at leak (psig)]]="", "",Table_Leaks1_Input[[#This Row],[Total equipment cost]]+Table_Leaks1_Input[[#This Row],[Total labor cost]])</f>
        <v/>
      </c>
      <c r="Q104" s="123" t="str">
        <f>IFERROR(Table_Leaks1_Input[[#This Row],[Gross measure cost]]-Table_Leaks1_Input[[#This Row],[Estimated incentive]], "")</f>
        <v/>
      </c>
      <c r="R104" s="124" t="str">
        <f t="shared" si="1"/>
        <v/>
      </c>
      <c r="S104" s="126">
        <f>IF(OR(Table_Leaks1_Input[[#This Row],[Pressure at leak (psig)]]=0, Table_Leaks1_Input[[#This Row],[Pressure at leak (psig)]]=""),0,IF(Table_Leaks1_Input[[#This Row],[Pressure at leak (psig)]]&lt;20, 10, MROUND(Table_Leaks1_Input[[#This Row],[Pressure at leak (psig)]], 25)))</f>
        <v>0</v>
      </c>
      <c r="T104" s="126">
        <f>ROUND(Table_Leaks1_Input[[#This Row],[dB reading]],-1)</f>
        <v>0</v>
      </c>
      <c r="U104" s="127" t="str">
        <f>_xlfn.CONCAT(Table_Leaks1_Input[[#This Row],[Rounded dB Reading]],"psig ", Table_Leaks1_Input[[#This Row],[Rounded PSIG]],"db")</f>
        <v>0psig 0db</v>
      </c>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row>
    <row r="105" spans="1:46" x14ac:dyDescent="0.2">
      <c r="A105" s="75"/>
      <c r="B105" s="121">
        <v>100</v>
      </c>
      <c r="C105" s="128"/>
      <c r="D105" s="129"/>
      <c r="E105" s="130"/>
      <c r="F105" s="130"/>
      <c r="G105" s="130"/>
      <c r="H105" s="130"/>
      <c r="I105" s="131"/>
      <c r="J105" s="131"/>
      <c r="K105" s="122" t="str">
        <f>IFERROR(INDEX(TABLE_UE_dB[Leak Size (cfm)], MATCH(Table_Leaks1_Input[[#This Row],[Lookup Value]], TABLE_UE_dB[Lookup Value], 0)),"")</f>
        <v/>
      </c>
      <c r="L105" s="123" t="str">
        <f>IF(Table_Leaks1_Input[[#This Row],[Repaired (Y/N)]]="Yes", Value_LeakRepairIR, "")</f>
        <v/>
      </c>
      <c r="M105" s="124" t="str">
        <f>IFERROR(Table_Leaks1_Input[[#This Row],[Estimated leak size (cfm)]]*Value_WeightAvgCompEff*Value_SysAOH,"" )</f>
        <v/>
      </c>
      <c r="N105" s="125" t="str">
        <f>IFERROR(Table_Leaks1_Input[[#This Row],[Estimated leak size (cfm)]]*Value_WeightAvgCompEff,"" )</f>
        <v/>
      </c>
      <c r="O105" s="123" t="str">
        <f>IFERROR(Table_Leaks1_Input[[#This Row],[Energy savings (kWh)]]*Input_AvgkWhRate, "")</f>
        <v/>
      </c>
      <c r="P105" s="123" t="str">
        <f>IF(Table_Leaks1_Input[[#This Row],[Pressure at leak (psig)]]="", "",Table_Leaks1_Input[[#This Row],[Total equipment cost]]+Table_Leaks1_Input[[#This Row],[Total labor cost]])</f>
        <v/>
      </c>
      <c r="Q105" s="123" t="str">
        <f>IFERROR(Table_Leaks1_Input[[#This Row],[Gross measure cost]]-Table_Leaks1_Input[[#This Row],[Estimated incentive]], "")</f>
        <v/>
      </c>
      <c r="R105" s="124" t="str">
        <f t="shared" si="1"/>
        <v/>
      </c>
      <c r="S105" s="126">
        <f>IF(OR(Table_Leaks1_Input[[#This Row],[Pressure at leak (psig)]]=0, Table_Leaks1_Input[[#This Row],[Pressure at leak (psig)]]=""),0,IF(Table_Leaks1_Input[[#This Row],[Pressure at leak (psig)]]&lt;20, 10, MROUND(Table_Leaks1_Input[[#This Row],[Pressure at leak (psig)]], 25)))</f>
        <v>0</v>
      </c>
      <c r="T105" s="126">
        <f>ROUND(Table_Leaks1_Input[[#This Row],[dB reading]],-1)</f>
        <v>0</v>
      </c>
      <c r="U105" s="127" t="str">
        <f>_xlfn.CONCAT(Table_Leaks1_Input[[#This Row],[Rounded dB Reading]],"psig ", Table_Leaks1_Input[[#This Row],[Rounded PSIG]],"db")</f>
        <v>0psig 0db</v>
      </c>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row>
    <row r="106" spans="1:46" x14ac:dyDescent="0.2">
      <c r="A106" s="75"/>
      <c r="B106" s="121">
        <v>101</v>
      </c>
      <c r="C106" s="128"/>
      <c r="D106" s="129"/>
      <c r="E106" s="130"/>
      <c r="F106" s="130"/>
      <c r="G106" s="130"/>
      <c r="H106" s="130"/>
      <c r="I106" s="131"/>
      <c r="J106" s="131"/>
      <c r="K106" s="122" t="str">
        <f>IFERROR(INDEX(TABLE_UE_dB[Leak Size (cfm)], MATCH(Table_Leaks1_Input[[#This Row],[Lookup Value]], TABLE_UE_dB[Lookup Value], 0)),"")</f>
        <v/>
      </c>
      <c r="L106" s="123" t="str">
        <f>IF(Table_Leaks1_Input[[#This Row],[Repaired (Y/N)]]="Yes", Value_LeakRepairIR, "")</f>
        <v/>
      </c>
      <c r="M106" s="124" t="str">
        <f>IFERROR(Table_Leaks1_Input[[#This Row],[Estimated leak size (cfm)]]*Value_WeightAvgCompEff*Value_SysAOH,"" )</f>
        <v/>
      </c>
      <c r="N106" s="125" t="str">
        <f>IFERROR(Table_Leaks1_Input[[#This Row],[Estimated leak size (cfm)]]*Value_WeightAvgCompEff,"" )</f>
        <v/>
      </c>
      <c r="O106" s="123" t="str">
        <f>IFERROR(Table_Leaks1_Input[[#This Row],[Energy savings (kWh)]]*Input_AvgkWhRate, "")</f>
        <v/>
      </c>
      <c r="P106" s="123" t="str">
        <f>IF(Table_Leaks1_Input[[#This Row],[Pressure at leak (psig)]]="", "",Table_Leaks1_Input[[#This Row],[Total equipment cost]]+Table_Leaks1_Input[[#This Row],[Total labor cost]])</f>
        <v/>
      </c>
      <c r="Q106" s="123" t="str">
        <f>IFERROR(Table_Leaks1_Input[[#This Row],[Gross measure cost]]-Table_Leaks1_Input[[#This Row],[Estimated incentive]], "")</f>
        <v/>
      </c>
      <c r="R106" s="124" t="str">
        <f t="shared" si="1"/>
        <v/>
      </c>
      <c r="S106" s="126">
        <f>IF(OR(Table_Leaks1_Input[[#This Row],[Pressure at leak (psig)]]=0, Table_Leaks1_Input[[#This Row],[Pressure at leak (psig)]]=""),0,IF(Table_Leaks1_Input[[#This Row],[Pressure at leak (psig)]]&lt;20, 10, MROUND(Table_Leaks1_Input[[#This Row],[Pressure at leak (psig)]], 25)))</f>
        <v>0</v>
      </c>
      <c r="T106" s="126">
        <f>ROUND(Table_Leaks1_Input[[#This Row],[dB reading]],-1)</f>
        <v>0</v>
      </c>
      <c r="U106" s="127" t="str">
        <f>_xlfn.CONCAT(Table_Leaks1_Input[[#This Row],[Rounded dB Reading]],"psig ", Table_Leaks1_Input[[#This Row],[Rounded PSIG]],"db")</f>
        <v>0psig 0db</v>
      </c>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row>
    <row r="107" spans="1:46" x14ac:dyDescent="0.2">
      <c r="A107" s="75"/>
      <c r="B107" s="121">
        <v>102</v>
      </c>
      <c r="C107" s="128"/>
      <c r="D107" s="129"/>
      <c r="E107" s="130"/>
      <c r="F107" s="130"/>
      <c r="G107" s="130"/>
      <c r="H107" s="130"/>
      <c r="I107" s="131"/>
      <c r="J107" s="131"/>
      <c r="K107" s="122" t="str">
        <f>IFERROR(INDEX(TABLE_UE_dB[Leak Size (cfm)], MATCH(Table_Leaks1_Input[[#This Row],[Lookup Value]], TABLE_UE_dB[Lookup Value], 0)),"")</f>
        <v/>
      </c>
      <c r="L107" s="123" t="str">
        <f>IF(Table_Leaks1_Input[[#This Row],[Repaired (Y/N)]]="Yes", Value_LeakRepairIR, "")</f>
        <v/>
      </c>
      <c r="M107" s="124" t="str">
        <f>IFERROR(Table_Leaks1_Input[[#This Row],[Estimated leak size (cfm)]]*Value_WeightAvgCompEff*Value_SysAOH,"" )</f>
        <v/>
      </c>
      <c r="N107" s="125" t="str">
        <f>IFERROR(Table_Leaks1_Input[[#This Row],[Estimated leak size (cfm)]]*Value_WeightAvgCompEff,"" )</f>
        <v/>
      </c>
      <c r="O107" s="123" t="str">
        <f>IFERROR(Table_Leaks1_Input[[#This Row],[Energy savings (kWh)]]*Input_AvgkWhRate, "")</f>
        <v/>
      </c>
      <c r="P107" s="123" t="str">
        <f>IF(Table_Leaks1_Input[[#This Row],[Pressure at leak (psig)]]="", "",Table_Leaks1_Input[[#This Row],[Total equipment cost]]+Table_Leaks1_Input[[#This Row],[Total labor cost]])</f>
        <v/>
      </c>
      <c r="Q107" s="123" t="str">
        <f>IFERROR(Table_Leaks1_Input[[#This Row],[Gross measure cost]]-Table_Leaks1_Input[[#This Row],[Estimated incentive]], "")</f>
        <v/>
      </c>
      <c r="R107" s="124" t="str">
        <f t="shared" si="1"/>
        <v/>
      </c>
      <c r="S107" s="126">
        <f>IF(OR(Table_Leaks1_Input[[#This Row],[Pressure at leak (psig)]]=0, Table_Leaks1_Input[[#This Row],[Pressure at leak (psig)]]=""),0,IF(Table_Leaks1_Input[[#This Row],[Pressure at leak (psig)]]&lt;20, 10, MROUND(Table_Leaks1_Input[[#This Row],[Pressure at leak (psig)]], 25)))</f>
        <v>0</v>
      </c>
      <c r="T107" s="126">
        <f>ROUND(Table_Leaks1_Input[[#This Row],[dB reading]],-1)</f>
        <v>0</v>
      </c>
      <c r="U107" s="127" t="str">
        <f>_xlfn.CONCAT(Table_Leaks1_Input[[#This Row],[Rounded dB Reading]],"psig ", Table_Leaks1_Input[[#This Row],[Rounded PSIG]],"db")</f>
        <v>0psig 0db</v>
      </c>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row>
    <row r="108" spans="1:46" x14ac:dyDescent="0.2">
      <c r="A108" s="75"/>
      <c r="B108" s="121">
        <v>103</v>
      </c>
      <c r="C108" s="128"/>
      <c r="D108" s="129"/>
      <c r="E108" s="130"/>
      <c r="F108" s="130"/>
      <c r="G108" s="130"/>
      <c r="H108" s="130"/>
      <c r="I108" s="131"/>
      <c r="J108" s="131"/>
      <c r="K108" s="122" t="str">
        <f>IFERROR(INDEX(TABLE_UE_dB[Leak Size (cfm)], MATCH(Table_Leaks1_Input[[#This Row],[Lookup Value]], TABLE_UE_dB[Lookup Value], 0)),"")</f>
        <v/>
      </c>
      <c r="L108" s="123" t="str">
        <f>IF(Table_Leaks1_Input[[#This Row],[Repaired (Y/N)]]="Yes", Value_LeakRepairIR, "")</f>
        <v/>
      </c>
      <c r="M108" s="124" t="str">
        <f>IFERROR(Table_Leaks1_Input[[#This Row],[Estimated leak size (cfm)]]*Value_WeightAvgCompEff*Value_SysAOH,"" )</f>
        <v/>
      </c>
      <c r="N108" s="125" t="str">
        <f>IFERROR(Table_Leaks1_Input[[#This Row],[Estimated leak size (cfm)]]*Value_WeightAvgCompEff,"" )</f>
        <v/>
      </c>
      <c r="O108" s="123" t="str">
        <f>IFERROR(Table_Leaks1_Input[[#This Row],[Energy savings (kWh)]]*Input_AvgkWhRate, "")</f>
        <v/>
      </c>
      <c r="P108" s="123" t="str">
        <f>IF(Table_Leaks1_Input[[#This Row],[Pressure at leak (psig)]]="", "",Table_Leaks1_Input[[#This Row],[Total equipment cost]]+Table_Leaks1_Input[[#This Row],[Total labor cost]])</f>
        <v/>
      </c>
      <c r="Q108" s="123" t="str">
        <f>IFERROR(Table_Leaks1_Input[[#This Row],[Gross measure cost]]-Table_Leaks1_Input[[#This Row],[Estimated incentive]], "")</f>
        <v/>
      </c>
      <c r="R108" s="124" t="str">
        <f t="shared" si="1"/>
        <v/>
      </c>
      <c r="S108" s="126">
        <f>IF(OR(Table_Leaks1_Input[[#This Row],[Pressure at leak (psig)]]=0, Table_Leaks1_Input[[#This Row],[Pressure at leak (psig)]]=""),0,IF(Table_Leaks1_Input[[#This Row],[Pressure at leak (psig)]]&lt;20, 10, MROUND(Table_Leaks1_Input[[#This Row],[Pressure at leak (psig)]], 25)))</f>
        <v>0</v>
      </c>
      <c r="T108" s="126">
        <f>ROUND(Table_Leaks1_Input[[#This Row],[dB reading]],-1)</f>
        <v>0</v>
      </c>
      <c r="U108" s="127" t="str">
        <f>_xlfn.CONCAT(Table_Leaks1_Input[[#This Row],[Rounded dB Reading]],"psig ", Table_Leaks1_Input[[#This Row],[Rounded PSIG]],"db")</f>
        <v>0psig 0db</v>
      </c>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row>
    <row r="109" spans="1:46" x14ac:dyDescent="0.2">
      <c r="A109" s="75"/>
      <c r="B109" s="121">
        <v>104</v>
      </c>
      <c r="C109" s="128"/>
      <c r="D109" s="129"/>
      <c r="E109" s="130"/>
      <c r="F109" s="130"/>
      <c r="G109" s="130"/>
      <c r="H109" s="130"/>
      <c r="I109" s="131"/>
      <c r="J109" s="131"/>
      <c r="K109" s="122" t="str">
        <f>IFERROR(INDEX(TABLE_UE_dB[Leak Size (cfm)], MATCH(Table_Leaks1_Input[[#This Row],[Lookup Value]], TABLE_UE_dB[Lookup Value], 0)),"")</f>
        <v/>
      </c>
      <c r="L109" s="123" t="str">
        <f>IF(Table_Leaks1_Input[[#This Row],[Repaired (Y/N)]]="Yes", Value_LeakRepairIR, "")</f>
        <v/>
      </c>
      <c r="M109" s="124" t="str">
        <f>IFERROR(Table_Leaks1_Input[[#This Row],[Estimated leak size (cfm)]]*Value_WeightAvgCompEff*Value_SysAOH,"" )</f>
        <v/>
      </c>
      <c r="N109" s="125" t="str">
        <f>IFERROR(Table_Leaks1_Input[[#This Row],[Estimated leak size (cfm)]]*Value_WeightAvgCompEff,"" )</f>
        <v/>
      </c>
      <c r="O109" s="123" t="str">
        <f>IFERROR(Table_Leaks1_Input[[#This Row],[Energy savings (kWh)]]*Input_AvgkWhRate, "")</f>
        <v/>
      </c>
      <c r="P109" s="123" t="str">
        <f>IF(Table_Leaks1_Input[[#This Row],[Pressure at leak (psig)]]="", "",Table_Leaks1_Input[[#This Row],[Total equipment cost]]+Table_Leaks1_Input[[#This Row],[Total labor cost]])</f>
        <v/>
      </c>
      <c r="Q109" s="123" t="str">
        <f>IFERROR(Table_Leaks1_Input[[#This Row],[Gross measure cost]]-Table_Leaks1_Input[[#This Row],[Estimated incentive]], "")</f>
        <v/>
      </c>
      <c r="R109" s="124" t="str">
        <f t="shared" si="1"/>
        <v/>
      </c>
      <c r="S109" s="126">
        <f>IF(OR(Table_Leaks1_Input[[#This Row],[Pressure at leak (psig)]]=0, Table_Leaks1_Input[[#This Row],[Pressure at leak (psig)]]=""),0,IF(Table_Leaks1_Input[[#This Row],[Pressure at leak (psig)]]&lt;20, 10, MROUND(Table_Leaks1_Input[[#This Row],[Pressure at leak (psig)]], 25)))</f>
        <v>0</v>
      </c>
      <c r="T109" s="126">
        <f>ROUND(Table_Leaks1_Input[[#This Row],[dB reading]],-1)</f>
        <v>0</v>
      </c>
      <c r="U109" s="127" t="str">
        <f>_xlfn.CONCAT(Table_Leaks1_Input[[#This Row],[Rounded dB Reading]],"psig ", Table_Leaks1_Input[[#This Row],[Rounded PSIG]],"db")</f>
        <v>0psig 0db</v>
      </c>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row>
    <row r="110" spans="1:46" x14ac:dyDescent="0.2">
      <c r="A110" s="75"/>
      <c r="B110" s="121">
        <v>105</v>
      </c>
      <c r="C110" s="128"/>
      <c r="D110" s="129"/>
      <c r="E110" s="130"/>
      <c r="F110" s="130"/>
      <c r="G110" s="130"/>
      <c r="H110" s="130"/>
      <c r="I110" s="131"/>
      <c r="J110" s="131"/>
      <c r="K110" s="122" t="str">
        <f>IFERROR(INDEX(TABLE_UE_dB[Leak Size (cfm)], MATCH(Table_Leaks1_Input[[#This Row],[Lookup Value]], TABLE_UE_dB[Lookup Value], 0)),"")</f>
        <v/>
      </c>
      <c r="L110" s="123" t="str">
        <f>IF(Table_Leaks1_Input[[#This Row],[Repaired (Y/N)]]="Yes", Value_LeakRepairIR, "")</f>
        <v/>
      </c>
      <c r="M110" s="124" t="str">
        <f>IFERROR(Table_Leaks1_Input[[#This Row],[Estimated leak size (cfm)]]*Value_WeightAvgCompEff*Value_SysAOH,"" )</f>
        <v/>
      </c>
      <c r="N110" s="125" t="str">
        <f>IFERROR(Table_Leaks1_Input[[#This Row],[Estimated leak size (cfm)]]*Value_WeightAvgCompEff,"" )</f>
        <v/>
      </c>
      <c r="O110" s="123" t="str">
        <f>IFERROR(Table_Leaks1_Input[[#This Row],[Energy savings (kWh)]]*Input_AvgkWhRate, "")</f>
        <v/>
      </c>
      <c r="P110" s="123" t="str">
        <f>IF(Table_Leaks1_Input[[#This Row],[Pressure at leak (psig)]]="", "",Table_Leaks1_Input[[#This Row],[Total equipment cost]]+Table_Leaks1_Input[[#This Row],[Total labor cost]])</f>
        <v/>
      </c>
      <c r="Q110" s="123" t="str">
        <f>IFERROR(Table_Leaks1_Input[[#This Row],[Gross measure cost]]-Table_Leaks1_Input[[#This Row],[Estimated incentive]], "")</f>
        <v/>
      </c>
      <c r="R110" s="124" t="str">
        <f t="shared" si="1"/>
        <v/>
      </c>
      <c r="S110" s="126">
        <f>IF(OR(Table_Leaks1_Input[[#This Row],[Pressure at leak (psig)]]=0, Table_Leaks1_Input[[#This Row],[Pressure at leak (psig)]]=""),0,IF(Table_Leaks1_Input[[#This Row],[Pressure at leak (psig)]]&lt;20, 10, MROUND(Table_Leaks1_Input[[#This Row],[Pressure at leak (psig)]], 25)))</f>
        <v>0</v>
      </c>
      <c r="T110" s="126">
        <f>ROUND(Table_Leaks1_Input[[#This Row],[dB reading]],-1)</f>
        <v>0</v>
      </c>
      <c r="U110" s="127" t="str">
        <f>_xlfn.CONCAT(Table_Leaks1_Input[[#This Row],[Rounded dB Reading]],"psig ", Table_Leaks1_Input[[#This Row],[Rounded PSIG]],"db")</f>
        <v>0psig 0db</v>
      </c>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row>
    <row r="111" spans="1:46" x14ac:dyDescent="0.2">
      <c r="A111" s="75"/>
      <c r="B111" s="121">
        <v>106</v>
      </c>
      <c r="C111" s="128"/>
      <c r="D111" s="129"/>
      <c r="E111" s="130"/>
      <c r="F111" s="130"/>
      <c r="G111" s="130"/>
      <c r="H111" s="130"/>
      <c r="I111" s="131"/>
      <c r="J111" s="131"/>
      <c r="K111" s="122" t="str">
        <f>IFERROR(INDEX(TABLE_UE_dB[Leak Size (cfm)], MATCH(Table_Leaks1_Input[[#This Row],[Lookup Value]], TABLE_UE_dB[Lookup Value], 0)),"")</f>
        <v/>
      </c>
      <c r="L111" s="123" t="str">
        <f>IF(Table_Leaks1_Input[[#This Row],[Repaired (Y/N)]]="Yes", Value_LeakRepairIR, "")</f>
        <v/>
      </c>
      <c r="M111" s="124" t="str">
        <f>IFERROR(Table_Leaks1_Input[[#This Row],[Estimated leak size (cfm)]]*Value_WeightAvgCompEff*Value_SysAOH,"" )</f>
        <v/>
      </c>
      <c r="N111" s="125" t="str">
        <f>IFERROR(Table_Leaks1_Input[[#This Row],[Estimated leak size (cfm)]]*Value_WeightAvgCompEff,"" )</f>
        <v/>
      </c>
      <c r="O111" s="123" t="str">
        <f>IFERROR(Table_Leaks1_Input[[#This Row],[Energy savings (kWh)]]*Input_AvgkWhRate, "")</f>
        <v/>
      </c>
      <c r="P111" s="123" t="str">
        <f>IF(Table_Leaks1_Input[[#This Row],[Pressure at leak (psig)]]="", "",Table_Leaks1_Input[[#This Row],[Total equipment cost]]+Table_Leaks1_Input[[#This Row],[Total labor cost]])</f>
        <v/>
      </c>
      <c r="Q111" s="123" t="str">
        <f>IFERROR(Table_Leaks1_Input[[#This Row],[Gross measure cost]]-Table_Leaks1_Input[[#This Row],[Estimated incentive]], "")</f>
        <v/>
      </c>
      <c r="R111" s="124" t="str">
        <f t="shared" si="1"/>
        <v/>
      </c>
      <c r="S111" s="126">
        <f>IF(OR(Table_Leaks1_Input[[#This Row],[Pressure at leak (psig)]]=0, Table_Leaks1_Input[[#This Row],[Pressure at leak (psig)]]=""),0,IF(Table_Leaks1_Input[[#This Row],[Pressure at leak (psig)]]&lt;20, 10, MROUND(Table_Leaks1_Input[[#This Row],[Pressure at leak (psig)]], 25)))</f>
        <v>0</v>
      </c>
      <c r="T111" s="126">
        <f>ROUND(Table_Leaks1_Input[[#This Row],[dB reading]],-1)</f>
        <v>0</v>
      </c>
      <c r="U111" s="127" t="str">
        <f>_xlfn.CONCAT(Table_Leaks1_Input[[#This Row],[Rounded dB Reading]],"psig ", Table_Leaks1_Input[[#This Row],[Rounded PSIG]],"db")</f>
        <v>0psig 0db</v>
      </c>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row>
    <row r="112" spans="1:46" x14ac:dyDescent="0.2">
      <c r="A112" s="75"/>
      <c r="B112" s="121">
        <v>107</v>
      </c>
      <c r="C112" s="128"/>
      <c r="D112" s="129"/>
      <c r="E112" s="130"/>
      <c r="F112" s="130"/>
      <c r="G112" s="130"/>
      <c r="H112" s="130"/>
      <c r="I112" s="131"/>
      <c r="J112" s="131"/>
      <c r="K112" s="122" t="str">
        <f>IFERROR(INDEX(TABLE_UE_dB[Leak Size (cfm)], MATCH(Table_Leaks1_Input[[#This Row],[Lookup Value]], TABLE_UE_dB[Lookup Value], 0)),"")</f>
        <v/>
      </c>
      <c r="L112" s="123" t="str">
        <f>IF(Table_Leaks1_Input[[#This Row],[Repaired (Y/N)]]="Yes", Value_LeakRepairIR, "")</f>
        <v/>
      </c>
      <c r="M112" s="124" t="str">
        <f>IFERROR(Table_Leaks1_Input[[#This Row],[Estimated leak size (cfm)]]*Value_WeightAvgCompEff*Value_SysAOH,"" )</f>
        <v/>
      </c>
      <c r="N112" s="125" t="str">
        <f>IFERROR(Table_Leaks1_Input[[#This Row],[Estimated leak size (cfm)]]*Value_WeightAvgCompEff,"" )</f>
        <v/>
      </c>
      <c r="O112" s="123" t="str">
        <f>IFERROR(Table_Leaks1_Input[[#This Row],[Energy savings (kWh)]]*Input_AvgkWhRate, "")</f>
        <v/>
      </c>
      <c r="P112" s="123" t="str">
        <f>IF(Table_Leaks1_Input[[#This Row],[Pressure at leak (psig)]]="", "",Table_Leaks1_Input[[#This Row],[Total equipment cost]]+Table_Leaks1_Input[[#This Row],[Total labor cost]])</f>
        <v/>
      </c>
      <c r="Q112" s="123" t="str">
        <f>IFERROR(Table_Leaks1_Input[[#This Row],[Gross measure cost]]-Table_Leaks1_Input[[#This Row],[Estimated incentive]], "")</f>
        <v/>
      </c>
      <c r="R112" s="124" t="str">
        <f t="shared" si="1"/>
        <v/>
      </c>
      <c r="S112" s="126">
        <f>IF(OR(Table_Leaks1_Input[[#This Row],[Pressure at leak (psig)]]=0, Table_Leaks1_Input[[#This Row],[Pressure at leak (psig)]]=""),0,IF(Table_Leaks1_Input[[#This Row],[Pressure at leak (psig)]]&lt;20, 10, MROUND(Table_Leaks1_Input[[#This Row],[Pressure at leak (psig)]], 25)))</f>
        <v>0</v>
      </c>
      <c r="T112" s="126">
        <f>ROUND(Table_Leaks1_Input[[#This Row],[dB reading]],-1)</f>
        <v>0</v>
      </c>
      <c r="U112" s="127" t="str">
        <f>_xlfn.CONCAT(Table_Leaks1_Input[[#This Row],[Rounded dB Reading]],"psig ", Table_Leaks1_Input[[#This Row],[Rounded PSIG]],"db")</f>
        <v>0psig 0db</v>
      </c>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row>
    <row r="113" spans="1:46" x14ac:dyDescent="0.2">
      <c r="A113" s="75"/>
      <c r="B113" s="121">
        <v>108</v>
      </c>
      <c r="C113" s="128"/>
      <c r="D113" s="129"/>
      <c r="E113" s="130"/>
      <c r="F113" s="130"/>
      <c r="G113" s="130"/>
      <c r="H113" s="130"/>
      <c r="I113" s="131"/>
      <c r="J113" s="131"/>
      <c r="K113" s="122" t="str">
        <f>IFERROR(INDEX(TABLE_UE_dB[Leak Size (cfm)], MATCH(Table_Leaks1_Input[[#This Row],[Lookup Value]], TABLE_UE_dB[Lookup Value], 0)),"")</f>
        <v/>
      </c>
      <c r="L113" s="123" t="str">
        <f>IF(Table_Leaks1_Input[[#This Row],[Repaired (Y/N)]]="Yes", Value_LeakRepairIR, "")</f>
        <v/>
      </c>
      <c r="M113" s="124" t="str">
        <f>IFERROR(Table_Leaks1_Input[[#This Row],[Estimated leak size (cfm)]]*Value_WeightAvgCompEff*Value_SysAOH,"" )</f>
        <v/>
      </c>
      <c r="N113" s="125" t="str">
        <f>IFERROR(Table_Leaks1_Input[[#This Row],[Estimated leak size (cfm)]]*Value_WeightAvgCompEff,"" )</f>
        <v/>
      </c>
      <c r="O113" s="123" t="str">
        <f>IFERROR(Table_Leaks1_Input[[#This Row],[Energy savings (kWh)]]*Input_AvgkWhRate, "")</f>
        <v/>
      </c>
      <c r="P113" s="123" t="str">
        <f>IF(Table_Leaks1_Input[[#This Row],[Pressure at leak (psig)]]="", "",Table_Leaks1_Input[[#This Row],[Total equipment cost]]+Table_Leaks1_Input[[#This Row],[Total labor cost]])</f>
        <v/>
      </c>
      <c r="Q113" s="123" t="str">
        <f>IFERROR(Table_Leaks1_Input[[#This Row],[Gross measure cost]]-Table_Leaks1_Input[[#This Row],[Estimated incentive]], "")</f>
        <v/>
      </c>
      <c r="R113" s="124" t="str">
        <f t="shared" si="1"/>
        <v/>
      </c>
      <c r="S113" s="126">
        <f>IF(OR(Table_Leaks1_Input[[#This Row],[Pressure at leak (psig)]]=0, Table_Leaks1_Input[[#This Row],[Pressure at leak (psig)]]=""),0,IF(Table_Leaks1_Input[[#This Row],[Pressure at leak (psig)]]&lt;20, 10, MROUND(Table_Leaks1_Input[[#This Row],[Pressure at leak (psig)]], 25)))</f>
        <v>0</v>
      </c>
      <c r="T113" s="126">
        <f>ROUND(Table_Leaks1_Input[[#This Row],[dB reading]],-1)</f>
        <v>0</v>
      </c>
      <c r="U113" s="127" t="str">
        <f>_xlfn.CONCAT(Table_Leaks1_Input[[#This Row],[Rounded dB Reading]],"psig ", Table_Leaks1_Input[[#This Row],[Rounded PSIG]],"db")</f>
        <v>0psig 0db</v>
      </c>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row>
    <row r="114" spans="1:46" x14ac:dyDescent="0.2">
      <c r="A114" s="75"/>
      <c r="B114" s="121">
        <v>109</v>
      </c>
      <c r="C114" s="128"/>
      <c r="D114" s="129"/>
      <c r="E114" s="130"/>
      <c r="F114" s="130"/>
      <c r="G114" s="130"/>
      <c r="H114" s="130"/>
      <c r="I114" s="131"/>
      <c r="J114" s="131"/>
      <c r="K114" s="122" t="str">
        <f>IFERROR(INDEX(TABLE_UE_dB[Leak Size (cfm)], MATCH(Table_Leaks1_Input[[#This Row],[Lookup Value]], TABLE_UE_dB[Lookup Value], 0)),"")</f>
        <v/>
      </c>
      <c r="L114" s="123" t="str">
        <f>IF(Table_Leaks1_Input[[#This Row],[Repaired (Y/N)]]="Yes", Value_LeakRepairIR, "")</f>
        <v/>
      </c>
      <c r="M114" s="124" t="str">
        <f>IFERROR(Table_Leaks1_Input[[#This Row],[Estimated leak size (cfm)]]*Value_WeightAvgCompEff*Value_SysAOH,"" )</f>
        <v/>
      </c>
      <c r="N114" s="125" t="str">
        <f>IFERROR(Table_Leaks1_Input[[#This Row],[Estimated leak size (cfm)]]*Value_WeightAvgCompEff,"" )</f>
        <v/>
      </c>
      <c r="O114" s="123" t="str">
        <f>IFERROR(Table_Leaks1_Input[[#This Row],[Energy savings (kWh)]]*Input_AvgkWhRate, "")</f>
        <v/>
      </c>
      <c r="P114" s="123" t="str">
        <f>IF(Table_Leaks1_Input[[#This Row],[Pressure at leak (psig)]]="", "",Table_Leaks1_Input[[#This Row],[Total equipment cost]]+Table_Leaks1_Input[[#This Row],[Total labor cost]])</f>
        <v/>
      </c>
      <c r="Q114" s="123" t="str">
        <f>IFERROR(Table_Leaks1_Input[[#This Row],[Gross measure cost]]-Table_Leaks1_Input[[#This Row],[Estimated incentive]], "")</f>
        <v/>
      </c>
      <c r="R114" s="124" t="str">
        <f t="shared" si="1"/>
        <v/>
      </c>
      <c r="S114" s="126">
        <f>IF(OR(Table_Leaks1_Input[[#This Row],[Pressure at leak (psig)]]=0, Table_Leaks1_Input[[#This Row],[Pressure at leak (psig)]]=""),0,IF(Table_Leaks1_Input[[#This Row],[Pressure at leak (psig)]]&lt;20, 10, MROUND(Table_Leaks1_Input[[#This Row],[Pressure at leak (psig)]], 25)))</f>
        <v>0</v>
      </c>
      <c r="T114" s="126">
        <f>ROUND(Table_Leaks1_Input[[#This Row],[dB reading]],-1)</f>
        <v>0</v>
      </c>
      <c r="U114" s="127" t="str">
        <f>_xlfn.CONCAT(Table_Leaks1_Input[[#This Row],[Rounded dB Reading]],"psig ", Table_Leaks1_Input[[#This Row],[Rounded PSIG]],"db")</f>
        <v>0psig 0db</v>
      </c>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row>
    <row r="115" spans="1:46" x14ac:dyDescent="0.2">
      <c r="A115" s="75"/>
      <c r="B115" s="121">
        <v>110</v>
      </c>
      <c r="C115" s="128"/>
      <c r="D115" s="129"/>
      <c r="E115" s="130"/>
      <c r="F115" s="130"/>
      <c r="G115" s="130"/>
      <c r="H115" s="130"/>
      <c r="I115" s="131"/>
      <c r="J115" s="131"/>
      <c r="K115" s="122" t="str">
        <f>IFERROR(INDEX(TABLE_UE_dB[Leak Size (cfm)], MATCH(Table_Leaks1_Input[[#This Row],[Lookup Value]], TABLE_UE_dB[Lookup Value], 0)),"")</f>
        <v/>
      </c>
      <c r="L115" s="123" t="str">
        <f>IF(Table_Leaks1_Input[[#This Row],[Repaired (Y/N)]]="Yes", Value_LeakRepairIR, "")</f>
        <v/>
      </c>
      <c r="M115" s="124" t="str">
        <f>IFERROR(Table_Leaks1_Input[[#This Row],[Estimated leak size (cfm)]]*Value_WeightAvgCompEff*Value_SysAOH,"" )</f>
        <v/>
      </c>
      <c r="N115" s="125" t="str">
        <f>IFERROR(Table_Leaks1_Input[[#This Row],[Estimated leak size (cfm)]]*Value_WeightAvgCompEff,"" )</f>
        <v/>
      </c>
      <c r="O115" s="123" t="str">
        <f>IFERROR(Table_Leaks1_Input[[#This Row],[Energy savings (kWh)]]*Input_AvgkWhRate, "")</f>
        <v/>
      </c>
      <c r="P115" s="123" t="str">
        <f>IF(Table_Leaks1_Input[[#This Row],[Pressure at leak (psig)]]="", "",Table_Leaks1_Input[[#This Row],[Total equipment cost]]+Table_Leaks1_Input[[#This Row],[Total labor cost]])</f>
        <v/>
      </c>
      <c r="Q115" s="123" t="str">
        <f>IFERROR(Table_Leaks1_Input[[#This Row],[Gross measure cost]]-Table_Leaks1_Input[[#This Row],[Estimated incentive]], "")</f>
        <v/>
      </c>
      <c r="R115" s="124" t="str">
        <f t="shared" si="1"/>
        <v/>
      </c>
      <c r="S115" s="126">
        <f>IF(OR(Table_Leaks1_Input[[#This Row],[Pressure at leak (psig)]]=0, Table_Leaks1_Input[[#This Row],[Pressure at leak (psig)]]=""),0,IF(Table_Leaks1_Input[[#This Row],[Pressure at leak (psig)]]&lt;20, 10, MROUND(Table_Leaks1_Input[[#This Row],[Pressure at leak (psig)]], 25)))</f>
        <v>0</v>
      </c>
      <c r="T115" s="126">
        <f>ROUND(Table_Leaks1_Input[[#This Row],[dB reading]],-1)</f>
        <v>0</v>
      </c>
      <c r="U115" s="127" t="str">
        <f>_xlfn.CONCAT(Table_Leaks1_Input[[#This Row],[Rounded dB Reading]],"psig ", Table_Leaks1_Input[[#This Row],[Rounded PSIG]],"db")</f>
        <v>0psig 0db</v>
      </c>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row>
    <row r="116" spans="1:46" x14ac:dyDescent="0.2">
      <c r="A116" s="75"/>
      <c r="B116" s="121">
        <v>111</v>
      </c>
      <c r="C116" s="128"/>
      <c r="D116" s="129"/>
      <c r="E116" s="130"/>
      <c r="F116" s="130"/>
      <c r="G116" s="130"/>
      <c r="H116" s="130"/>
      <c r="I116" s="131"/>
      <c r="J116" s="131"/>
      <c r="K116" s="122" t="str">
        <f>IFERROR(INDEX(TABLE_UE_dB[Leak Size (cfm)], MATCH(Table_Leaks1_Input[[#This Row],[Lookup Value]], TABLE_UE_dB[Lookup Value], 0)),"")</f>
        <v/>
      </c>
      <c r="L116" s="123" t="str">
        <f>IF(Table_Leaks1_Input[[#This Row],[Repaired (Y/N)]]="Yes", Value_LeakRepairIR, "")</f>
        <v/>
      </c>
      <c r="M116" s="124" t="str">
        <f>IFERROR(Table_Leaks1_Input[[#This Row],[Estimated leak size (cfm)]]*Value_WeightAvgCompEff*Value_SysAOH,"" )</f>
        <v/>
      </c>
      <c r="N116" s="125" t="str">
        <f>IFERROR(Table_Leaks1_Input[[#This Row],[Estimated leak size (cfm)]]*Value_WeightAvgCompEff,"" )</f>
        <v/>
      </c>
      <c r="O116" s="123" t="str">
        <f>IFERROR(Table_Leaks1_Input[[#This Row],[Energy savings (kWh)]]*Input_AvgkWhRate, "")</f>
        <v/>
      </c>
      <c r="P116" s="123" t="str">
        <f>IF(Table_Leaks1_Input[[#This Row],[Pressure at leak (psig)]]="", "",Table_Leaks1_Input[[#This Row],[Total equipment cost]]+Table_Leaks1_Input[[#This Row],[Total labor cost]])</f>
        <v/>
      </c>
      <c r="Q116" s="123" t="str">
        <f>IFERROR(Table_Leaks1_Input[[#This Row],[Gross measure cost]]-Table_Leaks1_Input[[#This Row],[Estimated incentive]], "")</f>
        <v/>
      </c>
      <c r="R116" s="124" t="str">
        <f t="shared" si="1"/>
        <v/>
      </c>
      <c r="S116" s="126">
        <f>IF(OR(Table_Leaks1_Input[[#This Row],[Pressure at leak (psig)]]=0, Table_Leaks1_Input[[#This Row],[Pressure at leak (psig)]]=""),0,IF(Table_Leaks1_Input[[#This Row],[Pressure at leak (psig)]]&lt;20, 10, MROUND(Table_Leaks1_Input[[#This Row],[Pressure at leak (psig)]], 25)))</f>
        <v>0</v>
      </c>
      <c r="T116" s="126">
        <f>ROUND(Table_Leaks1_Input[[#This Row],[dB reading]],-1)</f>
        <v>0</v>
      </c>
      <c r="U116" s="127" t="str">
        <f>_xlfn.CONCAT(Table_Leaks1_Input[[#This Row],[Rounded dB Reading]],"psig ", Table_Leaks1_Input[[#This Row],[Rounded PSIG]],"db")</f>
        <v>0psig 0db</v>
      </c>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row>
    <row r="117" spans="1:46" x14ac:dyDescent="0.2">
      <c r="A117" s="75"/>
      <c r="B117" s="121">
        <v>112</v>
      </c>
      <c r="C117" s="128"/>
      <c r="D117" s="129"/>
      <c r="E117" s="130"/>
      <c r="F117" s="130"/>
      <c r="G117" s="130"/>
      <c r="H117" s="130"/>
      <c r="I117" s="131"/>
      <c r="J117" s="131"/>
      <c r="K117" s="122" t="str">
        <f>IFERROR(INDEX(TABLE_UE_dB[Leak Size (cfm)], MATCH(Table_Leaks1_Input[[#This Row],[Lookup Value]], TABLE_UE_dB[Lookup Value], 0)),"")</f>
        <v/>
      </c>
      <c r="L117" s="123" t="str">
        <f>IF(Table_Leaks1_Input[[#This Row],[Repaired (Y/N)]]="Yes", Value_LeakRepairIR, "")</f>
        <v/>
      </c>
      <c r="M117" s="124" t="str">
        <f>IFERROR(Table_Leaks1_Input[[#This Row],[Estimated leak size (cfm)]]*Value_WeightAvgCompEff*Value_SysAOH,"" )</f>
        <v/>
      </c>
      <c r="N117" s="125" t="str">
        <f>IFERROR(Table_Leaks1_Input[[#This Row],[Estimated leak size (cfm)]]*Value_WeightAvgCompEff,"" )</f>
        <v/>
      </c>
      <c r="O117" s="123" t="str">
        <f>IFERROR(Table_Leaks1_Input[[#This Row],[Energy savings (kWh)]]*Input_AvgkWhRate, "")</f>
        <v/>
      </c>
      <c r="P117" s="123" t="str">
        <f>IF(Table_Leaks1_Input[[#This Row],[Pressure at leak (psig)]]="", "",Table_Leaks1_Input[[#This Row],[Total equipment cost]]+Table_Leaks1_Input[[#This Row],[Total labor cost]])</f>
        <v/>
      </c>
      <c r="Q117" s="123" t="str">
        <f>IFERROR(Table_Leaks1_Input[[#This Row],[Gross measure cost]]-Table_Leaks1_Input[[#This Row],[Estimated incentive]], "")</f>
        <v/>
      </c>
      <c r="R117" s="124" t="str">
        <f t="shared" si="1"/>
        <v/>
      </c>
      <c r="S117" s="126">
        <f>IF(OR(Table_Leaks1_Input[[#This Row],[Pressure at leak (psig)]]=0, Table_Leaks1_Input[[#This Row],[Pressure at leak (psig)]]=""),0,IF(Table_Leaks1_Input[[#This Row],[Pressure at leak (psig)]]&lt;20, 10, MROUND(Table_Leaks1_Input[[#This Row],[Pressure at leak (psig)]], 25)))</f>
        <v>0</v>
      </c>
      <c r="T117" s="126">
        <f>ROUND(Table_Leaks1_Input[[#This Row],[dB reading]],-1)</f>
        <v>0</v>
      </c>
      <c r="U117" s="127" t="str">
        <f>_xlfn.CONCAT(Table_Leaks1_Input[[#This Row],[Rounded dB Reading]],"psig ", Table_Leaks1_Input[[#This Row],[Rounded PSIG]],"db")</f>
        <v>0psig 0db</v>
      </c>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row>
    <row r="118" spans="1:46" x14ac:dyDescent="0.2">
      <c r="A118" s="75"/>
      <c r="B118" s="121">
        <v>113</v>
      </c>
      <c r="C118" s="128"/>
      <c r="D118" s="129"/>
      <c r="E118" s="130"/>
      <c r="F118" s="130"/>
      <c r="G118" s="130"/>
      <c r="H118" s="130"/>
      <c r="I118" s="131"/>
      <c r="J118" s="131"/>
      <c r="K118" s="122" t="str">
        <f>IFERROR(INDEX(TABLE_UE_dB[Leak Size (cfm)], MATCH(Table_Leaks1_Input[[#This Row],[Lookup Value]], TABLE_UE_dB[Lookup Value], 0)),"")</f>
        <v/>
      </c>
      <c r="L118" s="123" t="str">
        <f>IF(Table_Leaks1_Input[[#This Row],[Repaired (Y/N)]]="Yes", Value_LeakRepairIR, "")</f>
        <v/>
      </c>
      <c r="M118" s="124" t="str">
        <f>IFERROR(Table_Leaks1_Input[[#This Row],[Estimated leak size (cfm)]]*Value_WeightAvgCompEff*Value_SysAOH,"" )</f>
        <v/>
      </c>
      <c r="N118" s="125" t="str">
        <f>IFERROR(Table_Leaks1_Input[[#This Row],[Estimated leak size (cfm)]]*Value_WeightAvgCompEff,"" )</f>
        <v/>
      </c>
      <c r="O118" s="123" t="str">
        <f>IFERROR(Table_Leaks1_Input[[#This Row],[Energy savings (kWh)]]*Input_AvgkWhRate, "")</f>
        <v/>
      </c>
      <c r="P118" s="123" t="str">
        <f>IF(Table_Leaks1_Input[[#This Row],[Pressure at leak (psig)]]="", "",Table_Leaks1_Input[[#This Row],[Total equipment cost]]+Table_Leaks1_Input[[#This Row],[Total labor cost]])</f>
        <v/>
      </c>
      <c r="Q118" s="123" t="str">
        <f>IFERROR(Table_Leaks1_Input[[#This Row],[Gross measure cost]]-Table_Leaks1_Input[[#This Row],[Estimated incentive]], "")</f>
        <v/>
      </c>
      <c r="R118" s="124" t="str">
        <f t="shared" si="1"/>
        <v/>
      </c>
      <c r="S118" s="126">
        <f>IF(OR(Table_Leaks1_Input[[#This Row],[Pressure at leak (psig)]]=0, Table_Leaks1_Input[[#This Row],[Pressure at leak (psig)]]=""),0,IF(Table_Leaks1_Input[[#This Row],[Pressure at leak (psig)]]&lt;20, 10, MROUND(Table_Leaks1_Input[[#This Row],[Pressure at leak (psig)]], 25)))</f>
        <v>0</v>
      </c>
      <c r="T118" s="126">
        <f>ROUND(Table_Leaks1_Input[[#This Row],[dB reading]],-1)</f>
        <v>0</v>
      </c>
      <c r="U118" s="127" t="str">
        <f>_xlfn.CONCAT(Table_Leaks1_Input[[#This Row],[Rounded dB Reading]],"psig ", Table_Leaks1_Input[[#This Row],[Rounded PSIG]],"db")</f>
        <v>0psig 0db</v>
      </c>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row>
    <row r="119" spans="1:46" x14ac:dyDescent="0.2">
      <c r="A119" s="75"/>
      <c r="B119" s="121">
        <v>114</v>
      </c>
      <c r="C119" s="128"/>
      <c r="D119" s="129"/>
      <c r="E119" s="130"/>
      <c r="F119" s="130"/>
      <c r="G119" s="130"/>
      <c r="H119" s="130"/>
      <c r="I119" s="131"/>
      <c r="J119" s="131"/>
      <c r="K119" s="122" t="str">
        <f>IFERROR(INDEX(TABLE_UE_dB[Leak Size (cfm)], MATCH(Table_Leaks1_Input[[#This Row],[Lookup Value]], TABLE_UE_dB[Lookup Value], 0)),"")</f>
        <v/>
      </c>
      <c r="L119" s="123" t="str">
        <f>IF(Table_Leaks1_Input[[#This Row],[Repaired (Y/N)]]="Yes", Value_LeakRepairIR, "")</f>
        <v/>
      </c>
      <c r="M119" s="124" t="str">
        <f>IFERROR(Table_Leaks1_Input[[#This Row],[Estimated leak size (cfm)]]*Value_WeightAvgCompEff*Value_SysAOH,"" )</f>
        <v/>
      </c>
      <c r="N119" s="125" t="str">
        <f>IFERROR(Table_Leaks1_Input[[#This Row],[Estimated leak size (cfm)]]*Value_WeightAvgCompEff,"" )</f>
        <v/>
      </c>
      <c r="O119" s="123" t="str">
        <f>IFERROR(Table_Leaks1_Input[[#This Row],[Energy savings (kWh)]]*Input_AvgkWhRate, "")</f>
        <v/>
      </c>
      <c r="P119" s="123" t="str">
        <f>IF(Table_Leaks1_Input[[#This Row],[Pressure at leak (psig)]]="", "",Table_Leaks1_Input[[#This Row],[Total equipment cost]]+Table_Leaks1_Input[[#This Row],[Total labor cost]])</f>
        <v/>
      </c>
      <c r="Q119" s="123" t="str">
        <f>IFERROR(Table_Leaks1_Input[[#This Row],[Gross measure cost]]-Table_Leaks1_Input[[#This Row],[Estimated incentive]], "")</f>
        <v/>
      </c>
      <c r="R119" s="124" t="str">
        <f t="shared" si="1"/>
        <v/>
      </c>
      <c r="S119" s="126">
        <f>IF(OR(Table_Leaks1_Input[[#This Row],[Pressure at leak (psig)]]=0, Table_Leaks1_Input[[#This Row],[Pressure at leak (psig)]]=""),0,IF(Table_Leaks1_Input[[#This Row],[Pressure at leak (psig)]]&lt;20, 10, MROUND(Table_Leaks1_Input[[#This Row],[Pressure at leak (psig)]], 25)))</f>
        <v>0</v>
      </c>
      <c r="T119" s="126">
        <f>ROUND(Table_Leaks1_Input[[#This Row],[dB reading]],-1)</f>
        <v>0</v>
      </c>
      <c r="U119" s="127" t="str">
        <f>_xlfn.CONCAT(Table_Leaks1_Input[[#This Row],[Rounded dB Reading]],"psig ", Table_Leaks1_Input[[#This Row],[Rounded PSIG]],"db")</f>
        <v>0psig 0db</v>
      </c>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row>
    <row r="120" spans="1:46" x14ac:dyDescent="0.2">
      <c r="A120" s="75"/>
      <c r="B120" s="121">
        <v>115</v>
      </c>
      <c r="C120" s="128"/>
      <c r="D120" s="129"/>
      <c r="E120" s="130"/>
      <c r="F120" s="130"/>
      <c r="G120" s="130"/>
      <c r="H120" s="130"/>
      <c r="I120" s="131"/>
      <c r="J120" s="131"/>
      <c r="K120" s="122" t="str">
        <f>IFERROR(INDEX(TABLE_UE_dB[Leak Size (cfm)], MATCH(Table_Leaks1_Input[[#This Row],[Lookup Value]], TABLE_UE_dB[Lookup Value], 0)),"")</f>
        <v/>
      </c>
      <c r="L120" s="123" t="str">
        <f>IF(Table_Leaks1_Input[[#This Row],[Repaired (Y/N)]]="Yes", Value_LeakRepairIR, "")</f>
        <v/>
      </c>
      <c r="M120" s="124" t="str">
        <f>IFERROR(Table_Leaks1_Input[[#This Row],[Estimated leak size (cfm)]]*Value_WeightAvgCompEff*Value_SysAOH,"" )</f>
        <v/>
      </c>
      <c r="N120" s="125" t="str">
        <f>IFERROR(Table_Leaks1_Input[[#This Row],[Estimated leak size (cfm)]]*Value_WeightAvgCompEff,"" )</f>
        <v/>
      </c>
      <c r="O120" s="123" t="str">
        <f>IFERROR(Table_Leaks1_Input[[#This Row],[Energy savings (kWh)]]*Input_AvgkWhRate, "")</f>
        <v/>
      </c>
      <c r="P120" s="123" t="str">
        <f>IF(Table_Leaks1_Input[[#This Row],[Pressure at leak (psig)]]="", "",Table_Leaks1_Input[[#This Row],[Total equipment cost]]+Table_Leaks1_Input[[#This Row],[Total labor cost]])</f>
        <v/>
      </c>
      <c r="Q120" s="123" t="str">
        <f>IFERROR(Table_Leaks1_Input[[#This Row],[Gross measure cost]]-Table_Leaks1_Input[[#This Row],[Estimated incentive]], "")</f>
        <v/>
      </c>
      <c r="R120" s="124" t="str">
        <f t="shared" si="1"/>
        <v/>
      </c>
      <c r="S120" s="126">
        <f>IF(OR(Table_Leaks1_Input[[#This Row],[Pressure at leak (psig)]]=0, Table_Leaks1_Input[[#This Row],[Pressure at leak (psig)]]=""),0,IF(Table_Leaks1_Input[[#This Row],[Pressure at leak (psig)]]&lt;20, 10, MROUND(Table_Leaks1_Input[[#This Row],[Pressure at leak (psig)]], 25)))</f>
        <v>0</v>
      </c>
      <c r="T120" s="126">
        <f>ROUND(Table_Leaks1_Input[[#This Row],[dB reading]],-1)</f>
        <v>0</v>
      </c>
      <c r="U120" s="127" t="str">
        <f>_xlfn.CONCAT(Table_Leaks1_Input[[#This Row],[Rounded dB Reading]],"psig ", Table_Leaks1_Input[[#This Row],[Rounded PSIG]],"db")</f>
        <v>0psig 0db</v>
      </c>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row>
    <row r="121" spans="1:46" x14ac:dyDescent="0.2">
      <c r="A121" s="75"/>
      <c r="B121" s="121">
        <v>116</v>
      </c>
      <c r="C121" s="128"/>
      <c r="D121" s="129"/>
      <c r="E121" s="130"/>
      <c r="F121" s="130"/>
      <c r="G121" s="130"/>
      <c r="H121" s="130"/>
      <c r="I121" s="131"/>
      <c r="J121" s="131"/>
      <c r="K121" s="122" t="str">
        <f>IFERROR(INDEX(TABLE_UE_dB[Leak Size (cfm)], MATCH(Table_Leaks1_Input[[#This Row],[Lookup Value]], TABLE_UE_dB[Lookup Value], 0)),"")</f>
        <v/>
      </c>
      <c r="L121" s="123" t="str">
        <f>IF(Table_Leaks1_Input[[#This Row],[Repaired (Y/N)]]="Yes", Value_LeakRepairIR, "")</f>
        <v/>
      </c>
      <c r="M121" s="124" t="str">
        <f>IFERROR(Table_Leaks1_Input[[#This Row],[Estimated leak size (cfm)]]*Value_WeightAvgCompEff*Value_SysAOH,"" )</f>
        <v/>
      </c>
      <c r="N121" s="125" t="str">
        <f>IFERROR(Table_Leaks1_Input[[#This Row],[Estimated leak size (cfm)]]*Value_WeightAvgCompEff,"" )</f>
        <v/>
      </c>
      <c r="O121" s="123" t="str">
        <f>IFERROR(Table_Leaks1_Input[[#This Row],[Energy savings (kWh)]]*Input_AvgkWhRate, "")</f>
        <v/>
      </c>
      <c r="P121" s="123" t="str">
        <f>IF(Table_Leaks1_Input[[#This Row],[Pressure at leak (psig)]]="", "",Table_Leaks1_Input[[#This Row],[Total equipment cost]]+Table_Leaks1_Input[[#This Row],[Total labor cost]])</f>
        <v/>
      </c>
      <c r="Q121" s="123" t="str">
        <f>IFERROR(Table_Leaks1_Input[[#This Row],[Gross measure cost]]-Table_Leaks1_Input[[#This Row],[Estimated incentive]], "")</f>
        <v/>
      </c>
      <c r="R121" s="124" t="str">
        <f t="shared" si="1"/>
        <v/>
      </c>
      <c r="S121" s="126">
        <f>IF(OR(Table_Leaks1_Input[[#This Row],[Pressure at leak (psig)]]=0, Table_Leaks1_Input[[#This Row],[Pressure at leak (psig)]]=""),0,IF(Table_Leaks1_Input[[#This Row],[Pressure at leak (psig)]]&lt;20, 10, MROUND(Table_Leaks1_Input[[#This Row],[Pressure at leak (psig)]], 25)))</f>
        <v>0</v>
      </c>
      <c r="T121" s="126">
        <f>ROUND(Table_Leaks1_Input[[#This Row],[dB reading]],-1)</f>
        <v>0</v>
      </c>
      <c r="U121" s="127" t="str">
        <f>_xlfn.CONCAT(Table_Leaks1_Input[[#This Row],[Rounded dB Reading]],"psig ", Table_Leaks1_Input[[#This Row],[Rounded PSIG]],"db")</f>
        <v>0psig 0db</v>
      </c>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row>
    <row r="122" spans="1:46" x14ac:dyDescent="0.2">
      <c r="A122" s="75"/>
      <c r="B122" s="121">
        <v>117</v>
      </c>
      <c r="C122" s="128"/>
      <c r="D122" s="129"/>
      <c r="E122" s="130"/>
      <c r="F122" s="130"/>
      <c r="G122" s="130"/>
      <c r="H122" s="130"/>
      <c r="I122" s="131"/>
      <c r="J122" s="131"/>
      <c r="K122" s="122" t="str">
        <f>IFERROR(INDEX(TABLE_UE_dB[Leak Size (cfm)], MATCH(Table_Leaks1_Input[[#This Row],[Lookup Value]], TABLE_UE_dB[Lookup Value], 0)),"")</f>
        <v/>
      </c>
      <c r="L122" s="123" t="str">
        <f>IF(Table_Leaks1_Input[[#This Row],[Repaired (Y/N)]]="Yes", Value_LeakRepairIR, "")</f>
        <v/>
      </c>
      <c r="M122" s="124" t="str">
        <f>IFERROR(Table_Leaks1_Input[[#This Row],[Estimated leak size (cfm)]]*Value_WeightAvgCompEff*Value_SysAOH,"" )</f>
        <v/>
      </c>
      <c r="N122" s="125" t="str">
        <f>IFERROR(Table_Leaks1_Input[[#This Row],[Estimated leak size (cfm)]]*Value_WeightAvgCompEff,"" )</f>
        <v/>
      </c>
      <c r="O122" s="123" t="str">
        <f>IFERROR(Table_Leaks1_Input[[#This Row],[Energy savings (kWh)]]*Input_AvgkWhRate, "")</f>
        <v/>
      </c>
      <c r="P122" s="123" t="str">
        <f>IF(Table_Leaks1_Input[[#This Row],[Pressure at leak (psig)]]="", "",Table_Leaks1_Input[[#This Row],[Total equipment cost]]+Table_Leaks1_Input[[#This Row],[Total labor cost]])</f>
        <v/>
      </c>
      <c r="Q122" s="123" t="str">
        <f>IFERROR(Table_Leaks1_Input[[#This Row],[Gross measure cost]]-Table_Leaks1_Input[[#This Row],[Estimated incentive]], "")</f>
        <v/>
      </c>
      <c r="R122" s="124" t="str">
        <f t="shared" si="1"/>
        <v/>
      </c>
      <c r="S122" s="126">
        <f>IF(OR(Table_Leaks1_Input[[#This Row],[Pressure at leak (psig)]]=0, Table_Leaks1_Input[[#This Row],[Pressure at leak (psig)]]=""),0,IF(Table_Leaks1_Input[[#This Row],[Pressure at leak (psig)]]&lt;20, 10, MROUND(Table_Leaks1_Input[[#This Row],[Pressure at leak (psig)]], 25)))</f>
        <v>0</v>
      </c>
      <c r="T122" s="126">
        <f>ROUND(Table_Leaks1_Input[[#This Row],[dB reading]],-1)</f>
        <v>0</v>
      </c>
      <c r="U122" s="127" t="str">
        <f>_xlfn.CONCAT(Table_Leaks1_Input[[#This Row],[Rounded dB Reading]],"psig ", Table_Leaks1_Input[[#This Row],[Rounded PSIG]],"db")</f>
        <v>0psig 0db</v>
      </c>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row>
    <row r="123" spans="1:46" x14ac:dyDescent="0.2">
      <c r="A123" s="75"/>
      <c r="B123" s="121">
        <v>118</v>
      </c>
      <c r="C123" s="128"/>
      <c r="D123" s="129"/>
      <c r="E123" s="130"/>
      <c r="F123" s="130"/>
      <c r="G123" s="130"/>
      <c r="H123" s="130"/>
      <c r="I123" s="131"/>
      <c r="J123" s="131"/>
      <c r="K123" s="122" t="str">
        <f>IFERROR(INDEX(TABLE_UE_dB[Leak Size (cfm)], MATCH(Table_Leaks1_Input[[#This Row],[Lookup Value]], TABLE_UE_dB[Lookup Value], 0)),"")</f>
        <v/>
      </c>
      <c r="L123" s="123" t="str">
        <f>IF(Table_Leaks1_Input[[#This Row],[Repaired (Y/N)]]="Yes", Value_LeakRepairIR, "")</f>
        <v/>
      </c>
      <c r="M123" s="124" t="str">
        <f>IFERROR(Table_Leaks1_Input[[#This Row],[Estimated leak size (cfm)]]*Value_WeightAvgCompEff*Value_SysAOH,"" )</f>
        <v/>
      </c>
      <c r="N123" s="125" t="str">
        <f>IFERROR(Table_Leaks1_Input[[#This Row],[Estimated leak size (cfm)]]*Value_WeightAvgCompEff,"" )</f>
        <v/>
      </c>
      <c r="O123" s="123" t="str">
        <f>IFERROR(Table_Leaks1_Input[[#This Row],[Energy savings (kWh)]]*Input_AvgkWhRate, "")</f>
        <v/>
      </c>
      <c r="P123" s="123" t="str">
        <f>IF(Table_Leaks1_Input[[#This Row],[Pressure at leak (psig)]]="", "",Table_Leaks1_Input[[#This Row],[Total equipment cost]]+Table_Leaks1_Input[[#This Row],[Total labor cost]])</f>
        <v/>
      </c>
      <c r="Q123" s="123" t="str">
        <f>IFERROR(Table_Leaks1_Input[[#This Row],[Gross measure cost]]-Table_Leaks1_Input[[#This Row],[Estimated incentive]], "")</f>
        <v/>
      </c>
      <c r="R123" s="124" t="str">
        <f t="shared" si="1"/>
        <v/>
      </c>
      <c r="S123" s="126">
        <f>IF(OR(Table_Leaks1_Input[[#This Row],[Pressure at leak (psig)]]=0, Table_Leaks1_Input[[#This Row],[Pressure at leak (psig)]]=""),0,IF(Table_Leaks1_Input[[#This Row],[Pressure at leak (psig)]]&lt;20, 10, MROUND(Table_Leaks1_Input[[#This Row],[Pressure at leak (psig)]], 25)))</f>
        <v>0</v>
      </c>
      <c r="T123" s="126">
        <f>ROUND(Table_Leaks1_Input[[#This Row],[dB reading]],-1)</f>
        <v>0</v>
      </c>
      <c r="U123" s="127" t="str">
        <f>_xlfn.CONCAT(Table_Leaks1_Input[[#This Row],[Rounded dB Reading]],"psig ", Table_Leaks1_Input[[#This Row],[Rounded PSIG]],"db")</f>
        <v>0psig 0db</v>
      </c>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row>
    <row r="124" spans="1:46" x14ac:dyDescent="0.2">
      <c r="A124" s="75"/>
      <c r="B124" s="121">
        <v>119</v>
      </c>
      <c r="C124" s="128"/>
      <c r="D124" s="129"/>
      <c r="E124" s="130"/>
      <c r="F124" s="130"/>
      <c r="G124" s="130"/>
      <c r="H124" s="130"/>
      <c r="I124" s="131"/>
      <c r="J124" s="131"/>
      <c r="K124" s="122" t="str">
        <f>IFERROR(INDEX(TABLE_UE_dB[Leak Size (cfm)], MATCH(Table_Leaks1_Input[[#This Row],[Lookup Value]], TABLE_UE_dB[Lookup Value], 0)),"")</f>
        <v/>
      </c>
      <c r="L124" s="123" t="str">
        <f>IF(Table_Leaks1_Input[[#This Row],[Repaired (Y/N)]]="Yes", Value_LeakRepairIR, "")</f>
        <v/>
      </c>
      <c r="M124" s="124" t="str">
        <f>IFERROR(Table_Leaks1_Input[[#This Row],[Estimated leak size (cfm)]]*Value_WeightAvgCompEff*Value_SysAOH,"" )</f>
        <v/>
      </c>
      <c r="N124" s="125" t="str">
        <f>IFERROR(Table_Leaks1_Input[[#This Row],[Estimated leak size (cfm)]]*Value_WeightAvgCompEff,"" )</f>
        <v/>
      </c>
      <c r="O124" s="123" t="str">
        <f>IFERROR(Table_Leaks1_Input[[#This Row],[Energy savings (kWh)]]*Input_AvgkWhRate, "")</f>
        <v/>
      </c>
      <c r="P124" s="123" t="str">
        <f>IF(Table_Leaks1_Input[[#This Row],[Pressure at leak (psig)]]="", "",Table_Leaks1_Input[[#This Row],[Total equipment cost]]+Table_Leaks1_Input[[#This Row],[Total labor cost]])</f>
        <v/>
      </c>
      <c r="Q124" s="123" t="str">
        <f>IFERROR(Table_Leaks1_Input[[#This Row],[Gross measure cost]]-Table_Leaks1_Input[[#This Row],[Estimated incentive]], "")</f>
        <v/>
      </c>
      <c r="R124" s="124" t="str">
        <f t="shared" si="1"/>
        <v/>
      </c>
      <c r="S124" s="126">
        <f>IF(OR(Table_Leaks1_Input[[#This Row],[Pressure at leak (psig)]]=0, Table_Leaks1_Input[[#This Row],[Pressure at leak (psig)]]=""),0,IF(Table_Leaks1_Input[[#This Row],[Pressure at leak (psig)]]&lt;20, 10, MROUND(Table_Leaks1_Input[[#This Row],[Pressure at leak (psig)]], 25)))</f>
        <v>0</v>
      </c>
      <c r="T124" s="126">
        <f>ROUND(Table_Leaks1_Input[[#This Row],[dB reading]],-1)</f>
        <v>0</v>
      </c>
      <c r="U124" s="127" t="str">
        <f>_xlfn.CONCAT(Table_Leaks1_Input[[#This Row],[Rounded dB Reading]],"psig ", Table_Leaks1_Input[[#This Row],[Rounded PSIG]],"db")</f>
        <v>0psig 0db</v>
      </c>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row>
    <row r="125" spans="1:46" x14ac:dyDescent="0.2">
      <c r="A125" s="75"/>
      <c r="B125" s="121">
        <v>120</v>
      </c>
      <c r="C125" s="128"/>
      <c r="D125" s="129"/>
      <c r="E125" s="130"/>
      <c r="F125" s="130"/>
      <c r="G125" s="130"/>
      <c r="H125" s="130"/>
      <c r="I125" s="131"/>
      <c r="J125" s="131"/>
      <c r="K125" s="122" t="str">
        <f>IFERROR(INDEX(TABLE_UE_dB[Leak Size (cfm)], MATCH(Table_Leaks1_Input[[#This Row],[Lookup Value]], TABLE_UE_dB[Lookup Value], 0)),"")</f>
        <v/>
      </c>
      <c r="L125" s="123" t="str">
        <f>IF(Table_Leaks1_Input[[#This Row],[Repaired (Y/N)]]="Yes", Value_LeakRepairIR, "")</f>
        <v/>
      </c>
      <c r="M125" s="124" t="str">
        <f>IFERROR(Table_Leaks1_Input[[#This Row],[Estimated leak size (cfm)]]*Value_WeightAvgCompEff*Value_SysAOH,"" )</f>
        <v/>
      </c>
      <c r="N125" s="125" t="str">
        <f>IFERROR(Table_Leaks1_Input[[#This Row],[Estimated leak size (cfm)]]*Value_WeightAvgCompEff,"" )</f>
        <v/>
      </c>
      <c r="O125" s="123" t="str">
        <f>IFERROR(Table_Leaks1_Input[[#This Row],[Energy savings (kWh)]]*Input_AvgkWhRate, "")</f>
        <v/>
      </c>
      <c r="P125" s="123" t="str">
        <f>IF(Table_Leaks1_Input[[#This Row],[Pressure at leak (psig)]]="", "",Table_Leaks1_Input[[#This Row],[Total equipment cost]]+Table_Leaks1_Input[[#This Row],[Total labor cost]])</f>
        <v/>
      </c>
      <c r="Q125" s="123" t="str">
        <f>IFERROR(Table_Leaks1_Input[[#This Row],[Gross measure cost]]-Table_Leaks1_Input[[#This Row],[Estimated incentive]], "")</f>
        <v/>
      </c>
      <c r="R125" s="124" t="str">
        <f t="shared" si="1"/>
        <v/>
      </c>
      <c r="S125" s="126">
        <f>IF(OR(Table_Leaks1_Input[[#This Row],[Pressure at leak (psig)]]=0, Table_Leaks1_Input[[#This Row],[Pressure at leak (psig)]]=""),0,IF(Table_Leaks1_Input[[#This Row],[Pressure at leak (psig)]]&lt;20, 10, MROUND(Table_Leaks1_Input[[#This Row],[Pressure at leak (psig)]], 25)))</f>
        <v>0</v>
      </c>
      <c r="T125" s="126">
        <f>ROUND(Table_Leaks1_Input[[#This Row],[dB reading]],-1)</f>
        <v>0</v>
      </c>
      <c r="U125" s="127" t="str">
        <f>_xlfn.CONCAT(Table_Leaks1_Input[[#This Row],[Rounded dB Reading]],"psig ", Table_Leaks1_Input[[#This Row],[Rounded PSIG]],"db")</f>
        <v>0psig 0db</v>
      </c>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row>
    <row r="126" spans="1:46" x14ac:dyDescent="0.2">
      <c r="A126" s="75"/>
      <c r="B126" s="121">
        <v>121</v>
      </c>
      <c r="C126" s="128"/>
      <c r="D126" s="129"/>
      <c r="E126" s="130"/>
      <c r="F126" s="130"/>
      <c r="G126" s="130"/>
      <c r="H126" s="130"/>
      <c r="I126" s="131"/>
      <c r="J126" s="131"/>
      <c r="K126" s="122" t="str">
        <f>IFERROR(INDEX(TABLE_UE_dB[Leak Size (cfm)], MATCH(Table_Leaks1_Input[[#This Row],[Lookup Value]], TABLE_UE_dB[Lookup Value], 0)),"")</f>
        <v/>
      </c>
      <c r="L126" s="123" t="str">
        <f>IF(Table_Leaks1_Input[[#This Row],[Repaired (Y/N)]]="Yes", Value_LeakRepairIR, "")</f>
        <v/>
      </c>
      <c r="M126" s="124" t="str">
        <f>IFERROR(Table_Leaks1_Input[[#This Row],[Estimated leak size (cfm)]]*Value_WeightAvgCompEff*Value_SysAOH,"" )</f>
        <v/>
      </c>
      <c r="N126" s="125" t="str">
        <f>IFERROR(Table_Leaks1_Input[[#This Row],[Estimated leak size (cfm)]]*Value_WeightAvgCompEff,"" )</f>
        <v/>
      </c>
      <c r="O126" s="123" t="str">
        <f>IFERROR(Table_Leaks1_Input[[#This Row],[Energy savings (kWh)]]*Input_AvgkWhRate, "")</f>
        <v/>
      </c>
      <c r="P126" s="123" t="str">
        <f>IF(Table_Leaks1_Input[[#This Row],[Pressure at leak (psig)]]="", "",Table_Leaks1_Input[[#This Row],[Total equipment cost]]+Table_Leaks1_Input[[#This Row],[Total labor cost]])</f>
        <v/>
      </c>
      <c r="Q126" s="123" t="str">
        <f>IFERROR(Table_Leaks1_Input[[#This Row],[Gross measure cost]]-Table_Leaks1_Input[[#This Row],[Estimated incentive]], "")</f>
        <v/>
      </c>
      <c r="R126" s="124" t="str">
        <f t="shared" si="1"/>
        <v/>
      </c>
      <c r="S126" s="126">
        <f>IF(OR(Table_Leaks1_Input[[#This Row],[Pressure at leak (psig)]]=0, Table_Leaks1_Input[[#This Row],[Pressure at leak (psig)]]=""),0,IF(Table_Leaks1_Input[[#This Row],[Pressure at leak (psig)]]&lt;20, 10, MROUND(Table_Leaks1_Input[[#This Row],[Pressure at leak (psig)]], 25)))</f>
        <v>0</v>
      </c>
      <c r="T126" s="126">
        <f>ROUND(Table_Leaks1_Input[[#This Row],[dB reading]],-1)</f>
        <v>0</v>
      </c>
      <c r="U126" s="127" t="str">
        <f>_xlfn.CONCAT(Table_Leaks1_Input[[#This Row],[Rounded dB Reading]],"psig ", Table_Leaks1_Input[[#This Row],[Rounded PSIG]],"db")</f>
        <v>0psig 0db</v>
      </c>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row>
    <row r="127" spans="1:46" x14ac:dyDescent="0.2">
      <c r="A127" s="75"/>
      <c r="B127" s="121">
        <v>122</v>
      </c>
      <c r="C127" s="128"/>
      <c r="D127" s="129"/>
      <c r="E127" s="130"/>
      <c r="F127" s="130"/>
      <c r="G127" s="130"/>
      <c r="H127" s="130"/>
      <c r="I127" s="131"/>
      <c r="J127" s="131"/>
      <c r="K127" s="122" t="str">
        <f>IFERROR(INDEX(TABLE_UE_dB[Leak Size (cfm)], MATCH(Table_Leaks1_Input[[#This Row],[Lookup Value]], TABLE_UE_dB[Lookup Value], 0)),"")</f>
        <v/>
      </c>
      <c r="L127" s="123" t="str">
        <f>IF(Table_Leaks1_Input[[#This Row],[Repaired (Y/N)]]="Yes", Value_LeakRepairIR, "")</f>
        <v/>
      </c>
      <c r="M127" s="124" t="str">
        <f>IFERROR(Table_Leaks1_Input[[#This Row],[Estimated leak size (cfm)]]*Value_WeightAvgCompEff*Value_SysAOH,"" )</f>
        <v/>
      </c>
      <c r="N127" s="125" t="str">
        <f>IFERROR(Table_Leaks1_Input[[#This Row],[Estimated leak size (cfm)]]*Value_WeightAvgCompEff,"" )</f>
        <v/>
      </c>
      <c r="O127" s="123" t="str">
        <f>IFERROR(Table_Leaks1_Input[[#This Row],[Energy savings (kWh)]]*Input_AvgkWhRate, "")</f>
        <v/>
      </c>
      <c r="P127" s="123" t="str">
        <f>IF(Table_Leaks1_Input[[#This Row],[Pressure at leak (psig)]]="", "",Table_Leaks1_Input[[#This Row],[Total equipment cost]]+Table_Leaks1_Input[[#This Row],[Total labor cost]])</f>
        <v/>
      </c>
      <c r="Q127" s="123" t="str">
        <f>IFERROR(Table_Leaks1_Input[[#This Row],[Gross measure cost]]-Table_Leaks1_Input[[#This Row],[Estimated incentive]], "")</f>
        <v/>
      </c>
      <c r="R127" s="124" t="str">
        <f t="shared" si="1"/>
        <v/>
      </c>
      <c r="S127" s="126">
        <f>IF(OR(Table_Leaks1_Input[[#This Row],[Pressure at leak (psig)]]=0, Table_Leaks1_Input[[#This Row],[Pressure at leak (psig)]]=""),0,IF(Table_Leaks1_Input[[#This Row],[Pressure at leak (psig)]]&lt;20, 10, MROUND(Table_Leaks1_Input[[#This Row],[Pressure at leak (psig)]], 25)))</f>
        <v>0</v>
      </c>
      <c r="T127" s="126">
        <f>ROUND(Table_Leaks1_Input[[#This Row],[dB reading]],-1)</f>
        <v>0</v>
      </c>
      <c r="U127" s="127" t="str">
        <f>_xlfn.CONCAT(Table_Leaks1_Input[[#This Row],[Rounded dB Reading]],"psig ", Table_Leaks1_Input[[#This Row],[Rounded PSIG]],"db")</f>
        <v>0psig 0db</v>
      </c>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row>
    <row r="128" spans="1:46" x14ac:dyDescent="0.2">
      <c r="A128" s="75"/>
      <c r="B128" s="121">
        <v>123</v>
      </c>
      <c r="C128" s="128"/>
      <c r="D128" s="129"/>
      <c r="E128" s="130"/>
      <c r="F128" s="130"/>
      <c r="G128" s="130"/>
      <c r="H128" s="130"/>
      <c r="I128" s="131"/>
      <c r="J128" s="131"/>
      <c r="K128" s="122" t="str">
        <f>IFERROR(INDEX(TABLE_UE_dB[Leak Size (cfm)], MATCH(Table_Leaks1_Input[[#This Row],[Lookup Value]], TABLE_UE_dB[Lookup Value], 0)),"")</f>
        <v/>
      </c>
      <c r="L128" s="123" t="str">
        <f>IF(Table_Leaks1_Input[[#This Row],[Repaired (Y/N)]]="Yes", Value_LeakRepairIR, "")</f>
        <v/>
      </c>
      <c r="M128" s="124" t="str">
        <f>IFERROR(Table_Leaks1_Input[[#This Row],[Estimated leak size (cfm)]]*Value_WeightAvgCompEff*Value_SysAOH,"" )</f>
        <v/>
      </c>
      <c r="N128" s="125" t="str">
        <f>IFERROR(Table_Leaks1_Input[[#This Row],[Estimated leak size (cfm)]]*Value_WeightAvgCompEff,"" )</f>
        <v/>
      </c>
      <c r="O128" s="123" t="str">
        <f>IFERROR(Table_Leaks1_Input[[#This Row],[Energy savings (kWh)]]*Input_AvgkWhRate, "")</f>
        <v/>
      </c>
      <c r="P128" s="123" t="str">
        <f>IF(Table_Leaks1_Input[[#This Row],[Pressure at leak (psig)]]="", "",Table_Leaks1_Input[[#This Row],[Total equipment cost]]+Table_Leaks1_Input[[#This Row],[Total labor cost]])</f>
        <v/>
      </c>
      <c r="Q128" s="123" t="str">
        <f>IFERROR(Table_Leaks1_Input[[#This Row],[Gross measure cost]]-Table_Leaks1_Input[[#This Row],[Estimated incentive]], "")</f>
        <v/>
      </c>
      <c r="R128" s="124" t="str">
        <f t="shared" si="1"/>
        <v/>
      </c>
      <c r="S128" s="126">
        <f>IF(OR(Table_Leaks1_Input[[#This Row],[Pressure at leak (psig)]]=0, Table_Leaks1_Input[[#This Row],[Pressure at leak (psig)]]=""),0,IF(Table_Leaks1_Input[[#This Row],[Pressure at leak (psig)]]&lt;20, 10, MROUND(Table_Leaks1_Input[[#This Row],[Pressure at leak (psig)]], 25)))</f>
        <v>0</v>
      </c>
      <c r="T128" s="126">
        <f>ROUND(Table_Leaks1_Input[[#This Row],[dB reading]],-1)</f>
        <v>0</v>
      </c>
      <c r="U128" s="127" t="str">
        <f>_xlfn.CONCAT(Table_Leaks1_Input[[#This Row],[Rounded dB Reading]],"psig ", Table_Leaks1_Input[[#This Row],[Rounded PSIG]],"db")</f>
        <v>0psig 0db</v>
      </c>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row>
    <row r="129" spans="1:46" x14ac:dyDescent="0.2">
      <c r="A129" s="75"/>
      <c r="B129" s="121">
        <v>124</v>
      </c>
      <c r="C129" s="128"/>
      <c r="D129" s="129"/>
      <c r="E129" s="130"/>
      <c r="F129" s="130"/>
      <c r="G129" s="130"/>
      <c r="H129" s="130"/>
      <c r="I129" s="131"/>
      <c r="J129" s="131"/>
      <c r="K129" s="122" t="str">
        <f>IFERROR(INDEX(TABLE_UE_dB[Leak Size (cfm)], MATCH(Table_Leaks1_Input[[#This Row],[Lookup Value]], TABLE_UE_dB[Lookup Value], 0)),"")</f>
        <v/>
      </c>
      <c r="L129" s="123" t="str">
        <f>IF(Table_Leaks1_Input[[#This Row],[Repaired (Y/N)]]="Yes", Value_LeakRepairIR, "")</f>
        <v/>
      </c>
      <c r="M129" s="124" t="str">
        <f>IFERROR(Table_Leaks1_Input[[#This Row],[Estimated leak size (cfm)]]*Value_WeightAvgCompEff*Value_SysAOH,"" )</f>
        <v/>
      </c>
      <c r="N129" s="125" t="str">
        <f>IFERROR(Table_Leaks1_Input[[#This Row],[Estimated leak size (cfm)]]*Value_WeightAvgCompEff,"" )</f>
        <v/>
      </c>
      <c r="O129" s="123" t="str">
        <f>IFERROR(Table_Leaks1_Input[[#This Row],[Energy savings (kWh)]]*Input_AvgkWhRate, "")</f>
        <v/>
      </c>
      <c r="P129" s="123" t="str">
        <f>IF(Table_Leaks1_Input[[#This Row],[Pressure at leak (psig)]]="", "",Table_Leaks1_Input[[#This Row],[Total equipment cost]]+Table_Leaks1_Input[[#This Row],[Total labor cost]])</f>
        <v/>
      </c>
      <c r="Q129" s="123" t="str">
        <f>IFERROR(Table_Leaks1_Input[[#This Row],[Gross measure cost]]-Table_Leaks1_Input[[#This Row],[Estimated incentive]], "")</f>
        <v/>
      </c>
      <c r="R129" s="124" t="str">
        <f t="shared" si="1"/>
        <v/>
      </c>
      <c r="S129" s="126">
        <f>IF(OR(Table_Leaks1_Input[[#This Row],[Pressure at leak (psig)]]=0, Table_Leaks1_Input[[#This Row],[Pressure at leak (psig)]]=""),0,IF(Table_Leaks1_Input[[#This Row],[Pressure at leak (psig)]]&lt;20, 10, MROUND(Table_Leaks1_Input[[#This Row],[Pressure at leak (psig)]], 25)))</f>
        <v>0</v>
      </c>
      <c r="T129" s="126">
        <f>ROUND(Table_Leaks1_Input[[#This Row],[dB reading]],-1)</f>
        <v>0</v>
      </c>
      <c r="U129" s="127" t="str">
        <f>_xlfn.CONCAT(Table_Leaks1_Input[[#This Row],[Rounded dB Reading]],"psig ", Table_Leaks1_Input[[#This Row],[Rounded PSIG]],"db")</f>
        <v>0psig 0db</v>
      </c>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row>
    <row r="130" spans="1:46" x14ac:dyDescent="0.2">
      <c r="A130" s="75"/>
      <c r="B130" s="121">
        <v>125</v>
      </c>
      <c r="C130" s="128"/>
      <c r="D130" s="129"/>
      <c r="E130" s="130"/>
      <c r="F130" s="130"/>
      <c r="G130" s="130"/>
      <c r="H130" s="130"/>
      <c r="I130" s="131"/>
      <c r="J130" s="131"/>
      <c r="K130" s="122" t="str">
        <f>IFERROR(INDEX(TABLE_UE_dB[Leak Size (cfm)], MATCH(Table_Leaks1_Input[[#This Row],[Lookup Value]], TABLE_UE_dB[Lookup Value], 0)),"")</f>
        <v/>
      </c>
      <c r="L130" s="123" t="str">
        <f>IF(Table_Leaks1_Input[[#This Row],[Repaired (Y/N)]]="Yes", Value_LeakRepairIR, "")</f>
        <v/>
      </c>
      <c r="M130" s="124" t="str">
        <f>IFERROR(Table_Leaks1_Input[[#This Row],[Estimated leak size (cfm)]]*Value_WeightAvgCompEff*Value_SysAOH,"" )</f>
        <v/>
      </c>
      <c r="N130" s="125" t="str">
        <f>IFERROR(Table_Leaks1_Input[[#This Row],[Estimated leak size (cfm)]]*Value_WeightAvgCompEff,"" )</f>
        <v/>
      </c>
      <c r="O130" s="123" t="str">
        <f>IFERROR(Table_Leaks1_Input[[#This Row],[Energy savings (kWh)]]*Input_AvgkWhRate, "")</f>
        <v/>
      </c>
      <c r="P130" s="123" t="str">
        <f>IF(Table_Leaks1_Input[[#This Row],[Pressure at leak (psig)]]="", "",Table_Leaks1_Input[[#This Row],[Total equipment cost]]+Table_Leaks1_Input[[#This Row],[Total labor cost]])</f>
        <v/>
      </c>
      <c r="Q130" s="123" t="str">
        <f>IFERROR(Table_Leaks1_Input[[#This Row],[Gross measure cost]]-Table_Leaks1_Input[[#This Row],[Estimated incentive]], "")</f>
        <v/>
      </c>
      <c r="R130" s="124" t="str">
        <f t="shared" si="1"/>
        <v/>
      </c>
      <c r="S130" s="126">
        <f>IF(OR(Table_Leaks1_Input[[#This Row],[Pressure at leak (psig)]]=0, Table_Leaks1_Input[[#This Row],[Pressure at leak (psig)]]=""),0,IF(Table_Leaks1_Input[[#This Row],[Pressure at leak (psig)]]&lt;20, 10, MROUND(Table_Leaks1_Input[[#This Row],[Pressure at leak (psig)]], 25)))</f>
        <v>0</v>
      </c>
      <c r="T130" s="126">
        <f>ROUND(Table_Leaks1_Input[[#This Row],[dB reading]],-1)</f>
        <v>0</v>
      </c>
      <c r="U130" s="127" t="str">
        <f>_xlfn.CONCAT(Table_Leaks1_Input[[#This Row],[Rounded dB Reading]],"psig ", Table_Leaks1_Input[[#This Row],[Rounded PSIG]],"db")</f>
        <v>0psig 0db</v>
      </c>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row>
    <row r="131" spans="1:46" x14ac:dyDescent="0.2">
      <c r="B131" s="121">
        <v>126</v>
      </c>
      <c r="C131" s="128"/>
      <c r="D131" s="129"/>
      <c r="E131" s="130"/>
      <c r="F131" s="130"/>
      <c r="G131" s="130"/>
      <c r="H131" s="130"/>
      <c r="I131" s="131"/>
      <c r="J131" s="131"/>
      <c r="K131" s="122" t="str">
        <f>IFERROR(INDEX(TABLE_UE_dB[Leak Size (cfm)], MATCH(Table_Leaks1_Input[[#This Row],[Lookup Value]], TABLE_UE_dB[Lookup Value], 0)),"")</f>
        <v/>
      </c>
      <c r="L131" s="123" t="str">
        <f>IF(Table_Leaks1_Input[[#This Row],[Repaired (Y/N)]]="Yes", Value_LeakRepairIR, "")</f>
        <v/>
      </c>
      <c r="M131" s="124" t="str">
        <f>IFERROR(Table_Leaks1_Input[[#This Row],[Estimated leak size (cfm)]]*Value_WeightAvgCompEff*Value_SysAOH,"" )</f>
        <v/>
      </c>
      <c r="N131" s="125" t="str">
        <f>IFERROR(Table_Leaks1_Input[[#This Row],[Estimated leak size (cfm)]]*Value_WeightAvgCompEff,"" )</f>
        <v/>
      </c>
      <c r="O131" s="123" t="str">
        <f>IFERROR(Table_Leaks1_Input[[#This Row],[Energy savings (kWh)]]*Input_AvgkWhRate, "")</f>
        <v/>
      </c>
      <c r="P131" s="123" t="str">
        <f>IF(Table_Leaks1_Input[[#This Row],[Pressure at leak (psig)]]="", "",Table_Leaks1_Input[[#This Row],[Total equipment cost]]+Table_Leaks1_Input[[#This Row],[Total labor cost]])</f>
        <v/>
      </c>
      <c r="Q131" s="123" t="str">
        <f>IFERROR(Table_Leaks1_Input[[#This Row],[Gross measure cost]]-Table_Leaks1_Input[[#This Row],[Estimated incentive]], "")</f>
        <v/>
      </c>
      <c r="R131" s="124" t="str">
        <f t="shared" si="1"/>
        <v/>
      </c>
      <c r="S131" s="126">
        <f>IF(OR(Table_Leaks1_Input[[#This Row],[Pressure at leak (psig)]]=0, Table_Leaks1_Input[[#This Row],[Pressure at leak (psig)]]=""),0,IF(Table_Leaks1_Input[[#This Row],[Pressure at leak (psig)]]&lt;20, 10, MROUND(Table_Leaks1_Input[[#This Row],[Pressure at leak (psig)]], 25)))</f>
        <v>0</v>
      </c>
      <c r="T131" s="126">
        <f>ROUND(Table_Leaks1_Input[[#This Row],[dB reading]],-1)</f>
        <v>0</v>
      </c>
      <c r="U131" s="127" t="str">
        <f>_xlfn.CONCAT(Table_Leaks1_Input[[#This Row],[Rounded dB Reading]],"psig ", Table_Leaks1_Input[[#This Row],[Rounded PSIG]],"db")</f>
        <v>0psig 0db</v>
      </c>
    </row>
    <row r="132" spans="1:46" x14ac:dyDescent="0.2">
      <c r="B132" s="121">
        <v>127</v>
      </c>
      <c r="C132" s="128"/>
      <c r="D132" s="129"/>
      <c r="E132" s="130"/>
      <c r="F132" s="130"/>
      <c r="G132" s="130"/>
      <c r="H132" s="130"/>
      <c r="I132" s="131"/>
      <c r="J132" s="131"/>
      <c r="K132" s="122" t="str">
        <f>IFERROR(INDEX(TABLE_UE_dB[Leak Size (cfm)], MATCH(Table_Leaks1_Input[[#This Row],[Lookup Value]], TABLE_UE_dB[Lookup Value], 0)),"")</f>
        <v/>
      </c>
      <c r="L132" s="123" t="str">
        <f>IF(Table_Leaks1_Input[[#This Row],[Repaired (Y/N)]]="Yes", Value_LeakRepairIR, "")</f>
        <v/>
      </c>
      <c r="M132" s="124" t="str">
        <f>IFERROR(Table_Leaks1_Input[[#This Row],[Estimated leak size (cfm)]]*Value_WeightAvgCompEff*Value_SysAOH,"" )</f>
        <v/>
      </c>
      <c r="N132" s="125" t="str">
        <f>IFERROR(Table_Leaks1_Input[[#This Row],[Estimated leak size (cfm)]]*Value_WeightAvgCompEff,"" )</f>
        <v/>
      </c>
      <c r="O132" s="123" t="str">
        <f>IFERROR(Table_Leaks1_Input[[#This Row],[Energy savings (kWh)]]*Input_AvgkWhRate, "")</f>
        <v/>
      </c>
      <c r="P132" s="123" t="str">
        <f>IF(Table_Leaks1_Input[[#This Row],[Pressure at leak (psig)]]="", "",Table_Leaks1_Input[[#This Row],[Total equipment cost]]+Table_Leaks1_Input[[#This Row],[Total labor cost]])</f>
        <v/>
      </c>
      <c r="Q132" s="123" t="str">
        <f>IFERROR(Table_Leaks1_Input[[#This Row],[Gross measure cost]]-Table_Leaks1_Input[[#This Row],[Estimated incentive]], "")</f>
        <v/>
      </c>
      <c r="R132" s="124" t="str">
        <f t="shared" si="1"/>
        <v/>
      </c>
      <c r="S132" s="126">
        <f>IF(OR(Table_Leaks1_Input[[#This Row],[Pressure at leak (psig)]]=0, Table_Leaks1_Input[[#This Row],[Pressure at leak (psig)]]=""),0,IF(Table_Leaks1_Input[[#This Row],[Pressure at leak (psig)]]&lt;20, 10, MROUND(Table_Leaks1_Input[[#This Row],[Pressure at leak (psig)]], 25)))</f>
        <v>0</v>
      </c>
      <c r="T132" s="126">
        <f>ROUND(Table_Leaks1_Input[[#This Row],[dB reading]],-1)</f>
        <v>0</v>
      </c>
      <c r="U132" s="127" t="str">
        <f>_xlfn.CONCAT(Table_Leaks1_Input[[#This Row],[Rounded dB Reading]],"psig ", Table_Leaks1_Input[[#This Row],[Rounded PSIG]],"db")</f>
        <v>0psig 0db</v>
      </c>
    </row>
    <row r="133" spans="1:46" x14ac:dyDescent="0.2">
      <c r="B133" s="121">
        <v>128</v>
      </c>
      <c r="C133" s="128"/>
      <c r="D133" s="129"/>
      <c r="E133" s="130"/>
      <c r="F133" s="130"/>
      <c r="G133" s="130"/>
      <c r="H133" s="130"/>
      <c r="I133" s="131"/>
      <c r="J133" s="131"/>
      <c r="K133" s="122" t="str">
        <f>IFERROR(INDEX(TABLE_UE_dB[Leak Size (cfm)], MATCH(Table_Leaks1_Input[[#This Row],[Lookup Value]], TABLE_UE_dB[Lookup Value], 0)),"")</f>
        <v/>
      </c>
      <c r="L133" s="123" t="str">
        <f>IF(Table_Leaks1_Input[[#This Row],[Repaired (Y/N)]]="Yes", Value_LeakRepairIR, "")</f>
        <v/>
      </c>
      <c r="M133" s="124" t="str">
        <f>IFERROR(Table_Leaks1_Input[[#This Row],[Estimated leak size (cfm)]]*Value_WeightAvgCompEff*Value_SysAOH,"" )</f>
        <v/>
      </c>
      <c r="N133" s="125" t="str">
        <f>IFERROR(Table_Leaks1_Input[[#This Row],[Estimated leak size (cfm)]]*Value_WeightAvgCompEff,"" )</f>
        <v/>
      </c>
      <c r="O133" s="123" t="str">
        <f>IFERROR(Table_Leaks1_Input[[#This Row],[Energy savings (kWh)]]*Input_AvgkWhRate, "")</f>
        <v/>
      </c>
      <c r="P133" s="123" t="str">
        <f>IF(Table_Leaks1_Input[[#This Row],[Pressure at leak (psig)]]="", "",Table_Leaks1_Input[[#This Row],[Total equipment cost]]+Table_Leaks1_Input[[#This Row],[Total labor cost]])</f>
        <v/>
      </c>
      <c r="Q133" s="123" t="str">
        <f>IFERROR(Table_Leaks1_Input[[#This Row],[Gross measure cost]]-Table_Leaks1_Input[[#This Row],[Estimated incentive]], "")</f>
        <v/>
      </c>
      <c r="R133" s="124" t="str">
        <f t="shared" si="1"/>
        <v/>
      </c>
      <c r="S133" s="126">
        <f>IF(OR(Table_Leaks1_Input[[#This Row],[Pressure at leak (psig)]]=0, Table_Leaks1_Input[[#This Row],[Pressure at leak (psig)]]=""),0,IF(Table_Leaks1_Input[[#This Row],[Pressure at leak (psig)]]&lt;20, 10, MROUND(Table_Leaks1_Input[[#This Row],[Pressure at leak (psig)]], 25)))</f>
        <v>0</v>
      </c>
      <c r="T133" s="126">
        <f>ROUND(Table_Leaks1_Input[[#This Row],[dB reading]],-1)</f>
        <v>0</v>
      </c>
      <c r="U133" s="127" t="str">
        <f>_xlfn.CONCAT(Table_Leaks1_Input[[#This Row],[Rounded dB Reading]],"psig ", Table_Leaks1_Input[[#This Row],[Rounded PSIG]],"db")</f>
        <v>0psig 0db</v>
      </c>
    </row>
    <row r="134" spans="1:46" x14ac:dyDescent="0.2">
      <c r="B134" s="121">
        <v>129</v>
      </c>
      <c r="C134" s="128"/>
      <c r="D134" s="129"/>
      <c r="E134" s="130"/>
      <c r="F134" s="130"/>
      <c r="G134" s="130"/>
      <c r="H134" s="130"/>
      <c r="I134" s="131"/>
      <c r="J134" s="131"/>
      <c r="K134" s="122" t="str">
        <f>IFERROR(INDEX(TABLE_UE_dB[Leak Size (cfm)], MATCH(Table_Leaks1_Input[[#This Row],[Lookup Value]], TABLE_UE_dB[Lookup Value], 0)),"")</f>
        <v/>
      </c>
      <c r="L134" s="123" t="str">
        <f>IF(Table_Leaks1_Input[[#This Row],[Repaired (Y/N)]]="Yes", Value_LeakRepairIR, "")</f>
        <v/>
      </c>
      <c r="M134" s="124" t="str">
        <f>IFERROR(Table_Leaks1_Input[[#This Row],[Estimated leak size (cfm)]]*Value_WeightAvgCompEff*Value_SysAOH,"" )</f>
        <v/>
      </c>
      <c r="N134" s="125" t="str">
        <f>IFERROR(Table_Leaks1_Input[[#This Row],[Estimated leak size (cfm)]]*Value_WeightAvgCompEff,"" )</f>
        <v/>
      </c>
      <c r="O134" s="123" t="str">
        <f>IFERROR(Table_Leaks1_Input[[#This Row],[Energy savings (kWh)]]*Input_AvgkWhRate, "")</f>
        <v/>
      </c>
      <c r="P134" s="123" t="str">
        <f>IF(Table_Leaks1_Input[[#This Row],[Pressure at leak (psig)]]="", "",Table_Leaks1_Input[[#This Row],[Total equipment cost]]+Table_Leaks1_Input[[#This Row],[Total labor cost]])</f>
        <v/>
      </c>
      <c r="Q134" s="123" t="str">
        <f>IFERROR(Table_Leaks1_Input[[#This Row],[Gross measure cost]]-Table_Leaks1_Input[[#This Row],[Estimated incentive]], "")</f>
        <v/>
      </c>
      <c r="R134" s="124" t="str">
        <f t="shared" ref="R134:R197" si="2">IFERROR($Q134/$O134,"")</f>
        <v/>
      </c>
      <c r="S134" s="126">
        <f>IF(OR(Table_Leaks1_Input[[#This Row],[Pressure at leak (psig)]]=0, Table_Leaks1_Input[[#This Row],[Pressure at leak (psig)]]=""),0,IF(Table_Leaks1_Input[[#This Row],[Pressure at leak (psig)]]&lt;20, 10, MROUND(Table_Leaks1_Input[[#This Row],[Pressure at leak (psig)]], 25)))</f>
        <v>0</v>
      </c>
      <c r="T134" s="126">
        <f>ROUND(Table_Leaks1_Input[[#This Row],[dB reading]],-1)</f>
        <v>0</v>
      </c>
      <c r="U134" s="127" t="str">
        <f>_xlfn.CONCAT(Table_Leaks1_Input[[#This Row],[Rounded dB Reading]],"psig ", Table_Leaks1_Input[[#This Row],[Rounded PSIG]],"db")</f>
        <v>0psig 0db</v>
      </c>
    </row>
    <row r="135" spans="1:46" x14ac:dyDescent="0.2">
      <c r="B135" s="121">
        <v>130</v>
      </c>
      <c r="C135" s="128"/>
      <c r="D135" s="129"/>
      <c r="E135" s="130"/>
      <c r="F135" s="130"/>
      <c r="G135" s="130"/>
      <c r="H135" s="130"/>
      <c r="I135" s="131"/>
      <c r="J135" s="131"/>
      <c r="K135" s="122" t="str">
        <f>IFERROR(INDEX(TABLE_UE_dB[Leak Size (cfm)], MATCH(Table_Leaks1_Input[[#This Row],[Lookup Value]], TABLE_UE_dB[Lookup Value], 0)),"")</f>
        <v/>
      </c>
      <c r="L135" s="123" t="str">
        <f>IF(Table_Leaks1_Input[[#This Row],[Repaired (Y/N)]]="Yes", Value_LeakRepairIR, "")</f>
        <v/>
      </c>
      <c r="M135" s="124" t="str">
        <f>IFERROR(Table_Leaks1_Input[[#This Row],[Estimated leak size (cfm)]]*Value_WeightAvgCompEff*Value_SysAOH,"" )</f>
        <v/>
      </c>
      <c r="N135" s="125" t="str">
        <f>IFERROR(Table_Leaks1_Input[[#This Row],[Estimated leak size (cfm)]]*Value_WeightAvgCompEff,"" )</f>
        <v/>
      </c>
      <c r="O135" s="123" t="str">
        <f>IFERROR(Table_Leaks1_Input[[#This Row],[Energy savings (kWh)]]*Input_AvgkWhRate, "")</f>
        <v/>
      </c>
      <c r="P135" s="123" t="str">
        <f>IF(Table_Leaks1_Input[[#This Row],[Pressure at leak (psig)]]="", "",Table_Leaks1_Input[[#This Row],[Total equipment cost]]+Table_Leaks1_Input[[#This Row],[Total labor cost]])</f>
        <v/>
      </c>
      <c r="Q135" s="123" t="str">
        <f>IFERROR(Table_Leaks1_Input[[#This Row],[Gross measure cost]]-Table_Leaks1_Input[[#This Row],[Estimated incentive]], "")</f>
        <v/>
      </c>
      <c r="R135" s="124" t="str">
        <f t="shared" si="2"/>
        <v/>
      </c>
      <c r="S135" s="126">
        <f>IF(OR(Table_Leaks1_Input[[#This Row],[Pressure at leak (psig)]]=0, Table_Leaks1_Input[[#This Row],[Pressure at leak (psig)]]=""),0,IF(Table_Leaks1_Input[[#This Row],[Pressure at leak (psig)]]&lt;20, 10, MROUND(Table_Leaks1_Input[[#This Row],[Pressure at leak (psig)]], 25)))</f>
        <v>0</v>
      </c>
      <c r="T135" s="126">
        <f>ROUND(Table_Leaks1_Input[[#This Row],[dB reading]],-1)</f>
        <v>0</v>
      </c>
      <c r="U135" s="127" t="str">
        <f>_xlfn.CONCAT(Table_Leaks1_Input[[#This Row],[Rounded dB Reading]],"psig ", Table_Leaks1_Input[[#This Row],[Rounded PSIG]],"db")</f>
        <v>0psig 0db</v>
      </c>
    </row>
    <row r="136" spans="1:46" x14ac:dyDescent="0.2">
      <c r="B136" s="121">
        <v>131</v>
      </c>
      <c r="C136" s="128"/>
      <c r="D136" s="129"/>
      <c r="E136" s="130"/>
      <c r="F136" s="130"/>
      <c r="G136" s="130"/>
      <c r="H136" s="130"/>
      <c r="I136" s="131"/>
      <c r="J136" s="131"/>
      <c r="K136" s="122" t="str">
        <f>IFERROR(INDEX(TABLE_UE_dB[Leak Size (cfm)], MATCH(Table_Leaks1_Input[[#This Row],[Lookup Value]], TABLE_UE_dB[Lookup Value], 0)),"")</f>
        <v/>
      </c>
      <c r="L136" s="123" t="str">
        <f>IF(Table_Leaks1_Input[[#This Row],[Repaired (Y/N)]]="Yes", Value_LeakRepairIR, "")</f>
        <v/>
      </c>
      <c r="M136" s="124" t="str">
        <f>IFERROR(Table_Leaks1_Input[[#This Row],[Estimated leak size (cfm)]]*Value_WeightAvgCompEff*Value_SysAOH,"" )</f>
        <v/>
      </c>
      <c r="N136" s="125" t="str">
        <f>IFERROR(Table_Leaks1_Input[[#This Row],[Estimated leak size (cfm)]]*Value_WeightAvgCompEff,"" )</f>
        <v/>
      </c>
      <c r="O136" s="123" t="str">
        <f>IFERROR(Table_Leaks1_Input[[#This Row],[Energy savings (kWh)]]*Input_AvgkWhRate, "")</f>
        <v/>
      </c>
      <c r="P136" s="123" t="str">
        <f>IF(Table_Leaks1_Input[[#This Row],[Pressure at leak (psig)]]="", "",Table_Leaks1_Input[[#This Row],[Total equipment cost]]+Table_Leaks1_Input[[#This Row],[Total labor cost]])</f>
        <v/>
      </c>
      <c r="Q136" s="123" t="str">
        <f>IFERROR(Table_Leaks1_Input[[#This Row],[Gross measure cost]]-Table_Leaks1_Input[[#This Row],[Estimated incentive]], "")</f>
        <v/>
      </c>
      <c r="R136" s="124" t="str">
        <f t="shared" si="2"/>
        <v/>
      </c>
      <c r="S136" s="126">
        <f>IF(OR(Table_Leaks1_Input[[#This Row],[Pressure at leak (psig)]]=0, Table_Leaks1_Input[[#This Row],[Pressure at leak (psig)]]=""),0,IF(Table_Leaks1_Input[[#This Row],[Pressure at leak (psig)]]&lt;20, 10, MROUND(Table_Leaks1_Input[[#This Row],[Pressure at leak (psig)]], 25)))</f>
        <v>0</v>
      </c>
      <c r="T136" s="126">
        <f>ROUND(Table_Leaks1_Input[[#This Row],[dB reading]],-1)</f>
        <v>0</v>
      </c>
      <c r="U136" s="127" t="str">
        <f>_xlfn.CONCAT(Table_Leaks1_Input[[#This Row],[Rounded dB Reading]],"psig ", Table_Leaks1_Input[[#This Row],[Rounded PSIG]],"db")</f>
        <v>0psig 0db</v>
      </c>
    </row>
    <row r="137" spans="1:46" x14ac:dyDescent="0.2">
      <c r="B137" s="121">
        <v>132</v>
      </c>
      <c r="C137" s="128"/>
      <c r="D137" s="129"/>
      <c r="E137" s="130"/>
      <c r="F137" s="130"/>
      <c r="G137" s="130"/>
      <c r="H137" s="130"/>
      <c r="I137" s="131"/>
      <c r="J137" s="131"/>
      <c r="K137" s="122" t="str">
        <f>IFERROR(INDEX(TABLE_UE_dB[Leak Size (cfm)], MATCH(Table_Leaks1_Input[[#This Row],[Lookup Value]], TABLE_UE_dB[Lookup Value], 0)),"")</f>
        <v/>
      </c>
      <c r="L137" s="123" t="str">
        <f>IF(Table_Leaks1_Input[[#This Row],[Repaired (Y/N)]]="Yes", Value_LeakRepairIR, "")</f>
        <v/>
      </c>
      <c r="M137" s="124" t="str">
        <f>IFERROR(Table_Leaks1_Input[[#This Row],[Estimated leak size (cfm)]]*Value_WeightAvgCompEff*Value_SysAOH,"" )</f>
        <v/>
      </c>
      <c r="N137" s="125" t="str">
        <f>IFERROR(Table_Leaks1_Input[[#This Row],[Estimated leak size (cfm)]]*Value_WeightAvgCompEff,"" )</f>
        <v/>
      </c>
      <c r="O137" s="123" t="str">
        <f>IFERROR(Table_Leaks1_Input[[#This Row],[Energy savings (kWh)]]*Input_AvgkWhRate, "")</f>
        <v/>
      </c>
      <c r="P137" s="123" t="str">
        <f>IF(Table_Leaks1_Input[[#This Row],[Pressure at leak (psig)]]="", "",Table_Leaks1_Input[[#This Row],[Total equipment cost]]+Table_Leaks1_Input[[#This Row],[Total labor cost]])</f>
        <v/>
      </c>
      <c r="Q137" s="123" t="str">
        <f>IFERROR(Table_Leaks1_Input[[#This Row],[Gross measure cost]]-Table_Leaks1_Input[[#This Row],[Estimated incentive]], "")</f>
        <v/>
      </c>
      <c r="R137" s="124" t="str">
        <f t="shared" si="2"/>
        <v/>
      </c>
      <c r="S137" s="126">
        <f>IF(OR(Table_Leaks1_Input[[#This Row],[Pressure at leak (psig)]]=0, Table_Leaks1_Input[[#This Row],[Pressure at leak (psig)]]=""),0,IF(Table_Leaks1_Input[[#This Row],[Pressure at leak (psig)]]&lt;20, 10, MROUND(Table_Leaks1_Input[[#This Row],[Pressure at leak (psig)]], 25)))</f>
        <v>0</v>
      </c>
      <c r="T137" s="126">
        <f>ROUND(Table_Leaks1_Input[[#This Row],[dB reading]],-1)</f>
        <v>0</v>
      </c>
      <c r="U137" s="127" t="str">
        <f>_xlfn.CONCAT(Table_Leaks1_Input[[#This Row],[Rounded dB Reading]],"psig ", Table_Leaks1_Input[[#This Row],[Rounded PSIG]],"db")</f>
        <v>0psig 0db</v>
      </c>
    </row>
    <row r="138" spans="1:46" x14ac:dyDescent="0.2">
      <c r="B138" s="121">
        <v>133</v>
      </c>
      <c r="C138" s="128"/>
      <c r="D138" s="129"/>
      <c r="E138" s="130"/>
      <c r="F138" s="130"/>
      <c r="G138" s="130"/>
      <c r="H138" s="130"/>
      <c r="I138" s="131"/>
      <c r="J138" s="131"/>
      <c r="K138" s="122" t="str">
        <f>IFERROR(INDEX(TABLE_UE_dB[Leak Size (cfm)], MATCH(Table_Leaks1_Input[[#This Row],[Lookup Value]], TABLE_UE_dB[Lookup Value], 0)),"")</f>
        <v/>
      </c>
      <c r="L138" s="123" t="str">
        <f>IF(Table_Leaks1_Input[[#This Row],[Repaired (Y/N)]]="Yes", Value_LeakRepairIR, "")</f>
        <v/>
      </c>
      <c r="M138" s="124" t="str">
        <f>IFERROR(Table_Leaks1_Input[[#This Row],[Estimated leak size (cfm)]]*Value_WeightAvgCompEff*Value_SysAOH,"" )</f>
        <v/>
      </c>
      <c r="N138" s="125" t="str">
        <f>IFERROR(Table_Leaks1_Input[[#This Row],[Estimated leak size (cfm)]]*Value_WeightAvgCompEff,"" )</f>
        <v/>
      </c>
      <c r="O138" s="123" t="str">
        <f>IFERROR(Table_Leaks1_Input[[#This Row],[Energy savings (kWh)]]*Input_AvgkWhRate, "")</f>
        <v/>
      </c>
      <c r="P138" s="123" t="str">
        <f>IF(Table_Leaks1_Input[[#This Row],[Pressure at leak (psig)]]="", "",Table_Leaks1_Input[[#This Row],[Total equipment cost]]+Table_Leaks1_Input[[#This Row],[Total labor cost]])</f>
        <v/>
      </c>
      <c r="Q138" s="123" t="str">
        <f>IFERROR(Table_Leaks1_Input[[#This Row],[Gross measure cost]]-Table_Leaks1_Input[[#This Row],[Estimated incentive]], "")</f>
        <v/>
      </c>
      <c r="R138" s="124" t="str">
        <f t="shared" si="2"/>
        <v/>
      </c>
      <c r="S138" s="126">
        <f>IF(OR(Table_Leaks1_Input[[#This Row],[Pressure at leak (psig)]]=0, Table_Leaks1_Input[[#This Row],[Pressure at leak (psig)]]=""),0,IF(Table_Leaks1_Input[[#This Row],[Pressure at leak (psig)]]&lt;20, 10, MROUND(Table_Leaks1_Input[[#This Row],[Pressure at leak (psig)]], 25)))</f>
        <v>0</v>
      </c>
      <c r="T138" s="126">
        <f>ROUND(Table_Leaks1_Input[[#This Row],[dB reading]],-1)</f>
        <v>0</v>
      </c>
      <c r="U138" s="127" t="str">
        <f>_xlfn.CONCAT(Table_Leaks1_Input[[#This Row],[Rounded dB Reading]],"psig ", Table_Leaks1_Input[[#This Row],[Rounded PSIG]],"db")</f>
        <v>0psig 0db</v>
      </c>
    </row>
    <row r="139" spans="1:46" x14ac:dyDescent="0.2">
      <c r="B139" s="121">
        <v>134</v>
      </c>
      <c r="C139" s="128"/>
      <c r="D139" s="129"/>
      <c r="E139" s="130"/>
      <c r="F139" s="130"/>
      <c r="G139" s="130"/>
      <c r="H139" s="130"/>
      <c r="I139" s="131"/>
      <c r="J139" s="131"/>
      <c r="K139" s="122" t="str">
        <f>IFERROR(INDEX(TABLE_UE_dB[Leak Size (cfm)], MATCH(Table_Leaks1_Input[[#This Row],[Lookup Value]], TABLE_UE_dB[Lookup Value], 0)),"")</f>
        <v/>
      </c>
      <c r="L139" s="123" t="str">
        <f>IF(Table_Leaks1_Input[[#This Row],[Repaired (Y/N)]]="Yes", Value_LeakRepairIR, "")</f>
        <v/>
      </c>
      <c r="M139" s="124" t="str">
        <f>IFERROR(Table_Leaks1_Input[[#This Row],[Estimated leak size (cfm)]]*Value_WeightAvgCompEff*Value_SysAOH,"" )</f>
        <v/>
      </c>
      <c r="N139" s="125" t="str">
        <f>IFERROR(Table_Leaks1_Input[[#This Row],[Estimated leak size (cfm)]]*Value_WeightAvgCompEff,"" )</f>
        <v/>
      </c>
      <c r="O139" s="123" t="str">
        <f>IFERROR(Table_Leaks1_Input[[#This Row],[Energy savings (kWh)]]*Input_AvgkWhRate, "")</f>
        <v/>
      </c>
      <c r="P139" s="123" t="str">
        <f>IF(Table_Leaks1_Input[[#This Row],[Pressure at leak (psig)]]="", "",Table_Leaks1_Input[[#This Row],[Total equipment cost]]+Table_Leaks1_Input[[#This Row],[Total labor cost]])</f>
        <v/>
      </c>
      <c r="Q139" s="123" t="str">
        <f>IFERROR(Table_Leaks1_Input[[#This Row],[Gross measure cost]]-Table_Leaks1_Input[[#This Row],[Estimated incentive]], "")</f>
        <v/>
      </c>
      <c r="R139" s="124" t="str">
        <f t="shared" si="2"/>
        <v/>
      </c>
      <c r="S139" s="126">
        <f>IF(OR(Table_Leaks1_Input[[#This Row],[Pressure at leak (psig)]]=0, Table_Leaks1_Input[[#This Row],[Pressure at leak (psig)]]=""),0,IF(Table_Leaks1_Input[[#This Row],[Pressure at leak (psig)]]&lt;20, 10, MROUND(Table_Leaks1_Input[[#This Row],[Pressure at leak (psig)]], 25)))</f>
        <v>0</v>
      </c>
      <c r="T139" s="126">
        <f>ROUND(Table_Leaks1_Input[[#This Row],[dB reading]],-1)</f>
        <v>0</v>
      </c>
      <c r="U139" s="127" t="str">
        <f>_xlfn.CONCAT(Table_Leaks1_Input[[#This Row],[Rounded dB Reading]],"psig ", Table_Leaks1_Input[[#This Row],[Rounded PSIG]],"db")</f>
        <v>0psig 0db</v>
      </c>
    </row>
    <row r="140" spans="1:46" x14ac:dyDescent="0.2">
      <c r="B140" s="121">
        <v>135</v>
      </c>
      <c r="C140" s="128"/>
      <c r="D140" s="129"/>
      <c r="E140" s="130"/>
      <c r="F140" s="130"/>
      <c r="G140" s="130"/>
      <c r="H140" s="130"/>
      <c r="I140" s="131"/>
      <c r="J140" s="131"/>
      <c r="K140" s="122" t="str">
        <f>IFERROR(INDEX(TABLE_UE_dB[Leak Size (cfm)], MATCH(Table_Leaks1_Input[[#This Row],[Lookup Value]], TABLE_UE_dB[Lookup Value], 0)),"")</f>
        <v/>
      </c>
      <c r="L140" s="123" t="str">
        <f>IF(Table_Leaks1_Input[[#This Row],[Repaired (Y/N)]]="Yes", Value_LeakRepairIR, "")</f>
        <v/>
      </c>
      <c r="M140" s="124" t="str">
        <f>IFERROR(Table_Leaks1_Input[[#This Row],[Estimated leak size (cfm)]]*Value_WeightAvgCompEff*Value_SysAOH,"" )</f>
        <v/>
      </c>
      <c r="N140" s="125" t="str">
        <f>IFERROR(Table_Leaks1_Input[[#This Row],[Estimated leak size (cfm)]]*Value_WeightAvgCompEff,"" )</f>
        <v/>
      </c>
      <c r="O140" s="123" t="str">
        <f>IFERROR(Table_Leaks1_Input[[#This Row],[Energy savings (kWh)]]*Input_AvgkWhRate, "")</f>
        <v/>
      </c>
      <c r="P140" s="123" t="str">
        <f>IF(Table_Leaks1_Input[[#This Row],[Pressure at leak (psig)]]="", "",Table_Leaks1_Input[[#This Row],[Total equipment cost]]+Table_Leaks1_Input[[#This Row],[Total labor cost]])</f>
        <v/>
      </c>
      <c r="Q140" s="123" t="str">
        <f>IFERROR(Table_Leaks1_Input[[#This Row],[Gross measure cost]]-Table_Leaks1_Input[[#This Row],[Estimated incentive]], "")</f>
        <v/>
      </c>
      <c r="R140" s="124" t="str">
        <f t="shared" si="2"/>
        <v/>
      </c>
      <c r="S140" s="126">
        <f>IF(OR(Table_Leaks1_Input[[#This Row],[Pressure at leak (psig)]]=0, Table_Leaks1_Input[[#This Row],[Pressure at leak (psig)]]=""),0,IF(Table_Leaks1_Input[[#This Row],[Pressure at leak (psig)]]&lt;20, 10, MROUND(Table_Leaks1_Input[[#This Row],[Pressure at leak (psig)]], 25)))</f>
        <v>0</v>
      </c>
      <c r="T140" s="126">
        <f>ROUND(Table_Leaks1_Input[[#This Row],[dB reading]],-1)</f>
        <v>0</v>
      </c>
      <c r="U140" s="127" t="str">
        <f>_xlfn.CONCAT(Table_Leaks1_Input[[#This Row],[Rounded dB Reading]],"psig ", Table_Leaks1_Input[[#This Row],[Rounded PSIG]],"db")</f>
        <v>0psig 0db</v>
      </c>
    </row>
    <row r="141" spans="1:46" x14ac:dyDescent="0.2">
      <c r="B141" s="121">
        <v>136</v>
      </c>
      <c r="C141" s="128"/>
      <c r="D141" s="129"/>
      <c r="E141" s="130"/>
      <c r="F141" s="130"/>
      <c r="G141" s="130"/>
      <c r="H141" s="130"/>
      <c r="I141" s="131"/>
      <c r="J141" s="131"/>
      <c r="K141" s="122" t="str">
        <f>IFERROR(INDEX(TABLE_UE_dB[Leak Size (cfm)], MATCH(Table_Leaks1_Input[[#This Row],[Lookup Value]], TABLE_UE_dB[Lookup Value], 0)),"")</f>
        <v/>
      </c>
      <c r="L141" s="123" t="str">
        <f>IF(Table_Leaks1_Input[[#This Row],[Repaired (Y/N)]]="Yes", Value_LeakRepairIR, "")</f>
        <v/>
      </c>
      <c r="M141" s="124" t="str">
        <f>IFERROR(Table_Leaks1_Input[[#This Row],[Estimated leak size (cfm)]]*Value_WeightAvgCompEff*Value_SysAOH,"" )</f>
        <v/>
      </c>
      <c r="N141" s="125" t="str">
        <f>IFERROR(Table_Leaks1_Input[[#This Row],[Estimated leak size (cfm)]]*Value_WeightAvgCompEff,"" )</f>
        <v/>
      </c>
      <c r="O141" s="123" t="str">
        <f>IFERROR(Table_Leaks1_Input[[#This Row],[Energy savings (kWh)]]*Input_AvgkWhRate, "")</f>
        <v/>
      </c>
      <c r="P141" s="123" t="str">
        <f>IF(Table_Leaks1_Input[[#This Row],[Pressure at leak (psig)]]="", "",Table_Leaks1_Input[[#This Row],[Total equipment cost]]+Table_Leaks1_Input[[#This Row],[Total labor cost]])</f>
        <v/>
      </c>
      <c r="Q141" s="123" t="str">
        <f>IFERROR(Table_Leaks1_Input[[#This Row],[Gross measure cost]]-Table_Leaks1_Input[[#This Row],[Estimated incentive]], "")</f>
        <v/>
      </c>
      <c r="R141" s="124" t="str">
        <f t="shared" si="2"/>
        <v/>
      </c>
      <c r="S141" s="126">
        <f>IF(OR(Table_Leaks1_Input[[#This Row],[Pressure at leak (psig)]]=0, Table_Leaks1_Input[[#This Row],[Pressure at leak (psig)]]=""),0,IF(Table_Leaks1_Input[[#This Row],[Pressure at leak (psig)]]&lt;20, 10, MROUND(Table_Leaks1_Input[[#This Row],[Pressure at leak (psig)]], 25)))</f>
        <v>0</v>
      </c>
      <c r="T141" s="126">
        <f>ROUND(Table_Leaks1_Input[[#This Row],[dB reading]],-1)</f>
        <v>0</v>
      </c>
      <c r="U141" s="127" t="str">
        <f>_xlfn.CONCAT(Table_Leaks1_Input[[#This Row],[Rounded dB Reading]],"psig ", Table_Leaks1_Input[[#This Row],[Rounded PSIG]],"db")</f>
        <v>0psig 0db</v>
      </c>
    </row>
    <row r="142" spans="1:46" x14ac:dyDescent="0.2">
      <c r="B142" s="121">
        <v>137</v>
      </c>
      <c r="C142" s="128"/>
      <c r="D142" s="129"/>
      <c r="E142" s="130"/>
      <c r="F142" s="130"/>
      <c r="G142" s="130"/>
      <c r="H142" s="130"/>
      <c r="I142" s="131"/>
      <c r="J142" s="131"/>
      <c r="K142" s="122" t="str">
        <f>IFERROR(INDEX(TABLE_UE_dB[Leak Size (cfm)], MATCH(Table_Leaks1_Input[[#This Row],[Lookup Value]], TABLE_UE_dB[Lookup Value], 0)),"")</f>
        <v/>
      </c>
      <c r="L142" s="123" t="str">
        <f>IF(Table_Leaks1_Input[[#This Row],[Repaired (Y/N)]]="Yes", Value_LeakRepairIR, "")</f>
        <v/>
      </c>
      <c r="M142" s="124" t="str">
        <f>IFERROR(Table_Leaks1_Input[[#This Row],[Estimated leak size (cfm)]]*Value_WeightAvgCompEff*Value_SysAOH,"" )</f>
        <v/>
      </c>
      <c r="N142" s="125" t="str">
        <f>IFERROR(Table_Leaks1_Input[[#This Row],[Estimated leak size (cfm)]]*Value_WeightAvgCompEff,"" )</f>
        <v/>
      </c>
      <c r="O142" s="123" t="str">
        <f>IFERROR(Table_Leaks1_Input[[#This Row],[Energy savings (kWh)]]*Input_AvgkWhRate, "")</f>
        <v/>
      </c>
      <c r="P142" s="123" t="str">
        <f>IF(Table_Leaks1_Input[[#This Row],[Pressure at leak (psig)]]="", "",Table_Leaks1_Input[[#This Row],[Total equipment cost]]+Table_Leaks1_Input[[#This Row],[Total labor cost]])</f>
        <v/>
      </c>
      <c r="Q142" s="123" t="str">
        <f>IFERROR(Table_Leaks1_Input[[#This Row],[Gross measure cost]]-Table_Leaks1_Input[[#This Row],[Estimated incentive]], "")</f>
        <v/>
      </c>
      <c r="R142" s="124" t="str">
        <f t="shared" si="2"/>
        <v/>
      </c>
      <c r="S142" s="126">
        <f>IF(OR(Table_Leaks1_Input[[#This Row],[Pressure at leak (psig)]]=0, Table_Leaks1_Input[[#This Row],[Pressure at leak (psig)]]=""),0,IF(Table_Leaks1_Input[[#This Row],[Pressure at leak (psig)]]&lt;20, 10, MROUND(Table_Leaks1_Input[[#This Row],[Pressure at leak (psig)]], 25)))</f>
        <v>0</v>
      </c>
      <c r="T142" s="126">
        <f>ROUND(Table_Leaks1_Input[[#This Row],[dB reading]],-1)</f>
        <v>0</v>
      </c>
      <c r="U142" s="127" t="str">
        <f>_xlfn.CONCAT(Table_Leaks1_Input[[#This Row],[Rounded dB Reading]],"psig ", Table_Leaks1_Input[[#This Row],[Rounded PSIG]],"db")</f>
        <v>0psig 0db</v>
      </c>
    </row>
    <row r="143" spans="1:46" x14ac:dyDescent="0.2">
      <c r="B143" s="121">
        <v>138</v>
      </c>
      <c r="C143" s="128"/>
      <c r="D143" s="129"/>
      <c r="E143" s="130"/>
      <c r="F143" s="130"/>
      <c r="G143" s="130"/>
      <c r="H143" s="130"/>
      <c r="I143" s="131"/>
      <c r="J143" s="131"/>
      <c r="K143" s="122" t="str">
        <f>IFERROR(INDEX(TABLE_UE_dB[Leak Size (cfm)], MATCH(Table_Leaks1_Input[[#This Row],[Lookup Value]], TABLE_UE_dB[Lookup Value], 0)),"")</f>
        <v/>
      </c>
      <c r="L143" s="123" t="str">
        <f>IF(Table_Leaks1_Input[[#This Row],[Repaired (Y/N)]]="Yes", Value_LeakRepairIR, "")</f>
        <v/>
      </c>
      <c r="M143" s="124" t="str">
        <f>IFERROR(Table_Leaks1_Input[[#This Row],[Estimated leak size (cfm)]]*Value_WeightAvgCompEff*Value_SysAOH,"" )</f>
        <v/>
      </c>
      <c r="N143" s="125" t="str">
        <f>IFERROR(Table_Leaks1_Input[[#This Row],[Estimated leak size (cfm)]]*Value_WeightAvgCompEff,"" )</f>
        <v/>
      </c>
      <c r="O143" s="123" t="str">
        <f>IFERROR(Table_Leaks1_Input[[#This Row],[Energy savings (kWh)]]*Input_AvgkWhRate, "")</f>
        <v/>
      </c>
      <c r="P143" s="123" t="str">
        <f>IF(Table_Leaks1_Input[[#This Row],[Pressure at leak (psig)]]="", "",Table_Leaks1_Input[[#This Row],[Total equipment cost]]+Table_Leaks1_Input[[#This Row],[Total labor cost]])</f>
        <v/>
      </c>
      <c r="Q143" s="123" t="str">
        <f>IFERROR(Table_Leaks1_Input[[#This Row],[Gross measure cost]]-Table_Leaks1_Input[[#This Row],[Estimated incentive]], "")</f>
        <v/>
      </c>
      <c r="R143" s="124" t="str">
        <f t="shared" si="2"/>
        <v/>
      </c>
      <c r="S143" s="126">
        <f>IF(OR(Table_Leaks1_Input[[#This Row],[Pressure at leak (psig)]]=0, Table_Leaks1_Input[[#This Row],[Pressure at leak (psig)]]=""),0,IF(Table_Leaks1_Input[[#This Row],[Pressure at leak (psig)]]&lt;20, 10, MROUND(Table_Leaks1_Input[[#This Row],[Pressure at leak (psig)]], 25)))</f>
        <v>0</v>
      </c>
      <c r="T143" s="126">
        <f>ROUND(Table_Leaks1_Input[[#This Row],[dB reading]],-1)</f>
        <v>0</v>
      </c>
      <c r="U143" s="127" t="str">
        <f>_xlfn.CONCAT(Table_Leaks1_Input[[#This Row],[Rounded dB Reading]],"psig ", Table_Leaks1_Input[[#This Row],[Rounded PSIG]],"db")</f>
        <v>0psig 0db</v>
      </c>
    </row>
    <row r="144" spans="1:46" x14ac:dyDescent="0.2">
      <c r="B144" s="121">
        <v>139</v>
      </c>
      <c r="C144" s="128"/>
      <c r="D144" s="129"/>
      <c r="E144" s="130"/>
      <c r="F144" s="130"/>
      <c r="G144" s="130"/>
      <c r="H144" s="130"/>
      <c r="I144" s="131"/>
      <c r="J144" s="131"/>
      <c r="K144" s="122" t="str">
        <f>IFERROR(INDEX(TABLE_UE_dB[Leak Size (cfm)], MATCH(Table_Leaks1_Input[[#This Row],[Lookup Value]], TABLE_UE_dB[Lookup Value], 0)),"")</f>
        <v/>
      </c>
      <c r="L144" s="123" t="str">
        <f>IF(Table_Leaks1_Input[[#This Row],[Repaired (Y/N)]]="Yes", Value_LeakRepairIR, "")</f>
        <v/>
      </c>
      <c r="M144" s="124" t="str">
        <f>IFERROR(Table_Leaks1_Input[[#This Row],[Estimated leak size (cfm)]]*Value_WeightAvgCompEff*Value_SysAOH,"" )</f>
        <v/>
      </c>
      <c r="N144" s="125" t="str">
        <f>IFERROR(Table_Leaks1_Input[[#This Row],[Estimated leak size (cfm)]]*Value_WeightAvgCompEff,"" )</f>
        <v/>
      </c>
      <c r="O144" s="123" t="str">
        <f>IFERROR(Table_Leaks1_Input[[#This Row],[Energy savings (kWh)]]*Input_AvgkWhRate, "")</f>
        <v/>
      </c>
      <c r="P144" s="123" t="str">
        <f>IF(Table_Leaks1_Input[[#This Row],[Pressure at leak (psig)]]="", "",Table_Leaks1_Input[[#This Row],[Total equipment cost]]+Table_Leaks1_Input[[#This Row],[Total labor cost]])</f>
        <v/>
      </c>
      <c r="Q144" s="123" t="str">
        <f>IFERROR(Table_Leaks1_Input[[#This Row],[Gross measure cost]]-Table_Leaks1_Input[[#This Row],[Estimated incentive]], "")</f>
        <v/>
      </c>
      <c r="R144" s="124" t="str">
        <f t="shared" si="2"/>
        <v/>
      </c>
      <c r="S144" s="126">
        <f>IF(OR(Table_Leaks1_Input[[#This Row],[Pressure at leak (psig)]]=0, Table_Leaks1_Input[[#This Row],[Pressure at leak (psig)]]=""),0,IF(Table_Leaks1_Input[[#This Row],[Pressure at leak (psig)]]&lt;20, 10, MROUND(Table_Leaks1_Input[[#This Row],[Pressure at leak (psig)]], 25)))</f>
        <v>0</v>
      </c>
      <c r="T144" s="126">
        <f>ROUND(Table_Leaks1_Input[[#This Row],[dB reading]],-1)</f>
        <v>0</v>
      </c>
      <c r="U144" s="127" t="str">
        <f>_xlfn.CONCAT(Table_Leaks1_Input[[#This Row],[Rounded dB Reading]],"psig ", Table_Leaks1_Input[[#This Row],[Rounded PSIG]],"db")</f>
        <v>0psig 0db</v>
      </c>
    </row>
    <row r="145" spans="2:21" x14ac:dyDescent="0.2">
      <c r="B145" s="121">
        <v>140</v>
      </c>
      <c r="C145" s="128"/>
      <c r="D145" s="129"/>
      <c r="E145" s="130"/>
      <c r="F145" s="130"/>
      <c r="G145" s="130"/>
      <c r="H145" s="130"/>
      <c r="I145" s="131"/>
      <c r="J145" s="131"/>
      <c r="K145" s="122" t="str">
        <f>IFERROR(INDEX(TABLE_UE_dB[Leak Size (cfm)], MATCH(Table_Leaks1_Input[[#This Row],[Lookup Value]], TABLE_UE_dB[Lookup Value], 0)),"")</f>
        <v/>
      </c>
      <c r="L145" s="123" t="str">
        <f>IF(Table_Leaks1_Input[[#This Row],[Repaired (Y/N)]]="Yes", Value_LeakRepairIR, "")</f>
        <v/>
      </c>
      <c r="M145" s="124" t="str">
        <f>IFERROR(Table_Leaks1_Input[[#This Row],[Estimated leak size (cfm)]]*Value_WeightAvgCompEff*Value_SysAOH,"" )</f>
        <v/>
      </c>
      <c r="N145" s="125" t="str">
        <f>IFERROR(Table_Leaks1_Input[[#This Row],[Estimated leak size (cfm)]]*Value_WeightAvgCompEff,"" )</f>
        <v/>
      </c>
      <c r="O145" s="123" t="str">
        <f>IFERROR(Table_Leaks1_Input[[#This Row],[Energy savings (kWh)]]*Input_AvgkWhRate, "")</f>
        <v/>
      </c>
      <c r="P145" s="123" t="str">
        <f>IF(Table_Leaks1_Input[[#This Row],[Pressure at leak (psig)]]="", "",Table_Leaks1_Input[[#This Row],[Total equipment cost]]+Table_Leaks1_Input[[#This Row],[Total labor cost]])</f>
        <v/>
      </c>
      <c r="Q145" s="123" t="str">
        <f>IFERROR(Table_Leaks1_Input[[#This Row],[Gross measure cost]]-Table_Leaks1_Input[[#This Row],[Estimated incentive]], "")</f>
        <v/>
      </c>
      <c r="R145" s="124" t="str">
        <f t="shared" si="2"/>
        <v/>
      </c>
      <c r="S145" s="126">
        <f>IF(OR(Table_Leaks1_Input[[#This Row],[Pressure at leak (psig)]]=0, Table_Leaks1_Input[[#This Row],[Pressure at leak (psig)]]=""),0,IF(Table_Leaks1_Input[[#This Row],[Pressure at leak (psig)]]&lt;20, 10, MROUND(Table_Leaks1_Input[[#This Row],[Pressure at leak (psig)]], 25)))</f>
        <v>0</v>
      </c>
      <c r="T145" s="126">
        <f>ROUND(Table_Leaks1_Input[[#This Row],[dB reading]],-1)</f>
        <v>0</v>
      </c>
      <c r="U145" s="127" t="str">
        <f>_xlfn.CONCAT(Table_Leaks1_Input[[#This Row],[Rounded dB Reading]],"psig ", Table_Leaks1_Input[[#This Row],[Rounded PSIG]],"db")</f>
        <v>0psig 0db</v>
      </c>
    </row>
    <row r="146" spans="2:21" x14ac:dyDescent="0.2">
      <c r="B146" s="121">
        <v>141</v>
      </c>
      <c r="C146" s="128"/>
      <c r="D146" s="129"/>
      <c r="E146" s="130"/>
      <c r="F146" s="130"/>
      <c r="G146" s="130"/>
      <c r="H146" s="130"/>
      <c r="I146" s="131"/>
      <c r="J146" s="131"/>
      <c r="K146" s="122" t="str">
        <f>IFERROR(INDEX(TABLE_UE_dB[Leak Size (cfm)], MATCH(Table_Leaks1_Input[[#This Row],[Lookup Value]], TABLE_UE_dB[Lookup Value], 0)),"")</f>
        <v/>
      </c>
      <c r="L146" s="123" t="str">
        <f>IF(Table_Leaks1_Input[[#This Row],[Repaired (Y/N)]]="Yes", Value_LeakRepairIR, "")</f>
        <v/>
      </c>
      <c r="M146" s="124" t="str">
        <f>IFERROR(Table_Leaks1_Input[[#This Row],[Estimated leak size (cfm)]]*Value_WeightAvgCompEff*Value_SysAOH,"" )</f>
        <v/>
      </c>
      <c r="N146" s="125" t="str">
        <f>IFERROR(Table_Leaks1_Input[[#This Row],[Estimated leak size (cfm)]]*Value_WeightAvgCompEff,"" )</f>
        <v/>
      </c>
      <c r="O146" s="123" t="str">
        <f>IFERROR(Table_Leaks1_Input[[#This Row],[Energy savings (kWh)]]*Input_AvgkWhRate, "")</f>
        <v/>
      </c>
      <c r="P146" s="123" t="str">
        <f>IF(Table_Leaks1_Input[[#This Row],[Pressure at leak (psig)]]="", "",Table_Leaks1_Input[[#This Row],[Total equipment cost]]+Table_Leaks1_Input[[#This Row],[Total labor cost]])</f>
        <v/>
      </c>
      <c r="Q146" s="123" t="str">
        <f>IFERROR(Table_Leaks1_Input[[#This Row],[Gross measure cost]]-Table_Leaks1_Input[[#This Row],[Estimated incentive]], "")</f>
        <v/>
      </c>
      <c r="R146" s="124" t="str">
        <f t="shared" si="2"/>
        <v/>
      </c>
      <c r="S146" s="126">
        <f>IF(OR(Table_Leaks1_Input[[#This Row],[Pressure at leak (psig)]]=0, Table_Leaks1_Input[[#This Row],[Pressure at leak (psig)]]=""),0,IF(Table_Leaks1_Input[[#This Row],[Pressure at leak (psig)]]&lt;20, 10, MROUND(Table_Leaks1_Input[[#This Row],[Pressure at leak (psig)]], 25)))</f>
        <v>0</v>
      </c>
      <c r="T146" s="126">
        <f>ROUND(Table_Leaks1_Input[[#This Row],[dB reading]],-1)</f>
        <v>0</v>
      </c>
      <c r="U146" s="127" t="str">
        <f>_xlfn.CONCAT(Table_Leaks1_Input[[#This Row],[Rounded dB Reading]],"psig ", Table_Leaks1_Input[[#This Row],[Rounded PSIG]],"db")</f>
        <v>0psig 0db</v>
      </c>
    </row>
    <row r="147" spans="2:21" x14ac:dyDescent="0.2">
      <c r="B147" s="121">
        <v>142</v>
      </c>
      <c r="C147" s="128"/>
      <c r="D147" s="129"/>
      <c r="E147" s="130"/>
      <c r="F147" s="130"/>
      <c r="G147" s="130"/>
      <c r="H147" s="130"/>
      <c r="I147" s="131"/>
      <c r="J147" s="131"/>
      <c r="K147" s="122" t="str">
        <f>IFERROR(INDEX(TABLE_UE_dB[Leak Size (cfm)], MATCH(Table_Leaks1_Input[[#This Row],[Lookup Value]], TABLE_UE_dB[Lookup Value], 0)),"")</f>
        <v/>
      </c>
      <c r="L147" s="123" t="str">
        <f>IF(Table_Leaks1_Input[[#This Row],[Repaired (Y/N)]]="Yes", Value_LeakRepairIR, "")</f>
        <v/>
      </c>
      <c r="M147" s="124" t="str">
        <f>IFERROR(Table_Leaks1_Input[[#This Row],[Estimated leak size (cfm)]]*Value_WeightAvgCompEff*Value_SysAOH,"" )</f>
        <v/>
      </c>
      <c r="N147" s="125" t="str">
        <f>IFERROR(Table_Leaks1_Input[[#This Row],[Estimated leak size (cfm)]]*Value_WeightAvgCompEff,"" )</f>
        <v/>
      </c>
      <c r="O147" s="123" t="str">
        <f>IFERROR(Table_Leaks1_Input[[#This Row],[Energy savings (kWh)]]*Input_AvgkWhRate, "")</f>
        <v/>
      </c>
      <c r="P147" s="123" t="str">
        <f>IF(Table_Leaks1_Input[[#This Row],[Pressure at leak (psig)]]="", "",Table_Leaks1_Input[[#This Row],[Total equipment cost]]+Table_Leaks1_Input[[#This Row],[Total labor cost]])</f>
        <v/>
      </c>
      <c r="Q147" s="123" t="str">
        <f>IFERROR(Table_Leaks1_Input[[#This Row],[Gross measure cost]]-Table_Leaks1_Input[[#This Row],[Estimated incentive]], "")</f>
        <v/>
      </c>
      <c r="R147" s="124" t="str">
        <f t="shared" si="2"/>
        <v/>
      </c>
      <c r="S147" s="126">
        <f>IF(OR(Table_Leaks1_Input[[#This Row],[Pressure at leak (psig)]]=0, Table_Leaks1_Input[[#This Row],[Pressure at leak (psig)]]=""),0,IF(Table_Leaks1_Input[[#This Row],[Pressure at leak (psig)]]&lt;20, 10, MROUND(Table_Leaks1_Input[[#This Row],[Pressure at leak (psig)]], 25)))</f>
        <v>0</v>
      </c>
      <c r="T147" s="126">
        <f>ROUND(Table_Leaks1_Input[[#This Row],[dB reading]],-1)</f>
        <v>0</v>
      </c>
      <c r="U147" s="127" t="str">
        <f>_xlfn.CONCAT(Table_Leaks1_Input[[#This Row],[Rounded dB Reading]],"psig ", Table_Leaks1_Input[[#This Row],[Rounded PSIG]],"db")</f>
        <v>0psig 0db</v>
      </c>
    </row>
    <row r="148" spans="2:21" x14ac:dyDescent="0.2">
      <c r="B148" s="121">
        <v>143</v>
      </c>
      <c r="C148" s="128"/>
      <c r="D148" s="129"/>
      <c r="E148" s="130"/>
      <c r="F148" s="130"/>
      <c r="G148" s="130"/>
      <c r="H148" s="130"/>
      <c r="I148" s="131"/>
      <c r="J148" s="131"/>
      <c r="K148" s="122" t="str">
        <f>IFERROR(INDEX(TABLE_UE_dB[Leak Size (cfm)], MATCH(Table_Leaks1_Input[[#This Row],[Lookup Value]], TABLE_UE_dB[Lookup Value], 0)),"")</f>
        <v/>
      </c>
      <c r="L148" s="123" t="str">
        <f>IF(Table_Leaks1_Input[[#This Row],[Repaired (Y/N)]]="Yes", Value_LeakRepairIR, "")</f>
        <v/>
      </c>
      <c r="M148" s="124" t="str">
        <f>IFERROR(Table_Leaks1_Input[[#This Row],[Estimated leak size (cfm)]]*Value_WeightAvgCompEff*Value_SysAOH,"" )</f>
        <v/>
      </c>
      <c r="N148" s="125" t="str">
        <f>IFERROR(Table_Leaks1_Input[[#This Row],[Estimated leak size (cfm)]]*Value_WeightAvgCompEff,"" )</f>
        <v/>
      </c>
      <c r="O148" s="123" t="str">
        <f>IFERROR(Table_Leaks1_Input[[#This Row],[Energy savings (kWh)]]*Input_AvgkWhRate, "")</f>
        <v/>
      </c>
      <c r="P148" s="123" t="str">
        <f>IF(Table_Leaks1_Input[[#This Row],[Pressure at leak (psig)]]="", "",Table_Leaks1_Input[[#This Row],[Total equipment cost]]+Table_Leaks1_Input[[#This Row],[Total labor cost]])</f>
        <v/>
      </c>
      <c r="Q148" s="123" t="str">
        <f>IFERROR(Table_Leaks1_Input[[#This Row],[Gross measure cost]]-Table_Leaks1_Input[[#This Row],[Estimated incentive]], "")</f>
        <v/>
      </c>
      <c r="R148" s="124" t="str">
        <f t="shared" si="2"/>
        <v/>
      </c>
      <c r="S148" s="126">
        <f>IF(OR(Table_Leaks1_Input[[#This Row],[Pressure at leak (psig)]]=0, Table_Leaks1_Input[[#This Row],[Pressure at leak (psig)]]=""),0,IF(Table_Leaks1_Input[[#This Row],[Pressure at leak (psig)]]&lt;20, 10, MROUND(Table_Leaks1_Input[[#This Row],[Pressure at leak (psig)]], 25)))</f>
        <v>0</v>
      </c>
      <c r="T148" s="126">
        <f>ROUND(Table_Leaks1_Input[[#This Row],[dB reading]],-1)</f>
        <v>0</v>
      </c>
      <c r="U148" s="127" t="str">
        <f>_xlfn.CONCAT(Table_Leaks1_Input[[#This Row],[Rounded dB Reading]],"psig ", Table_Leaks1_Input[[#This Row],[Rounded PSIG]],"db")</f>
        <v>0psig 0db</v>
      </c>
    </row>
    <row r="149" spans="2:21" x14ac:dyDescent="0.2">
      <c r="B149" s="121">
        <v>144</v>
      </c>
      <c r="C149" s="128"/>
      <c r="D149" s="129"/>
      <c r="E149" s="130"/>
      <c r="F149" s="130"/>
      <c r="G149" s="130"/>
      <c r="H149" s="130"/>
      <c r="I149" s="131"/>
      <c r="J149" s="131"/>
      <c r="K149" s="122" t="str">
        <f>IFERROR(INDEX(TABLE_UE_dB[Leak Size (cfm)], MATCH(Table_Leaks1_Input[[#This Row],[Lookup Value]], TABLE_UE_dB[Lookup Value], 0)),"")</f>
        <v/>
      </c>
      <c r="L149" s="123" t="str">
        <f>IF(Table_Leaks1_Input[[#This Row],[Repaired (Y/N)]]="Yes", Value_LeakRepairIR, "")</f>
        <v/>
      </c>
      <c r="M149" s="124" t="str">
        <f>IFERROR(Table_Leaks1_Input[[#This Row],[Estimated leak size (cfm)]]*Value_WeightAvgCompEff*Value_SysAOH,"" )</f>
        <v/>
      </c>
      <c r="N149" s="125" t="str">
        <f>IFERROR(Table_Leaks1_Input[[#This Row],[Estimated leak size (cfm)]]*Value_WeightAvgCompEff,"" )</f>
        <v/>
      </c>
      <c r="O149" s="123" t="str">
        <f>IFERROR(Table_Leaks1_Input[[#This Row],[Energy savings (kWh)]]*Input_AvgkWhRate, "")</f>
        <v/>
      </c>
      <c r="P149" s="123" t="str">
        <f>IF(Table_Leaks1_Input[[#This Row],[Pressure at leak (psig)]]="", "",Table_Leaks1_Input[[#This Row],[Total equipment cost]]+Table_Leaks1_Input[[#This Row],[Total labor cost]])</f>
        <v/>
      </c>
      <c r="Q149" s="123" t="str">
        <f>IFERROR(Table_Leaks1_Input[[#This Row],[Gross measure cost]]-Table_Leaks1_Input[[#This Row],[Estimated incentive]], "")</f>
        <v/>
      </c>
      <c r="R149" s="124" t="str">
        <f t="shared" si="2"/>
        <v/>
      </c>
      <c r="S149" s="126">
        <f>IF(OR(Table_Leaks1_Input[[#This Row],[Pressure at leak (psig)]]=0, Table_Leaks1_Input[[#This Row],[Pressure at leak (psig)]]=""),0,IF(Table_Leaks1_Input[[#This Row],[Pressure at leak (psig)]]&lt;20, 10, MROUND(Table_Leaks1_Input[[#This Row],[Pressure at leak (psig)]], 25)))</f>
        <v>0</v>
      </c>
      <c r="T149" s="126">
        <f>ROUND(Table_Leaks1_Input[[#This Row],[dB reading]],-1)</f>
        <v>0</v>
      </c>
      <c r="U149" s="127" t="str">
        <f>_xlfn.CONCAT(Table_Leaks1_Input[[#This Row],[Rounded dB Reading]],"psig ", Table_Leaks1_Input[[#This Row],[Rounded PSIG]],"db")</f>
        <v>0psig 0db</v>
      </c>
    </row>
    <row r="150" spans="2:21" x14ac:dyDescent="0.2">
      <c r="B150" s="121">
        <v>145</v>
      </c>
      <c r="C150" s="128"/>
      <c r="D150" s="129"/>
      <c r="E150" s="130"/>
      <c r="F150" s="130"/>
      <c r="G150" s="130"/>
      <c r="H150" s="130"/>
      <c r="I150" s="131"/>
      <c r="J150" s="131"/>
      <c r="K150" s="122" t="str">
        <f>IFERROR(INDEX(TABLE_UE_dB[Leak Size (cfm)], MATCH(Table_Leaks1_Input[[#This Row],[Lookup Value]], TABLE_UE_dB[Lookup Value], 0)),"")</f>
        <v/>
      </c>
      <c r="L150" s="123" t="str">
        <f>IF(Table_Leaks1_Input[[#This Row],[Repaired (Y/N)]]="Yes", Value_LeakRepairIR, "")</f>
        <v/>
      </c>
      <c r="M150" s="124" t="str">
        <f>IFERROR(Table_Leaks1_Input[[#This Row],[Estimated leak size (cfm)]]*Value_WeightAvgCompEff*Value_SysAOH,"" )</f>
        <v/>
      </c>
      <c r="N150" s="125" t="str">
        <f>IFERROR(Table_Leaks1_Input[[#This Row],[Estimated leak size (cfm)]]*Value_WeightAvgCompEff,"" )</f>
        <v/>
      </c>
      <c r="O150" s="123" t="str">
        <f>IFERROR(Table_Leaks1_Input[[#This Row],[Energy savings (kWh)]]*Input_AvgkWhRate, "")</f>
        <v/>
      </c>
      <c r="P150" s="123" t="str">
        <f>IF(Table_Leaks1_Input[[#This Row],[Pressure at leak (psig)]]="", "",Table_Leaks1_Input[[#This Row],[Total equipment cost]]+Table_Leaks1_Input[[#This Row],[Total labor cost]])</f>
        <v/>
      </c>
      <c r="Q150" s="123" t="str">
        <f>IFERROR(Table_Leaks1_Input[[#This Row],[Gross measure cost]]-Table_Leaks1_Input[[#This Row],[Estimated incentive]], "")</f>
        <v/>
      </c>
      <c r="R150" s="124" t="str">
        <f t="shared" si="2"/>
        <v/>
      </c>
      <c r="S150" s="126">
        <f>IF(OR(Table_Leaks1_Input[[#This Row],[Pressure at leak (psig)]]=0, Table_Leaks1_Input[[#This Row],[Pressure at leak (psig)]]=""),0,IF(Table_Leaks1_Input[[#This Row],[Pressure at leak (psig)]]&lt;20, 10, MROUND(Table_Leaks1_Input[[#This Row],[Pressure at leak (psig)]], 25)))</f>
        <v>0</v>
      </c>
      <c r="T150" s="126">
        <f>ROUND(Table_Leaks1_Input[[#This Row],[dB reading]],-1)</f>
        <v>0</v>
      </c>
      <c r="U150" s="127" t="str">
        <f>_xlfn.CONCAT(Table_Leaks1_Input[[#This Row],[Rounded dB Reading]],"psig ", Table_Leaks1_Input[[#This Row],[Rounded PSIG]],"db")</f>
        <v>0psig 0db</v>
      </c>
    </row>
    <row r="151" spans="2:21" x14ac:dyDescent="0.2">
      <c r="B151" s="121">
        <v>146</v>
      </c>
      <c r="C151" s="128"/>
      <c r="D151" s="129"/>
      <c r="E151" s="130"/>
      <c r="F151" s="130"/>
      <c r="G151" s="130"/>
      <c r="H151" s="130"/>
      <c r="I151" s="131"/>
      <c r="J151" s="131"/>
      <c r="K151" s="122" t="str">
        <f>IFERROR(INDEX(TABLE_UE_dB[Leak Size (cfm)], MATCH(Table_Leaks1_Input[[#This Row],[Lookup Value]], TABLE_UE_dB[Lookup Value], 0)),"")</f>
        <v/>
      </c>
      <c r="L151" s="123" t="str">
        <f>IF(Table_Leaks1_Input[[#This Row],[Repaired (Y/N)]]="Yes", Value_LeakRepairIR, "")</f>
        <v/>
      </c>
      <c r="M151" s="124" t="str">
        <f>IFERROR(Table_Leaks1_Input[[#This Row],[Estimated leak size (cfm)]]*Value_WeightAvgCompEff*Value_SysAOH,"" )</f>
        <v/>
      </c>
      <c r="N151" s="125" t="str">
        <f>IFERROR(Table_Leaks1_Input[[#This Row],[Estimated leak size (cfm)]]*Value_WeightAvgCompEff,"" )</f>
        <v/>
      </c>
      <c r="O151" s="123" t="str">
        <f>IFERROR(Table_Leaks1_Input[[#This Row],[Energy savings (kWh)]]*Input_AvgkWhRate, "")</f>
        <v/>
      </c>
      <c r="P151" s="123" t="str">
        <f>IF(Table_Leaks1_Input[[#This Row],[Pressure at leak (psig)]]="", "",Table_Leaks1_Input[[#This Row],[Total equipment cost]]+Table_Leaks1_Input[[#This Row],[Total labor cost]])</f>
        <v/>
      </c>
      <c r="Q151" s="123" t="str">
        <f>IFERROR(Table_Leaks1_Input[[#This Row],[Gross measure cost]]-Table_Leaks1_Input[[#This Row],[Estimated incentive]], "")</f>
        <v/>
      </c>
      <c r="R151" s="124" t="str">
        <f t="shared" si="2"/>
        <v/>
      </c>
      <c r="S151" s="126">
        <f>IF(OR(Table_Leaks1_Input[[#This Row],[Pressure at leak (psig)]]=0, Table_Leaks1_Input[[#This Row],[Pressure at leak (psig)]]=""),0,IF(Table_Leaks1_Input[[#This Row],[Pressure at leak (psig)]]&lt;20, 10, MROUND(Table_Leaks1_Input[[#This Row],[Pressure at leak (psig)]], 25)))</f>
        <v>0</v>
      </c>
      <c r="T151" s="126">
        <f>ROUND(Table_Leaks1_Input[[#This Row],[dB reading]],-1)</f>
        <v>0</v>
      </c>
      <c r="U151" s="127" t="str">
        <f>_xlfn.CONCAT(Table_Leaks1_Input[[#This Row],[Rounded dB Reading]],"psig ", Table_Leaks1_Input[[#This Row],[Rounded PSIG]],"db")</f>
        <v>0psig 0db</v>
      </c>
    </row>
    <row r="152" spans="2:21" x14ac:dyDescent="0.2">
      <c r="B152" s="121">
        <v>147</v>
      </c>
      <c r="C152" s="128"/>
      <c r="D152" s="129"/>
      <c r="E152" s="130"/>
      <c r="F152" s="130"/>
      <c r="G152" s="130"/>
      <c r="H152" s="130"/>
      <c r="I152" s="131"/>
      <c r="J152" s="131"/>
      <c r="K152" s="122" t="str">
        <f>IFERROR(INDEX(TABLE_UE_dB[Leak Size (cfm)], MATCH(Table_Leaks1_Input[[#This Row],[Lookup Value]], TABLE_UE_dB[Lookup Value], 0)),"")</f>
        <v/>
      </c>
      <c r="L152" s="123" t="str">
        <f>IF(Table_Leaks1_Input[[#This Row],[Repaired (Y/N)]]="Yes", Value_LeakRepairIR, "")</f>
        <v/>
      </c>
      <c r="M152" s="124" t="str">
        <f>IFERROR(Table_Leaks1_Input[[#This Row],[Estimated leak size (cfm)]]*Value_WeightAvgCompEff*Value_SysAOH,"" )</f>
        <v/>
      </c>
      <c r="N152" s="125" t="str">
        <f>IFERROR(Table_Leaks1_Input[[#This Row],[Estimated leak size (cfm)]]*Value_WeightAvgCompEff,"" )</f>
        <v/>
      </c>
      <c r="O152" s="123" t="str">
        <f>IFERROR(Table_Leaks1_Input[[#This Row],[Energy savings (kWh)]]*Input_AvgkWhRate, "")</f>
        <v/>
      </c>
      <c r="P152" s="123" t="str">
        <f>IF(Table_Leaks1_Input[[#This Row],[Pressure at leak (psig)]]="", "",Table_Leaks1_Input[[#This Row],[Total equipment cost]]+Table_Leaks1_Input[[#This Row],[Total labor cost]])</f>
        <v/>
      </c>
      <c r="Q152" s="123" t="str">
        <f>IFERROR(Table_Leaks1_Input[[#This Row],[Gross measure cost]]-Table_Leaks1_Input[[#This Row],[Estimated incentive]], "")</f>
        <v/>
      </c>
      <c r="R152" s="124" t="str">
        <f t="shared" si="2"/>
        <v/>
      </c>
      <c r="S152" s="126">
        <f>IF(OR(Table_Leaks1_Input[[#This Row],[Pressure at leak (psig)]]=0, Table_Leaks1_Input[[#This Row],[Pressure at leak (psig)]]=""),0,IF(Table_Leaks1_Input[[#This Row],[Pressure at leak (psig)]]&lt;20, 10, MROUND(Table_Leaks1_Input[[#This Row],[Pressure at leak (psig)]], 25)))</f>
        <v>0</v>
      </c>
      <c r="T152" s="126">
        <f>ROUND(Table_Leaks1_Input[[#This Row],[dB reading]],-1)</f>
        <v>0</v>
      </c>
      <c r="U152" s="127" t="str">
        <f>_xlfn.CONCAT(Table_Leaks1_Input[[#This Row],[Rounded dB Reading]],"psig ", Table_Leaks1_Input[[#This Row],[Rounded PSIG]],"db")</f>
        <v>0psig 0db</v>
      </c>
    </row>
    <row r="153" spans="2:21" x14ac:dyDescent="0.2">
      <c r="B153" s="121">
        <v>148</v>
      </c>
      <c r="C153" s="128"/>
      <c r="D153" s="129"/>
      <c r="E153" s="130"/>
      <c r="F153" s="130"/>
      <c r="G153" s="130"/>
      <c r="H153" s="130"/>
      <c r="I153" s="131"/>
      <c r="J153" s="131"/>
      <c r="K153" s="122" t="str">
        <f>IFERROR(INDEX(TABLE_UE_dB[Leak Size (cfm)], MATCH(Table_Leaks1_Input[[#This Row],[Lookup Value]], TABLE_UE_dB[Lookup Value], 0)),"")</f>
        <v/>
      </c>
      <c r="L153" s="123" t="str">
        <f>IF(Table_Leaks1_Input[[#This Row],[Repaired (Y/N)]]="Yes", Value_LeakRepairIR, "")</f>
        <v/>
      </c>
      <c r="M153" s="124" t="str">
        <f>IFERROR(Table_Leaks1_Input[[#This Row],[Estimated leak size (cfm)]]*Value_WeightAvgCompEff*Value_SysAOH,"" )</f>
        <v/>
      </c>
      <c r="N153" s="125" t="str">
        <f>IFERROR(Table_Leaks1_Input[[#This Row],[Estimated leak size (cfm)]]*Value_WeightAvgCompEff,"" )</f>
        <v/>
      </c>
      <c r="O153" s="123" t="str">
        <f>IFERROR(Table_Leaks1_Input[[#This Row],[Energy savings (kWh)]]*Input_AvgkWhRate, "")</f>
        <v/>
      </c>
      <c r="P153" s="123" t="str">
        <f>IF(Table_Leaks1_Input[[#This Row],[Pressure at leak (psig)]]="", "",Table_Leaks1_Input[[#This Row],[Total equipment cost]]+Table_Leaks1_Input[[#This Row],[Total labor cost]])</f>
        <v/>
      </c>
      <c r="Q153" s="123" t="str">
        <f>IFERROR(Table_Leaks1_Input[[#This Row],[Gross measure cost]]-Table_Leaks1_Input[[#This Row],[Estimated incentive]], "")</f>
        <v/>
      </c>
      <c r="R153" s="124" t="str">
        <f t="shared" si="2"/>
        <v/>
      </c>
      <c r="S153" s="126">
        <f>IF(OR(Table_Leaks1_Input[[#This Row],[Pressure at leak (psig)]]=0, Table_Leaks1_Input[[#This Row],[Pressure at leak (psig)]]=""),0,IF(Table_Leaks1_Input[[#This Row],[Pressure at leak (psig)]]&lt;20, 10, MROUND(Table_Leaks1_Input[[#This Row],[Pressure at leak (psig)]], 25)))</f>
        <v>0</v>
      </c>
      <c r="T153" s="126">
        <f>ROUND(Table_Leaks1_Input[[#This Row],[dB reading]],-1)</f>
        <v>0</v>
      </c>
      <c r="U153" s="127" t="str">
        <f>_xlfn.CONCAT(Table_Leaks1_Input[[#This Row],[Rounded dB Reading]],"psig ", Table_Leaks1_Input[[#This Row],[Rounded PSIG]],"db")</f>
        <v>0psig 0db</v>
      </c>
    </row>
    <row r="154" spans="2:21" x14ac:dyDescent="0.2">
      <c r="B154" s="121">
        <v>149</v>
      </c>
      <c r="C154" s="128"/>
      <c r="D154" s="129"/>
      <c r="E154" s="130"/>
      <c r="F154" s="130"/>
      <c r="G154" s="130"/>
      <c r="H154" s="130"/>
      <c r="I154" s="131"/>
      <c r="J154" s="131"/>
      <c r="K154" s="122" t="str">
        <f>IFERROR(INDEX(TABLE_UE_dB[Leak Size (cfm)], MATCH(Table_Leaks1_Input[[#This Row],[Lookup Value]], TABLE_UE_dB[Lookup Value], 0)),"")</f>
        <v/>
      </c>
      <c r="L154" s="123" t="str">
        <f>IF(Table_Leaks1_Input[[#This Row],[Repaired (Y/N)]]="Yes", Value_LeakRepairIR, "")</f>
        <v/>
      </c>
      <c r="M154" s="124" t="str">
        <f>IFERROR(Table_Leaks1_Input[[#This Row],[Estimated leak size (cfm)]]*Value_WeightAvgCompEff*Value_SysAOH,"" )</f>
        <v/>
      </c>
      <c r="N154" s="125" t="str">
        <f>IFERROR(Table_Leaks1_Input[[#This Row],[Estimated leak size (cfm)]]*Value_WeightAvgCompEff,"" )</f>
        <v/>
      </c>
      <c r="O154" s="123" t="str">
        <f>IFERROR(Table_Leaks1_Input[[#This Row],[Energy savings (kWh)]]*Input_AvgkWhRate, "")</f>
        <v/>
      </c>
      <c r="P154" s="123" t="str">
        <f>IF(Table_Leaks1_Input[[#This Row],[Pressure at leak (psig)]]="", "",Table_Leaks1_Input[[#This Row],[Total equipment cost]]+Table_Leaks1_Input[[#This Row],[Total labor cost]])</f>
        <v/>
      </c>
      <c r="Q154" s="123" t="str">
        <f>IFERROR(Table_Leaks1_Input[[#This Row],[Gross measure cost]]-Table_Leaks1_Input[[#This Row],[Estimated incentive]], "")</f>
        <v/>
      </c>
      <c r="R154" s="124" t="str">
        <f t="shared" si="2"/>
        <v/>
      </c>
      <c r="S154" s="126">
        <f>IF(OR(Table_Leaks1_Input[[#This Row],[Pressure at leak (psig)]]=0, Table_Leaks1_Input[[#This Row],[Pressure at leak (psig)]]=""),0,IF(Table_Leaks1_Input[[#This Row],[Pressure at leak (psig)]]&lt;20, 10, MROUND(Table_Leaks1_Input[[#This Row],[Pressure at leak (psig)]], 25)))</f>
        <v>0</v>
      </c>
      <c r="T154" s="126">
        <f>ROUND(Table_Leaks1_Input[[#This Row],[dB reading]],-1)</f>
        <v>0</v>
      </c>
      <c r="U154" s="127" t="str">
        <f>_xlfn.CONCAT(Table_Leaks1_Input[[#This Row],[Rounded dB Reading]],"psig ", Table_Leaks1_Input[[#This Row],[Rounded PSIG]],"db")</f>
        <v>0psig 0db</v>
      </c>
    </row>
    <row r="155" spans="2:21" x14ac:dyDescent="0.2">
      <c r="B155" s="121">
        <v>150</v>
      </c>
      <c r="C155" s="128"/>
      <c r="D155" s="129"/>
      <c r="E155" s="130"/>
      <c r="F155" s="130"/>
      <c r="G155" s="130"/>
      <c r="H155" s="130"/>
      <c r="I155" s="131"/>
      <c r="J155" s="131"/>
      <c r="K155" s="122" t="str">
        <f>IFERROR(INDEX(TABLE_UE_dB[Leak Size (cfm)], MATCH(Table_Leaks1_Input[[#This Row],[Lookup Value]], TABLE_UE_dB[Lookup Value], 0)),"")</f>
        <v/>
      </c>
      <c r="L155" s="123" t="str">
        <f>IF(Table_Leaks1_Input[[#This Row],[Repaired (Y/N)]]="Yes", Value_LeakRepairIR, "")</f>
        <v/>
      </c>
      <c r="M155" s="124" t="str">
        <f>IFERROR(Table_Leaks1_Input[[#This Row],[Estimated leak size (cfm)]]*Value_WeightAvgCompEff*Value_SysAOH,"" )</f>
        <v/>
      </c>
      <c r="N155" s="125" t="str">
        <f>IFERROR(Table_Leaks1_Input[[#This Row],[Estimated leak size (cfm)]]*Value_WeightAvgCompEff,"" )</f>
        <v/>
      </c>
      <c r="O155" s="123" t="str">
        <f>IFERROR(Table_Leaks1_Input[[#This Row],[Energy savings (kWh)]]*Input_AvgkWhRate, "")</f>
        <v/>
      </c>
      <c r="P155" s="123" t="str">
        <f>IF(Table_Leaks1_Input[[#This Row],[Pressure at leak (psig)]]="", "",Table_Leaks1_Input[[#This Row],[Total equipment cost]]+Table_Leaks1_Input[[#This Row],[Total labor cost]])</f>
        <v/>
      </c>
      <c r="Q155" s="123" t="str">
        <f>IFERROR(Table_Leaks1_Input[[#This Row],[Gross measure cost]]-Table_Leaks1_Input[[#This Row],[Estimated incentive]], "")</f>
        <v/>
      </c>
      <c r="R155" s="124" t="str">
        <f t="shared" si="2"/>
        <v/>
      </c>
      <c r="S155" s="126">
        <f>IF(OR(Table_Leaks1_Input[[#This Row],[Pressure at leak (psig)]]=0, Table_Leaks1_Input[[#This Row],[Pressure at leak (psig)]]=""),0,IF(Table_Leaks1_Input[[#This Row],[Pressure at leak (psig)]]&lt;20, 10, MROUND(Table_Leaks1_Input[[#This Row],[Pressure at leak (psig)]], 25)))</f>
        <v>0</v>
      </c>
      <c r="T155" s="126">
        <f>ROUND(Table_Leaks1_Input[[#This Row],[dB reading]],-1)</f>
        <v>0</v>
      </c>
      <c r="U155" s="127" t="str">
        <f>_xlfn.CONCAT(Table_Leaks1_Input[[#This Row],[Rounded dB Reading]],"psig ", Table_Leaks1_Input[[#This Row],[Rounded PSIG]],"db")</f>
        <v>0psig 0db</v>
      </c>
    </row>
    <row r="156" spans="2:21" x14ac:dyDescent="0.2">
      <c r="B156" s="121">
        <v>151</v>
      </c>
      <c r="C156" s="128"/>
      <c r="D156" s="129"/>
      <c r="E156" s="130"/>
      <c r="F156" s="130"/>
      <c r="G156" s="130"/>
      <c r="H156" s="130"/>
      <c r="I156" s="131"/>
      <c r="J156" s="131"/>
      <c r="K156" s="122" t="str">
        <f>IFERROR(INDEX(TABLE_UE_dB[Leak Size (cfm)], MATCH(Table_Leaks1_Input[[#This Row],[Lookup Value]], TABLE_UE_dB[Lookup Value], 0)),"")</f>
        <v/>
      </c>
      <c r="L156" s="123" t="str">
        <f>IF(Table_Leaks1_Input[[#This Row],[Repaired (Y/N)]]="Yes", Value_LeakRepairIR, "")</f>
        <v/>
      </c>
      <c r="M156" s="124" t="str">
        <f>IFERROR(Table_Leaks1_Input[[#This Row],[Estimated leak size (cfm)]]*Value_WeightAvgCompEff*Value_SysAOH,"" )</f>
        <v/>
      </c>
      <c r="N156" s="125" t="str">
        <f>IFERROR(Table_Leaks1_Input[[#This Row],[Estimated leak size (cfm)]]*Value_WeightAvgCompEff,"" )</f>
        <v/>
      </c>
      <c r="O156" s="123" t="str">
        <f>IFERROR(Table_Leaks1_Input[[#This Row],[Energy savings (kWh)]]*Input_AvgkWhRate, "")</f>
        <v/>
      </c>
      <c r="P156" s="123" t="str">
        <f>IF(Table_Leaks1_Input[[#This Row],[Pressure at leak (psig)]]="", "",Table_Leaks1_Input[[#This Row],[Total equipment cost]]+Table_Leaks1_Input[[#This Row],[Total labor cost]])</f>
        <v/>
      </c>
      <c r="Q156" s="123" t="str">
        <f>IFERROR(Table_Leaks1_Input[[#This Row],[Gross measure cost]]-Table_Leaks1_Input[[#This Row],[Estimated incentive]], "")</f>
        <v/>
      </c>
      <c r="R156" s="124" t="str">
        <f t="shared" si="2"/>
        <v/>
      </c>
      <c r="S156" s="126">
        <f>IF(OR(Table_Leaks1_Input[[#This Row],[Pressure at leak (psig)]]=0, Table_Leaks1_Input[[#This Row],[Pressure at leak (psig)]]=""),0,IF(Table_Leaks1_Input[[#This Row],[Pressure at leak (psig)]]&lt;20, 10, MROUND(Table_Leaks1_Input[[#This Row],[Pressure at leak (psig)]], 25)))</f>
        <v>0</v>
      </c>
      <c r="T156" s="126">
        <f>ROUND(Table_Leaks1_Input[[#This Row],[dB reading]],-1)</f>
        <v>0</v>
      </c>
      <c r="U156" s="127" t="str">
        <f>_xlfn.CONCAT(Table_Leaks1_Input[[#This Row],[Rounded dB Reading]],"psig ", Table_Leaks1_Input[[#This Row],[Rounded PSIG]],"db")</f>
        <v>0psig 0db</v>
      </c>
    </row>
    <row r="157" spans="2:21" x14ac:dyDescent="0.2">
      <c r="B157" s="121">
        <v>152</v>
      </c>
      <c r="C157" s="128"/>
      <c r="D157" s="129"/>
      <c r="E157" s="130"/>
      <c r="F157" s="130"/>
      <c r="G157" s="130"/>
      <c r="H157" s="130"/>
      <c r="I157" s="131"/>
      <c r="J157" s="131"/>
      <c r="K157" s="122" t="str">
        <f>IFERROR(INDEX(TABLE_UE_dB[Leak Size (cfm)], MATCH(Table_Leaks1_Input[[#This Row],[Lookup Value]], TABLE_UE_dB[Lookup Value], 0)),"")</f>
        <v/>
      </c>
      <c r="L157" s="123" t="str">
        <f>IF(Table_Leaks1_Input[[#This Row],[Repaired (Y/N)]]="Yes", Value_LeakRepairIR, "")</f>
        <v/>
      </c>
      <c r="M157" s="124" t="str">
        <f>IFERROR(Table_Leaks1_Input[[#This Row],[Estimated leak size (cfm)]]*Value_WeightAvgCompEff*Value_SysAOH,"" )</f>
        <v/>
      </c>
      <c r="N157" s="125" t="str">
        <f>IFERROR(Table_Leaks1_Input[[#This Row],[Estimated leak size (cfm)]]*Value_WeightAvgCompEff,"" )</f>
        <v/>
      </c>
      <c r="O157" s="123" t="str">
        <f>IFERROR(Table_Leaks1_Input[[#This Row],[Energy savings (kWh)]]*Input_AvgkWhRate, "")</f>
        <v/>
      </c>
      <c r="P157" s="123" t="str">
        <f>IF(Table_Leaks1_Input[[#This Row],[Pressure at leak (psig)]]="", "",Table_Leaks1_Input[[#This Row],[Total equipment cost]]+Table_Leaks1_Input[[#This Row],[Total labor cost]])</f>
        <v/>
      </c>
      <c r="Q157" s="123" t="str">
        <f>IFERROR(Table_Leaks1_Input[[#This Row],[Gross measure cost]]-Table_Leaks1_Input[[#This Row],[Estimated incentive]], "")</f>
        <v/>
      </c>
      <c r="R157" s="124" t="str">
        <f t="shared" si="2"/>
        <v/>
      </c>
      <c r="S157" s="126">
        <f>IF(OR(Table_Leaks1_Input[[#This Row],[Pressure at leak (psig)]]=0, Table_Leaks1_Input[[#This Row],[Pressure at leak (psig)]]=""),0,IF(Table_Leaks1_Input[[#This Row],[Pressure at leak (psig)]]&lt;20, 10, MROUND(Table_Leaks1_Input[[#This Row],[Pressure at leak (psig)]], 25)))</f>
        <v>0</v>
      </c>
      <c r="T157" s="126">
        <f>ROUND(Table_Leaks1_Input[[#This Row],[dB reading]],-1)</f>
        <v>0</v>
      </c>
      <c r="U157" s="127" t="str">
        <f>_xlfn.CONCAT(Table_Leaks1_Input[[#This Row],[Rounded dB Reading]],"psig ", Table_Leaks1_Input[[#This Row],[Rounded PSIG]],"db")</f>
        <v>0psig 0db</v>
      </c>
    </row>
    <row r="158" spans="2:21" x14ac:dyDescent="0.2">
      <c r="B158" s="121">
        <v>153</v>
      </c>
      <c r="C158" s="128"/>
      <c r="D158" s="129"/>
      <c r="E158" s="130"/>
      <c r="F158" s="130"/>
      <c r="G158" s="130"/>
      <c r="H158" s="130"/>
      <c r="I158" s="131"/>
      <c r="J158" s="131"/>
      <c r="K158" s="122" t="str">
        <f>IFERROR(INDEX(TABLE_UE_dB[Leak Size (cfm)], MATCH(Table_Leaks1_Input[[#This Row],[Lookup Value]], TABLE_UE_dB[Lookup Value], 0)),"")</f>
        <v/>
      </c>
      <c r="L158" s="123" t="str">
        <f>IF(Table_Leaks1_Input[[#This Row],[Repaired (Y/N)]]="Yes", Value_LeakRepairIR, "")</f>
        <v/>
      </c>
      <c r="M158" s="124" t="str">
        <f>IFERROR(Table_Leaks1_Input[[#This Row],[Estimated leak size (cfm)]]*Value_WeightAvgCompEff*Value_SysAOH,"" )</f>
        <v/>
      </c>
      <c r="N158" s="125" t="str">
        <f>IFERROR(Table_Leaks1_Input[[#This Row],[Estimated leak size (cfm)]]*Value_WeightAvgCompEff,"" )</f>
        <v/>
      </c>
      <c r="O158" s="123" t="str">
        <f>IFERROR(Table_Leaks1_Input[[#This Row],[Energy savings (kWh)]]*Input_AvgkWhRate, "")</f>
        <v/>
      </c>
      <c r="P158" s="123" t="str">
        <f>IF(Table_Leaks1_Input[[#This Row],[Pressure at leak (psig)]]="", "",Table_Leaks1_Input[[#This Row],[Total equipment cost]]+Table_Leaks1_Input[[#This Row],[Total labor cost]])</f>
        <v/>
      </c>
      <c r="Q158" s="123" t="str">
        <f>IFERROR(Table_Leaks1_Input[[#This Row],[Gross measure cost]]-Table_Leaks1_Input[[#This Row],[Estimated incentive]], "")</f>
        <v/>
      </c>
      <c r="R158" s="124" t="str">
        <f t="shared" si="2"/>
        <v/>
      </c>
      <c r="S158" s="126">
        <f>IF(OR(Table_Leaks1_Input[[#This Row],[Pressure at leak (psig)]]=0, Table_Leaks1_Input[[#This Row],[Pressure at leak (psig)]]=""),0,IF(Table_Leaks1_Input[[#This Row],[Pressure at leak (psig)]]&lt;20, 10, MROUND(Table_Leaks1_Input[[#This Row],[Pressure at leak (psig)]], 25)))</f>
        <v>0</v>
      </c>
      <c r="T158" s="126">
        <f>ROUND(Table_Leaks1_Input[[#This Row],[dB reading]],-1)</f>
        <v>0</v>
      </c>
      <c r="U158" s="127" t="str">
        <f>_xlfn.CONCAT(Table_Leaks1_Input[[#This Row],[Rounded dB Reading]],"psig ", Table_Leaks1_Input[[#This Row],[Rounded PSIG]],"db")</f>
        <v>0psig 0db</v>
      </c>
    </row>
    <row r="159" spans="2:21" x14ac:dyDescent="0.2">
      <c r="B159" s="121">
        <v>154</v>
      </c>
      <c r="C159" s="128"/>
      <c r="D159" s="129"/>
      <c r="E159" s="130"/>
      <c r="F159" s="130"/>
      <c r="G159" s="130"/>
      <c r="H159" s="130"/>
      <c r="I159" s="131"/>
      <c r="J159" s="131"/>
      <c r="K159" s="122" t="str">
        <f>IFERROR(INDEX(TABLE_UE_dB[Leak Size (cfm)], MATCH(Table_Leaks1_Input[[#This Row],[Lookup Value]], TABLE_UE_dB[Lookup Value], 0)),"")</f>
        <v/>
      </c>
      <c r="L159" s="123" t="str">
        <f>IF(Table_Leaks1_Input[[#This Row],[Repaired (Y/N)]]="Yes", Value_LeakRepairIR, "")</f>
        <v/>
      </c>
      <c r="M159" s="124" t="str">
        <f>IFERROR(Table_Leaks1_Input[[#This Row],[Estimated leak size (cfm)]]*Value_WeightAvgCompEff*Value_SysAOH,"" )</f>
        <v/>
      </c>
      <c r="N159" s="125" t="str">
        <f>IFERROR(Table_Leaks1_Input[[#This Row],[Estimated leak size (cfm)]]*Value_WeightAvgCompEff,"" )</f>
        <v/>
      </c>
      <c r="O159" s="123" t="str">
        <f>IFERROR(Table_Leaks1_Input[[#This Row],[Energy savings (kWh)]]*Input_AvgkWhRate, "")</f>
        <v/>
      </c>
      <c r="P159" s="123" t="str">
        <f>IF(Table_Leaks1_Input[[#This Row],[Pressure at leak (psig)]]="", "",Table_Leaks1_Input[[#This Row],[Total equipment cost]]+Table_Leaks1_Input[[#This Row],[Total labor cost]])</f>
        <v/>
      </c>
      <c r="Q159" s="123" t="str">
        <f>IFERROR(Table_Leaks1_Input[[#This Row],[Gross measure cost]]-Table_Leaks1_Input[[#This Row],[Estimated incentive]], "")</f>
        <v/>
      </c>
      <c r="R159" s="124" t="str">
        <f t="shared" si="2"/>
        <v/>
      </c>
      <c r="S159" s="126">
        <f>IF(OR(Table_Leaks1_Input[[#This Row],[Pressure at leak (psig)]]=0, Table_Leaks1_Input[[#This Row],[Pressure at leak (psig)]]=""),0,IF(Table_Leaks1_Input[[#This Row],[Pressure at leak (psig)]]&lt;20, 10, MROUND(Table_Leaks1_Input[[#This Row],[Pressure at leak (psig)]], 25)))</f>
        <v>0</v>
      </c>
      <c r="T159" s="126">
        <f>ROUND(Table_Leaks1_Input[[#This Row],[dB reading]],-1)</f>
        <v>0</v>
      </c>
      <c r="U159" s="127" t="str">
        <f>_xlfn.CONCAT(Table_Leaks1_Input[[#This Row],[Rounded dB Reading]],"psig ", Table_Leaks1_Input[[#This Row],[Rounded PSIG]],"db")</f>
        <v>0psig 0db</v>
      </c>
    </row>
    <row r="160" spans="2:21" x14ac:dyDescent="0.2">
      <c r="B160" s="121">
        <v>155</v>
      </c>
      <c r="C160" s="128"/>
      <c r="D160" s="129"/>
      <c r="E160" s="130"/>
      <c r="F160" s="130"/>
      <c r="G160" s="130"/>
      <c r="H160" s="130"/>
      <c r="I160" s="131"/>
      <c r="J160" s="131"/>
      <c r="K160" s="122" t="str">
        <f>IFERROR(INDEX(TABLE_UE_dB[Leak Size (cfm)], MATCH(Table_Leaks1_Input[[#This Row],[Lookup Value]], TABLE_UE_dB[Lookup Value], 0)),"")</f>
        <v/>
      </c>
      <c r="L160" s="123" t="str">
        <f>IF(Table_Leaks1_Input[[#This Row],[Repaired (Y/N)]]="Yes", Value_LeakRepairIR, "")</f>
        <v/>
      </c>
      <c r="M160" s="124" t="str">
        <f>IFERROR(Table_Leaks1_Input[[#This Row],[Estimated leak size (cfm)]]*Value_WeightAvgCompEff*Value_SysAOH,"" )</f>
        <v/>
      </c>
      <c r="N160" s="125" t="str">
        <f>IFERROR(Table_Leaks1_Input[[#This Row],[Estimated leak size (cfm)]]*Value_WeightAvgCompEff,"" )</f>
        <v/>
      </c>
      <c r="O160" s="123" t="str">
        <f>IFERROR(Table_Leaks1_Input[[#This Row],[Energy savings (kWh)]]*Input_AvgkWhRate, "")</f>
        <v/>
      </c>
      <c r="P160" s="123" t="str">
        <f>IF(Table_Leaks1_Input[[#This Row],[Pressure at leak (psig)]]="", "",Table_Leaks1_Input[[#This Row],[Total equipment cost]]+Table_Leaks1_Input[[#This Row],[Total labor cost]])</f>
        <v/>
      </c>
      <c r="Q160" s="123" t="str">
        <f>IFERROR(Table_Leaks1_Input[[#This Row],[Gross measure cost]]-Table_Leaks1_Input[[#This Row],[Estimated incentive]], "")</f>
        <v/>
      </c>
      <c r="R160" s="124" t="str">
        <f t="shared" si="2"/>
        <v/>
      </c>
      <c r="S160" s="126">
        <f>IF(OR(Table_Leaks1_Input[[#This Row],[Pressure at leak (psig)]]=0, Table_Leaks1_Input[[#This Row],[Pressure at leak (psig)]]=""),0,IF(Table_Leaks1_Input[[#This Row],[Pressure at leak (psig)]]&lt;20, 10, MROUND(Table_Leaks1_Input[[#This Row],[Pressure at leak (psig)]], 25)))</f>
        <v>0</v>
      </c>
      <c r="T160" s="126">
        <f>ROUND(Table_Leaks1_Input[[#This Row],[dB reading]],-1)</f>
        <v>0</v>
      </c>
      <c r="U160" s="127" t="str">
        <f>_xlfn.CONCAT(Table_Leaks1_Input[[#This Row],[Rounded dB Reading]],"psig ", Table_Leaks1_Input[[#This Row],[Rounded PSIG]],"db")</f>
        <v>0psig 0db</v>
      </c>
    </row>
    <row r="161" spans="2:21" x14ac:dyDescent="0.2">
      <c r="B161" s="121">
        <v>156</v>
      </c>
      <c r="C161" s="128"/>
      <c r="D161" s="129"/>
      <c r="E161" s="130"/>
      <c r="F161" s="130"/>
      <c r="G161" s="130"/>
      <c r="H161" s="130"/>
      <c r="I161" s="131"/>
      <c r="J161" s="131"/>
      <c r="K161" s="122" t="str">
        <f>IFERROR(INDEX(TABLE_UE_dB[Leak Size (cfm)], MATCH(Table_Leaks1_Input[[#This Row],[Lookup Value]], TABLE_UE_dB[Lookup Value], 0)),"")</f>
        <v/>
      </c>
      <c r="L161" s="123" t="str">
        <f>IF(Table_Leaks1_Input[[#This Row],[Repaired (Y/N)]]="Yes", Value_LeakRepairIR, "")</f>
        <v/>
      </c>
      <c r="M161" s="124" t="str">
        <f>IFERROR(Table_Leaks1_Input[[#This Row],[Estimated leak size (cfm)]]*Value_WeightAvgCompEff*Value_SysAOH,"" )</f>
        <v/>
      </c>
      <c r="N161" s="125" t="str">
        <f>IFERROR(Table_Leaks1_Input[[#This Row],[Estimated leak size (cfm)]]*Value_WeightAvgCompEff,"" )</f>
        <v/>
      </c>
      <c r="O161" s="123" t="str">
        <f>IFERROR(Table_Leaks1_Input[[#This Row],[Energy savings (kWh)]]*Input_AvgkWhRate, "")</f>
        <v/>
      </c>
      <c r="P161" s="123" t="str">
        <f>IF(Table_Leaks1_Input[[#This Row],[Pressure at leak (psig)]]="", "",Table_Leaks1_Input[[#This Row],[Total equipment cost]]+Table_Leaks1_Input[[#This Row],[Total labor cost]])</f>
        <v/>
      </c>
      <c r="Q161" s="123" t="str">
        <f>IFERROR(Table_Leaks1_Input[[#This Row],[Gross measure cost]]-Table_Leaks1_Input[[#This Row],[Estimated incentive]], "")</f>
        <v/>
      </c>
      <c r="R161" s="124" t="str">
        <f t="shared" si="2"/>
        <v/>
      </c>
      <c r="S161" s="126">
        <f>IF(OR(Table_Leaks1_Input[[#This Row],[Pressure at leak (psig)]]=0, Table_Leaks1_Input[[#This Row],[Pressure at leak (psig)]]=""),0,IF(Table_Leaks1_Input[[#This Row],[Pressure at leak (psig)]]&lt;20, 10, MROUND(Table_Leaks1_Input[[#This Row],[Pressure at leak (psig)]], 25)))</f>
        <v>0</v>
      </c>
      <c r="T161" s="126">
        <f>ROUND(Table_Leaks1_Input[[#This Row],[dB reading]],-1)</f>
        <v>0</v>
      </c>
      <c r="U161" s="127" t="str">
        <f>_xlfn.CONCAT(Table_Leaks1_Input[[#This Row],[Rounded dB Reading]],"psig ", Table_Leaks1_Input[[#This Row],[Rounded PSIG]],"db")</f>
        <v>0psig 0db</v>
      </c>
    </row>
    <row r="162" spans="2:21" x14ac:dyDescent="0.2">
      <c r="B162" s="121">
        <v>157</v>
      </c>
      <c r="C162" s="128"/>
      <c r="D162" s="129"/>
      <c r="E162" s="130"/>
      <c r="F162" s="130"/>
      <c r="G162" s="130"/>
      <c r="H162" s="130"/>
      <c r="I162" s="131"/>
      <c r="J162" s="131"/>
      <c r="K162" s="122" t="str">
        <f>IFERROR(INDEX(TABLE_UE_dB[Leak Size (cfm)], MATCH(Table_Leaks1_Input[[#This Row],[Lookup Value]], TABLE_UE_dB[Lookup Value], 0)),"")</f>
        <v/>
      </c>
      <c r="L162" s="123" t="str">
        <f>IF(Table_Leaks1_Input[[#This Row],[Repaired (Y/N)]]="Yes", Value_LeakRepairIR, "")</f>
        <v/>
      </c>
      <c r="M162" s="124" t="str">
        <f>IFERROR(Table_Leaks1_Input[[#This Row],[Estimated leak size (cfm)]]*Value_WeightAvgCompEff*Value_SysAOH,"" )</f>
        <v/>
      </c>
      <c r="N162" s="125" t="str">
        <f>IFERROR(Table_Leaks1_Input[[#This Row],[Estimated leak size (cfm)]]*Value_WeightAvgCompEff,"" )</f>
        <v/>
      </c>
      <c r="O162" s="123" t="str">
        <f>IFERROR(Table_Leaks1_Input[[#This Row],[Energy savings (kWh)]]*Input_AvgkWhRate, "")</f>
        <v/>
      </c>
      <c r="P162" s="123" t="str">
        <f>IF(Table_Leaks1_Input[[#This Row],[Pressure at leak (psig)]]="", "",Table_Leaks1_Input[[#This Row],[Total equipment cost]]+Table_Leaks1_Input[[#This Row],[Total labor cost]])</f>
        <v/>
      </c>
      <c r="Q162" s="123" t="str">
        <f>IFERROR(Table_Leaks1_Input[[#This Row],[Gross measure cost]]-Table_Leaks1_Input[[#This Row],[Estimated incentive]], "")</f>
        <v/>
      </c>
      <c r="R162" s="124" t="str">
        <f t="shared" si="2"/>
        <v/>
      </c>
      <c r="S162" s="126">
        <f>IF(OR(Table_Leaks1_Input[[#This Row],[Pressure at leak (psig)]]=0, Table_Leaks1_Input[[#This Row],[Pressure at leak (psig)]]=""),0,IF(Table_Leaks1_Input[[#This Row],[Pressure at leak (psig)]]&lt;20, 10, MROUND(Table_Leaks1_Input[[#This Row],[Pressure at leak (psig)]], 25)))</f>
        <v>0</v>
      </c>
      <c r="T162" s="126">
        <f>ROUND(Table_Leaks1_Input[[#This Row],[dB reading]],-1)</f>
        <v>0</v>
      </c>
      <c r="U162" s="127" t="str">
        <f>_xlfn.CONCAT(Table_Leaks1_Input[[#This Row],[Rounded dB Reading]],"psig ", Table_Leaks1_Input[[#This Row],[Rounded PSIG]],"db")</f>
        <v>0psig 0db</v>
      </c>
    </row>
    <row r="163" spans="2:21" x14ac:dyDescent="0.2">
      <c r="B163" s="121">
        <v>158</v>
      </c>
      <c r="C163" s="128"/>
      <c r="D163" s="129"/>
      <c r="E163" s="130"/>
      <c r="F163" s="130"/>
      <c r="G163" s="130"/>
      <c r="H163" s="130"/>
      <c r="I163" s="131"/>
      <c r="J163" s="131"/>
      <c r="K163" s="122" t="str">
        <f>IFERROR(INDEX(TABLE_UE_dB[Leak Size (cfm)], MATCH(Table_Leaks1_Input[[#This Row],[Lookup Value]], TABLE_UE_dB[Lookup Value], 0)),"")</f>
        <v/>
      </c>
      <c r="L163" s="123" t="str">
        <f>IF(Table_Leaks1_Input[[#This Row],[Repaired (Y/N)]]="Yes", Value_LeakRepairIR, "")</f>
        <v/>
      </c>
      <c r="M163" s="124" t="str">
        <f>IFERROR(Table_Leaks1_Input[[#This Row],[Estimated leak size (cfm)]]*Value_WeightAvgCompEff*Value_SysAOH,"" )</f>
        <v/>
      </c>
      <c r="N163" s="125" t="str">
        <f>IFERROR(Table_Leaks1_Input[[#This Row],[Estimated leak size (cfm)]]*Value_WeightAvgCompEff,"" )</f>
        <v/>
      </c>
      <c r="O163" s="123" t="str">
        <f>IFERROR(Table_Leaks1_Input[[#This Row],[Energy savings (kWh)]]*Input_AvgkWhRate, "")</f>
        <v/>
      </c>
      <c r="P163" s="123" t="str">
        <f>IF(Table_Leaks1_Input[[#This Row],[Pressure at leak (psig)]]="", "",Table_Leaks1_Input[[#This Row],[Total equipment cost]]+Table_Leaks1_Input[[#This Row],[Total labor cost]])</f>
        <v/>
      </c>
      <c r="Q163" s="123" t="str">
        <f>IFERROR(Table_Leaks1_Input[[#This Row],[Gross measure cost]]-Table_Leaks1_Input[[#This Row],[Estimated incentive]], "")</f>
        <v/>
      </c>
      <c r="R163" s="124" t="str">
        <f t="shared" si="2"/>
        <v/>
      </c>
      <c r="S163" s="126">
        <f>IF(OR(Table_Leaks1_Input[[#This Row],[Pressure at leak (psig)]]=0, Table_Leaks1_Input[[#This Row],[Pressure at leak (psig)]]=""),0,IF(Table_Leaks1_Input[[#This Row],[Pressure at leak (psig)]]&lt;20, 10, MROUND(Table_Leaks1_Input[[#This Row],[Pressure at leak (psig)]], 25)))</f>
        <v>0</v>
      </c>
      <c r="T163" s="126">
        <f>ROUND(Table_Leaks1_Input[[#This Row],[dB reading]],-1)</f>
        <v>0</v>
      </c>
      <c r="U163" s="127" t="str">
        <f>_xlfn.CONCAT(Table_Leaks1_Input[[#This Row],[Rounded dB Reading]],"psig ", Table_Leaks1_Input[[#This Row],[Rounded PSIG]],"db")</f>
        <v>0psig 0db</v>
      </c>
    </row>
    <row r="164" spans="2:21" x14ac:dyDescent="0.2">
      <c r="B164" s="121">
        <v>159</v>
      </c>
      <c r="C164" s="128"/>
      <c r="D164" s="129"/>
      <c r="E164" s="130"/>
      <c r="F164" s="130"/>
      <c r="G164" s="130"/>
      <c r="H164" s="130"/>
      <c r="I164" s="131"/>
      <c r="J164" s="131"/>
      <c r="K164" s="122" t="str">
        <f>IFERROR(INDEX(TABLE_UE_dB[Leak Size (cfm)], MATCH(Table_Leaks1_Input[[#This Row],[Lookup Value]], TABLE_UE_dB[Lookup Value], 0)),"")</f>
        <v/>
      </c>
      <c r="L164" s="123" t="str">
        <f>IF(Table_Leaks1_Input[[#This Row],[Repaired (Y/N)]]="Yes", Value_LeakRepairIR, "")</f>
        <v/>
      </c>
      <c r="M164" s="124" t="str">
        <f>IFERROR(Table_Leaks1_Input[[#This Row],[Estimated leak size (cfm)]]*Value_WeightAvgCompEff*Value_SysAOH,"" )</f>
        <v/>
      </c>
      <c r="N164" s="125" t="str">
        <f>IFERROR(Table_Leaks1_Input[[#This Row],[Estimated leak size (cfm)]]*Value_WeightAvgCompEff,"" )</f>
        <v/>
      </c>
      <c r="O164" s="123" t="str">
        <f>IFERROR(Table_Leaks1_Input[[#This Row],[Energy savings (kWh)]]*Input_AvgkWhRate, "")</f>
        <v/>
      </c>
      <c r="P164" s="123" t="str">
        <f>IF(Table_Leaks1_Input[[#This Row],[Pressure at leak (psig)]]="", "",Table_Leaks1_Input[[#This Row],[Total equipment cost]]+Table_Leaks1_Input[[#This Row],[Total labor cost]])</f>
        <v/>
      </c>
      <c r="Q164" s="123" t="str">
        <f>IFERROR(Table_Leaks1_Input[[#This Row],[Gross measure cost]]-Table_Leaks1_Input[[#This Row],[Estimated incentive]], "")</f>
        <v/>
      </c>
      <c r="R164" s="124" t="str">
        <f t="shared" si="2"/>
        <v/>
      </c>
      <c r="S164" s="126">
        <f>IF(OR(Table_Leaks1_Input[[#This Row],[Pressure at leak (psig)]]=0, Table_Leaks1_Input[[#This Row],[Pressure at leak (psig)]]=""),0,IF(Table_Leaks1_Input[[#This Row],[Pressure at leak (psig)]]&lt;20, 10, MROUND(Table_Leaks1_Input[[#This Row],[Pressure at leak (psig)]], 25)))</f>
        <v>0</v>
      </c>
      <c r="T164" s="126">
        <f>ROUND(Table_Leaks1_Input[[#This Row],[dB reading]],-1)</f>
        <v>0</v>
      </c>
      <c r="U164" s="127" t="str">
        <f>_xlfn.CONCAT(Table_Leaks1_Input[[#This Row],[Rounded dB Reading]],"psig ", Table_Leaks1_Input[[#This Row],[Rounded PSIG]],"db")</f>
        <v>0psig 0db</v>
      </c>
    </row>
    <row r="165" spans="2:21" x14ac:dyDescent="0.2">
      <c r="B165" s="121">
        <v>160</v>
      </c>
      <c r="C165" s="128"/>
      <c r="D165" s="129"/>
      <c r="E165" s="130"/>
      <c r="F165" s="130"/>
      <c r="G165" s="130"/>
      <c r="H165" s="130"/>
      <c r="I165" s="131"/>
      <c r="J165" s="131"/>
      <c r="K165" s="122" t="str">
        <f>IFERROR(INDEX(TABLE_UE_dB[Leak Size (cfm)], MATCH(Table_Leaks1_Input[[#This Row],[Lookup Value]], TABLE_UE_dB[Lookup Value], 0)),"")</f>
        <v/>
      </c>
      <c r="L165" s="123" t="str">
        <f>IF(Table_Leaks1_Input[[#This Row],[Repaired (Y/N)]]="Yes", Value_LeakRepairIR, "")</f>
        <v/>
      </c>
      <c r="M165" s="124" t="str">
        <f>IFERROR(Table_Leaks1_Input[[#This Row],[Estimated leak size (cfm)]]*Value_WeightAvgCompEff*Value_SysAOH,"" )</f>
        <v/>
      </c>
      <c r="N165" s="125" t="str">
        <f>IFERROR(Table_Leaks1_Input[[#This Row],[Estimated leak size (cfm)]]*Value_WeightAvgCompEff,"" )</f>
        <v/>
      </c>
      <c r="O165" s="123" t="str">
        <f>IFERROR(Table_Leaks1_Input[[#This Row],[Energy savings (kWh)]]*Input_AvgkWhRate, "")</f>
        <v/>
      </c>
      <c r="P165" s="123" t="str">
        <f>IF(Table_Leaks1_Input[[#This Row],[Pressure at leak (psig)]]="", "",Table_Leaks1_Input[[#This Row],[Total equipment cost]]+Table_Leaks1_Input[[#This Row],[Total labor cost]])</f>
        <v/>
      </c>
      <c r="Q165" s="123" t="str">
        <f>IFERROR(Table_Leaks1_Input[[#This Row],[Gross measure cost]]-Table_Leaks1_Input[[#This Row],[Estimated incentive]], "")</f>
        <v/>
      </c>
      <c r="R165" s="124" t="str">
        <f t="shared" si="2"/>
        <v/>
      </c>
      <c r="S165" s="126">
        <f>IF(OR(Table_Leaks1_Input[[#This Row],[Pressure at leak (psig)]]=0, Table_Leaks1_Input[[#This Row],[Pressure at leak (psig)]]=""),0,IF(Table_Leaks1_Input[[#This Row],[Pressure at leak (psig)]]&lt;20, 10, MROUND(Table_Leaks1_Input[[#This Row],[Pressure at leak (psig)]], 25)))</f>
        <v>0</v>
      </c>
      <c r="T165" s="126">
        <f>ROUND(Table_Leaks1_Input[[#This Row],[dB reading]],-1)</f>
        <v>0</v>
      </c>
      <c r="U165" s="127" t="str">
        <f>_xlfn.CONCAT(Table_Leaks1_Input[[#This Row],[Rounded dB Reading]],"psig ", Table_Leaks1_Input[[#This Row],[Rounded PSIG]],"db")</f>
        <v>0psig 0db</v>
      </c>
    </row>
    <row r="166" spans="2:21" x14ac:dyDescent="0.2">
      <c r="B166" s="121">
        <v>161</v>
      </c>
      <c r="C166" s="128"/>
      <c r="D166" s="129"/>
      <c r="E166" s="130"/>
      <c r="F166" s="130"/>
      <c r="G166" s="130"/>
      <c r="H166" s="130"/>
      <c r="I166" s="131"/>
      <c r="J166" s="131"/>
      <c r="K166" s="122" t="str">
        <f>IFERROR(INDEX(TABLE_UE_dB[Leak Size (cfm)], MATCH(Table_Leaks1_Input[[#This Row],[Lookup Value]], TABLE_UE_dB[Lookup Value], 0)),"")</f>
        <v/>
      </c>
      <c r="L166" s="123" t="str">
        <f>IF(Table_Leaks1_Input[[#This Row],[Repaired (Y/N)]]="Yes", Value_LeakRepairIR, "")</f>
        <v/>
      </c>
      <c r="M166" s="124" t="str">
        <f>IFERROR(Table_Leaks1_Input[[#This Row],[Estimated leak size (cfm)]]*Value_WeightAvgCompEff*Value_SysAOH,"" )</f>
        <v/>
      </c>
      <c r="N166" s="125" t="str">
        <f>IFERROR(Table_Leaks1_Input[[#This Row],[Estimated leak size (cfm)]]*Value_WeightAvgCompEff,"" )</f>
        <v/>
      </c>
      <c r="O166" s="123" t="str">
        <f>IFERROR(Table_Leaks1_Input[[#This Row],[Energy savings (kWh)]]*Input_AvgkWhRate, "")</f>
        <v/>
      </c>
      <c r="P166" s="123" t="str">
        <f>IF(Table_Leaks1_Input[[#This Row],[Pressure at leak (psig)]]="", "",Table_Leaks1_Input[[#This Row],[Total equipment cost]]+Table_Leaks1_Input[[#This Row],[Total labor cost]])</f>
        <v/>
      </c>
      <c r="Q166" s="123" t="str">
        <f>IFERROR(Table_Leaks1_Input[[#This Row],[Gross measure cost]]-Table_Leaks1_Input[[#This Row],[Estimated incentive]], "")</f>
        <v/>
      </c>
      <c r="R166" s="124" t="str">
        <f t="shared" si="2"/>
        <v/>
      </c>
      <c r="S166" s="126">
        <f>IF(OR(Table_Leaks1_Input[[#This Row],[Pressure at leak (psig)]]=0, Table_Leaks1_Input[[#This Row],[Pressure at leak (psig)]]=""),0,IF(Table_Leaks1_Input[[#This Row],[Pressure at leak (psig)]]&lt;20, 10, MROUND(Table_Leaks1_Input[[#This Row],[Pressure at leak (psig)]], 25)))</f>
        <v>0</v>
      </c>
      <c r="T166" s="126">
        <f>ROUND(Table_Leaks1_Input[[#This Row],[dB reading]],-1)</f>
        <v>0</v>
      </c>
      <c r="U166" s="127" t="str">
        <f>_xlfn.CONCAT(Table_Leaks1_Input[[#This Row],[Rounded dB Reading]],"psig ", Table_Leaks1_Input[[#This Row],[Rounded PSIG]],"db")</f>
        <v>0psig 0db</v>
      </c>
    </row>
    <row r="167" spans="2:21" x14ac:dyDescent="0.2">
      <c r="B167" s="121">
        <v>162</v>
      </c>
      <c r="C167" s="128"/>
      <c r="D167" s="129"/>
      <c r="E167" s="130"/>
      <c r="F167" s="130"/>
      <c r="G167" s="130"/>
      <c r="H167" s="130"/>
      <c r="I167" s="131"/>
      <c r="J167" s="131"/>
      <c r="K167" s="122" t="str">
        <f>IFERROR(INDEX(TABLE_UE_dB[Leak Size (cfm)], MATCH(Table_Leaks1_Input[[#This Row],[Lookup Value]], TABLE_UE_dB[Lookup Value], 0)),"")</f>
        <v/>
      </c>
      <c r="L167" s="123" t="str">
        <f>IF(Table_Leaks1_Input[[#This Row],[Repaired (Y/N)]]="Yes", Value_LeakRepairIR, "")</f>
        <v/>
      </c>
      <c r="M167" s="124" t="str">
        <f>IFERROR(Table_Leaks1_Input[[#This Row],[Estimated leak size (cfm)]]*Value_WeightAvgCompEff*Value_SysAOH,"" )</f>
        <v/>
      </c>
      <c r="N167" s="125" t="str">
        <f>IFERROR(Table_Leaks1_Input[[#This Row],[Estimated leak size (cfm)]]*Value_WeightAvgCompEff,"" )</f>
        <v/>
      </c>
      <c r="O167" s="123" t="str">
        <f>IFERROR(Table_Leaks1_Input[[#This Row],[Energy savings (kWh)]]*Input_AvgkWhRate, "")</f>
        <v/>
      </c>
      <c r="P167" s="123" t="str">
        <f>IF(Table_Leaks1_Input[[#This Row],[Pressure at leak (psig)]]="", "",Table_Leaks1_Input[[#This Row],[Total equipment cost]]+Table_Leaks1_Input[[#This Row],[Total labor cost]])</f>
        <v/>
      </c>
      <c r="Q167" s="123" t="str">
        <f>IFERROR(Table_Leaks1_Input[[#This Row],[Gross measure cost]]-Table_Leaks1_Input[[#This Row],[Estimated incentive]], "")</f>
        <v/>
      </c>
      <c r="R167" s="124" t="str">
        <f t="shared" si="2"/>
        <v/>
      </c>
      <c r="S167" s="126">
        <f>IF(OR(Table_Leaks1_Input[[#This Row],[Pressure at leak (psig)]]=0, Table_Leaks1_Input[[#This Row],[Pressure at leak (psig)]]=""),0,IF(Table_Leaks1_Input[[#This Row],[Pressure at leak (psig)]]&lt;20, 10, MROUND(Table_Leaks1_Input[[#This Row],[Pressure at leak (psig)]], 25)))</f>
        <v>0</v>
      </c>
      <c r="T167" s="126">
        <f>ROUND(Table_Leaks1_Input[[#This Row],[dB reading]],-1)</f>
        <v>0</v>
      </c>
      <c r="U167" s="127" t="str">
        <f>_xlfn.CONCAT(Table_Leaks1_Input[[#This Row],[Rounded dB Reading]],"psig ", Table_Leaks1_Input[[#This Row],[Rounded PSIG]],"db")</f>
        <v>0psig 0db</v>
      </c>
    </row>
    <row r="168" spans="2:21" x14ac:dyDescent="0.2">
      <c r="B168" s="121">
        <v>163</v>
      </c>
      <c r="C168" s="128"/>
      <c r="D168" s="129"/>
      <c r="E168" s="130"/>
      <c r="F168" s="130"/>
      <c r="G168" s="130"/>
      <c r="H168" s="130"/>
      <c r="I168" s="131"/>
      <c r="J168" s="131"/>
      <c r="K168" s="122" t="str">
        <f>IFERROR(INDEX(TABLE_UE_dB[Leak Size (cfm)], MATCH(Table_Leaks1_Input[[#This Row],[Lookup Value]], TABLE_UE_dB[Lookup Value], 0)),"")</f>
        <v/>
      </c>
      <c r="L168" s="123" t="str">
        <f>IF(Table_Leaks1_Input[[#This Row],[Repaired (Y/N)]]="Yes", Value_LeakRepairIR, "")</f>
        <v/>
      </c>
      <c r="M168" s="124" t="str">
        <f>IFERROR(Table_Leaks1_Input[[#This Row],[Estimated leak size (cfm)]]*Value_WeightAvgCompEff*Value_SysAOH,"" )</f>
        <v/>
      </c>
      <c r="N168" s="125" t="str">
        <f>IFERROR(Table_Leaks1_Input[[#This Row],[Estimated leak size (cfm)]]*Value_WeightAvgCompEff,"" )</f>
        <v/>
      </c>
      <c r="O168" s="123" t="str">
        <f>IFERROR(Table_Leaks1_Input[[#This Row],[Energy savings (kWh)]]*Input_AvgkWhRate, "")</f>
        <v/>
      </c>
      <c r="P168" s="123" t="str">
        <f>IF(Table_Leaks1_Input[[#This Row],[Pressure at leak (psig)]]="", "",Table_Leaks1_Input[[#This Row],[Total equipment cost]]+Table_Leaks1_Input[[#This Row],[Total labor cost]])</f>
        <v/>
      </c>
      <c r="Q168" s="123" t="str">
        <f>IFERROR(Table_Leaks1_Input[[#This Row],[Gross measure cost]]-Table_Leaks1_Input[[#This Row],[Estimated incentive]], "")</f>
        <v/>
      </c>
      <c r="R168" s="124" t="str">
        <f t="shared" si="2"/>
        <v/>
      </c>
      <c r="S168" s="126">
        <f>IF(OR(Table_Leaks1_Input[[#This Row],[Pressure at leak (psig)]]=0, Table_Leaks1_Input[[#This Row],[Pressure at leak (psig)]]=""),0,IF(Table_Leaks1_Input[[#This Row],[Pressure at leak (psig)]]&lt;20, 10, MROUND(Table_Leaks1_Input[[#This Row],[Pressure at leak (psig)]], 25)))</f>
        <v>0</v>
      </c>
      <c r="T168" s="126">
        <f>ROUND(Table_Leaks1_Input[[#This Row],[dB reading]],-1)</f>
        <v>0</v>
      </c>
      <c r="U168" s="127" t="str">
        <f>_xlfn.CONCAT(Table_Leaks1_Input[[#This Row],[Rounded dB Reading]],"psig ", Table_Leaks1_Input[[#This Row],[Rounded PSIG]],"db")</f>
        <v>0psig 0db</v>
      </c>
    </row>
    <row r="169" spans="2:21" x14ac:dyDescent="0.2">
      <c r="B169" s="121">
        <v>164</v>
      </c>
      <c r="C169" s="128"/>
      <c r="D169" s="129"/>
      <c r="E169" s="130"/>
      <c r="F169" s="130"/>
      <c r="G169" s="130"/>
      <c r="H169" s="130"/>
      <c r="I169" s="131"/>
      <c r="J169" s="131"/>
      <c r="K169" s="122" t="str">
        <f>IFERROR(INDEX(TABLE_UE_dB[Leak Size (cfm)], MATCH(Table_Leaks1_Input[[#This Row],[Lookup Value]], TABLE_UE_dB[Lookup Value], 0)),"")</f>
        <v/>
      </c>
      <c r="L169" s="123" t="str">
        <f>IF(Table_Leaks1_Input[[#This Row],[Repaired (Y/N)]]="Yes", Value_LeakRepairIR, "")</f>
        <v/>
      </c>
      <c r="M169" s="124" t="str">
        <f>IFERROR(Table_Leaks1_Input[[#This Row],[Estimated leak size (cfm)]]*Value_WeightAvgCompEff*Value_SysAOH,"" )</f>
        <v/>
      </c>
      <c r="N169" s="125" t="str">
        <f>IFERROR(Table_Leaks1_Input[[#This Row],[Estimated leak size (cfm)]]*Value_WeightAvgCompEff,"" )</f>
        <v/>
      </c>
      <c r="O169" s="123" t="str">
        <f>IFERROR(Table_Leaks1_Input[[#This Row],[Energy savings (kWh)]]*Input_AvgkWhRate, "")</f>
        <v/>
      </c>
      <c r="P169" s="123" t="str">
        <f>IF(Table_Leaks1_Input[[#This Row],[Pressure at leak (psig)]]="", "",Table_Leaks1_Input[[#This Row],[Total equipment cost]]+Table_Leaks1_Input[[#This Row],[Total labor cost]])</f>
        <v/>
      </c>
      <c r="Q169" s="123" t="str">
        <f>IFERROR(Table_Leaks1_Input[[#This Row],[Gross measure cost]]-Table_Leaks1_Input[[#This Row],[Estimated incentive]], "")</f>
        <v/>
      </c>
      <c r="R169" s="124" t="str">
        <f t="shared" si="2"/>
        <v/>
      </c>
      <c r="S169" s="126">
        <f>IF(OR(Table_Leaks1_Input[[#This Row],[Pressure at leak (psig)]]=0, Table_Leaks1_Input[[#This Row],[Pressure at leak (psig)]]=""),0,IF(Table_Leaks1_Input[[#This Row],[Pressure at leak (psig)]]&lt;20, 10, MROUND(Table_Leaks1_Input[[#This Row],[Pressure at leak (psig)]], 25)))</f>
        <v>0</v>
      </c>
      <c r="T169" s="126">
        <f>ROUND(Table_Leaks1_Input[[#This Row],[dB reading]],-1)</f>
        <v>0</v>
      </c>
      <c r="U169" s="127" t="str">
        <f>_xlfn.CONCAT(Table_Leaks1_Input[[#This Row],[Rounded dB Reading]],"psig ", Table_Leaks1_Input[[#This Row],[Rounded PSIG]],"db")</f>
        <v>0psig 0db</v>
      </c>
    </row>
    <row r="170" spans="2:21" x14ac:dyDescent="0.2">
      <c r="B170" s="121">
        <v>165</v>
      </c>
      <c r="C170" s="128"/>
      <c r="D170" s="129"/>
      <c r="E170" s="130"/>
      <c r="F170" s="130"/>
      <c r="G170" s="130"/>
      <c r="H170" s="130"/>
      <c r="I170" s="131"/>
      <c r="J170" s="131"/>
      <c r="K170" s="122" t="str">
        <f>IFERROR(INDEX(TABLE_UE_dB[Leak Size (cfm)], MATCH(Table_Leaks1_Input[[#This Row],[Lookup Value]], TABLE_UE_dB[Lookup Value], 0)),"")</f>
        <v/>
      </c>
      <c r="L170" s="123" t="str">
        <f>IF(Table_Leaks1_Input[[#This Row],[Repaired (Y/N)]]="Yes", Value_LeakRepairIR, "")</f>
        <v/>
      </c>
      <c r="M170" s="124" t="str">
        <f>IFERROR(Table_Leaks1_Input[[#This Row],[Estimated leak size (cfm)]]*Value_WeightAvgCompEff*Value_SysAOH,"" )</f>
        <v/>
      </c>
      <c r="N170" s="125" t="str">
        <f>IFERROR(Table_Leaks1_Input[[#This Row],[Estimated leak size (cfm)]]*Value_WeightAvgCompEff,"" )</f>
        <v/>
      </c>
      <c r="O170" s="123" t="str">
        <f>IFERROR(Table_Leaks1_Input[[#This Row],[Energy savings (kWh)]]*Input_AvgkWhRate, "")</f>
        <v/>
      </c>
      <c r="P170" s="123" t="str">
        <f>IF(Table_Leaks1_Input[[#This Row],[Pressure at leak (psig)]]="", "",Table_Leaks1_Input[[#This Row],[Total equipment cost]]+Table_Leaks1_Input[[#This Row],[Total labor cost]])</f>
        <v/>
      </c>
      <c r="Q170" s="123" t="str">
        <f>IFERROR(Table_Leaks1_Input[[#This Row],[Gross measure cost]]-Table_Leaks1_Input[[#This Row],[Estimated incentive]], "")</f>
        <v/>
      </c>
      <c r="R170" s="124" t="str">
        <f t="shared" si="2"/>
        <v/>
      </c>
      <c r="S170" s="126">
        <f>IF(OR(Table_Leaks1_Input[[#This Row],[Pressure at leak (psig)]]=0, Table_Leaks1_Input[[#This Row],[Pressure at leak (psig)]]=""),0,IF(Table_Leaks1_Input[[#This Row],[Pressure at leak (psig)]]&lt;20, 10, MROUND(Table_Leaks1_Input[[#This Row],[Pressure at leak (psig)]], 25)))</f>
        <v>0</v>
      </c>
      <c r="T170" s="126">
        <f>ROUND(Table_Leaks1_Input[[#This Row],[dB reading]],-1)</f>
        <v>0</v>
      </c>
      <c r="U170" s="127" t="str">
        <f>_xlfn.CONCAT(Table_Leaks1_Input[[#This Row],[Rounded dB Reading]],"psig ", Table_Leaks1_Input[[#This Row],[Rounded PSIG]],"db")</f>
        <v>0psig 0db</v>
      </c>
    </row>
    <row r="171" spans="2:21" x14ac:dyDescent="0.2">
      <c r="B171" s="121">
        <v>166</v>
      </c>
      <c r="C171" s="128"/>
      <c r="D171" s="129"/>
      <c r="E171" s="130"/>
      <c r="F171" s="130"/>
      <c r="G171" s="130"/>
      <c r="H171" s="130"/>
      <c r="I171" s="131"/>
      <c r="J171" s="131"/>
      <c r="K171" s="122" t="str">
        <f>IFERROR(INDEX(TABLE_UE_dB[Leak Size (cfm)], MATCH(Table_Leaks1_Input[[#This Row],[Lookup Value]], TABLE_UE_dB[Lookup Value], 0)),"")</f>
        <v/>
      </c>
      <c r="L171" s="123" t="str">
        <f>IF(Table_Leaks1_Input[[#This Row],[Repaired (Y/N)]]="Yes", Value_LeakRepairIR, "")</f>
        <v/>
      </c>
      <c r="M171" s="124" t="str">
        <f>IFERROR(Table_Leaks1_Input[[#This Row],[Estimated leak size (cfm)]]*Value_WeightAvgCompEff*Value_SysAOH,"" )</f>
        <v/>
      </c>
      <c r="N171" s="125" t="str">
        <f>IFERROR(Table_Leaks1_Input[[#This Row],[Estimated leak size (cfm)]]*Value_WeightAvgCompEff,"" )</f>
        <v/>
      </c>
      <c r="O171" s="123" t="str">
        <f>IFERROR(Table_Leaks1_Input[[#This Row],[Energy savings (kWh)]]*Input_AvgkWhRate, "")</f>
        <v/>
      </c>
      <c r="P171" s="123" t="str">
        <f>IF(Table_Leaks1_Input[[#This Row],[Pressure at leak (psig)]]="", "",Table_Leaks1_Input[[#This Row],[Total equipment cost]]+Table_Leaks1_Input[[#This Row],[Total labor cost]])</f>
        <v/>
      </c>
      <c r="Q171" s="123" t="str">
        <f>IFERROR(Table_Leaks1_Input[[#This Row],[Gross measure cost]]-Table_Leaks1_Input[[#This Row],[Estimated incentive]], "")</f>
        <v/>
      </c>
      <c r="R171" s="124" t="str">
        <f t="shared" si="2"/>
        <v/>
      </c>
      <c r="S171" s="126">
        <f>IF(OR(Table_Leaks1_Input[[#This Row],[Pressure at leak (psig)]]=0, Table_Leaks1_Input[[#This Row],[Pressure at leak (psig)]]=""),0,IF(Table_Leaks1_Input[[#This Row],[Pressure at leak (psig)]]&lt;20, 10, MROUND(Table_Leaks1_Input[[#This Row],[Pressure at leak (psig)]], 25)))</f>
        <v>0</v>
      </c>
      <c r="T171" s="126">
        <f>ROUND(Table_Leaks1_Input[[#This Row],[dB reading]],-1)</f>
        <v>0</v>
      </c>
      <c r="U171" s="127" t="str">
        <f>_xlfn.CONCAT(Table_Leaks1_Input[[#This Row],[Rounded dB Reading]],"psig ", Table_Leaks1_Input[[#This Row],[Rounded PSIG]],"db")</f>
        <v>0psig 0db</v>
      </c>
    </row>
    <row r="172" spans="2:21" x14ac:dyDescent="0.2">
      <c r="B172" s="121">
        <v>167</v>
      </c>
      <c r="C172" s="128"/>
      <c r="D172" s="129"/>
      <c r="E172" s="130"/>
      <c r="F172" s="130"/>
      <c r="G172" s="130"/>
      <c r="H172" s="130"/>
      <c r="I172" s="131"/>
      <c r="J172" s="131"/>
      <c r="K172" s="122" t="str">
        <f>IFERROR(INDEX(TABLE_UE_dB[Leak Size (cfm)], MATCH(Table_Leaks1_Input[[#This Row],[Lookup Value]], TABLE_UE_dB[Lookup Value], 0)),"")</f>
        <v/>
      </c>
      <c r="L172" s="123" t="str">
        <f>IF(Table_Leaks1_Input[[#This Row],[Repaired (Y/N)]]="Yes", Value_LeakRepairIR, "")</f>
        <v/>
      </c>
      <c r="M172" s="124" t="str">
        <f>IFERROR(Table_Leaks1_Input[[#This Row],[Estimated leak size (cfm)]]*Value_WeightAvgCompEff*Value_SysAOH,"" )</f>
        <v/>
      </c>
      <c r="N172" s="125" t="str">
        <f>IFERROR(Table_Leaks1_Input[[#This Row],[Estimated leak size (cfm)]]*Value_WeightAvgCompEff,"" )</f>
        <v/>
      </c>
      <c r="O172" s="123" t="str">
        <f>IFERROR(Table_Leaks1_Input[[#This Row],[Energy savings (kWh)]]*Input_AvgkWhRate, "")</f>
        <v/>
      </c>
      <c r="P172" s="123" t="str">
        <f>IF(Table_Leaks1_Input[[#This Row],[Pressure at leak (psig)]]="", "",Table_Leaks1_Input[[#This Row],[Total equipment cost]]+Table_Leaks1_Input[[#This Row],[Total labor cost]])</f>
        <v/>
      </c>
      <c r="Q172" s="123" t="str">
        <f>IFERROR(Table_Leaks1_Input[[#This Row],[Gross measure cost]]-Table_Leaks1_Input[[#This Row],[Estimated incentive]], "")</f>
        <v/>
      </c>
      <c r="R172" s="124" t="str">
        <f t="shared" si="2"/>
        <v/>
      </c>
      <c r="S172" s="126">
        <f>IF(OR(Table_Leaks1_Input[[#This Row],[Pressure at leak (psig)]]=0, Table_Leaks1_Input[[#This Row],[Pressure at leak (psig)]]=""),0,IF(Table_Leaks1_Input[[#This Row],[Pressure at leak (psig)]]&lt;20, 10, MROUND(Table_Leaks1_Input[[#This Row],[Pressure at leak (psig)]], 25)))</f>
        <v>0</v>
      </c>
      <c r="T172" s="126">
        <f>ROUND(Table_Leaks1_Input[[#This Row],[dB reading]],-1)</f>
        <v>0</v>
      </c>
      <c r="U172" s="127" t="str">
        <f>_xlfn.CONCAT(Table_Leaks1_Input[[#This Row],[Rounded dB Reading]],"psig ", Table_Leaks1_Input[[#This Row],[Rounded PSIG]],"db")</f>
        <v>0psig 0db</v>
      </c>
    </row>
    <row r="173" spans="2:21" x14ac:dyDescent="0.2">
      <c r="B173" s="121">
        <v>168</v>
      </c>
      <c r="C173" s="128"/>
      <c r="D173" s="129"/>
      <c r="E173" s="130"/>
      <c r="F173" s="130"/>
      <c r="G173" s="130"/>
      <c r="H173" s="130"/>
      <c r="I173" s="131"/>
      <c r="J173" s="131"/>
      <c r="K173" s="122" t="str">
        <f>IFERROR(INDEX(TABLE_UE_dB[Leak Size (cfm)], MATCH(Table_Leaks1_Input[[#This Row],[Lookup Value]], TABLE_UE_dB[Lookup Value], 0)),"")</f>
        <v/>
      </c>
      <c r="L173" s="123" t="str">
        <f>IF(Table_Leaks1_Input[[#This Row],[Repaired (Y/N)]]="Yes", Value_LeakRepairIR, "")</f>
        <v/>
      </c>
      <c r="M173" s="124" t="str">
        <f>IFERROR(Table_Leaks1_Input[[#This Row],[Estimated leak size (cfm)]]*Value_WeightAvgCompEff*Value_SysAOH,"" )</f>
        <v/>
      </c>
      <c r="N173" s="125" t="str">
        <f>IFERROR(Table_Leaks1_Input[[#This Row],[Estimated leak size (cfm)]]*Value_WeightAvgCompEff,"" )</f>
        <v/>
      </c>
      <c r="O173" s="123" t="str">
        <f>IFERROR(Table_Leaks1_Input[[#This Row],[Energy savings (kWh)]]*Input_AvgkWhRate, "")</f>
        <v/>
      </c>
      <c r="P173" s="123" t="str">
        <f>IF(Table_Leaks1_Input[[#This Row],[Pressure at leak (psig)]]="", "",Table_Leaks1_Input[[#This Row],[Total equipment cost]]+Table_Leaks1_Input[[#This Row],[Total labor cost]])</f>
        <v/>
      </c>
      <c r="Q173" s="123" t="str">
        <f>IFERROR(Table_Leaks1_Input[[#This Row],[Gross measure cost]]-Table_Leaks1_Input[[#This Row],[Estimated incentive]], "")</f>
        <v/>
      </c>
      <c r="R173" s="124" t="str">
        <f t="shared" si="2"/>
        <v/>
      </c>
      <c r="S173" s="126">
        <f>IF(OR(Table_Leaks1_Input[[#This Row],[Pressure at leak (psig)]]=0, Table_Leaks1_Input[[#This Row],[Pressure at leak (psig)]]=""),0,IF(Table_Leaks1_Input[[#This Row],[Pressure at leak (psig)]]&lt;20, 10, MROUND(Table_Leaks1_Input[[#This Row],[Pressure at leak (psig)]], 25)))</f>
        <v>0</v>
      </c>
      <c r="T173" s="126">
        <f>ROUND(Table_Leaks1_Input[[#This Row],[dB reading]],-1)</f>
        <v>0</v>
      </c>
      <c r="U173" s="127" t="str">
        <f>_xlfn.CONCAT(Table_Leaks1_Input[[#This Row],[Rounded dB Reading]],"psig ", Table_Leaks1_Input[[#This Row],[Rounded PSIG]],"db")</f>
        <v>0psig 0db</v>
      </c>
    </row>
    <row r="174" spans="2:21" x14ac:dyDescent="0.2">
      <c r="B174" s="121">
        <v>169</v>
      </c>
      <c r="C174" s="128"/>
      <c r="D174" s="129"/>
      <c r="E174" s="130"/>
      <c r="F174" s="130"/>
      <c r="G174" s="130"/>
      <c r="H174" s="130"/>
      <c r="I174" s="131"/>
      <c r="J174" s="131"/>
      <c r="K174" s="122" t="str">
        <f>IFERROR(INDEX(TABLE_UE_dB[Leak Size (cfm)], MATCH(Table_Leaks1_Input[[#This Row],[Lookup Value]], TABLE_UE_dB[Lookup Value], 0)),"")</f>
        <v/>
      </c>
      <c r="L174" s="123" t="str">
        <f>IF(Table_Leaks1_Input[[#This Row],[Repaired (Y/N)]]="Yes", Value_LeakRepairIR, "")</f>
        <v/>
      </c>
      <c r="M174" s="124" t="str">
        <f>IFERROR(Table_Leaks1_Input[[#This Row],[Estimated leak size (cfm)]]*Value_WeightAvgCompEff*Value_SysAOH,"" )</f>
        <v/>
      </c>
      <c r="N174" s="125" t="str">
        <f>IFERROR(Table_Leaks1_Input[[#This Row],[Estimated leak size (cfm)]]*Value_WeightAvgCompEff,"" )</f>
        <v/>
      </c>
      <c r="O174" s="123" t="str">
        <f>IFERROR(Table_Leaks1_Input[[#This Row],[Energy savings (kWh)]]*Input_AvgkWhRate, "")</f>
        <v/>
      </c>
      <c r="P174" s="123" t="str">
        <f>IF(Table_Leaks1_Input[[#This Row],[Pressure at leak (psig)]]="", "",Table_Leaks1_Input[[#This Row],[Total equipment cost]]+Table_Leaks1_Input[[#This Row],[Total labor cost]])</f>
        <v/>
      </c>
      <c r="Q174" s="123" t="str">
        <f>IFERROR(Table_Leaks1_Input[[#This Row],[Gross measure cost]]-Table_Leaks1_Input[[#This Row],[Estimated incentive]], "")</f>
        <v/>
      </c>
      <c r="R174" s="124" t="str">
        <f t="shared" si="2"/>
        <v/>
      </c>
      <c r="S174" s="126">
        <f>IF(OR(Table_Leaks1_Input[[#This Row],[Pressure at leak (psig)]]=0, Table_Leaks1_Input[[#This Row],[Pressure at leak (psig)]]=""),0,IF(Table_Leaks1_Input[[#This Row],[Pressure at leak (psig)]]&lt;20, 10, MROUND(Table_Leaks1_Input[[#This Row],[Pressure at leak (psig)]], 25)))</f>
        <v>0</v>
      </c>
      <c r="T174" s="126">
        <f>ROUND(Table_Leaks1_Input[[#This Row],[dB reading]],-1)</f>
        <v>0</v>
      </c>
      <c r="U174" s="127" t="str">
        <f>_xlfn.CONCAT(Table_Leaks1_Input[[#This Row],[Rounded dB Reading]],"psig ", Table_Leaks1_Input[[#This Row],[Rounded PSIG]],"db")</f>
        <v>0psig 0db</v>
      </c>
    </row>
    <row r="175" spans="2:21" x14ac:dyDescent="0.2">
      <c r="B175" s="121">
        <v>170</v>
      </c>
      <c r="C175" s="128"/>
      <c r="D175" s="129"/>
      <c r="E175" s="130"/>
      <c r="F175" s="130"/>
      <c r="G175" s="130"/>
      <c r="H175" s="130"/>
      <c r="I175" s="131"/>
      <c r="J175" s="131"/>
      <c r="K175" s="122" t="str">
        <f>IFERROR(INDEX(TABLE_UE_dB[Leak Size (cfm)], MATCH(Table_Leaks1_Input[[#This Row],[Lookup Value]], TABLE_UE_dB[Lookup Value], 0)),"")</f>
        <v/>
      </c>
      <c r="L175" s="123" t="str">
        <f>IF(Table_Leaks1_Input[[#This Row],[Repaired (Y/N)]]="Yes", Value_LeakRepairIR, "")</f>
        <v/>
      </c>
      <c r="M175" s="124" t="str">
        <f>IFERROR(Table_Leaks1_Input[[#This Row],[Estimated leak size (cfm)]]*Value_WeightAvgCompEff*Value_SysAOH,"" )</f>
        <v/>
      </c>
      <c r="N175" s="125" t="str">
        <f>IFERROR(Table_Leaks1_Input[[#This Row],[Estimated leak size (cfm)]]*Value_WeightAvgCompEff,"" )</f>
        <v/>
      </c>
      <c r="O175" s="123" t="str">
        <f>IFERROR(Table_Leaks1_Input[[#This Row],[Energy savings (kWh)]]*Input_AvgkWhRate, "")</f>
        <v/>
      </c>
      <c r="P175" s="123" t="str">
        <f>IF(Table_Leaks1_Input[[#This Row],[Pressure at leak (psig)]]="", "",Table_Leaks1_Input[[#This Row],[Total equipment cost]]+Table_Leaks1_Input[[#This Row],[Total labor cost]])</f>
        <v/>
      </c>
      <c r="Q175" s="123" t="str">
        <f>IFERROR(Table_Leaks1_Input[[#This Row],[Gross measure cost]]-Table_Leaks1_Input[[#This Row],[Estimated incentive]], "")</f>
        <v/>
      </c>
      <c r="R175" s="124" t="str">
        <f t="shared" si="2"/>
        <v/>
      </c>
      <c r="S175" s="126">
        <f>IF(OR(Table_Leaks1_Input[[#This Row],[Pressure at leak (psig)]]=0, Table_Leaks1_Input[[#This Row],[Pressure at leak (psig)]]=""),0,IF(Table_Leaks1_Input[[#This Row],[Pressure at leak (psig)]]&lt;20, 10, MROUND(Table_Leaks1_Input[[#This Row],[Pressure at leak (psig)]], 25)))</f>
        <v>0</v>
      </c>
      <c r="T175" s="126">
        <f>ROUND(Table_Leaks1_Input[[#This Row],[dB reading]],-1)</f>
        <v>0</v>
      </c>
      <c r="U175" s="127" t="str">
        <f>_xlfn.CONCAT(Table_Leaks1_Input[[#This Row],[Rounded dB Reading]],"psig ", Table_Leaks1_Input[[#This Row],[Rounded PSIG]],"db")</f>
        <v>0psig 0db</v>
      </c>
    </row>
    <row r="176" spans="2:21" x14ac:dyDescent="0.2">
      <c r="B176" s="121">
        <v>171</v>
      </c>
      <c r="C176" s="128"/>
      <c r="D176" s="129"/>
      <c r="E176" s="130"/>
      <c r="F176" s="130"/>
      <c r="G176" s="130"/>
      <c r="H176" s="130"/>
      <c r="I176" s="131"/>
      <c r="J176" s="131"/>
      <c r="K176" s="122" t="str">
        <f>IFERROR(INDEX(TABLE_UE_dB[Leak Size (cfm)], MATCH(Table_Leaks1_Input[[#This Row],[Lookup Value]], TABLE_UE_dB[Lookup Value], 0)),"")</f>
        <v/>
      </c>
      <c r="L176" s="123" t="str">
        <f>IF(Table_Leaks1_Input[[#This Row],[Repaired (Y/N)]]="Yes", Value_LeakRepairIR, "")</f>
        <v/>
      </c>
      <c r="M176" s="124" t="str">
        <f>IFERROR(Table_Leaks1_Input[[#This Row],[Estimated leak size (cfm)]]*Value_WeightAvgCompEff*Value_SysAOH,"" )</f>
        <v/>
      </c>
      <c r="N176" s="125" t="str">
        <f>IFERROR(Table_Leaks1_Input[[#This Row],[Estimated leak size (cfm)]]*Value_WeightAvgCompEff,"" )</f>
        <v/>
      </c>
      <c r="O176" s="123" t="str">
        <f>IFERROR(Table_Leaks1_Input[[#This Row],[Energy savings (kWh)]]*Input_AvgkWhRate, "")</f>
        <v/>
      </c>
      <c r="P176" s="123" t="str">
        <f>IF(Table_Leaks1_Input[[#This Row],[Pressure at leak (psig)]]="", "",Table_Leaks1_Input[[#This Row],[Total equipment cost]]+Table_Leaks1_Input[[#This Row],[Total labor cost]])</f>
        <v/>
      </c>
      <c r="Q176" s="123" t="str">
        <f>IFERROR(Table_Leaks1_Input[[#This Row],[Gross measure cost]]-Table_Leaks1_Input[[#This Row],[Estimated incentive]], "")</f>
        <v/>
      </c>
      <c r="R176" s="124" t="str">
        <f t="shared" si="2"/>
        <v/>
      </c>
      <c r="S176" s="126">
        <f>IF(OR(Table_Leaks1_Input[[#This Row],[Pressure at leak (psig)]]=0, Table_Leaks1_Input[[#This Row],[Pressure at leak (psig)]]=""),0,IF(Table_Leaks1_Input[[#This Row],[Pressure at leak (psig)]]&lt;20, 10, MROUND(Table_Leaks1_Input[[#This Row],[Pressure at leak (psig)]], 25)))</f>
        <v>0</v>
      </c>
      <c r="T176" s="126">
        <f>ROUND(Table_Leaks1_Input[[#This Row],[dB reading]],-1)</f>
        <v>0</v>
      </c>
      <c r="U176" s="127" t="str">
        <f>_xlfn.CONCAT(Table_Leaks1_Input[[#This Row],[Rounded dB Reading]],"psig ", Table_Leaks1_Input[[#This Row],[Rounded PSIG]],"db")</f>
        <v>0psig 0db</v>
      </c>
    </row>
    <row r="177" spans="2:21" x14ac:dyDescent="0.2">
      <c r="B177" s="121">
        <v>172</v>
      </c>
      <c r="C177" s="128"/>
      <c r="D177" s="129"/>
      <c r="E177" s="130"/>
      <c r="F177" s="130"/>
      <c r="G177" s="130"/>
      <c r="H177" s="130"/>
      <c r="I177" s="131"/>
      <c r="J177" s="131"/>
      <c r="K177" s="122" t="str">
        <f>IFERROR(INDEX(TABLE_UE_dB[Leak Size (cfm)], MATCH(Table_Leaks1_Input[[#This Row],[Lookup Value]], TABLE_UE_dB[Lookup Value], 0)),"")</f>
        <v/>
      </c>
      <c r="L177" s="123" t="str">
        <f>IF(Table_Leaks1_Input[[#This Row],[Repaired (Y/N)]]="Yes", Value_LeakRepairIR, "")</f>
        <v/>
      </c>
      <c r="M177" s="124" t="str">
        <f>IFERROR(Table_Leaks1_Input[[#This Row],[Estimated leak size (cfm)]]*Value_WeightAvgCompEff*Value_SysAOH,"" )</f>
        <v/>
      </c>
      <c r="N177" s="125" t="str">
        <f>IFERROR(Table_Leaks1_Input[[#This Row],[Estimated leak size (cfm)]]*Value_WeightAvgCompEff,"" )</f>
        <v/>
      </c>
      <c r="O177" s="123" t="str">
        <f>IFERROR(Table_Leaks1_Input[[#This Row],[Energy savings (kWh)]]*Input_AvgkWhRate, "")</f>
        <v/>
      </c>
      <c r="P177" s="123" t="str">
        <f>IF(Table_Leaks1_Input[[#This Row],[Pressure at leak (psig)]]="", "",Table_Leaks1_Input[[#This Row],[Total equipment cost]]+Table_Leaks1_Input[[#This Row],[Total labor cost]])</f>
        <v/>
      </c>
      <c r="Q177" s="123" t="str">
        <f>IFERROR(Table_Leaks1_Input[[#This Row],[Gross measure cost]]-Table_Leaks1_Input[[#This Row],[Estimated incentive]], "")</f>
        <v/>
      </c>
      <c r="R177" s="124" t="str">
        <f t="shared" si="2"/>
        <v/>
      </c>
      <c r="S177" s="126">
        <f>IF(OR(Table_Leaks1_Input[[#This Row],[Pressure at leak (psig)]]=0, Table_Leaks1_Input[[#This Row],[Pressure at leak (psig)]]=""),0,IF(Table_Leaks1_Input[[#This Row],[Pressure at leak (psig)]]&lt;20, 10, MROUND(Table_Leaks1_Input[[#This Row],[Pressure at leak (psig)]], 25)))</f>
        <v>0</v>
      </c>
      <c r="T177" s="126">
        <f>ROUND(Table_Leaks1_Input[[#This Row],[dB reading]],-1)</f>
        <v>0</v>
      </c>
      <c r="U177" s="127" t="str">
        <f>_xlfn.CONCAT(Table_Leaks1_Input[[#This Row],[Rounded dB Reading]],"psig ", Table_Leaks1_Input[[#This Row],[Rounded PSIG]],"db")</f>
        <v>0psig 0db</v>
      </c>
    </row>
    <row r="178" spans="2:21" x14ac:dyDescent="0.2">
      <c r="B178" s="121">
        <v>173</v>
      </c>
      <c r="C178" s="128"/>
      <c r="D178" s="129"/>
      <c r="E178" s="130"/>
      <c r="F178" s="130"/>
      <c r="G178" s="130"/>
      <c r="H178" s="130"/>
      <c r="I178" s="131"/>
      <c r="J178" s="131"/>
      <c r="K178" s="122" t="str">
        <f>IFERROR(INDEX(TABLE_UE_dB[Leak Size (cfm)], MATCH(Table_Leaks1_Input[[#This Row],[Lookup Value]], TABLE_UE_dB[Lookup Value], 0)),"")</f>
        <v/>
      </c>
      <c r="L178" s="123" t="str">
        <f>IF(Table_Leaks1_Input[[#This Row],[Repaired (Y/N)]]="Yes", Value_LeakRepairIR, "")</f>
        <v/>
      </c>
      <c r="M178" s="124" t="str">
        <f>IFERROR(Table_Leaks1_Input[[#This Row],[Estimated leak size (cfm)]]*Value_WeightAvgCompEff*Value_SysAOH,"" )</f>
        <v/>
      </c>
      <c r="N178" s="125" t="str">
        <f>IFERROR(Table_Leaks1_Input[[#This Row],[Estimated leak size (cfm)]]*Value_WeightAvgCompEff,"" )</f>
        <v/>
      </c>
      <c r="O178" s="123" t="str">
        <f>IFERROR(Table_Leaks1_Input[[#This Row],[Energy savings (kWh)]]*Input_AvgkWhRate, "")</f>
        <v/>
      </c>
      <c r="P178" s="123" t="str">
        <f>IF(Table_Leaks1_Input[[#This Row],[Pressure at leak (psig)]]="", "",Table_Leaks1_Input[[#This Row],[Total equipment cost]]+Table_Leaks1_Input[[#This Row],[Total labor cost]])</f>
        <v/>
      </c>
      <c r="Q178" s="123" t="str">
        <f>IFERROR(Table_Leaks1_Input[[#This Row],[Gross measure cost]]-Table_Leaks1_Input[[#This Row],[Estimated incentive]], "")</f>
        <v/>
      </c>
      <c r="R178" s="124" t="str">
        <f t="shared" si="2"/>
        <v/>
      </c>
      <c r="S178" s="126">
        <f>IF(OR(Table_Leaks1_Input[[#This Row],[Pressure at leak (psig)]]=0, Table_Leaks1_Input[[#This Row],[Pressure at leak (psig)]]=""),0,IF(Table_Leaks1_Input[[#This Row],[Pressure at leak (psig)]]&lt;20, 10, MROUND(Table_Leaks1_Input[[#This Row],[Pressure at leak (psig)]], 25)))</f>
        <v>0</v>
      </c>
      <c r="T178" s="126">
        <f>ROUND(Table_Leaks1_Input[[#This Row],[dB reading]],-1)</f>
        <v>0</v>
      </c>
      <c r="U178" s="127" t="str">
        <f>_xlfn.CONCAT(Table_Leaks1_Input[[#This Row],[Rounded dB Reading]],"psig ", Table_Leaks1_Input[[#This Row],[Rounded PSIG]],"db")</f>
        <v>0psig 0db</v>
      </c>
    </row>
    <row r="179" spans="2:21" x14ac:dyDescent="0.2">
      <c r="B179" s="121">
        <v>174</v>
      </c>
      <c r="C179" s="128"/>
      <c r="D179" s="129"/>
      <c r="E179" s="130"/>
      <c r="F179" s="130"/>
      <c r="G179" s="130"/>
      <c r="H179" s="130"/>
      <c r="I179" s="131"/>
      <c r="J179" s="131"/>
      <c r="K179" s="122" t="str">
        <f>IFERROR(INDEX(TABLE_UE_dB[Leak Size (cfm)], MATCH(Table_Leaks1_Input[[#This Row],[Lookup Value]], TABLE_UE_dB[Lookup Value], 0)),"")</f>
        <v/>
      </c>
      <c r="L179" s="123" t="str">
        <f>IF(Table_Leaks1_Input[[#This Row],[Repaired (Y/N)]]="Yes", Value_LeakRepairIR, "")</f>
        <v/>
      </c>
      <c r="M179" s="124" t="str">
        <f>IFERROR(Table_Leaks1_Input[[#This Row],[Estimated leak size (cfm)]]*Value_WeightAvgCompEff*Value_SysAOH,"" )</f>
        <v/>
      </c>
      <c r="N179" s="125" t="str">
        <f>IFERROR(Table_Leaks1_Input[[#This Row],[Estimated leak size (cfm)]]*Value_WeightAvgCompEff,"" )</f>
        <v/>
      </c>
      <c r="O179" s="123" t="str">
        <f>IFERROR(Table_Leaks1_Input[[#This Row],[Energy savings (kWh)]]*Input_AvgkWhRate, "")</f>
        <v/>
      </c>
      <c r="P179" s="123" t="str">
        <f>IF(Table_Leaks1_Input[[#This Row],[Pressure at leak (psig)]]="", "",Table_Leaks1_Input[[#This Row],[Total equipment cost]]+Table_Leaks1_Input[[#This Row],[Total labor cost]])</f>
        <v/>
      </c>
      <c r="Q179" s="123" t="str">
        <f>IFERROR(Table_Leaks1_Input[[#This Row],[Gross measure cost]]-Table_Leaks1_Input[[#This Row],[Estimated incentive]], "")</f>
        <v/>
      </c>
      <c r="R179" s="124" t="str">
        <f t="shared" si="2"/>
        <v/>
      </c>
      <c r="S179" s="126">
        <f>IF(OR(Table_Leaks1_Input[[#This Row],[Pressure at leak (psig)]]=0, Table_Leaks1_Input[[#This Row],[Pressure at leak (psig)]]=""),0,IF(Table_Leaks1_Input[[#This Row],[Pressure at leak (psig)]]&lt;20, 10, MROUND(Table_Leaks1_Input[[#This Row],[Pressure at leak (psig)]], 25)))</f>
        <v>0</v>
      </c>
      <c r="T179" s="126">
        <f>ROUND(Table_Leaks1_Input[[#This Row],[dB reading]],-1)</f>
        <v>0</v>
      </c>
      <c r="U179" s="127" t="str">
        <f>_xlfn.CONCAT(Table_Leaks1_Input[[#This Row],[Rounded dB Reading]],"psig ", Table_Leaks1_Input[[#This Row],[Rounded PSIG]],"db")</f>
        <v>0psig 0db</v>
      </c>
    </row>
    <row r="180" spans="2:21" x14ac:dyDescent="0.2">
      <c r="B180" s="121">
        <v>175</v>
      </c>
      <c r="C180" s="128"/>
      <c r="D180" s="129"/>
      <c r="E180" s="130"/>
      <c r="F180" s="130"/>
      <c r="G180" s="130"/>
      <c r="H180" s="130"/>
      <c r="I180" s="131"/>
      <c r="J180" s="131"/>
      <c r="K180" s="122" t="str">
        <f>IFERROR(INDEX(TABLE_UE_dB[Leak Size (cfm)], MATCH(Table_Leaks1_Input[[#This Row],[Lookup Value]], TABLE_UE_dB[Lookup Value], 0)),"")</f>
        <v/>
      </c>
      <c r="L180" s="123" t="str">
        <f>IF(Table_Leaks1_Input[[#This Row],[Repaired (Y/N)]]="Yes", Value_LeakRepairIR, "")</f>
        <v/>
      </c>
      <c r="M180" s="124" t="str">
        <f>IFERROR(Table_Leaks1_Input[[#This Row],[Estimated leak size (cfm)]]*Value_WeightAvgCompEff*Value_SysAOH,"" )</f>
        <v/>
      </c>
      <c r="N180" s="125" t="str">
        <f>IFERROR(Table_Leaks1_Input[[#This Row],[Estimated leak size (cfm)]]*Value_WeightAvgCompEff,"" )</f>
        <v/>
      </c>
      <c r="O180" s="123" t="str">
        <f>IFERROR(Table_Leaks1_Input[[#This Row],[Energy savings (kWh)]]*Input_AvgkWhRate, "")</f>
        <v/>
      </c>
      <c r="P180" s="123" t="str">
        <f>IF(Table_Leaks1_Input[[#This Row],[Pressure at leak (psig)]]="", "",Table_Leaks1_Input[[#This Row],[Total equipment cost]]+Table_Leaks1_Input[[#This Row],[Total labor cost]])</f>
        <v/>
      </c>
      <c r="Q180" s="123" t="str">
        <f>IFERROR(Table_Leaks1_Input[[#This Row],[Gross measure cost]]-Table_Leaks1_Input[[#This Row],[Estimated incentive]], "")</f>
        <v/>
      </c>
      <c r="R180" s="124" t="str">
        <f t="shared" si="2"/>
        <v/>
      </c>
      <c r="S180" s="126">
        <f>IF(OR(Table_Leaks1_Input[[#This Row],[Pressure at leak (psig)]]=0, Table_Leaks1_Input[[#This Row],[Pressure at leak (psig)]]=""),0,IF(Table_Leaks1_Input[[#This Row],[Pressure at leak (psig)]]&lt;20, 10, MROUND(Table_Leaks1_Input[[#This Row],[Pressure at leak (psig)]], 25)))</f>
        <v>0</v>
      </c>
      <c r="T180" s="126">
        <f>ROUND(Table_Leaks1_Input[[#This Row],[dB reading]],-1)</f>
        <v>0</v>
      </c>
      <c r="U180" s="127" t="str">
        <f>_xlfn.CONCAT(Table_Leaks1_Input[[#This Row],[Rounded dB Reading]],"psig ", Table_Leaks1_Input[[#This Row],[Rounded PSIG]],"db")</f>
        <v>0psig 0db</v>
      </c>
    </row>
    <row r="181" spans="2:21" x14ac:dyDescent="0.2">
      <c r="B181" s="121">
        <v>176</v>
      </c>
      <c r="C181" s="128"/>
      <c r="D181" s="129"/>
      <c r="E181" s="130"/>
      <c r="F181" s="130"/>
      <c r="G181" s="130"/>
      <c r="H181" s="130"/>
      <c r="I181" s="131"/>
      <c r="J181" s="131"/>
      <c r="K181" s="122" t="str">
        <f>IFERROR(INDEX(TABLE_UE_dB[Leak Size (cfm)], MATCH(Table_Leaks1_Input[[#This Row],[Lookup Value]], TABLE_UE_dB[Lookup Value], 0)),"")</f>
        <v/>
      </c>
      <c r="L181" s="123" t="str">
        <f>IF(Table_Leaks1_Input[[#This Row],[Repaired (Y/N)]]="Yes", Value_LeakRepairIR, "")</f>
        <v/>
      </c>
      <c r="M181" s="124" t="str">
        <f>IFERROR(Table_Leaks1_Input[[#This Row],[Estimated leak size (cfm)]]*Value_WeightAvgCompEff*Value_SysAOH,"" )</f>
        <v/>
      </c>
      <c r="N181" s="125" t="str">
        <f>IFERROR(Table_Leaks1_Input[[#This Row],[Estimated leak size (cfm)]]*Value_WeightAvgCompEff,"" )</f>
        <v/>
      </c>
      <c r="O181" s="123" t="str">
        <f>IFERROR(Table_Leaks1_Input[[#This Row],[Energy savings (kWh)]]*Input_AvgkWhRate, "")</f>
        <v/>
      </c>
      <c r="P181" s="123" t="str">
        <f>IF(Table_Leaks1_Input[[#This Row],[Pressure at leak (psig)]]="", "",Table_Leaks1_Input[[#This Row],[Total equipment cost]]+Table_Leaks1_Input[[#This Row],[Total labor cost]])</f>
        <v/>
      </c>
      <c r="Q181" s="123" t="str">
        <f>IFERROR(Table_Leaks1_Input[[#This Row],[Gross measure cost]]-Table_Leaks1_Input[[#This Row],[Estimated incentive]], "")</f>
        <v/>
      </c>
      <c r="R181" s="124" t="str">
        <f t="shared" si="2"/>
        <v/>
      </c>
      <c r="S181" s="126">
        <f>IF(OR(Table_Leaks1_Input[[#This Row],[Pressure at leak (psig)]]=0, Table_Leaks1_Input[[#This Row],[Pressure at leak (psig)]]=""),0,IF(Table_Leaks1_Input[[#This Row],[Pressure at leak (psig)]]&lt;20, 10, MROUND(Table_Leaks1_Input[[#This Row],[Pressure at leak (psig)]], 25)))</f>
        <v>0</v>
      </c>
      <c r="T181" s="126">
        <f>ROUND(Table_Leaks1_Input[[#This Row],[dB reading]],-1)</f>
        <v>0</v>
      </c>
      <c r="U181" s="127" t="str">
        <f>_xlfn.CONCAT(Table_Leaks1_Input[[#This Row],[Rounded dB Reading]],"psig ", Table_Leaks1_Input[[#This Row],[Rounded PSIG]],"db")</f>
        <v>0psig 0db</v>
      </c>
    </row>
    <row r="182" spans="2:21" x14ac:dyDescent="0.2">
      <c r="B182" s="121">
        <v>177</v>
      </c>
      <c r="C182" s="128"/>
      <c r="D182" s="129"/>
      <c r="E182" s="130"/>
      <c r="F182" s="130"/>
      <c r="G182" s="130"/>
      <c r="H182" s="130"/>
      <c r="I182" s="131"/>
      <c r="J182" s="131"/>
      <c r="K182" s="122" t="str">
        <f>IFERROR(INDEX(TABLE_UE_dB[Leak Size (cfm)], MATCH(Table_Leaks1_Input[[#This Row],[Lookup Value]], TABLE_UE_dB[Lookup Value], 0)),"")</f>
        <v/>
      </c>
      <c r="L182" s="123" t="str">
        <f>IF(Table_Leaks1_Input[[#This Row],[Repaired (Y/N)]]="Yes", Value_LeakRepairIR, "")</f>
        <v/>
      </c>
      <c r="M182" s="124" t="str">
        <f>IFERROR(Table_Leaks1_Input[[#This Row],[Estimated leak size (cfm)]]*Value_WeightAvgCompEff*Value_SysAOH,"" )</f>
        <v/>
      </c>
      <c r="N182" s="125" t="str">
        <f>IFERROR(Table_Leaks1_Input[[#This Row],[Estimated leak size (cfm)]]*Value_WeightAvgCompEff,"" )</f>
        <v/>
      </c>
      <c r="O182" s="123" t="str">
        <f>IFERROR(Table_Leaks1_Input[[#This Row],[Energy savings (kWh)]]*Input_AvgkWhRate, "")</f>
        <v/>
      </c>
      <c r="P182" s="123" t="str">
        <f>IF(Table_Leaks1_Input[[#This Row],[Pressure at leak (psig)]]="", "",Table_Leaks1_Input[[#This Row],[Total equipment cost]]+Table_Leaks1_Input[[#This Row],[Total labor cost]])</f>
        <v/>
      </c>
      <c r="Q182" s="123" t="str">
        <f>IFERROR(Table_Leaks1_Input[[#This Row],[Gross measure cost]]-Table_Leaks1_Input[[#This Row],[Estimated incentive]], "")</f>
        <v/>
      </c>
      <c r="R182" s="124" t="str">
        <f t="shared" si="2"/>
        <v/>
      </c>
      <c r="S182" s="126">
        <f>IF(OR(Table_Leaks1_Input[[#This Row],[Pressure at leak (psig)]]=0, Table_Leaks1_Input[[#This Row],[Pressure at leak (psig)]]=""),0,IF(Table_Leaks1_Input[[#This Row],[Pressure at leak (psig)]]&lt;20, 10, MROUND(Table_Leaks1_Input[[#This Row],[Pressure at leak (psig)]], 25)))</f>
        <v>0</v>
      </c>
      <c r="T182" s="126">
        <f>ROUND(Table_Leaks1_Input[[#This Row],[dB reading]],-1)</f>
        <v>0</v>
      </c>
      <c r="U182" s="127" t="str">
        <f>_xlfn.CONCAT(Table_Leaks1_Input[[#This Row],[Rounded dB Reading]],"psig ", Table_Leaks1_Input[[#This Row],[Rounded PSIG]],"db")</f>
        <v>0psig 0db</v>
      </c>
    </row>
    <row r="183" spans="2:21" x14ac:dyDescent="0.2">
      <c r="B183" s="121">
        <v>178</v>
      </c>
      <c r="C183" s="128"/>
      <c r="D183" s="129"/>
      <c r="E183" s="130"/>
      <c r="F183" s="130"/>
      <c r="G183" s="130"/>
      <c r="H183" s="130"/>
      <c r="I183" s="131"/>
      <c r="J183" s="131"/>
      <c r="K183" s="122" t="str">
        <f>IFERROR(INDEX(TABLE_UE_dB[Leak Size (cfm)], MATCH(Table_Leaks1_Input[[#This Row],[Lookup Value]], TABLE_UE_dB[Lookup Value], 0)),"")</f>
        <v/>
      </c>
      <c r="L183" s="123" t="str">
        <f>IF(Table_Leaks1_Input[[#This Row],[Repaired (Y/N)]]="Yes", Value_LeakRepairIR, "")</f>
        <v/>
      </c>
      <c r="M183" s="124" t="str">
        <f>IFERROR(Table_Leaks1_Input[[#This Row],[Estimated leak size (cfm)]]*Value_WeightAvgCompEff*Value_SysAOH,"" )</f>
        <v/>
      </c>
      <c r="N183" s="125" t="str">
        <f>IFERROR(Table_Leaks1_Input[[#This Row],[Estimated leak size (cfm)]]*Value_WeightAvgCompEff,"" )</f>
        <v/>
      </c>
      <c r="O183" s="123" t="str">
        <f>IFERROR(Table_Leaks1_Input[[#This Row],[Energy savings (kWh)]]*Input_AvgkWhRate, "")</f>
        <v/>
      </c>
      <c r="P183" s="123" t="str">
        <f>IF(Table_Leaks1_Input[[#This Row],[Pressure at leak (psig)]]="", "",Table_Leaks1_Input[[#This Row],[Total equipment cost]]+Table_Leaks1_Input[[#This Row],[Total labor cost]])</f>
        <v/>
      </c>
      <c r="Q183" s="123" t="str">
        <f>IFERROR(Table_Leaks1_Input[[#This Row],[Gross measure cost]]-Table_Leaks1_Input[[#This Row],[Estimated incentive]], "")</f>
        <v/>
      </c>
      <c r="R183" s="124" t="str">
        <f t="shared" si="2"/>
        <v/>
      </c>
      <c r="S183" s="126">
        <f>IF(OR(Table_Leaks1_Input[[#This Row],[Pressure at leak (psig)]]=0, Table_Leaks1_Input[[#This Row],[Pressure at leak (psig)]]=""),0,IF(Table_Leaks1_Input[[#This Row],[Pressure at leak (psig)]]&lt;20, 10, MROUND(Table_Leaks1_Input[[#This Row],[Pressure at leak (psig)]], 25)))</f>
        <v>0</v>
      </c>
      <c r="T183" s="126">
        <f>ROUND(Table_Leaks1_Input[[#This Row],[dB reading]],-1)</f>
        <v>0</v>
      </c>
      <c r="U183" s="127" t="str">
        <f>_xlfn.CONCAT(Table_Leaks1_Input[[#This Row],[Rounded dB Reading]],"psig ", Table_Leaks1_Input[[#This Row],[Rounded PSIG]],"db")</f>
        <v>0psig 0db</v>
      </c>
    </row>
    <row r="184" spans="2:21" x14ac:dyDescent="0.2">
      <c r="B184" s="121">
        <v>179</v>
      </c>
      <c r="C184" s="128"/>
      <c r="D184" s="129"/>
      <c r="E184" s="130"/>
      <c r="F184" s="130"/>
      <c r="G184" s="130"/>
      <c r="H184" s="130"/>
      <c r="I184" s="131"/>
      <c r="J184" s="131"/>
      <c r="K184" s="122" t="str">
        <f>IFERROR(INDEX(TABLE_UE_dB[Leak Size (cfm)], MATCH(Table_Leaks1_Input[[#This Row],[Lookup Value]], TABLE_UE_dB[Lookup Value], 0)),"")</f>
        <v/>
      </c>
      <c r="L184" s="123" t="str">
        <f>IF(Table_Leaks1_Input[[#This Row],[Repaired (Y/N)]]="Yes", Value_LeakRepairIR, "")</f>
        <v/>
      </c>
      <c r="M184" s="124" t="str">
        <f>IFERROR(Table_Leaks1_Input[[#This Row],[Estimated leak size (cfm)]]*Value_WeightAvgCompEff*Value_SysAOH,"" )</f>
        <v/>
      </c>
      <c r="N184" s="125" t="str">
        <f>IFERROR(Table_Leaks1_Input[[#This Row],[Estimated leak size (cfm)]]*Value_WeightAvgCompEff,"" )</f>
        <v/>
      </c>
      <c r="O184" s="123" t="str">
        <f>IFERROR(Table_Leaks1_Input[[#This Row],[Energy savings (kWh)]]*Input_AvgkWhRate, "")</f>
        <v/>
      </c>
      <c r="P184" s="123" t="str">
        <f>IF(Table_Leaks1_Input[[#This Row],[Pressure at leak (psig)]]="", "",Table_Leaks1_Input[[#This Row],[Total equipment cost]]+Table_Leaks1_Input[[#This Row],[Total labor cost]])</f>
        <v/>
      </c>
      <c r="Q184" s="123" t="str">
        <f>IFERROR(Table_Leaks1_Input[[#This Row],[Gross measure cost]]-Table_Leaks1_Input[[#This Row],[Estimated incentive]], "")</f>
        <v/>
      </c>
      <c r="R184" s="124" t="str">
        <f t="shared" si="2"/>
        <v/>
      </c>
      <c r="S184" s="126">
        <f>IF(OR(Table_Leaks1_Input[[#This Row],[Pressure at leak (psig)]]=0, Table_Leaks1_Input[[#This Row],[Pressure at leak (psig)]]=""),0,IF(Table_Leaks1_Input[[#This Row],[Pressure at leak (psig)]]&lt;20, 10, MROUND(Table_Leaks1_Input[[#This Row],[Pressure at leak (psig)]], 25)))</f>
        <v>0</v>
      </c>
      <c r="T184" s="126">
        <f>ROUND(Table_Leaks1_Input[[#This Row],[dB reading]],-1)</f>
        <v>0</v>
      </c>
      <c r="U184" s="127" t="str">
        <f>_xlfn.CONCAT(Table_Leaks1_Input[[#This Row],[Rounded dB Reading]],"psig ", Table_Leaks1_Input[[#This Row],[Rounded PSIG]],"db")</f>
        <v>0psig 0db</v>
      </c>
    </row>
    <row r="185" spans="2:21" x14ac:dyDescent="0.2">
      <c r="B185" s="121">
        <v>180</v>
      </c>
      <c r="C185" s="128"/>
      <c r="D185" s="129"/>
      <c r="E185" s="130"/>
      <c r="F185" s="130"/>
      <c r="G185" s="130"/>
      <c r="H185" s="130"/>
      <c r="I185" s="131"/>
      <c r="J185" s="131"/>
      <c r="K185" s="122" t="str">
        <f>IFERROR(INDEX(TABLE_UE_dB[Leak Size (cfm)], MATCH(Table_Leaks1_Input[[#This Row],[Lookup Value]], TABLE_UE_dB[Lookup Value], 0)),"")</f>
        <v/>
      </c>
      <c r="L185" s="123" t="str">
        <f>IF(Table_Leaks1_Input[[#This Row],[Repaired (Y/N)]]="Yes", Value_LeakRepairIR, "")</f>
        <v/>
      </c>
      <c r="M185" s="124" t="str">
        <f>IFERROR(Table_Leaks1_Input[[#This Row],[Estimated leak size (cfm)]]*Value_WeightAvgCompEff*Value_SysAOH,"" )</f>
        <v/>
      </c>
      <c r="N185" s="125" t="str">
        <f>IFERROR(Table_Leaks1_Input[[#This Row],[Estimated leak size (cfm)]]*Value_WeightAvgCompEff,"" )</f>
        <v/>
      </c>
      <c r="O185" s="123" t="str">
        <f>IFERROR(Table_Leaks1_Input[[#This Row],[Energy savings (kWh)]]*Input_AvgkWhRate, "")</f>
        <v/>
      </c>
      <c r="P185" s="123" t="str">
        <f>IF(Table_Leaks1_Input[[#This Row],[Pressure at leak (psig)]]="", "",Table_Leaks1_Input[[#This Row],[Total equipment cost]]+Table_Leaks1_Input[[#This Row],[Total labor cost]])</f>
        <v/>
      </c>
      <c r="Q185" s="123" t="str">
        <f>IFERROR(Table_Leaks1_Input[[#This Row],[Gross measure cost]]-Table_Leaks1_Input[[#This Row],[Estimated incentive]], "")</f>
        <v/>
      </c>
      <c r="R185" s="124" t="str">
        <f t="shared" si="2"/>
        <v/>
      </c>
      <c r="S185" s="126">
        <f>IF(OR(Table_Leaks1_Input[[#This Row],[Pressure at leak (psig)]]=0, Table_Leaks1_Input[[#This Row],[Pressure at leak (psig)]]=""),0,IF(Table_Leaks1_Input[[#This Row],[Pressure at leak (psig)]]&lt;20, 10, MROUND(Table_Leaks1_Input[[#This Row],[Pressure at leak (psig)]], 25)))</f>
        <v>0</v>
      </c>
      <c r="T185" s="126">
        <f>ROUND(Table_Leaks1_Input[[#This Row],[dB reading]],-1)</f>
        <v>0</v>
      </c>
      <c r="U185" s="127" t="str">
        <f>_xlfn.CONCAT(Table_Leaks1_Input[[#This Row],[Rounded dB Reading]],"psig ", Table_Leaks1_Input[[#This Row],[Rounded PSIG]],"db")</f>
        <v>0psig 0db</v>
      </c>
    </row>
    <row r="186" spans="2:21" x14ac:dyDescent="0.2">
      <c r="B186" s="121">
        <v>181</v>
      </c>
      <c r="C186" s="128"/>
      <c r="D186" s="129"/>
      <c r="E186" s="130"/>
      <c r="F186" s="130"/>
      <c r="G186" s="130"/>
      <c r="H186" s="130"/>
      <c r="I186" s="131"/>
      <c r="J186" s="131"/>
      <c r="K186" s="122" t="str">
        <f>IFERROR(INDEX(TABLE_UE_dB[Leak Size (cfm)], MATCH(Table_Leaks1_Input[[#This Row],[Lookup Value]], TABLE_UE_dB[Lookup Value], 0)),"")</f>
        <v/>
      </c>
      <c r="L186" s="123" t="str">
        <f>IF(Table_Leaks1_Input[[#This Row],[Repaired (Y/N)]]="Yes", Value_LeakRepairIR, "")</f>
        <v/>
      </c>
      <c r="M186" s="124" t="str">
        <f>IFERROR(Table_Leaks1_Input[[#This Row],[Estimated leak size (cfm)]]*Value_WeightAvgCompEff*Value_SysAOH,"" )</f>
        <v/>
      </c>
      <c r="N186" s="125" t="str">
        <f>IFERROR(Table_Leaks1_Input[[#This Row],[Estimated leak size (cfm)]]*Value_WeightAvgCompEff,"" )</f>
        <v/>
      </c>
      <c r="O186" s="123" t="str">
        <f>IFERROR(Table_Leaks1_Input[[#This Row],[Energy savings (kWh)]]*Input_AvgkWhRate, "")</f>
        <v/>
      </c>
      <c r="P186" s="123" t="str">
        <f>IF(Table_Leaks1_Input[[#This Row],[Pressure at leak (psig)]]="", "",Table_Leaks1_Input[[#This Row],[Total equipment cost]]+Table_Leaks1_Input[[#This Row],[Total labor cost]])</f>
        <v/>
      </c>
      <c r="Q186" s="123" t="str">
        <f>IFERROR(Table_Leaks1_Input[[#This Row],[Gross measure cost]]-Table_Leaks1_Input[[#This Row],[Estimated incentive]], "")</f>
        <v/>
      </c>
      <c r="R186" s="124" t="str">
        <f t="shared" si="2"/>
        <v/>
      </c>
      <c r="S186" s="126">
        <f>IF(OR(Table_Leaks1_Input[[#This Row],[Pressure at leak (psig)]]=0, Table_Leaks1_Input[[#This Row],[Pressure at leak (psig)]]=""),0,IF(Table_Leaks1_Input[[#This Row],[Pressure at leak (psig)]]&lt;20, 10, MROUND(Table_Leaks1_Input[[#This Row],[Pressure at leak (psig)]], 25)))</f>
        <v>0</v>
      </c>
      <c r="T186" s="126">
        <f>ROUND(Table_Leaks1_Input[[#This Row],[dB reading]],-1)</f>
        <v>0</v>
      </c>
      <c r="U186" s="127" t="str">
        <f>_xlfn.CONCAT(Table_Leaks1_Input[[#This Row],[Rounded dB Reading]],"psig ", Table_Leaks1_Input[[#This Row],[Rounded PSIG]],"db")</f>
        <v>0psig 0db</v>
      </c>
    </row>
    <row r="187" spans="2:21" x14ac:dyDescent="0.2">
      <c r="B187" s="121">
        <v>182</v>
      </c>
      <c r="C187" s="128"/>
      <c r="D187" s="129"/>
      <c r="E187" s="130"/>
      <c r="F187" s="130"/>
      <c r="G187" s="130"/>
      <c r="H187" s="130"/>
      <c r="I187" s="131"/>
      <c r="J187" s="131"/>
      <c r="K187" s="122" t="str">
        <f>IFERROR(INDEX(TABLE_UE_dB[Leak Size (cfm)], MATCH(Table_Leaks1_Input[[#This Row],[Lookup Value]], TABLE_UE_dB[Lookup Value], 0)),"")</f>
        <v/>
      </c>
      <c r="L187" s="123" t="str">
        <f>IF(Table_Leaks1_Input[[#This Row],[Repaired (Y/N)]]="Yes", Value_LeakRepairIR, "")</f>
        <v/>
      </c>
      <c r="M187" s="124" t="str">
        <f>IFERROR(Table_Leaks1_Input[[#This Row],[Estimated leak size (cfm)]]*Value_WeightAvgCompEff*Value_SysAOH,"" )</f>
        <v/>
      </c>
      <c r="N187" s="125" t="str">
        <f>IFERROR(Table_Leaks1_Input[[#This Row],[Estimated leak size (cfm)]]*Value_WeightAvgCompEff,"" )</f>
        <v/>
      </c>
      <c r="O187" s="123" t="str">
        <f>IFERROR(Table_Leaks1_Input[[#This Row],[Energy savings (kWh)]]*Input_AvgkWhRate, "")</f>
        <v/>
      </c>
      <c r="P187" s="123" t="str">
        <f>IF(Table_Leaks1_Input[[#This Row],[Pressure at leak (psig)]]="", "",Table_Leaks1_Input[[#This Row],[Total equipment cost]]+Table_Leaks1_Input[[#This Row],[Total labor cost]])</f>
        <v/>
      </c>
      <c r="Q187" s="123" t="str">
        <f>IFERROR(Table_Leaks1_Input[[#This Row],[Gross measure cost]]-Table_Leaks1_Input[[#This Row],[Estimated incentive]], "")</f>
        <v/>
      </c>
      <c r="R187" s="124" t="str">
        <f t="shared" si="2"/>
        <v/>
      </c>
      <c r="S187" s="126">
        <f>IF(OR(Table_Leaks1_Input[[#This Row],[Pressure at leak (psig)]]=0, Table_Leaks1_Input[[#This Row],[Pressure at leak (psig)]]=""),0,IF(Table_Leaks1_Input[[#This Row],[Pressure at leak (psig)]]&lt;20, 10, MROUND(Table_Leaks1_Input[[#This Row],[Pressure at leak (psig)]], 25)))</f>
        <v>0</v>
      </c>
      <c r="T187" s="126">
        <f>ROUND(Table_Leaks1_Input[[#This Row],[dB reading]],-1)</f>
        <v>0</v>
      </c>
      <c r="U187" s="127" t="str">
        <f>_xlfn.CONCAT(Table_Leaks1_Input[[#This Row],[Rounded dB Reading]],"psig ", Table_Leaks1_Input[[#This Row],[Rounded PSIG]],"db")</f>
        <v>0psig 0db</v>
      </c>
    </row>
    <row r="188" spans="2:21" x14ac:dyDescent="0.2">
      <c r="B188" s="121">
        <v>183</v>
      </c>
      <c r="C188" s="128"/>
      <c r="D188" s="129"/>
      <c r="E188" s="130"/>
      <c r="F188" s="130"/>
      <c r="G188" s="130"/>
      <c r="H188" s="130"/>
      <c r="I188" s="131"/>
      <c r="J188" s="131"/>
      <c r="K188" s="122" t="str">
        <f>IFERROR(INDEX(TABLE_UE_dB[Leak Size (cfm)], MATCH(Table_Leaks1_Input[[#This Row],[Lookup Value]], TABLE_UE_dB[Lookup Value], 0)),"")</f>
        <v/>
      </c>
      <c r="L188" s="123" t="str">
        <f>IF(Table_Leaks1_Input[[#This Row],[Repaired (Y/N)]]="Yes", Value_LeakRepairIR, "")</f>
        <v/>
      </c>
      <c r="M188" s="124" t="str">
        <f>IFERROR(Table_Leaks1_Input[[#This Row],[Estimated leak size (cfm)]]*Value_WeightAvgCompEff*Value_SysAOH,"" )</f>
        <v/>
      </c>
      <c r="N188" s="125" t="str">
        <f>IFERROR(Table_Leaks1_Input[[#This Row],[Estimated leak size (cfm)]]*Value_WeightAvgCompEff,"" )</f>
        <v/>
      </c>
      <c r="O188" s="123" t="str">
        <f>IFERROR(Table_Leaks1_Input[[#This Row],[Energy savings (kWh)]]*Input_AvgkWhRate, "")</f>
        <v/>
      </c>
      <c r="P188" s="123" t="str">
        <f>IF(Table_Leaks1_Input[[#This Row],[Pressure at leak (psig)]]="", "",Table_Leaks1_Input[[#This Row],[Total equipment cost]]+Table_Leaks1_Input[[#This Row],[Total labor cost]])</f>
        <v/>
      </c>
      <c r="Q188" s="123" t="str">
        <f>IFERROR(Table_Leaks1_Input[[#This Row],[Gross measure cost]]-Table_Leaks1_Input[[#This Row],[Estimated incentive]], "")</f>
        <v/>
      </c>
      <c r="R188" s="124" t="str">
        <f t="shared" si="2"/>
        <v/>
      </c>
      <c r="S188" s="126">
        <f>IF(OR(Table_Leaks1_Input[[#This Row],[Pressure at leak (psig)]]=0, Table_Leaks1_Input[[#This Row],[Pressure at leak (psig)]]=""),0,IF(Table_Leaks1_Input[[#This Row],[Pressure at leak (psig)]]&lt;20, 10, MROUND(Table_Leaks1_Input[[#This Row],[Pressure at leak (psig)]], 25)))</f>
        <v>0</v>
      </c>
      <c r="T188" s="126">
        <f>ROUND(Table_Leaks1_Input[[#This Row],[dB reading]],-1)</f>
        <v>0</v>
      </c>
      <c r="U188" s="127" t="str">
        <f>_xlfn.CONCAT(Table_Leaks1_Input[[#This Row],[Rounded dB Reading]],"psig ", Table_Leaks1_Input[[#This Row],[Rounded PSIG]],"db")</f>
        <v>0psig 0db</v>
      </c>
    </row>
    <row r="189" spans="2:21" x14ac:dyDescent="0.2">
      <c r="B189" s="121">
        <v>184</v>
      </c>
      <c r="C189" s="128"/>
      <c r="D189" s="129"/>
      <c r="E189" s="130"/>
      <c r="F189" s="130"/>
      <c r="G189" s="130"/>
      <c r="H189" s="130"/>
      <c r="I189" s="131"/>
      <c r="J189" s="131"/>
      <c r="K189" s="122" t="str">
        <f>IFERROR(INDEX(TABLE_UE_dB[Leak Size (cfm)], MATCH(Table_Leaks1_Input[[#This Row],[Lookup Value]], TABLE_UE_dB[Lookup Value], 0)),"")</f>
        <v/>
      </c>
      <c r="L189" s="123" t="str">
        <f>IF(Table_Leaks1_Input[[#This Row],[Repaired (Y/N)]]="Yes", Value_LeakRepairIR, "")</f>
        <v/>
      </c>
      <c r="M189" s="124" t="str">
        <f>IFERROR(Table_Leaks1_Input[[#This Row],[Estimated leak size (cfm)]]*Value_WeightAvgCompEff*Value_SysAOH,"" )</f>
        <v/>
      </c>
      <c r="N189" s="125" t="str">
        <f>IFERROR(Table_Leaks1_Input[[#This Row],[Estimated leak size (cfm)]]*Value_WeightAvgCompEff,"" )</f>
        <v/>
      </c>
      <c r="O189" s="123" t="str">
        <f>IFERROR(Table_Leaks1_Input[[#This Row],[Energy savings (kWh)]]*Input_AvgkWhRate, "")</f>
        <v/>
      </c>
      <c r="P189" s="123" t="str">
        <f>IF(Table_Leaks1_Input[[#This Row],[Pressure at leak (psig)]]="", "",Table_Leaks1_Input[[#This Row],[Total equipment cost]]+Table_Leaks1_Input[[#This Row],[Total labor cost]])</f>
        <v/>
      </c>
      <c r="Q189" s="123" t="str">
        <f>IFERROR(Table_Leaks1_Input[[#This Row],[Gross measure cost]]-Table_Leaks1_Input[[#This Row],[Estimated incentive]], "")</f>
        <v/>
      </c>
      <c r="R189" s="124" t="str">
        <f t="shared" si="2"/>
        <v/>
      </c>
      <c r="S189" s="126">
        <f>IF(OR(Table_Leaks1_Input[[#This Row],[Pressure at leak (psig)]]=0, Table_Leaks1_Input[[#This Row],[Pressure at leak (psig)]]=""),0,IF(Table_Leaks1_Input[[#This Row],[Pressure at leak (psig)]]&lt;20, 10, MROUND(Table_Leaks1_Input[[#This Row],[Pressure at leak (psig)]], 25)))</f>
        <v>0</v>
      </c>
      <c r="T189" s="126">
        <f>ROUND(Table_Leaks1_Input[[#This Row],[dB reading]],-1)</f>
        <v>0</v>
      </c>
      <c r="U189" s="127" t="str">
        <f>_xlfn.CONCAT(Table_Leaks1_Input[[#This Row],[Rounded dB Reading]],"psig ", Table_Leaks1_Input[[#This Row],[Rounded PSIG]],"db")</f>
        <v>0psig 0db</v>
      </c>
    </row>
    <row r="190" spans="2:21" x14ac:dyDescent="0.2">
      <c r="B190" s="121">
        <v>185</v>
      </c>
      <c r="C190" s="128"/>
      <c r="D190" s="129"/>
      <c r="E190" s="130"/>
      <c r="F190" s="130"/>
      <c r="G190" s="130"/>
      <c r="H190" s="130"/>
      <c r="I190" s="131"/>
      <c r="J190" s="131"/>
      <c r="K190" s="122" t="str">
        <f>IFERROR(INDEX(TABLE_UE_dB[Leak Size (cfm)], MATCH(Table_Leaks1_Input[[#This Row],[Lookup Value]], TABLE_UE_dB[Lookup Value], 0)),"")</f>
        <v/>
      </c>
      <c r="L190" s="123" t="str">
        <f>IF(Table_Leaks1_Input[[#This Row],[Repaired (Y/N)]]="Yes", Value_LeakRepairIR, "")</f>
        <v/>
      </c>
      <c r="M190" s="124" t="str">
        <f>IFERROR(Table_Leaks1_Input[[#This Row],[Estimated leak size (cfm)]]*Value_WeightAvgCompEff*Value_SysAOH,"" )</f>
        <v/>
      </c>
      <c r="N190" s="125" t="str">
        <f>IFERROR(Table_Leaks1_Input[[#This Row],[Estimated leak size (cfm)]]*Value_WeightAvgCompEff,"" )</f>
        <v/>
      </c>
      <c r="O190" s="123" t="str">
        <f>IFERROR(Table_Leaks1_Input[[#This Row],[Energy savings (kWh)]]*Input_AvgkWhRate, "")</f>
        <v/>
      </c>
      <c r="P190" s="123" t="str">
        <f>IF(Table_Leaks1_Input[[#This Row],[Pressure at leak (psig)]]="", "",Table_Leaks1_Input[[#This Row],[Total equipment cost]]+Table_Leaks1_Input[[#This Row],[Total labor cost]])</f>
        <v/>
      </c>
      <c r="Q190" s="123" t="str">
        <f>IFERROR(Table_Leaks1_Input[[#This Row],[Gross measure cost]]-Table_Leaks1_Input[[#This Row],[Estimated incentive]], "")</f>
        <v/>
      </c>
      <c r="R190" s="124" t="str">
        <f t="shared" si="2"/>
        <v/>
      </c>
      <c r="S190" s="126">
        <f>IF(OR(Table_Leaks1_Input[[#This Row],[Pressure at leak (psig)]]=0, Table_Leaks1_Input[[#This Row],[Pressure at leak (psig)]]=""),0,IF(Table_Leaks1_Input[[#This Row],[Pressure at leak (psig)]]&lt;20, 10, MROUND(Table_Leaks1_Input[[#This Row],[Pressure at leak (psig)]], 25)))</f>
        <v>0</v>
      </c>
      <c r="T190" s="126">
        <f>ROUND(Table_Leaks1_Input[[#This Row],[dB reading]],-1)</f>
        <v>0</v>
      </c>
      <c r="U190" s="127" t="str">
        <f>_xlfn.CONCAT(Table_Leaks1_Input[[#This Row],[Rounded dB Reading]],"psig ", Table_Leaks1_Input[[#This Row],[Rounded PSIG]],"db")</f>
        <v>0psig 0db</v>
      </c>
    </row>
    <row r="191" spans="2:21" x14ac:dyDescent="0.2">
      <c r="B191" s="121">
        <v>186</v>
      </c>
      <c r="C191" s="128"/>
      <c r="D191" s="129"/>
      <c r="E191" s="130"/>
      <c r="F191" s="130"/>
      <c r="G191" s="130"/>
      <c r="H191" s="130"/>
      <c r="I191" s="131"/>
      <c r="J191" s="131"/>
      <c r="K191" s="122" t="str">
        <f>IFERROR(INDEX(TABLE_UE_dB[Leak Size (cfm)], MATCH(Table_Leaks1_Input[[#This Row],[Lookup Value]], TABLE_UE_dB[Lookup Value], 0)),"")</f>
        <v/>
      </c>
      <c r="L191" s="123" t="str">
        <f>IF(Table_Leaks1_Input[[#This Row],[Repaired (Y/N)]]="Yes", Value_LeakRepairIR, "")</f>
        <v/>
      </c>
      <c r="M191" s="124" t="str">
        <f>IFERROR(Table_Leaks1_Input[[#This Row],[Estimated leak size (cfm)]]*Value_WeightAvgCompEff*Value_SysAOH,"" )</f>
        <v/>
      </c>
      <c r="N191" s="125" t="str">
        <f>IFERROR(Table_Leaks1_Input[[#This Row],[Estimated leak size (cfm)]]*Value_WeightAvgCompEff,"" )</f>
        <v/>
      </c>
      <c r="O191" s="123" t="str">
        <f>IFERROR(Table_Leaks1_Input[[#This Row],[Energy savings (kWh)]]*Input_AvgkWhRate, "")</f>
        <v/>
      </c>
      <c r="P191" s="123" t="str">
        <f>IF(Table_Leaks1_Input[[#This Row],[Pressure at leak (psig)]]="", "",Table_Leaks1_Input[[#This Row],[Total equipment cost]]+Table_Leaks1_Input[[#This Row],[Total labor cost]])</f>
        <v/>
      </c>
      <c r="Q191" s="123" t="str">
        <f>IFERROR(Table_Leaks1_Input[[#This Row],[Gross measure cost]]-Table_Leaks1_Input[[#This Row],[Estimated incentive]], "")</f>
        <v/>
      </c>
      <c r="R191" s="124" t="str">
        <f t="shared" si="2"/>
        <v/>
      </c>
      <c r="S191" s="126">
        <f>IF(OR(Table_Leaks1_Input[[#This Row],[Pressure at leak (psig)]]=0, Table_Leaks1_Input[[#This Row],[Pressure at leak (psig)]]=""),0,IF(Table_Leaks1_Input[[#This Row],[Pressure at leak (psig)]]&lt;20, 10, MROUND(Table_Leaks1_Input[[#This Row],[Pressure at leak (psig)]], 25)))</f>
        <v>0</v>
      </c>
      <c r="T191" s="126">
        <f>ROUND(Table_Leaks1_Input[[#This Row],[dB reading]],-1)</f>
        <v>0</v>
      </c>
      <c r="U191" s="127" t="str">
        <f>_xlfn.CONCAT(Table_Leaks1_Input[[#This Row],[Rounded dB Reading]],"psig ", Table_Leaks1_Input[[#This Row],[Rounded PSIG]],"db")</f>
        <v>0psig 0db</v>
      </c>
    </row>
    <row r="192" spans="2:21" x14ac:dyDescent="0.2">
      <c r="B192" s="121">
        <v>187</v>
      </c>
      <c r="C192" s="128"/>
      <c r="D192" s="129"/>
      <c r="E192" s="130"/>
      <c r="F192" s="130"/>
      <c r="G192" s="130"/>
      <c r="H192" s="130"/>
      <c r="I192" s="131"/>
      <c r="J192" s="131"/>
      <c r="K192" s="122" t="str">
        <f>IFERROR(INDEX(TABLE_UE_dB[Leak Size (cfm)], MATCH(Table_Leaks1_Input[[#This Row],[Lookup Value]], TABLE_UE_dB[Lookup Value], 0)),"")</f>
        <v/>
      </c>
      <c r="L192" s="123" t="str">
        <f>IF(Table_Leaks1_Input[[#This Row],[Repaired (Y/N)]]="Yes", Value_LeakRepairIR, "")</f>
        <v/>
      </c>
      <c r="M192" s="124" t="str">
        <f>IFERROR(Table_Leaks1_Input[[#This Row],[Estimated leak size (cfm)]]*Value_WeightAvgCompEff*Value_SysAOH,"" )</f>
        <v/>
      </c>
      <c r="N192" s="125" t="str">
        <f>IFERROR(Table_Leaks1_Input[[#This Row],[Estimated leak size (cfm)]]*Value_WeightAvgCompEff,"" )</f>
        <v/>
      </c>
      <c r="O192" s="123" t="str">
        <f>IFERROR(Table_Leaks1_Input[[#This Row],[Energy savings (kWh)]]*Input_AvgkWhRate, "")</f>
        <v/>
      </c>
      <c r="P192" s="123" t="str">
        <f>IF(Table_Leaks1_Input[[#This Row],[Pressure at leak (psig)]]="", "",Table_Leaks1_Input[[#This Row],[Total equipment cost]]+Table_Leaks1_Input[[#This Row],[Total labor cost]])</f>
        <v/>
      </c>
      <c r="Q192" s="123" t="str">
        <f>IFERROR(Table_Leaks1_Input[[#This Row],[Gross measure cost]]-Table_Leaks1_Input[[#This Row],[Estimated incentive]], "")</f>
        <v/>
      </c>
      <c r="R192" s="124" t="str">
        <f t="shared" si="2"/>
        <v/>
      </c>
      <c r="S192" s="126">
        <f>IF(OR(Table_Leaks1_Input[[#This Row],[Pressure at leak (psig)]]=0, Table_Leaks1_Input[[#This Row],[Pressure at leak (psig)]]=""),0,IF(Table_Leaks1_Input[[#This Row],[Pressure at leak (psig)]]&lt;20, 10, MROUND(Table_Leaks1_Input[[#This Row],[Pressure at leak (psig)]], 25)))</f>
        <v>0</v>
      </c>
      <c r="T192" s="126">
        <f>ROUND(Table_Leaks1_Input[[#This Row],[dB reading]],-1)</f>
        <v>0</v>
      </c>
      <c r="U192" s="127" t="str">
        <f>_xlfn.CONCAT(Table_Leaks1_Input[[#This Row],[Rounded dB Reading]],"psig ", Table_Leaks1_Input[[#This Row],[Rounded PSIG]],"db")</f>
        <v>0psig 0db</v>
      </c>
    </row>
    <row r="193" spans="2:21" x14ac:dyDescent="0.2">
      <c r="B193" s="121">
        <v>188</v>
      </c>
      <c r="C193" s="128"/>
      <c r="D193" s="129"/>
      <c r="E193" s="130"/>
      <c r="F193" s="130"/>
      <c r="G193" s="130"/>
      <c r="H193" s="130"/>
      <c r="I193" s="131"/>
      <c r="J193" s="131"/>
      <c r="K193" s="122" t="str">
        <f>IFERROR(INDEX(TABLE_UE_dB[Leak Size (cfm)], MATCH(Table_Leaks1_Input[[#This Row],[Lookup Value]], TABLE_UE_dB[Lookup Value], 0)),"")</f>
        <v/>
      </c>
      <c r="L193" s="123" t="str">
        <f>IF(Table_Leaks1_Input[[#This Row],[Repaired (Y/N)]]="Yes", Value_LeakRepairIR, "")</f>
        <v/>
      </c>
      <c r="M193" s="124" t="str">
        <f>IFERROR(Table_Leaks1_Input[[#This Row],[Estimated leak size (cfm)]]*Value_WeightAvgCompEff*Value_SysAOH,"" )</f>
        <v/>
      </c>
      <c r="N193" s="125" t="str">
        <f>IFERROR(Table_Leaks1_Input[[#This Row],[Estimated leak size (cfm)]]*Value_WeightAvgCompEff,"" )</f>
        <v/>
      </c>
      <c r="O193" s="123" t="str">
        <f>IFERROR(Table_Leaks1_Input[[#This Row],[Energy savings (kWh)]]*Input_AvgkWhRate, "")</f>
        <v/>
      </c>
      <c r="P193" s="123" t="str">
        <f>IF(Table_Leaks1_Input[[#This Row],[Pressure at leak (psig)]]="", "",Table_Leaks1_Input[[#This Row],[Total equipment cost]]+Table_Leaks1_Input[[#This Row],[Total labor cost]])</f>
        <v/>
      </c>
      <c r="Q193" s="123" t="str">
        <f>IFERROR(Table_Leaks1_Input[[#This Row],[Gross measure cost]]-Table_Leaks1_Input[[#This Row],[Estimated incentive]], "")</f>
        <v/>
      </c>
      <c r="R193" s="124" t="str">
        <f t="shared" si="2"/>
        <v/>
      </c>
      <c r="S193" s="126">
        <f>IF(OR(Table_Leaks1_Input[[#This Row],[Pressure at leak (psig)]]=0, Table_Leaks1_Input[[#This Row],[Pressure at leak (psig)]]=""),0,IF(Table_Leaks1_Input[[#This Row],[Pressure at leak (psig)]]&lt;20, 10, MROUND(Table_Leaks1_Input[[#This Row],[Pressure at leak (psig)]], 25)))</f>
        <v>0</v>
      </c>
      <c r="T193" s="126">
        <f>ROUND(Table_Leaks1_Input[[#This Row],[dB reading]],-1)</f>
        <v>0</v>
      </c>
      <c r="U193" s="127" t="str">
        <f>_xlfn.CONCAT(Table_Leaks1_Input[[#This Row],[Rounded dB Reading]],"psig ", Table_Leaks1_Input[[#This Row],[Rounded PSIG]],"db")</f>
        <v>0psig 0db</v>
      </c>
    </row>
    <row r="194" spans="2:21" x14ac:dyDescent="0.2">
      <c r="B194" s="121">
        <v>189</v>
      </c>
      <c r="C194" s="128"/>
      <c r="D194" s="129"/>
      <c r="E194" s="130"/>
      <c r="F194" s="130"/>
      <c r="G194" s="130"/>
      <c r="H194" s="130"/>
      <c r="I194" s="131"/>
      <c r="J194" s="131"/>
      <c r="K194" s="122" t="str">
        <f>IFERROR(INDEX(TABLE_UE_dB[Leak Size (cfm)], MATCH(Table_Leaks1_Input[[#This Row],[Lookup Value]], TABLE_UE_dB[Lookup Value], 0)),"")</f>
        <v/>
      </c>
      <c r="L194" s="123" t="str">
        <f>IF(Table_Leaks1_Input[[#This Row],[Repaired (Y/N)]]="Yes", Value_LeakRepairIR, "")</f>
        <v/>
      </c>
      <c r="M194" s="124" t="str">
        <f>IFERROR(Table_Leaks1_Input[[#This Row],[Estimated leak size (cfm)]]*Value_WeightAvgCompEff*Value_SysAOH,"" )</f>
        <v/>
      </c>
      <c r="N194" s="125" t="str">
        <f>IFERROR(Table_Leaks1_Input[[#This Row],[Estimated leak size (cfm)]]*Value_WeightAvgCompEff,"" )</f>
        <v/>
      </c>
      <c r="O194" s="123" t="str">
        <f>IFERROR(Table_Leaks1_Input[[#This Row],[Energy savings (kWh)]]*Input_AvgkWhRate, "")</f>
        <v/>
      </c>
      <c r="P194" s="123" t="str">
        <f>IF(Table_Leaks1_Input[[#This Row],[Pressure at leak (psig)]]="", "",Table_Leaks1_Input[[#This Row],[Total equipment cost]]+Table_Leaks1_Input[[#This Row],[Total labor cost]])</f>
        <v/>
      </c>
      <c r="Q194" s="123" t="str">
        <f>IFERROR(Table_Leaks1_Input[[#This Row],[Gross measure cost]]-Table_Leaks1_Input[[#This Row],[Estimated incentive]], "")</f>
        <v/>
      </c>
      <c r="R194" s="124" t="str">
        <f t="shared" si="2"/>
        <v/>
      </c>
      <c r="S194" s="126">
        <f>IF(OR(Table_Leaks1_Input[[#This Row],[Pressure at leak (psig)]]=0, Table_Leaks1_Input[[#This Row],[Pressure at leak (psig)]]=""),0,IF(Table_Leaks1_Input[[#This Row],[Pressure at leak (psig)]]&lt;20, 10, MROUND(Table_Leaks1_Input[[#This Row],[Pressure at leak (psig)]], 25)))</f>
        <v>0</v>
      </c>
      <c r="T194" s="126">
        <f>ROUND(Table_Leaks1_Input[[#This Row],[dB reading]],-1)</f>
        <v>0</v>
      </c>
      <c r="U194" s="127" t="str">
        <f>_xlfn.CONCAT(Table_Leaks1_Input[[#This Row],[Rounded dB Reading]],"psig ", Table_Leaks1_Input[[#This Row],[Rounded PSIG]],"db")</f>
        <v>0psig 0db</v>
      </c>
    </row>
    <row r="195" spans="2:21" x14ac:dyDescent="0.2">
      <c r="B195" s="121">
        <v>190</v>
      </c>
      <c r="C195" s="128"/>
      <c r="D195" s="129"/>
      <c r="E195" s="130"/>
      <c r="F195" s="130"/>
      <c r="G195" s="130"/>
      <c r="H195" s="130"/>
      <c r="I195" s="131"/>
      <c r="J195" s="131"/>
      <c r="K195" s="122" t="str">
        <f>IFERROR(INDEX(TABLE_UE_dB[Leak Size (cfm)], MATCH(Table_Leaks1_Input[[#This Row],[Lookup Value]], TABLE_UE_dB[Lookup Value], 0)),"")</f>
        <v/>
      </c>
      <c r="L195" s="123" t="str">
        <f>IF(Table_Leaks1_Input[[#This Row],[Repaired (Y/N)]]="Yes", Value_LeakRepairIR, "")</f>
        <v/>
      </c>
      <c r="M195" s="124" t="str">
        <f>IFERROR(Table_Leaks1_Input[[#This Row],[Estimated leak size (cfm)]]*Value_WeightAvgCompEff*Value_SysAOH,"" )</f>
        <v/>
      </c>
      <c r="N195" s="125" t="str">
        <f>IFERROR(Table_Leaks1_Input[[#This Row],[Estimated leak size (cfm)]]*Value_WeightAvgCompEff,"" )</f>
        <v/>
      </c>
      <c r="O195" s="123" t="str">
        <f>IFERROR(Table_Leaks1_Input[[#This Row],[Energy savings (kWh)]]*Input_AvgkWhRate, "")</f>
        <v/>
      </c>
      <c r="P195" s="123" t="str">
        <f>IF(Table_Leaks1_Input[[#This Row],[Pressure at leak (psig)]]="", "",Table_Leaks1_Input[[#This Row],[Total equipment cost]]+Table_Leaks1_Input[[#This Row],[Total labor cost]])</f>
        <v/>
      </c>
      <c r="Q195" s="123" t="str">
        <f>IFERROR(Table_Leaks1_Input[[#This Row],[Gross measure cost]]-Table_Leaks1_Input[[#This Row],[Estimated incentive]], "")</f>
        <v/>
      </c>
      <c r="R195" s="124" t="str">
        <f t="shared" si="2"/>
        <v/>
      </c>
      <c r="S195" s="126">
        <f>IF(OR(Table_Leaks1_Input[[#This Row],[Pressure at leak (psig)]]=0, Table_Leaks1_Input[[#This Row],[Pressure at leak (psig)]]=""),0,IF(Table_Leaks1_Input[[#This Row],[Pressure at leak (psig)]]&lt;20, 10, MROUND(Table_Leaks1_Input[[#This Row],[Pressure at leak (psig)]], 25)))</f>
        <v>0</v>
      </c>
      <c r="T195" s="126">
        <f>ROUND(Table_Leaks1_Input[[#This Row],[dB reading]],-1)</f>
        <v>0</v>
      </c>
      <c r="U195" s="127" t="str">
        <f>_xlfn.CONCAT(Table_Leaks1_Input[[#This Row],[Rounded dB Reading]],"psig ", Table_Leaks1_Input[[#This Row],[Rounded PSIG]],"db")</f>
        <v>0psig 0db</v>
      </c>
    </row>
    <row r="196" spans="2:21" x14ac:dyDescent="0.2">
      <c r="B196" s="121">
        <v>191</v>
      </c>
      <c r="C196" s="128"/>
      <c r="D196" s="129"/>
      <c r="E196" s="130"/>
      <c r="F196" s="130"/>
      <c r="G196" s="130"/>
      <c r="H196" s="130"/>
      <c r="I196" s="131"/>
      <c r="J196" s="131"/>
      <c r="K196" s="122" t="str">
        <f>IFERROR(INDEX(TABLE_UE_dB[Leak Size (cfm)], MATCH(Table_Leaks1_Input[[#This Row],[Lookup Value]], TABLE_UE_dB[Lookup Value], 0)),"")</f>
        <v/>
      </c>
      <c r="L196" s="123" t="str">
        <f>IF(Table_Leaks1_Input[[#This Row],[Repaired (Y/N)]]="Yes", Value_LeakRepairIR, "")</f>
        <v/>
      </c>
      <c r="M196" s="124" t="str">
        <f>IFERROR(Table_Leaks1_Input[[#This Row],[Estimated leak size (cfm)]]*Value_WeightAvgCompEff*Value_SysAOH,"" )</f>
        <v/>
      </c>
      <c r="N196" s="125" t="str">
        <f>IFERROR(Table_Leaks1_Input[[#This Row],[Estimated leak size (cfm)]]*Value_WeightAvgCompEff,"" )</f>
        <v/>
      </c>
      <c r="O196" s="123" t="str">
        <f>IFERROR(Table_Leaks1_Input[[#This Row],[Energy savings (kWh)]]*Input_AvgkWhRate, "")</f>
        <v/>
      </c>
      <c r="P196" s="123" t="str">
        <f>IF(Table_Leaks1_Input[[#This Row],[Pressure at leak (psig)]]="", "",Table_Leaks1_Input[[#This Row],[Total equipment cost]]+Table_Leaks1_Input[[#This Row],[Total labor cost]])</f>
        <v/>
      </c>
      <c r="Q196" s="123" t="str">
        <f>IFERROR(Table_Leaks1_Input[[#This Row],[Gross measure cost]]-Table_Leaks1_Input[[#This Row],[Estimated incentive]], "")</f>
        <v/>
      </c>
      <c r="R196" s="124" t="str">
        <f t="shared" si="2"/>
        <v/>
      </c>
      <c r="S196" s="126">
        <f>IF(OR(Table_Leaks1_Input[[#This Row],[Pressure at leak (psig)]]=0, Table_Leaks1_Input[[#This Row],[Pressure at leak (psig)]]=""),0,IF(Table_Leaks1_Input[[#This Row],[Pressure at leak (psig)]]&lt;20, 10, MROUND(Table_Leaks1_Input[[#This Row],[Pressure at leak (psig)]], 25)))</f>
        <v>0</v>
      </c>
      <c r="T196" s="126">
        <f>ROUND(Table_Leaks1_Input[[#This Row],[dB reading]],-1)</f>
        <v>0</v>
      </c>
      <c r="U196" s="127" t="str">
        <f>_xlfn.CONCAT(Table_Leaks1_Input[[#This Row],[Rounded dB Reading]],"psig ", Table_Leaks1_Input[[#This Row],[Rounded PSIG]],"db")</f>
        <v>0psig 0db</v>
      </c>
    </row>
    <row r="197" spans="2:21" x14ac:dyDescent="0.2">
      <c r="B197" s="121">
        <v>192</v>
      </c>
      <c r="C197" s="128"/>
      <c r="D197" s="129"/>
      <c r="E197" s="130"/>
      <c r="F197" s="130"/>
      <c r="G197" s="130"/>
      <c r="H197" s="130"/>
      <c r="I197" s="131"/>
      <c r="J197" s="131"/>
      <c r="K197" s="122" t="str">
        <f>IFERROR(INDEX(TABLE_UE_dB[Leak Size (cfm)], MATCH(Table_Leaks1_Input[[#This Row],[Lookup Value]], TABLE_UE_dB[Lookup Value], 0)),"")</f>
        <v/>
      </c>
      <c r="L197" s="123" t="str">
        <f>IF(Table_Leaks1_Input[[#This Row],[Repaired (Y/N)]]="Yes", Value_LeakRepairIR, "")</f>
        <v/>
      </c>
      <c r="M197" s="124" t="str">
        <f>IFERROR(Table_Leaks1_Input[[#This Row],[Estimated leak size (cfm)]]*Value_WeightAvgCompEff*Value_SysAOH,"" )</f>
        <v/>
      </c>
      <c r="N197" s="125" t="str">
        <f>IFERROR(Table_Leaks1_Input[[#This Row],[Estimated leak size (cfm)]]*Value_WeightAvgCompEff,"" )</f>
        <v/>
      </c>
      <c r="O197" s="123" t="str">
        <f>IFERROR(Table_Leaks1_Input[[#This Row],[Energy savings (kWh)]]*Input_AvgkWhRate, "")</f>
        <v/>
      </c>
      <c r="P197" s="123" t="str">
        <f>IF(Table_Leaks1_Input[[#This Row],[Pressure at leak (psig)]]="", "",Table_Leaks1_Input[[#This Row],[Total equipment cost]]+Table_Leaks1_Input[[#This Row],[Total labor cost]])</f>
        <v/>
      </c>
      <c r="Q197" s="123" t="str">
        <f>IFERROR(Table_Leaks1_Input[[#This Row],[Gross measure cost]]-Table_Leaks1_Input[[#This Row],[Estimated incentive]], "")</f>
        <v/>
      </c>
      <c r="R197" s="124" t="str">
        <f t="shared" si="2"/>
        <v/>
      </c>
      <c r="S197" s="126">
        <f>IF(OR(Table_Leaks1_Input[[#This Row],[Pressure at leak (psig)]]=0, Table_Leaks1_Input[[#This Row],[Pressure at leak (psig)]]=""),0,IF(Table_Leaks1_Input[[#This Row],[Pressure at leak (psig)]]&lt;20, 10, MROUND(Table_Leaks1_Input[[#This Row],[Pressure at leak (psig)]], 25)))</f>
        <v>0</v>
      </c>
      <c r="T197" s="126">
        <f>ROUND(Table_Leaks1_Input[[#This Row],[dB reading]],-1)</f>
        <v>0</v>
      </c>
      <c r="U197" s="127" t="str">
        <f>_xlfn.CONCAT(Table_Leaks1_Input[[#This Row],[Rounded dB Reading]],"psig ", Table_Leaks1_Input[[#This Row],[Rounded PSIG]],"db")</f>
        <v>0psig 0db</v>
      </c>
    </row>
    <row r="198" spans="2:21" x14ac:dyDescent="0.2">
      <c r="B198" s="121">
        <v>193</v>
      </c>
      <c r="C198" s="128"/>
      <c r="D198" s="129"/>
      <c r="E198" s="130"/>
      <c r="F198" s="130"/>
      <c r="G198" s="130"/>
      <c r="H198" s="130"/>
      <c r="I198" s="131"/>
      <c r="J198" s="131"/>
      <c r="K198" s="122" t="str">
        <f>IFERROR(INDEX(TABLE_UE_dB[Leak Size (cfm)], MATCH(Table_Leaks1_Input[[#This Row],[Lookup Value]], TABLE_UE_dB[Lookup Value], 0)),"")</f>
        <v/>
      </c>
      <c r="L198" s="123" t="str">
        <f>IF(Table_Leaks1_Input[[#This Row],[Repaired (Y/N)]]="Yes", Value_LeakRepairIR, "")</f>
        <v/>
      </c>
      <c r="M198" s="124" t="str">
        <f>IFERROR(Table_Leaks1_Input[[#This Row],[Estimated leak size (cfm)]]*Value_WeightAvgCompEff*Value_SysAOH,"" )</f>
        <v/>
      </c>
      <c r="N198" s="125" t="str">
        <f>IFERROR(Table_Leaks1_Input[[#This Row],[Estimated leak size (cfm)]]*Value_WeightAvgCompEff,"" )</f>
        <v/>
      </c>
      <c r="O198" s="123" t="str">
        <f>IFERROR(Table_Leaks1_Input[[#This Row],[Energy savings (kWh)]]*Input_AvgkWhRate, "")</f>
        <v/>
      </c>
      <c r="P198" s="123" t="str">
        <f>IF(Table_Leaks1_Input[[#This Row],[Pressure at leak (psig)]]="", "",Table_Leaks1_Input[[#This Row],[Total equipment cost]]+Table_Leaks1_Input[[#This Row],[Total labor cost]])</f>
        <v/>
      </c>
      <c r="Q198" s="123" t="str">
        <f>IFERROR(Table_Leaks1_Input[[#This Row],[Gross measure cost]]-Table_Leaks1_Input[[#This Row],[Estimated incentive]], "")</f>
        <v/>
      </c>
      <c r="R198" s="124" t="str">
        <f t="shared" ref="R198:R205" si="3">IFERROR($Q198/$O198,"")</f>
        <v/>
      </c>
      <c r="S198" s="126">
        <f>IF(OR(Table_Leaks1_Input[[#This Row],[Pressure at leak (psig)]]=0, Table_Leaks1_Input[[#This Row],[Pressure at leak (psig)]]=""),0,IF(Table_Leaks1_Input[[#This Row],[Pressure at leak (psig)]]&lt;20, 10, MROUND(Table_Leaks1_Input[[#This Row],[Pressure at leak (psig)]], 25)))</f>
        <v>0</v>
      </c>
      <c r="T198" s="126">
        <f>ROUND(Table_Leaks1_Input[[#This Row],[dB reading]],-1)</f>
        <v>0</v>
      </c>
      <c r="U198" s="127" t="str">
        <f>_xlfn.CONCAT(Table_Leaks1_Input[[#This Row],[Rounded dB Reading]],"psig ", Table_Leaks1_Input[[#This Row],[Rounded PSIG]],"db")</f>
        <v>0psig 0db</v>
      </c>
    </row>
    <row r="199" spans="2:21" x14ac:dyDescent="0.2">
      <c r="B199" s="121">
        <v>194</v>
      </c>
      <c r="C199" s="128"/>
      <c r="D199" s="129"/>
      <c r="E199" s="130"/>
      <c r="F199" s="130"/>
      <c r="G199" s="130"/>
      <c r="H199" s="130"/>
      <c r="I199" s="131"/>
      <c r="J199" s="131"/>
      <c r="K199" s="122" t="str">
        <f>IFERROR(INDEX(TABLE_UE_dB[Leak Size (cfm)], MATCH(Table_Leaks1_Input[[#This Row],[Lookup Value]], TABLE_UE_dB[Lookup Value], 0)),"")</f>
        <v/>
      </c>
      <c r="L199" s="123" t="str">
        <f>IF(Table_Leaks1_Input[[#This Row],[Repaired (Y/N)]]="Yes", Value_LeakRepairIR, "")</f>
        <v/>
      </c>
      <c r="M199" s="124" t="str">
        <f>IFERROR(Table_Leaks1_Input[[#This Row],[Estimated leak size (cfm)]]*Value_WeightAvgCompEff*Value_SysAOH,"" )</f>
        <v/>
      </c>
      <c r="N199" s="125" t="str">
        <f>IFERROR(Table_Leaks1_Input[[#This Row],[Estimated leak size (cfm)]]*Value_WeightAvgCompEff,"" )</f>
        <v/>
      </c>
      <c r="O199" s="123" t="str">
        <f>IFERROR(Table_Leaks1_Input[[#This Row],[Energy savings (kWh)]]*Input_AvgkWhRate, "")</f>
        <v/>
      </c>
      <c r="P199" s="123" t="str">
        <f>IF(Table_Leaks1_Input[[#This Row],[Pressure at leak (psig)]]="", "",Table_Leaks1_Input[[#This Row],[Total equipment cost]]+Table_Leaks1_Input[[#This Row],[Total labor cost]])</f>
        <v/>
      </c>
      <c r="Q199" s="123" t="str">
        <f>IFERROR(Table_Leaks1_Input[[#This Row],[Gross measure cost]]-Table_Leaks1_Input[[#This Row],[Estimated incentive]], "")</f>
        <v/>
      </c>
      <c r="R199" s="124" t="str">
        <f t="shared" si="3"/>
        <v/>
      </c>
      <c r="S199" s="126">
        <f>IF(OR(Table_Leaks1_Input[[#This Row],[Pressure at leak (psig)]]=0, Table_Leaks1_Input[[#This Row],[Pressure at leak (psig)]]=""),0,IF(Table_Leaks1_Input[[#This Row],[Pressure at leak (psig)]]&lt;20, 10, MROUND(Table_Leaks1_Input[[#This Row],[Pressure at leak (psig)]], 25)))</f>
        <v>0</v>
      </c>
      <c r="T199" s="126">
        <f>ROUND(Table_Leaks1_Input[[#This Row],[dB reading]],-1)</f>
        <v>0</v>
      </c>
      <c r="U199" s="127" t="str">
        <f>_xlfn.CONCAT(Table_Leaks1_Input[[#This Row],[Rounded dB Reading]],"psig ", Table_Leaks1_Input[[#This Row],[Rounded PSIG]],"db")</f>
        <v>0psig 0db</v>
      </c>
    </row>
    <row r="200" spans="2:21" x14ac:dyDescent="0.2">
      <c r="B200" s="121">
        <v>195</v>
      </c>
      <c r="C200" s="128"/>
      <c r="D200" s="129"/>
      <c r="E200" s="130"/>
      <c r="F200" s="130"/>
      <c r="G200" s="130"/>
      <c r="H200" s="130"/>
      <c r="I200" s="131"/>
      <c r="J200" s="131"/>
      <c r="K200" s="122" t="str">
        <f>IFERROR(INDEX(TABLE_UE_dB[Leak Size (cfm)], MATCH(Table_Leaks1_Input[[#This Row],[Lookup Value]], TABLE_UE_dB[Lookup Value], 0)),"")</f>
        <v/>
      </c>
      <c r="L200" s="123" t="str">
        <f>IF(Table_Leaks1_Input[[#This Row],[Repaired (Y/N)]]="Yes", Value_LeakRepairIR, "")</f>
        <v/>
      </c>
      <c r="M200" s="124" t="str">
        <f>IFERROR(Table_Leaks1_Input[[#This Row],[Estimated leak size (cfm)]]*Value_WeightAvgCompEff*Value_SysAOH,"" )</f>
        <v/>
      </c>
      <c r="N200" s="125" t="str">
        <f>IFERROR(Table_Leaks1_Input[[#This Row],[Estimated leak size (cfm)]]*Value_WeightAvgCompEff,"" )</f>
        <v/>
      </c>
      <c r="O200" s="123" t="str">
        <f>IFERROR(Table_Leaks1_Input[[#This Row],[Energy savings (kWh)]]*Input_AvgkWhRate, "")</f>
        <v/>
      </c>
      <c r="P200" s="123" t="str">
        <f>IF(Table_Leaks1_Input[[#This Row],[Pressure at leak (psig)]]="", "",Table_Leaks1_Input[[#This Row],[Total equipment cost]]+Table_Leaks1_Input[[#This Row],[Total labor cost]])</f>
        <v/>
      </c>
      <c r="Q200" s="123" t="str">
        <f>IFERROR(Table_Leaks1_Input[[#This Row],[Gross measure cost]]-Table_Leaks1_Input[[#This Row],[Estimated incentive]], "")</f>
        <v/>
      </c>
      <c r="R200" s="124" t="str">
        <f t="shared" si="3"/>
        <v/>
      </c>
      <c r="S200" s="126">
        <f>IF(OR(Table_Leaks1_Input[[#This Row],[Pressure at leak (psig)]]=0, Table_Leaks1_Input[[#This Row],[Pressure at leak (psig)]]=""),0,IF(Table_Leaks1_Input[[#This Row],[Pressure at leak (psig)]]&lt;20, 10, MROUND(Table_Leaks1_Input[[#This Row],[Pressure at leak (psig)]], 25)))</f>
        <v>0</v>
      </c>
      <c r="T200" s="126">
        <f>ROUND(Table_Leaks1_Input[[#This Row],[dB reading]],-1)</f>
        <v>0</v>
      </c>
      <c r="U200" s="127" t="str">
        <f>_xlfn.CONCAT(Table_Leaks1_Input[[#This Row],[Rounded dB Reading]],"psig ", Table_Leaks1_Input[[#This Row],[Rounded PSIG]],"db")</f>
        <v>0psig 0db</v>
      </c>
    </row>
    <row r="201" spans="2:21" x14ac:dyDescent="0.2">
      <c r="B201" s="121">
        <v>196</v>
      </c>
      <c r="C201" s="128"/>
      <c r="D201" s="129"/>
      <c r="E201" s="130"/>
      <c r="F201" s="130"/>
      <c r="G201" s="130"/>
      <c r="H201" s="130"/>
      <c r="I201" s="131"/>
      <c r="J201" s="131"/>
      <c r="K201" s="122" t="str">
        <f>IFERROR(INDEX(TABLE_UE_dB[Leak Size (cfm)], MATCH(Table_Leaks1_Input[[#This Row],[Lookup Value]], TABLE_UE_dB[Lookup Value], 0)),"")</f>
        <v/>
      </c>
      <c r="L201" s="123" t="str">
        <f>IF(Table_Leaks1_Input[[#This Row],[Repaired (Y/N)]]="Yes", Value_LeakRepairIR, "")</f>
        <v/>
      </c>
      <c r="M201" s="124" t="str">
        <f>IFERROR(Table_Leaks1_Input[[#This Row],[Estimated leak size (cfm)]]*Value_WeightAvgCompEff*Value_SysAOH,"" )</f>
        <v/>
      </c>
      <c r="N201" s="125" t="str">
        <f>IFERROR(Table_Leaks1_Input[[#This Row],[Estimated leak size (cfm)]]*Value_WeightAvgCompEff,"" )</f>
        <v/>
      </c>
      <c r="O201" s="123" t="str">
        <f>IFERROR(Table_Leaks1_Input[[#This Row],[Energy savings (kWh)]]*Input_AvgkWhRate, "")</f>
        <v/>
      </c>
      <c r="P201" s="123" t="str">
        <f>IF(Table_Leaks1_Input[[#This Row],[Pressure at leak (psig)]]="", "",Table_Leaks1_Input[[#This Row],[Total equipment cost]]+Table_Leaks1_Input[[#This Row],[Total labor cost]])</f>
        <v/>
      </c>
      <c r="Q201" s="123" t="str">
        <f>IFERROR(Table_Leaks1_Input[[#This Row],[Gross measure cost]]-Table_Leaks1_Input[[#This Row],[Estimated incentive]], "")</f>
        <v/>
      </c>
      <c r="R201" s="124" t="str">
        <f t="shared" si="3"/>
        <v/>
      </c>
      <c r="S201" s="126">
        <f>IF(OR(Table_Leaks1_Input[[#This Row],[Pressure at leak (psig)]]=0, Table_Leaks1_Input[[#This Row],[Pressure at leak (psig)]]=""),0,IF(Table_Leaks1_Input[[#This Row],[Pressure at leak (psig)]]&lt;20, 10, MROUND(Table_Leaks1_Input[[#This Row],[Pressure at leak (psig)]], 25)))</f>
        <v>0</v>
      </c>
      <c r="T201" s="126">
        <f>ROUND(Table_Leaks1_Input[[#This Row],[dB reading]],-1)</f>
        <v>0</v>
      </c>
      <c r="U201" s="127" t="str">
        <f>_xlfn.CONCAT(Table_Leaks1_Input[[#This Row],[Rounded dB Reading]],"psig ", Table_Leaks1_Input[[#This Row],[Rounded PSIG]],"db")</f>
        <v>0psig 0db</v>
      </c>
    </row>
    <row r="202" spans="2:21" x14ac:dyDescent="0.2">
      <c r="B202" s="121">
        <v>197</v>
      </c>
      <c r="C202" s="128"/>
      <c r="D202" s="129"/>
      <c r="E202" s="130"/>
      <c r="F202" s="130"/>
      <c r="G202" s="130"/>
      <c r="H202" s="130"/>
      <c r="I202" s="131"/>
      <c r="J202" s="131"/>
      <c r="K202" s="122" t="str">
        <f>IFERROR(INDEX(TABLE_UE_dB[Leak Size (cfm)], MATCH(Table_Leaks1_Input[[#This Row],[Lookup Value]], TABLE_UE_dB[Lookup Value], 0)),"")</f>
        <v/>
      </c>
      <c r="L202" s="123" t="str">
        <f>IF(Table_Leaks1_Input[[#This Row],[Repaired (Y/N)]]="Yes", Value_LeakRepairIR, "")</f>
        <v/>
      </c>
      <c r="M202" s="124" t="str">
        <f>IFERROR(Table_Leaks1_Input[[#This Row],[Estimated leak size (cfm)]]*Value_WeightAvgCompEff*Value_SysAOH,"" )</f>
        <v/>
      </c>
      <c r="N202" s="125" t="str">
        <f>IFERROR(Table_Leaks1_Input[[#This Row],[Estimated leak size (cfm)]]*Value_WeightAvgCompEff,"" )</f>
        <v/>
      </c>
      <c r="O202" s="123" t="str">
        <f>IFERROR(Table_Leaks1_Input[[#This Row],[Energy savings (kWh)]]*Input_AvgkWhRate, "")</f>
        <v/>
      </c>
      <c r="P202" s="123" t="str">
        <f>IF(Table_Leaks1_Input[[#This Row],[Pressure at leak (psig)]]="", "",Table_Leaks1_Input[[#This Row],[Total equipment cost]]+Table_Leaks1_Input[[#This Row],[Total labor cost]])</f>
        <v/>
      </c>
      <c r="Q202" s="123" t="str">
        <f>IFERROR(Table_Leaks1_Input[[#This Row],[Gross measure cost]]-Table_Leaks1_Input[[#This Row],[Estimated incentive]], "")</f>
        <v/>
      </c>
      <c r="R202" s="124" t="str">
        <f t="shared" si="3"/>
        <v/>
      </c>
      <c r="S202" s="126">
        <f>IF(OR(Table_Leaks1_Input[[#This Row],[Pressure at leak (psig)]]=0, Table_Leaks1_Input[[#This Row],[Pressure at leak (psig)]]=""),0,IF(Table_Leaks1_Input[[#This Row],[Pressure at leak (psig)]]&lt;20, 10, MROUND(Table_Leaks1_Input[[#This Row],[Pressure at leak (psig)]], 25)))</f>
        <v>0</v>
      </c>
      <c r="T202" s="126">
        <f>ROUND(Table_Leaks1_Input[[#This Row],[dB reading]],-1)</f>
        <v>0</v>
      </c>
      <c r="U202" s="127" t="str">
        <f>_xlfn.CONCAT(Table_Leaks1_Input[[#This Row],[Rounded dB Reading]],"psig ", Table_Leaks1_Input[[#This Row],[Rounded PSIG]],"db")</f>
        <v>0psig 0db</v>
      </c>
    </row>
    <row r="203" spans="2:21" x14ac:dyDescent="0.2">
      <c r="B203" s="121">
        <v>198</v>
      </c>
      <c r="C203" s="128"/>
      <c r="D203" s="129"/>
      <c r="E203" s="130"/>
      <c r="F203" s="130"/>
      <c r="G203" s="130"/>
      <c r="H203" s="130"/>
      <c r="I203" s="131"/>
      <c r="J203" s="131"/>
      <c r="K203" s="122" t="str">
        <f>IFERROR(INDEX(TABLE_UE_dB[Leak Size (cfm)], MATCH(Table_Leaks1_Input[[#This Row],[Lookup Value]], TABLE_UE_dB[Lookup Value], 0)),"")</f>
        <v/>
      </c>
      <c r="L203" s="123" t="str">
        <f>IF(Table_Leaks1_Input[[#This Row],[Repaired (Y/N)]]="Yes", Value_LeakRepairIR, "")</f>
        <v/>
      </c>
      <c r="M203" s="124" t="str">
        <f>IFERROR(Table_Leaks1_Input[[#This Row],[Estimated leak size (cfm)]]*Value_WeightAvgCompEff*Value_SysAOH,"" )</f>
        <v/>
      </c>
      <c r="N203" s="125" t="str">
        <f>IFERROR(Table_Leaks1_Input[[#This Row],[Estimated leak size (cfm)]]*Value_WeightAvgCompEff,"" )</f>
        <v/>
      </c>
      <c r="O203" s="123" t="str">
        <f>IFERROR(Table_Leaks1_Input[[#This Row],[Energy savings (kWh)]]*Input_AvgkWhRate, "")</f>
        <v/>
      </c>
      <c r="P203" s="123" t="str">
        <f>IF(Table_Leaks1_Input[[#This Row],[Pressure at leak (psig)]]="", "",Table_Leaks1_Input[[#This Row],[Total equipment cost]]+Table_Leaks1_Input[[#This Row],[Total labor cost]])</f>
        <v/>
      </c>
      <c r="Q203" s="123" t="str">
        <f>IFERROR(Table_Leaks1_Input[[#This Row],[Gross measure cost]]-Table_Leaks1_Input[[#This Row],[Estimated incentive]], "")</f>
        <v/>
      </c>
      <c r="R203" s="124" t="str">
        <f t="shared" si="3"/>
        <v/>
      </c>
      <c r="S203" s="126">
        <f>IF(OR(Table_Leaks1_Input[[#This Row],[Pressure at leak (psig)]]=0, Table_Leaks1_Input[[#This Row],[Pressure at leak (psig)]]=""),0,IF(Table_Leaks1_Input[[#This Row],[Pressure at leak (psig)]]&lt;20, 10, MROUND(Table_Leaks1_Input[[#This Row],[Pressure at leak (psig)]], 25)))</f>
        <v>0</v>
      </c>
      <c r="T203" s="126">
        <f>ROUND(Table_Leaks1_Input[[#This Row],[dB reading]],-1)</f>
        <v>0</v>
      </c>
      <c r="U203" s="127" t="str">
        <f>_xlfn.CONCAT(Table_Leaks1_Input[[#This Row],[Rounded dB Reading]],"psig ", Table_Leaks1_Input[[#This Row],[Rounded PSIG]],"db")</f>
        <v>0psig 0db</v>
      </c>
    </row>
    <row r="204" spans="2:21" x14ac:dyDescent="0.2">
      <c r="B204" s="121">
        <v>199</v>
      </c>
      <c r="C204" s="128"/>
      <c r="D204" s="129"/>
      <c r="E204" s="130"/>
      <c r="F204" s="130"/>
      <c r="G204" s="130"/>
      <c r="H204" s="130"/>
      <c r="I204" s="131"/>
      <c r="J204" s="131"/>
      <c r="K204" s="122" t="str">
        <f>IFERROR(INDEX(TABLE_UE_dB[Leak Size (cfm)], MATCH(Table_Leaks1_Input[[#This Row],[Lookup Value]], TABLE_UE_dB[Lookup Value], 0)),"")</f>
        <v/>
      </c>
      <c r="L204" s="123" t="str">
        <f>IF(Table_Leaks1_Input[[#This Row],[Repaired (Y/N)]]="Yes", Value_LeakRepairIR, "")</f>
        <v/>
      </c>
      <c r="M204" s="124" t="str">
        <f>IFERROR(Table_Leaks1_Input[[#This Row],[Estimated leak size (cfm)]]*Value_WeightAvgCompEff*Value_SysAOH,"" )</f>
        <v/>
      </c>
      <c r="N204" s="125" t="str">
        <f>IFERROR(Table_Leaks1_Input[[#This Row],[Estimated leak size (cfm)]]*Value_WeightAvgCompEff,"" )</f>
        <v/>
      </c>
      <c r="O204" s="123" t="str">
        <f>IFERROR(Table_Leaks1_Input[[#This Row],[Energy savings (kWh)]]*Input_AvgkWhRate, "")</f>
        <v/>
      </c>
      <c r="P204" s="123" t="str">
        <f>IF(Table_Leaks1_Input[[#This Row],[Pressure at leak (psig)]]="", "",Table_Leaks1_Input[[#This Row],[Total equipment cost]]+Table_Leaks1_Input[[#This Row],[Total labor cost]])</f>
        <v/>
      </c>
      <c r="Q204" s="123" t="str">
        <f>IFERROR(Table_Leaks1_Input[[#This Row],[Gross measure cost]]-Table_Leaks1_Input[[#This Row],[Estimated incentive]], "")</f>
        <v/>
      </c>
      <c r="R204" s="124" t="str">
        <f t="shared" si="3"/>
        <v/>
      </c>
      <c r="S204" s="126">
        <f>IF(OR(Table_Leaks1_Input[[#This Row],[Pressure at leak (psig)]]=0, Table_Leaks1_Input[[#This Row],[Pressure at leak (psig)]]=""),0,IF(Table_Leaks1_Input[[#This Row],[Pressure at leak (psig)]]&lt;20, 10, MROUND(Table_Leaks1_Input[[#This Row],[Pressure at leak (psig)]], 25)))</f>
        <v>0</v>
      </c>
      <c r="T204" s="126">
        <f>ROUND(Table_Leaks1_Input[[#This Row],[dB reading]],-1)</f>
        <v>0</v>
      </c>
      <c r="U204" s="127" t="str">
        <f>_xlfn.CONCAT(Table_Leaks1_Input[[#This Row],[Rounded dB Reading]],"psig ", Table_Leaks1_Input[[#This Row],[Rounded PSIG]],"db")</f>
        <v>0psig 0db</v>
      </c>
    </row>
    <row r="205" spans="2:21" x14ac:dyDescent="0.2">
      <c r="B205" s="121">
        <v>200</v>
      </c>
      <c r="C205" s="128"/>
      <c r="D205" s="129"/>
      <c r="E205" s="130"/>
      <c r="F205" s="130"/>
      <c r="G205" s="130"/>
      <c r="H205" s="130"/>
      <c r="I205" s="131"/>
      <c r="J205" s="131"/>
      <c r="K205" s="122" t="str">
        <f>IFERROR(INDEX(TABLE_UE_dB[Leak Size (cfm)], MATCH(Table_Leaks1_Input[[#This Row],[Lookup Value]], TABLE_UE_dB[Lookup Value], 0)),"")</f>
        <v/>
      </c>
      <c r="L205" s="123" t="str">
        <f>IF(Table_Leaks1_Input[[#This Row],[Repaired (Y/N)]]="Yes", Value_LeakRepairIR, "")</f>
        <v/>
      </c>
      <c r="M205" s="124" t="str">
        <f>IFERROR(Table_Leaks1_Input[[#This Row],[Estimated leak size (cfm)]]*Value_WeightAvgCompEff*Value_SysAOH,"" )</f>
        <v/>
      </c>
      <c r="N205" s="125" t="str">
        <f>IFERROR(Table_Leaks1_Input[[#This Row],[Estimated leak size (cfm)]]*Value_WeightAvgCompEff,"" )</f>
        <v/>
      </c>
      <c r="O205" s="123" t="str">
        <f>IFERROR(Table_Leaks1_Input[[#This Row],[Energy savings (kWh)]]*Input_AvgkWhRate, "")</f>
        <v/>
      </c>
      <c r="P205" s="123" t="str">
        <f>IF(Table_Leaks1_Input[[#This Row],[Pressure at leak (psig)]]="", "",Table_Leaks1_Input[[#This Row],[Total equipment cost]]+Table_Leaks1_Input[[#This Row],[Total labor cost]])</f>
        <v/>
      </c>
      <c r="Q205" s="123" t="str">
        <f>IFERROR(Table_Leaks1_Input[[#This Row],[Gross measure cost]]-Table_Leaks1_Input[[#This Row],[Estimated incentive]], "")</f>
        <v/>
      </c>
      <c r="R205" s="124" t="str">
        <f t="shared" si="3"/>
        <v/>
      </c>
      <c r="S205" s="126">
        <f>IF(OR(Table_Leaks1_Input[[#This Row],[Pressure at leak (psig)]]=0, Table_Leaks1_Input[[#This Row],[Pressure at leak (psig)]]=""),0,IF(Table_Leaks1_Input[[#This Row],[Pressure at leak (psig)]]&lt;20, 10, MROUND(Table_Leaks1_Input[[#This Row],[Pressure at leak (psig)]], 25)))</f>
        <v>0</v>
      </c>
      <c r="T205" s="126">
        <f>ROUND(Table_Leaks1_Input[[#This Row],[dB reading]],-1)</f>
        <v>0</v>
      </c>
      <c r="U205" s="127" t="str">
        <f>_xlfn.CONCAT(Table_Leaks1_Input[[#This Row],[Rounded dB Reading]],"psig ", Table_Leaks1_Input[[#This Row],[Rounded PSIG]],"db")</f>
        <v>0psig 0db</v>
      </c>
    </row>
    <row r="206" spans="2:21" x14ac:dyDescent="0.2"/>
    <row r="207" spans="2:21" x14ac:dyDescent="0.2">
      <c r="B207" s="72" t="s">
        <v>36</v>
      </c>
    </row>
    <row r="208" spans="2:21" x14ac:dyDescent="0.2">
      <c r="B208" s="72" t="str">
        <f>Value_Application_Version</f>
        <v>Version 1.3 PY14</v>
      </c>
    </row>
    <row r="209" spans="1:46" x14ac:dyDescent="0.2"/>
    <row r="210" spans="1:46" x14ac:dyDescent="0.2">
      <c r="A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row>
    <row r="211" spans="1:46" x14ac:dyDescent="0.2">
      <c r="A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row>
    <row r="212" spans="1:46" x14ac:dyDescent="0.2">
      <c r="A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row>
    <row r="213" spans="1:46" x14ac:dyDescent="0.2">
      <c r="A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row>
    <row r="214" spans="1:46" x14ac:dyDescent="0.2">
      <c r="A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row>
    <row r="215" spans="1:46" x14ac:dyDescent="0.2">
      <c r="A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row>
    <row r="216" spans="1:46" x14ac:dyDescent="0.2">
      <c r="A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row>
    <row r="217" spans="1:46" x14ac:dyDescent="0.2">
      <c r="A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row>
    <row r="218" spans="1:46" x14ac:dyDescent="0.2">
      <c r="A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row>
    <row r="219" spans="1:46" x14ac:dyDescent="0.2">
      <c r="A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row>
    <row r="220" spans="1:46" x14ac:dyDescent="0.2">
      <c r="A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row>
    <row r="221" spans="1:46" x14ac:dyDescent="0.2">
      <c r="A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row>
    <row r="222" spans="1:46" x14ac:dyDescent="0.2">
      <c r="A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row>
    <row r="223" spans="1:46" x14ac:dyDescent="0.2">
      <c r="A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row>
    <row r="224" spans="1:46" x14ac:dyDescent="0.2">
      <c r="A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row>
    <row r="225" spans="1:46" x14ac:dyDescent="0.2">
      <c r="A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row>
    <row r="226" spans="1:46" x14ac:dyDescent="0.2">
      <c r="A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row>
    <row r="227" spans="1:46" x14ac:dyDescent="0.2">
      <c r="A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row>
    <row r="228" spans="1:46" x14ac:dyDescent="0.2">
      <c r="A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row>
    <row r="229" spans="1:46" x14ac:dyDescent="0.2">
      <c r="A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row>
    <row r="230" spans="1:46" x14ac:dyDescent="0.2">
      <c r="A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row>
    <row r="231" spans="1:46" x14ac:dyDescent="0.2">
      <c r="A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row>
    <row r="232" spans="1:46" x14ac:dyDescent="0.2">
      <c r="A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row>
    <row r="233" spans="1:46" x14ac:dyDescent="0.2">
      <c r="A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row>
    <row r="234" spans="1:46" x14ac:dyDescent="0.2">
      <c r="A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row>
    <row r="235" spans="1:46" x14ac:dyDescent="0.2">
      <c r="A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row>
    <row r="236" spans="1:46" x14ac:dyDescent="0.2">
      <c r="A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row>
    <row r="237" spans="1:46" x14ac:dyDescent="0.2">
      <c r="A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row>
    <row r="238" spans="1:46" x14ac:dyDescent="0.2">
      <c r="A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row>
    <row r="239" spans="1:46" x14ac:dyDescent="0.2">
      <c r="A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row>
    <row r="240" spans="1:46" x14ac:dyDescent="0.2">
      <c r="A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row>
    <row r="241" spans="1:46" x14ac:dyDescent="0.2">
      <c r="A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row>
    <row r="242" spans="1:46" x14ac:dyDescent="0.2">
      <c r="A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row>
    <row r="243" spans="1:46" x14ac:dyDescent="0.2">
      <c r="A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row>
    <row r="244" spans="1:46" x14ac:dyDescent="0.2">
      <c r="A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row>
    <row r="245" spans="1:46" x14ac:dyDescent="0.2">
      <c r="A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row>
    <row r="246" spans="1:46" x14ac:dyDescent="0.2">
      <c r="A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row>
    <row r="247" spans="1:46" x14ac:dyDescent="0.2">
      <c r="A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row>
    <row r="248" spans="1:46" x14ac:dyDescent="0.2">
      <c r="A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row>
    <row r="249" spans="1:46" x14ac:dyDescent="0.2">
      <c r="A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row>
    <row r="250" spans="1:46" x14ac:dyDescent="0.2">
      <c r="A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row>
    <row r="251" spans="1:46" x14ac:dyDescent="0.2">
      <c r="A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row>
    <row r="252" spans="1:46" x14ac:dyDescent="0.2">
      <c r="A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row>
    <row r="253" spans="1:46" x14ac:dyDescent="0.2">
      <c r="A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row>
    <row r="254" spans="1:46" x14ac:dyDescent="0.2">
      <c r="A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row>
    <row r="255" spans="1:46" x14ac:dyDescent="0.2">
      <c r="A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row>
    <row r="256" spans="1:46" x14ac:dyDescent="0.2">
      <c r="A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row>
    <row r="257" spans="1:46" x14ac:dyDescent="0.2">
      <c r="A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row>
    <row r="258" spans="1:46" x14ac:dyDescent="0.2">
      <c r="A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row>
    <row r="259" spans="1:46" x14ac:dyDescent="0.2">
      <c r="A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row>
    <row r="260" spans="1:46" x14ac:dyDescent="0.2">
      <c r="A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row>
    <row r="261" spans="1:46" x14ac:dyDescent="0.2">
      <c r="A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row>
    <row r="262" spans="1:46" x14ac:dyDescent="0.2">
      <c r="A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row>
    <row r="263" spans="1:46" x14ac:dyDescent="0.2">
      <c r="A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row>
    <row r="264" spans="1:46" x14ac:dyDescent="0.2">
      <c r="A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row>
    <row r="265" spans="1:46" x14ac:dyDescent="0.2">
      <c r="A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row>
    <row r="266" spans="1:46" x14ac:dyDescent="0.2">
      <c r="A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row>
    <row r="267" spans="1:46" x14ac:dyDescent="0.2">
      <c r="A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row>
    <row r="268" spans="1:46" x14ac:dyDescent="0.2">
      <c r="A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row>
    <row r="269" spans="1:46" x14ac:dyDescent="0.2">
      <c r="A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row>
    <row r="270" spans="1:46" x14ac:dyDescent="0.2">
      <c r="A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row>
    <row r="271" spans="1:46" x14ac:dyDescent="0.2">
      <c r="A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row>
    <row r="272" spans="1:46" x14ac:dyDescent="0.2">
      <c r="A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row>
    <row r="273" spans="1:46" x14ac:dyDescent="0.2">
      <c r="A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row>
    <row r="274" spans="1:46" x14ac:dyDescent="0.2">
      <c r="A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row>
    <row r="275" spans="1:46" x14ac:dyDescent="0.2">
      <c r="A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row>
    <row r="276" spans="1:46" x14ac:dyDescent="0.2">
      <c r="A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row>
    <row r="277" spans="1:46" x14ac:dyDescent="0.2">
      <c r="A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row>
    <row r="278" spans="1:46" x14ac:dyDescent="0.2">
      <c r="A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row>
    <row r="279" spans="1:46" x14ac:dyDescent="0.2">
      <c r="A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row>
    <row r="280" spans="1:46" x14ac:dyDescent="0.2">
      <c r="A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row>
    <row r="281" spans="1:46" x14ac:dyDescent="0.2">
      <c r="A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row>
    <row r="282" spans="1:46" x14ac:dyDescent="0.2">
      <c r="A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row>
    <row r="283" spans="1:46" x14ac:dyDescent="0.2">
      <c r="A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row>
    <row r="284" spans="1:46" x14ac:dyDescent="0.2">
      <c r="A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row>
    <row r="285" spans="1:46" x14ac:dyDescent="0.2">
      <c r="A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row>
    <row r="286" spans="1:46" x14ac:dyDescent="0.2">
      <c r="A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row>
    <row r="287" spans="1:46" x14ac:dyDescent="0.2">
      <c r="A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row>
    <row r="288" spans="1:46" x14ac:dyDescent="0.2">
      <c r="A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row>
    <row r="289" spans="1:46" x14ac:dyDescent="0.2">
      <c r="A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row>
    <row r="290" spans="1:46" x14ac:dyDescent="0.2">
      <c r="A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row>
    <row r="291" spans="1:46" x14ac:dyDescent="0.2">
      <c r="A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row>
    <row r="292" spans="1:46" x14ac:dyDescent="0.2">
      <c r="A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row>
    <row r="293" spans="1:46" x14ac:dyDescent="0.2">
      <c r="A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row>
    <row r="294" spans="1:46" x14ac:dyDescent="0.2">
      <c r="A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row>
    <row r="295" spans="1:46" x14ac:dyDescent="0.2">
      <c r="A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row>
    <row r="296" spans="1:46" x14ac:dyDescent="0.2">
      <c r="A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row>
    <row r="297" spans="1:46" x14ac:dyDescent="0.2">
      <c r="A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row>
    <row r="298" spans="1:46" x14ac:dyDescent="0.2">
      <c r="A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row>
    <row r="299" spans="1:46" x14ac:dyDescent="0.2">
      <c r="A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row>
    <row r="300" spans="1:46" x14ac:dyDescent="0.2">
      <c r="A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row>
    <row r="301" spans="1:46" x14ac:dyDescent="0.2">
      <c r="A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row>
    <row r="302" spans="1:46" x14ac:dyDescent="0.2">
      <c r="A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row>
    <row r="303" spans="1:46" x14ac:dyDescent="0.2">
      <c r="A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row>
    <row r="304" spans="1:46" x14ac:dyDescent="0.2">
      <c r="A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row>
    <row r="305" spans="1:46" x14ac:dyDescent="0.2">
      <c r="A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row>
    <row r="306" spans="1:46" x14ac:dyDescent="0.2">
      <c r="A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row>
    <row r="307" spans="1:46" x14ac:dyDescent="0.2">
      <c r="A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row>
    <row r="308" spans="1:46" x14ac:dyDescent="0.2">
      <c r="A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row>
    <row r="309" spans="1:46" x14ac:dyDescent="0.2">
      <c r="A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row>
    <row r="310" spans="1:46" x14ac:dyDescent="0.2">
      <c r="A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row>
    <row r="311" spans="1:46" x14ac:dyDescent="0.2">
      <c r="A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row>
    <row r="312" spans="1:46" x14ac:dyDescent="0.2">
      <c r="A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row>
    <row r="313" spans="1:46" x14ac:dyDescent="0.2">
      <c r="A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row>
    <row r="314" spans="1:46" x14ac:dyDescent="0.2">
      <c r="A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row>
    <row r="315" spans="1:46" x14ac:dyDescent="0.2">
      <c r="A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row>
    <row r="316" spans="1:46" x14ac:dyDescent="0.2">
      <c r="A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row>
    <row r="317" spans="1:46" x14ac:dyDescent="0.2">
      <c r="A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row>
    <row r="318" spans="1:46" x14ac:dyDescent="0.2">
      <c r="A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row>
    <row r="319" spans="1:46" x14ac:dyDescent="0.2">
      <c r="A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row>
    <row r="320" spans="1:46" x14ac:dyDescent="0.2">
      <c r="A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row>
    <row r="321" spans="1:46" x14ac:dyDescent="0.2">
      <c r="A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row>
    <row r="322" spans="1:46" x14ac:dyDescent="0.2">
      <c r="A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row>
    <row r="323" spans="1:46" x14ac:dyDescent="0.2">
      <c r="A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row>
    <row r="324" spans="1:46" x14ac:dyDescent="0.2">
      <c r="A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row>
    <row r="325" spans="1:46" x14ac:dyDescent="0.2">
      <c r="A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row>
    <row r="326" spans="1:46" x14ac:dyDescent="0.2">
      <c r="A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row>
    <row r="327" spans="1:46" x14ac:dyDescent="0.2">
      <c r="A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row>
    <row r="328" spans="1:46" x14ac:dyDescent="0.2">
      <c r="A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row>
    <row r="329" spans="1:46" x14ac:dyDescent="0.2">
      <c r="A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row>
    <row r="330" spans="1:46" x14ac:dyDescent="0.2">
      <c r="A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row>
    <row r="331" spans="1:46" x14ac:dyDescent="0.2">
      <c r="A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row>
    <row r="332" spans="1:46" x14ac:dyDescent="0.2">
      <c r="A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row>
    <row r="333" spans="1:46" x14ac:dyDescent="0.2">
      <c r="A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row>
    <row r="334" spans="1:46" x14ac:dyDescent="0.2">
      <c r="A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row>
    <row r="335" spans="1:46" x14ac:dyDescent="0.2">
      <c r="A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row>
    <row r="336" spans="1:46" x14ac:dyDescent="0.2">
      <c r="A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row>
    <row r="337" spans="1:46" x14ac:dyDescent="0.2">
      <c r="A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row>
    <row r="338" spans="1:46" x14ac:dyDescent="0.2">
      <c r="A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row>
    <row r="339" spans="1:46" x14ac:dyDescent="0.2">
      <c r="A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row>
    <row r="340" spans="1:46" x14ac:dyDescent="0.2">
      <c r="A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row>
    <row r="341" spans="1:46" x14ac:dyDescent="0.2">
      <c r="A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row>
    <row r="342" spans="1:46" x14ac:dyDescent="0.2">
      <c r="A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row>
    <row r="343" spans="1:46" x14ac:dyDescent="0.2">
      <c r="A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row>
    <row r="344" spans="1:46" x14ac:dyDescent="0.2">
      <c r="A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row>
    <row r="345" spans="1:46" x14ac:dyDescent="0.2">
      <c r="A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row>
    <row r="346" spans="1:46" x14ac:dyDescent="0.2">
      <c r="A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row>
    <row r="347" spans="1:46" x14ac:dyDescent="0.2">
      <c r="A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row>
    <row r="348" spans="1:46" x14ac:dyDescent="0.2">
      <c r="A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row>
    <row r="349" spans="1:46" x14ac:dyDescent="0.2">
      <c r="A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row>
    <row r="350" spans="1:46" x14ac:dyDescent="0.2">
      <c r="A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row>
    <row r="351" spans="1:46" x14ac:dyDescent="0.2">
      <c r="A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row>
    <row r="352" spans="1:46" x14ac:dyDescent="0.2">
      <c r="A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row>
    <row r="353" spans="1:46" x14ac:dyDescent="0.2">
      <c r="A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row>
    <row r="354" spans="1:46" x14ac:dyDescent="0.2">
      <c r="A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row>
  </sheetData>
  <sheetProtection algorithmName="SHA-512" hashValue="dL9ByCa5Q6BmzmQzTJDcwSctcIK0KKJxiJLu7CT4A7lmj1XJciV8gGO0KEz18McQNonyRCbWUMoCNAKKWTKEMA==" saltValue="hNS/YQWzAfFlXqJOD7x/aw==" spinCount="100000" sheet="1" selectLockedCells="1"/>
  <mergeCells count="2">
    <mergeCell ref="B2:O2"/>
    <mergeCell ref="G4:H4"/>
  </mergeCells>
  <phoneticPr fontId="7" type="noConversion"/>
  <conditionalFormatting sqref="I6:J205">
    <cfRule type="expression" dxfId="144" priority="30">
      <formula>OR($E6="", #REF!=0)</formula>
    </cfRule>
  </conditionalFormatting>
  <dataValidations count="1">
    <dataValidation type="list" allowBlank="1" showInputMessage="1" showErrorMessage="1" sqref="H6:H205" xr:uid="{2AB53BA1-8552-4EB7-A501-6C47FC4FAACF}">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5C7E-7349-44BF-B40D-7F4D7DB1CFBB}">
  <sheetPr>
    <tabColor theme="6"/>
  </sheetPr>
  <dimension ref="A1:AT353"/>
  <sheetViews>
    <sheetView showGridLines="0" showRowColHeaders="0" workbookViewId="0">
      <selection activeCell="C5" sqref="C5"/>
    </sheetView>
  </sheetViews>
  <sheetFormatPr defaultColWidth="9.140625" defaultRowHeight="12.75" customHeight="1" x14ac:dyDescent="0.2"/>
  <cols>
    <col min="1" max="1" width="2.140625" style="72" customWidth="1"/>
    <col min="2" max="2" width="5.28515625" style="72" customWidth="1"/>
    <col min="3" max="3" width="9.7109375" style="72" customWidth="1"/>
    <col min="4" max="4" width="24.85546875" style="72" customWidth="1"/>
    <col min="5" max="5" width="10.42578125" style="72" customWidth="1"/>
    <col min="6" max="6" width="8.85546875" style="72" customWidth="1"/>
    <col min="7" max="7" width="44.140625" style="72" customWidth="1"/>
    <col min="8" max="8" width="9.42578125" style="72" customWidth="1"/>
    <col min="9" max="9" width="12.42578125" style="72" customWidth="1"/>
    <col min="10" max="10" width="9.85546875" style="72" customWidth="1"/>
    <col min="11" max="11" width="10" style="72" customWidth="1"/>
    <col min="12" max="12" width="11" style="72" customWidth="1"/>
    <col min="13" max="13" width="12" style="72" customWidth="1"/>
    <col min="14" max="14" width="11.85546875" style="72" customWidth="1"/>
    <col min="15" max="15" width="10.28515625" style="72" customWidth="1"/>
    <col min="16" max="16" width="12.28515625" style="72" customWidth="1"/>
    <col min="17" max="17" width="13.42578125" style="72" customWidth="1"/>
    <col min="18" max="18" width="9.5703125" style="72" customWidth="1"/>
    <col min="19" max="20" width="9.140625" style="72" hidden="1" customWidth="1"/>
    <col min="21" max="21" width="34.140625" style="72" hidden="1" customWidth="1"/>
    <col min="22" max="16384" width="9.140625" style="72"/>
  </cols>
  <sheetData>
    <row r="1" spans="1:46" ht="54.75" customHeight="1" x14ac:dyDescent="0.2"/>
    <row r="2" spans="1:46" s="101" customFormat="1" ht="37.5" customHeight="1" x14ac:dyDescent="0.2">
      <c r="B2" s="209" t="s">
        <v>151</v>
      </c>
      <c r="C2" s="209"/>
      <c r="D2" s="209"/>
      <c r="E2" s="209"/>
      <c r="F2" s="209"/>
      <c r="G2" s="209"/>
      <c r="H2" s="209"/>
      <c r="I2" s="209"/>
      <c r="J2" s="209"/>
      <c r="K2" s="209"/>
      <c r="L2" s="209"/>
      <c r="M2" s="209"/>
      <c r="N2" s="209"/>
      <c r="O2" s="209"/>
      <c r="P2" s="113"/>
      <c r="Q2" s="113"/>
      <c r="R2" s="113"/>
    </row>
    <row r="3" spans="1:46" x14ac:dyDescent="0.2">
      <c r="A3" s="75"/>
      <c r="H3" s="138" t="s">
        <v>152</v>
      </c>
      <c r="I3" s="228" t="s">
        <v>153</v>
      </c>
      <c r="J3" s="229"/>
      <c r="K3" s="229"/>
      <c r="L3" s="229"/>
      <c r="M3" s="229"/>
      <c r="N3" s="229"/>
      <c r="O3" s="229"/>
      <c r="P3" s="229"/>
      <c r="Q3" s="229"/>
      <c r="R3" s="230"/>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76" customFormat="1" ht="38.25" x14ac:dyDescent="0.2">
      <c r="A4" s="132"/>
      <c r="B4" s="133" t="s">
        <v>433</v>
      </c>
      <c r="C4" s="134" t="s">
        <v>133</v>
      </c>
      <c r="D4" s="134" t="s">
        <v>134</v>
      </c>
      <c r="E4" s="134" t="s">
        <v>135</v>
      </c>
      <c r="F4" s="134" t="s">
        <v>136</v>
      </c>
      <c r="G4" s="134" t="s">
        <v>137</v>
      </c>
      <c r="H4" s="134" t="s">
        <v>138</v>
      </c>
      <c r="I4" s="134" t="s">
        <v>139</v>
      </c>
      <c r="J4" s="134" t="s">
        <v>140</v>
      </c>
      <c r="K4" s="135" t="s">
        <v>141</v>
      </c>
      <c r="L4" s="136" t="s">
        <v>142</v>
      </c>
      <c r="M4" s="136" t="s">
        <v>154</v>
      </c>
      <c r="N4" s="136" t="s">
        <v>143</v>
      </c>
      <c r="O4" s="136" t="s">
        <v>144</v>
      </c>
      <c r="P4" s="136" t="s">
        <v>145</v>
      </c>
      <c r="Q4" s="136" t="s">
        <v>146</v>
      </c>
      <c r="R4" s="136" t="s">
        <v>147</v>
      </c>
      <c r="S4" s="137" t="s">
        <v>148</v>
      </c>
      <c r="T4" s="137" t="s">
        <v>149</v>
      </c>
      <c r="U4" s="137" t="s">
        <v>150</v>
      </c>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row>
    <row r="5" spans="1:46" x14ac:dyDescent="0.2">
      <c r="A5" s="120"/>
      <c r="B5" s="121">
        <v>201</v>
      </c>
      <c r="C5" s="128"/>
      <c r="D5" s="129"/>
      <c r="E5" s="130"/>
      <c r="F5" s="130"/>
      <c r="G5" s="130"/>
      <c r="H5" s="130"/>
      <c r="I5" s="131"/>
      <c r="J5" s="131"/>
      <c r="K5" s="122" t="str">
        <f>IFERROR(INDEX(TABLE_UE_dB[Leak Size (cfm)], MATCH(Table_Leaks2_Input[[#This Row],[Lookup Value]], TABLE_UE_dB[Lookup Value], 0)),"")</f>
        <v/>
      </c>
      <c r="L5" s="123" t="str">
        <f>IF(Table_Leaks2_Input[[#This Row],[Repaired (Y/N)]]="Yes", Value_LeakRepairIR, "")</f>
        <v/>
      </c>
      <c r="M5" s="124" t="str">
        <f>IFERROR(Table_Leaks2_Input[[#This Row],[Estimated leak size (cfm)]]*Value_WeightAvgCompEff*Value_SysAOH,"" )</f>
        <v/>
      </c>
      <c r="N5" s="125" t="str">
        <f>IFERROR(Table_Leaks2_Input[[#This Row],[Estimated leak size (cfm)]]*Value_WeightAvgCompEff,"" )</f>
        <v/>
      </c>
      <c r="O5" s="123" t="str">
        <f>IFERROR(Table_Leaks2_Input[[#This Row],[Energy savings (kWh)]]*Input_AvgkWhRate, "")</f>
        <v/>
      </c>
      <c r="P5" s="123" t="str">
        <f>IF(Table_Leaks2_Input[[#This Row],[Pressure at leak (psig)]]="", "",Table_Leaks2_Input[[#This Row],[Total equipment cost]]+Table_Leaks2_Input[[#This Row],[Total labor cost]])</f>
        <v/>
      </c>
      <c r="Q5" s="123" t="str">
        <f>IFERROR(Table_Leaks2_Input[[#This Row],[Gross measure cost]]-Table_Leaks2_Input[[#This Row],[Estimated incentive]], "")</f>
        <v/>
      </c>
      <c r="R5" s="124" t="str">
        <f t="shared" ref="R5:R68" si="0">IFERROR($Q5/$O5,"")</f>
        <v/>
      </c>
      <c r="S5" s="126">
        <f>IF(OR(Table_Leaks2_Input[[#This Row],[Pressure at leak (psig)]]=0, Table_Leaks2_Input[[#This Row],[Pressure at leak (psig)]]=""),0,IF(Table_Leaks2_Input[[#This Row],[Pressure at leak (psig)]]&lt;20, 10, MROUND(Table_Leaks2_Input[[#This Row],[Pressure at leak (psig)]], 25)))</f>
        <v>0</v>
      </c>
      <c r="T5" s="126">
        <f>ROUND(Table_Leaks2_Input[[#This Row],[dB reading]],-1)</f>
        <v>0</v>
      </c>
      <c r="U5" s="127" t="str">
        <f>_xlfn.CONCAT(Table_Leaks2_Input[[#This Row],[Rounded dB Reading]],"psig ", Table_Leaks2_Input[[#This Row],[Rounded PSIG]],"db")</f>
        <v>0psig 0db</v>
      </c>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spans="1:46" x14ac:dyDescent="0.2">
      <c r="A6" s="120"/>
      <c r="B6" s="121">
        <v>202</v>
      </c>
      <c r="C6" s="128"/>
      <c r="D6" s="129"/>
      <c r="E6" s="130"/>
      <c r="F6" s="130"/>
      <c r="G6" s="130"/>
      <c r="H6" s="130"/>
      <c r="I6" s="131"/>
      <c r="J6" s="131"/>
      <c r="K6" s="122" t="str">
        <f>IFERROR(INDEX(TABLE_UE_dB[Leak Size (cfm)], MATCH(Table_Leaks2_Input[[#This Row],[Lookup Value]], TABLE_UE_dB[Lookup Value], 0)),"")</f>
        <v/>
      </c>
      <c r="L6" s="123" t="str">
        <f>IF(Table_Leaks2_Input[[#This Row],[Repaired (Y/N)]]="Yes", Value_LeakRepairIR, "")</f>
        <v/>
      </c>
      <c r="M6" s="124" t="str">
        <f>IFERROR(Table_Leaks2_Input[[#This Row],[Estimated leak size (cfm)]]*Value_WeightAvgCompEff*Value_SysAOH,"" )</f>
        <v/>
      </c>
      <c r="N6" s="125" t="str">
        <f>IFERROR(Table_Leaks2_Input[[#This Row],[Estimated leak size (cfm)]]*Value_WeightAvgCompEff,"" )</f>
        <v/>
      </c>
      <c r="O6" s="123" t="str">
        <f>IFERROR(Table_Leaks2_Input[[#This Row],[Energy savings (kWh)]]*Input_AvgkWhRate, "")</f>
        <v/>
      </c>
      <c r="P6" s="123" t="str">
        <f>IF(Table_Leaks2_Input[[#This Row],[Pressure at leak (psig)]]="", "",Table_Leaks2_Input[[#This Row],[Total equipment cost]]+Table_Leaks2_Input[[#This Row],[Total labor cost]])</f>
        <v/>
      </c>
      <c r="Q6" s="123" t="str">
        <f>IFERROR(Table_Leaks2_Input[[#This Row],[Gross measure cost]]-Table_Leaks2_Input[[#This Row],[Estimated incentive]], "")</f>
        <v/>
      </c>
      <c r="R6" s="124" t="str">
        <f t="shared" si="0"/>
        <v/>
      </c>
      <c r="S6" s="126">
        <f>IF(OR(Table_Leaks2_Input[[#This Row],[Pressure at leak (psig)]]=0, Table_Leaks2_Input[[#This Row],[Pressure at leak (psig)]]=""),0,IF(Table_Leaks2_Input[[#This Row],[Pressure at leak (psig)]]&lt;20, 10, MROUND(Table_Leaks2_Input[[#This Row],[Pressure at leak (psig)]], 25)))</f>
        <v>0</v>
      </c>
      <c r="T6" s="126">
        <f>ROUND(Table_Leaks2_Input[[#This Row],[dB reading]],-1)</f>
        <v>0</v>
      </c>
      <c r="U6" s="127" t="str">
        <f>_xlfn.CONCAT(Table_Leaks2_Input[[#This Row],[Rounded dB Reading]],"psig ", Table_Leaks2_Input[[#This Row],[Rounded PSIG]],"db")</f>
        <v>0psig 0db</v>
      </c>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row>
    <row r="7" spans="1:46" x14ac:dyDescent="0.2">
      <c r="A7" s="120"/>
      <c r="B7" s="121">
        <v>203</v>
      </c>
      <c r="C7" s="128"/>
      <c r="D7" s="129"/>
      <c r="E7" s="130"/>
      <c r="F7" s="130"/>
      <c r="G7" s="130"/>
      <c r="H7" s="130"/>
      <c r="I7" s="131"/>
      <c r="J7" s="131"/>
      <c r="K7" s="122" t="str">
        <f>IFERROR(INDEX(TABLE_UE_dB[Leak Size (cfm)], MATCH(Table_Leaks2_Input[[#This Row],[Lookup Value]], TABLE_UE_dB[Lookup Value], 0)),"")</f>
        <v/>
      </c>
      <c r="L7" s="123" t="str">
        <f>IF(Table_Leaks2_Input[[#This Row],[Repaired (Y/N)]]="Yes", Value_LeakRepairIR, "")</f>
        <v/>
      </c>
      <c r="M7" s="124" t="str">
        <f>IFERROR(Table_Leaks2_Input[[#This Row],[Estimated leak size (cfm)]]*Value_WeightAvgCompEff*Value_SysAOH,"" )</f>
        <v/>
      </c>
      <c r="N7" s="125" t="str">
        <f>IFERROR(Table_Leaks2_Input[[#This Row],[Estimated leak size (cfm)]]*Value_WeightAvgCompEff,"" )</f>
        <v/>
      </c>
      <c r="O7" s="123" t="str">
        <f>IFERROR(Table_Leaks2_Input[[#This Row],[Energy savings (kWh)]]*Input_AvgkWhRate, "")</f>
        <v/>
      </c>
      <c r="P7" s="123" t="str">
        <f>IF(Table_Leaks2_Input[[#This Row],[Pressure at leak (psig)]]="", "",Table_Leaks2_Input[[#This Row],[Total equipment cost]]+Table_Leaks2_Input[[#This Row],[Total labor cost]])</f>
        <v/>
      </c>
      <c r="Q7" s="123" t="str">
        <f>IFERROR(Table_Leaks2_Input[[#This Row],[Gross measure cost]]-Table_Leaks2_Input[[#This Row],[Estimated incentive]], "")</f>
        <v/>
      </c>
      <c r="R7" s="124" t="str">
        <f t="shared" si="0"/>
        <v/>
      </c>
      <c r="S7" s="126">
        <f>IF(OR(Table_Leaks2_Input[[#This Row],[Pressure at leak (psig)]]=0, Table_Leaks2_Input[[#This Row],[Pressure at leak (psig)]]=""),0,IF(Table_Leaks2_Input[[#This Row],[Pressure at leak (psig)]]&lt;20, 10, MROUND(Table_Leaks2_Input[[#This Row],[Pressure at leak (psig)]], 25)))</f>
        <v>0</v>
      </c>
      <c r="T7" s="126">
        <f>ROUND(Table_Leaks2_Input[[#This Row],[dB reading]],-1)</f>
        <v>0</v>
      </c>
      <c r="U7" s="127" t="str">
        <f>_xlfn.CONCAT(Table_Leaks2_Input[[#This Row],[Rounded dB Reading]],"psig ", Table_Leaks2_Input[[#This Row],[Rounded PSIG]],"db")</f>
        <v>0psig 0db</v>
      </c>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row>
    <row r="8" spans="1:46" x14ac:dyDescent="0.2">
      <c r="A8" s="120"/>
      <c r="B8" s="121">
        <v>204</v>
      </c>
      <c r="C8" s="128"/>
      <c r="D8" s="129"/>
      <c r="E8" s="130"/>
      <c r="F8" s="130"/>
      <c r="G8" s="130"/>
      <c r="H8" s="130"/>
      <c r="I8" s="131"/>
      <c r="J8" s="131"/>
      <c r="K8" s="122" t="str">
        <f>IFERROR(INDEX(TABLE_UE_dB[Leak Size (cfm)], MATCH(Table_Leaks2_Input[[#This Row],[Lookup Value]], TABLE_UE_dB[Lookup Value], 0)),"")</f>
        <v/>
      </c>
      <c r="L8" s="123" t="str">
        <f>IF(Table_Leaks2_Input[[#This Row],[Repaired (Y/N)]]="Yes", Value_LeakRepairIR, "")</f>
        <v/>
      </c>
      <c r="M8" s="124" t="str">
        <f>IFERROR(Table_Leaks2_Input[[#This Row],[Estimated leak size (cfm)]]*Value_WeightAvgCompEff*Value_SysAOH,"" )</f>
        <v/>
      </c>
      <c r="N8" s="125" t="str">
        <f>IFERROR(Table_Leaks2_Input[[#This Row],[Estimated leak size (cfm)]]*Value_WeightAvgCompEff,"" )</f>
        <v/>
      </c>
      <c r="O8" s="123" t="str">
        <f>IFERROR(Table_Leaks2_Input[[#This Row],[Energy savings (kWh)]]*Input_AvgkWhRate, "")</f>
        <v/>
      </c>
      <c r="P8" s="123" t="str">
        <f>IF(Table_Leaks2_Input[[#This Row],[Pressure at leak (psig)]]="", "",Table_Leaks2_Input[[#This Row],[Total equipment cost]]+Table_Leaks2_Input[[#This Row],[Total labor cost]])</f>
        <v/>
      </c>
      <c r="Q8" s="123" t="str">
        <f>IFERROR(Table_Leaks2_Input[[#This Row],[Gross measure cost]]-Table_Leaks2_Input[[#This Row],[Estimated incentive]], "")</f>
        <v/>
      </c>
      <c r="R8" s="124" t="str">
        <f t="shared" si="0"/>
        <v/>
      </c>
      <c r="S8" s="126">
        <f>IF(OR(Table_Leaks2_Input[[#This Row],[Pressure at leak (psig)]]=0, Table_Leaks2_Input[[#This Row],[Pressure at leak (psig)]]=""),0,IF(Table_Leaks2_Input[[#This Row],[Pressure at leak (psig)]]&lt;20, 10, MROUND(Table_Leaks2_Input[[#This Row],[Pressure at leak (psig)]], 25)))</f>
        <v>0</v>
      </c>
      <c r="T8" s="126">
        <f>ROUND(Table_Leaks2_Input[[#This Row],[dB reading]],-1)</f>
        <v>0</v>
      </c>
      <c r="U8" s="127" t="str">
        <f>_xlfn.CONCAT(Table_Leaks2_Input[[#This Row],[Rounded dB Reading]],"psig ", Table_Leaks2_Input[[#This Row],[Rounded PSIG]],"db")</f>
        <v>0psig 0db</v>
      </c>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spans="1:46" x14ac:dyDescent="0.2">
      <c r="A9" s="120"/>
      <c r="B9" s="121">
        <v>205</v>
      </c>
      <c r="C9" s="128"/>
      <c r="D9" s="129"/>
      <c r="E9" s="130"/>
      <c r="F9" s="130"/>
      <c r="G9" s="130"/>
      <c r="H9" s="130"/>
      <c r="I9" s="131"/>
      <c r="J9" s="131"/>
      <c r="K9" s="122" t="str">
        <f>IFERROR(INDEX(TABLE_UE_dB[Leak Size (cfm)], MATCH(Table_Leaks2_Input[[#This Row],[Lookup Value]], TABLE_UE_dB[Lookup Value], 0)),"")</f>
        <v/>
      </c>
      <c r="L9" s="123" t="str">
        <f>IF(Table_Leaks2_Input[[#This Row],[Repaired (Y/N)]]="Yes", Value_LeakRepairIR, "")</f>
        <v/>
      </c>
      <c r="M9" s="124" t="str">
        <f>IFERROR(Table_Leaks2_Input[[#This Row],[Estimated leak size (cfm)]]*Value_WeightAvgCompEff*Value_SysAOH,"" )</f>
        <v/>
      </c>
      <c r="N9" s="125" t="str">
        <f>IFERROR(Table_Leaks2_Input[[#This Row],[Estimated leak size (cfm)]]*Value_WeightAvgCompEff,"" )</f>
        <v/>
      </c>
      <c r="O9" s="123" t="str">
        <f>IFERROR(Table_Leaks2_Input[[#This Row],[Energy savings (kWh)]]*Input_AvgkWhRate, "")</f>
        <v/>
      </c>
      <c r="P9" s="123" t="str">
        <f>IF(Table_Leaks2_Input[[#This Row],[Pressure at leak (psig)]]="", "",Table_Leaks2_Input[[#This Row],[Total equipment cost]]+Table_Leaks2_Input[[#This Row],[Total labor cost]])</f>
        <v/>
      </c>
      <c r="Q9" s="123" t="str">
        <f>IFERROR(Table_Leaks2_Input[[#This Row],[Gross measure cost]]-Table_Leaks2_Input[[#This Row],[Estimated incentive]], "")</f>
        <v/>
      </c>
      <c r="R9" s="124" t="str">
        <f t="shared" si="0"/>
        <v/>
      </c>
      <c r="S9" s="126">
        <f>IF(OR(Table_Leaks2_Input[[#This Row],[Pressure at leak (psig)]]=0, Table_Leaks2_Input[[#This Row],[Pressure at leak (psig)]]=""),0,IF(Table_Leaks2_Input[[#This Row],[Pressure at leak (psig)]]&lt;20, 10, MROUND(Table_Leaks2_Input[[#This Row],[Pressure at leak (psig)]], 25)))</f>
        <v>0</v>
      </c>
      <c r="T9" s="126">
        <f>ROUND(Table_Leaks2_Input[[#This Row],[dB reading]],-1)</f>
        <v>0</v>
      </c>
      <c r="U9" s="127" t="str">
        <f>_xlfn.CONCAT(Table_Leaks2_Input[[#This Row],[Rounded dB Reading]],"psig ", Table_Leaks2_Input[[#This Row],[Rounded PSIG]],"db")</f>
        <v>0psig 0db</v>
      </c>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spans="1:46" x14ac:dyDescent="0.2">
      <c r="A10" s="120"/>
      <c r="B10" s="121">
        <v>206</v>
      </c>
      <c r="C10" s="128"/>
      <c r="D10" s="129"/>
      <c r="E10" s="130"/>
      <c r="F10" s="130"/>
      <c r="G10" s="130"/>
      <c r="H10" s="130"/>
      <c r="I10" s="131"/>
      <c r="J10" s="131"/>
      <c r="K10" s="122" t="str">
        <f>IFERROR(INDEX(TABLE_UE_dB[Leak Size (cfm)], MATCH(Table_Leaks2_Input[[#This Row],[Lookup Value]], TABLE_UE_dB[Lookup Value], 0)),"")</f>
        <v/>
      </c>
      <c r="L10" s="123" t="str">
        <f>IF(Table_Leaks2_Input[[#This Row],[Repaired (Y/N)]]="Yes", Value_LeakRepairIR, "")</f>
        <v/>
      </c>
      <c r="M10" s="124" t="str">
        <f>IFERROR(Table_Leaks2_Input[[#This Row],[Estimated leak size (cfm)]]*Value_WeightAvgCompEff*Value_SysAOH,"" )</f>
        <v/>
      </c>
      <c r="N10" s="125" t="str">
        <f>IFERROR(Table_Leaks2_Input[[#This Row],[Estimated leak size (cfm)]]*Value_WeightAvgCompEff,"" )</f>
        <v/>
      </c>
      <c r="O10" s="123" t="str">
        <f>IFERROR(Table_Leaks2_Input[[#This Row],[Energy savings (kWh)]]*Input_AvgkWhRate, "")</f>
        <v/>
      </c>
      <c r="P10" s="123" t="str">
        <f>IF(Table_Leaks2_Input[[#This Row],[Pressure at leak (psig)]]="", "",Table_Leaks2_Input[[#This Row],[Total equipment cost]]+Table_Leaks2_Input[[#This Row],[Total labor cost]])</f>
        <v/>
      </c>
      <c r="Q10" s="123" t="str">
        <f>IFERROR(Table_Leaks2_Input[[#This Row],[Gross measure cost]]-Table_Leaks2_Input[[#This Row],[Estimated incentive]], "")</f>
        <v/>
      </c>
      <c r="R10" s="124" t="str">
        <f t="shared" si="0"/>
        <v/>
      </c>
      <c r="S10" s="126">
        <f>IF(OR(Table_Leaks2_Input[[#This Row],[Pressure at leak (psig)]]=0, Table_Leaks2_Input[[#This Row],[Pressure at leak (psig)]]=""),0,IF(Table_Leaks2_Input[[#This Row],[Pressure at leak (psig)]]&lt;20, 10, MROUND(Table_Leaks2_Input[[#This Row],[Pressure at leak (psig)]], 25)))</f>
        <v>0</v>
      </c>
      <c r="T10" s="126">
        <f>ROUND(Table_Leaks2_Input[[#This Row],[dB reading]],-1)</f>
        <v>0</v>
      </c>
      <c r="U10" s="127" t="str">
        <f>_xlfn.CONCAT(Table_Leaks2_Input[[#This Row],[Rounded dB Reading]],"psig ", Table_Leaks2_Input[[#This Row],[Rounded PSIG]],"db")</f>
        <v>0psig 0db</v>
      </c>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row>
    <row r="11" spans="1:46" x14ac:dyDescent="0.2">
      <c r="A11" s="120"/>
      <c r="B11" s="121">
        <v>207</v>
      </c>
      <c r="C11" s="128"/>
      <c r="D11" s="129"/>
      <c r="E11" s="130"/>
      <c r="F11" s="130"/>
      <c r="G11" s="130"/>
      <c r="H11" s="130"/>
      <c r="I11" s="131"/>
      <c r="J11" s="131"/>
      <c r="K11" s="122" t="str">
        <f>IFERROR(INDEX(TABLE_UE_dB[Leak Size (cfm)], MATCH(Table_Leaks2_Input[[#This Row],[Lookup Value]], TABLE_UE_dB[Lookup Value], 0)),"")</f>
        <v/>
      </c>
      <c r="L11" s="123" t="str">
        <f>IF(Table_Leaks2_Input[[#This Row],[Repaired (Y/N)]]="Yes", Value_LeakRepairIR, "")</f>
        <v/>
      </c>
      <c r="M11" s="124" t="str">
        <f>IFERROR(Table_Leaks2_Input[[#This Row],[Estimated leak size (cfm)]]*Value_WeightAvgCompEff*Value_SysAOH,"" )</f>
        <v/>
      </c>
      <c r="N11" s="125" t="str">
        <f>IFERROR(Table_Leaks2_Input[[#This Row],[Estimated leak size (cfm)]]*Value_WeightAvgCompEff,"" )</f>
        <v/>
      </c>
      <c r="O11" s="123" t="str">
        <f>IFERROR(Table_Leaks2_Input[[#This Row],[Energy savings (kWh)]]*Input_AvgkWhRate, "")</f>
        <v/>
      </c>
      <c r="P11" s="123" t="str">
        <f>IF(Table_Leaks2_Input[[#This Row],[Pressure at leak (psig)]]="", "",Table_Leaks2_Input[[#This Row],[Total equipment cost]]+Table_Leaks2_Input[[#This Row],[Total labor cost]])</f>
        <v/>
      </c>
      <c r="Q11" s="123" t="str">
        <f>IFERROR(Table_Leaks2_Input[[#This Row],[Gross measure cost]]-Table_Leaks2_Input[[#This Row],[Estimated incentive]], "")</f>
        <v/>
      </c>
      <c r="R11" s="124" t="str">
        <f t="shared" si="0"/>
        <v/>
      </c>
      <c r="S11" s="126">
        <f>IF(OR(Table_Leaks2_Input[[#This Row],[Pressure at leak (psig)]]=0, Table_Leaks2_Input[[#This Row],[Pressure at leak (psig)]]=""),0,IF(Table_Leaks2_Input[[#This Row],[Pressure at leak (psig)]]&lt;20, 10, MROUND(Table_Leaks2_Input[[#This Row],[Pressure at leak (psig)]], 25)))</f>
        <v>0</v>
      </c>
      <c r="T11" s="126">
        <f>ROUND(Table_Leaks2_Input[[#This Row],[dB reading]],-1)</f>
        <v>0</v>
      </c>
      <c r="U11" s="127" t="str">
        <f>_xlfn.CONCAT(Table_Leaks2_Input[[#This Row],[Rounded dB Reading]],"psig ", Table_Leaks2_Input[[#This Row],[Rounded PSIG]],"db")</f>
        <v>0psig 0db</v>
      </c>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row>
    <row r="12" spans="1:46" x14ac:dyDescent="0.2">
      <c r="A12" s="120"/>
      <c r="B12" s="121">
        <v>208</v>
      </c>
      <c r="C12" s="128"/>
      <c r="D12" s="129"/>
      <c r="E12" s="130"/>
      <c r="F12" s="130"/>
      <c r="G12" s="130"/>
      <c r="H12" s="130"/>
      <c r="I12" s="131"/>
      <c r="J12" s="131"/>
      <c r="K12" s="122" t="str">
        <f>IFERROR(INDEX(TABLE_UE_dB[Leak Size (cfm)], MATCH(Table_Leaks2_Input[[#This Row],[Lookup Value]], TABLE_UE_dB[Lookup Value], 0)),"")</f>
        <v/>
      </c>
      <c r="L12" s="123" t="str">
        <f>IF(Table_Leaks2_Input[[#This Row],[Repaired (Y/N)]]="Yes", Value_LeakRepairIR, "")</f>
        <v/>
      </c>
      <c r="M12" s="124" t="str">
        <f>IFERROR(Table_Leaks2_Input[[#This Row],[Estimated leak size (cfm)]]*Value_WeightAvgCompEff*Value_SysAOH,"" )</f>
        <v/>
      </c>
      <c r="N12" s="125" t="str">
        <f>IFERROR(Table_Leaks2_Input[[#This Row],[Estimated leak size (cfm)]]*Value_WeightAvgCompEff,"" )</f>
        <v/>
      </c>
      <c r="O12" s="123" t="str">
        <f>IFERROR(Table_Leaks2_Input[[#This Row],[Energy savings (kWh)]]*Input_AvgkWhRate, "")</f>
        <v/>
      </c>
      <c r="P12" s="123" t="str">
        <f>IF(Table_Leaks2_Input[[#This Row],[Pressure at leak (psig)]]="", "",Table_Leaks2_Input[[#This Row],[Total equipment cost]]+Table_Leaks2_Input[[#This Row],[Total labor cost]])</f>
        <v/>
      </c>
      <c r="Q12" s="123" t="str">
        <f>IFERROR(Table_Leaks2_Input[[#This Row],[Gross measure cost]]-Table_Leaks2_Input[[#This Row],[Estimated incentive]], "")</f>
        <v/>
      </c>
      <c r="R12" s="124" t="str">
        <f t="shared" si="0"/>
        <v/>
      </c>
      <c r="S12" s="126">
        <f>IF(OR(Table_Leaks2_Input[[#This Row],[Pressure at leak (psig)]]=0, Table_Leaks2_Input[[#This Row],[Pressure at leak (psig)]]=""),0,IF(Table_Leaks2_Input[[#This Row],[Pressure at leak (psig)]]&lt;20, 10, MROUND(Table_Leaks2_Input[[#This Row],[Pressure at leak (psig)]], 25)))</f>
        <v>0</v>
      </c>
      <c r="T12" s="126">
        <f>ROUND(Table_Leaks2_Input[[#This Row],[dB reading]],-1)</f>
        <v>0</v>
      </c>
      <c r="U12" s="127" t="str">
        <f>_xlfn.CONCAT(Table_Leaks2_Input[[#This Row],[Rounded dB Reading]],"psig ", Table_Leaks2_Input[[#This Row],[Rounded PSIG]],"db")</f>
        <v>0psig 0db</v>
      </c>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spans="1:46" x14ac:dyDescent="0.2">
      <c r="A13" s="120"/>
      <c r="B13" s="121">
        <v>209</v>
      </c>
      <c r="C13" s="128"/>
      <c r="D13" s="129"/>
      <c r="E13" s="130"/>
      <c r="F13" s="130"/>
      <c r="G13" s="130"/>
      <c r="H13" s="130"/>
      <c r="I13" s="131"/>
      <c r="J13" s="131"/>
      <c r="K13" s="122" t="str">
        <f>IFERROR(INDEX(TABLE_UE_dB[Leak Size (cfm)], MATCH(Table_Leaks2_Input[[#This Row],[Lookup Value]], TABLE_UE_dB[Lookup Value], 0)),"")</f>
        <v/>
      </c>
      <c r="L13" s="123" t="str">
        <f>IF(Table_Leaks2_Input[[#This Row],[Repaired (Y/N)]]="Yes", Value_LeakRepairIR, "")</f>
        <v/>
      </c>
      <c r="M13" s="124" t="str">
        <f>IFERROR(Table_Leaks2_Input[[#This Row],[Estimated leak size (cfm)]]*Value_WeightAvgCompEff*Value_SysAOH,"" )</f>
        <v/>
      </c>
      <c r="N13" s="125" t="str">
        <f>IFERROR(Table_Leaks2_Input[[#This Row],[Estimated leak size (cfm)]]*Value_WeightAvgCompEff,"" )</f>
        <v/>
      </c>
      <c r="O13" s="123" t="str">
        <f>IFERROR(Table_Leaks2_Input[[#This Row],[Energy savings (kWh)]]*Input_AvgkWhRate, "")</f>
        <v/>
      </c>
      <c r="P13" s="123" t="str">
        <f>IF(Table_Leaks2_Input[[#This Row],[Pressure at leak (psig)]]="", "",Table_Leaks2_Input[[#This Row],[Total equipment cost]]+Table_Leaks2_Input[[#This Row],[Total labor cost]])</f>
        <v/>
      </c>
      <c r="Q13" s="123" t="str">
        <f>IFERROR(Table_Leaks2_Input[[#This Row],[Gross measure cost]]-Table_Leaks2_Input[[#This Row],[Estimated incentive]], "")</f>
        <v/>
      </c>
      <c r="R13" s="124" t="str">
        <f t="shared" si="0"/>
        <v/>
      </c>
      <c r="S13" s="126">
        <f>IF(OR(Table_Leaks2_Input[[#This Row],[Pressure at leak (psig)]]=0, Table_Leaks2_Input[[#This Row],[Pressure at leak (psig)]]=""),0,IF(Table_Leaks2_Input[[#This Row],[Pressure at leak (psig)]]&lt;20, 10, MROUND(Table_Leaks2_Input[[#This Row],[Pressure at leak (psig)]], 25)))</f>
        <v>0</v>
      </c>
      <c r="T13" s="126">
        <f>ROUND(Table_Leaks2_Input[[#This Row],[dB reading]],-1)</f>
        <v>0</v>
      </c>
      <c r="U13" s="127" t="str">
        <f>_xlfn.CONCAT(Table_Leaks2_Input[[#This Row],[Rounded dB Reading]],"psig ", Table_Leaks2_Input[[#This Row],[Rounded PSIG]],"db")</f>
        <v>0psig 0db</v>
      </c>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spans="1:46" x14ac:dyDescent="0.2">
      <c r="A14" s="120"/>
      <c r="B14" s="121">
        <v>210</v>
      </c>
      <c r="C14" s="128"/>
      <c r="D14" s="129"/>
      <c r="E14" s="130"/>
      <c r="F14" s="130"/>
      <c r="G14" s="130"/>
      <c r="H14" s="130"/>
      <c r="I14" s="131"/>
      <c r="J14" s="131"/>
      <c r="K14" s="122" t="str">
        <f>IFERROR(INDEX(TABLE_UE_dB[Leak Size (cfm)], MATCH(Table_Leaks2_Input[[#This Row],[Lookup Value]], TABLE_UE_dB[Lookup Value], 0)),"")</f>
        <v/>
      </c>
      <c r="L14" s="123" t="str">
        <f>IF(Table_Leaks2_Input[[#This Row],[Repaired (Y/N)]]="Yes", Value_LeakRepairIR, "")</f>
        <v/>
      </c>
      <c r="M14" s="124" t="str">
        <f>IFERROR(Table_Leaks2_Input[[#This Row],[Estimated leak size (cfm)]]*Value_WeightAvgCompEff*Value_SysAOH,"" )</f>
        <v/>
      </c>
      <c r="N14" s="125" t="str">
        <f>IFERROR(Table_Leaks2_Input[[#This Row],[Estimated leak size (cfm)]]*Value_WeightAvgCompEff,"" )</f>
        <v/>
      </c>
      <c r="O14" s="123" t="str">
        <f>IFERROR(Table_Leaks2_Input[[#This Row],[Energy savings (kWh)]]*Input_AvgkWhRate, "")</f>
        <v/>
      </c>
      <c r="P14" s="123" t="str">
        <f>IF(Table_Leaks2_Input[[#This Row],[Pressure at leak (psig)]]="", "",Table_Leaks2_Input[[#This Row],[Total equipment cost]]+Table_Leaks2_Input[[#This Row],[Total labor cost]])</f>
        <v/>
      </c>
      <c r="Q14" s="123" t="str">
        <f>IFERROR(Table_Leaks2_Input[[#This Row],[Gross measure cost]]-Table_Leaks2_Input[[#This Row],[Estimated incentive]], "")</f>
        <v/>
      </c>
      <c r="R14" s="124" t="str">
        <f t="shared" si="0"/>
        <v/>
      </c>
      <c r="S14" s="126">
        <f>IF(OR(Table_Leaks2_Input[[#This Row],[Pressure at leak (psig)]]=0, Table_Leaks2_Input[[#This Row],[Pressure at leak (psig)]]=""),0,IF(Table_Leaks2_Input[[#This Row],[Pressure at leak (psig)]]&lt;20, 10, MROUND(Table_Leaks2_Input[[#This Row],[Pressure at leak (psig)]], 25)))</f>
        <v>0</v>
      </c>
      <c r="T14" s="126">
        <f>ROUND(Table_Leaks2_Input[[#This Row],[dB reading]],-1)</f>
        <v>0</v>
      </c>
      <c r="U14" s="127" t="str">
        <f>_xlfn.CONCAT(Table_Leaks2_Input[[#This Row],[Rounded dB Reading]],"psig ", Table_Leaks2_Input[[#This Row],[Rounded PSIG]],"db")</f>
        <v>0psig 0db</v>
      </c>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spans="1:46" x14ac:dyDescent="0.2">
      <c r="A15" s="120"/>
      <c r="B15" s="121">
        <v>211</v>
      </c>
      <c r="C15" s="128"/>
      <c r="D15" s="129"/>
      <c r="E15" s="130"/>
      <c r="F15" s="130"/>
      <c r="G15" s="130"/>
      <c r="H15" s="130"/>
      <c r="I15" s="131"/>
      <c r="J15" s="131"/>
      <c r="K15" s="122" t="str">
        <f>IFERROR(INDEX(TABLE_UE_dB[Leak Size (cfm)], MATCH(Table_Leaks2_Input[[#This Row],[Lookup Value]], TABLE_UE_dB[Lookup Value], 0)),"")</f>
        <v/>
      </c>
      <c r="L15" s="123" t="str">
        <f>IF(Table_Leaks2_Input[[#This Row],[Repaired (Y/N)]]="Yes", Value_LeakRepairIR, "")</f>
        <v/>
      </c>
      <c r="M15" s="124" t="str">
        <f>IFERROR(Table_Leaks2_Input[[#This Row],[Estimated leak size (cfm)]]*Value_WeightAvgCompEff*Value_SysAOH,"" )</f>
        <v/>
      </c>
      <c r="N15" s="125" t="str">
        <f>IFERROR(Table_Leaks2_Input[[#This Row],[Estimated leak size (cfm)]]*Value_WeightAvgCompEff,"" )</f>
        <v/>
      </c>
      <c r="O15" s="123" t="str">
        <f>IFERROR(Table_Leaks2_Input[[#This Row],[Energy savings (kWh)]]*Input_AvgkWhRate, "")</f>
        <v/>
      </c>
      <c r="P15" s="123" t="str">
        <f>IF(Table_Leaks2_Input[[#This Row],[Pressure at leak (psig)]]="", "",Table_Leaks2_Input[[#This Row],[Total equipment cost]]+Table_Leaks2_Input[[#This Row],[Total labor cost]])</f>
        <v/>
      </c>
      <c r="Q15" s="123" t="str">
        <f>IFERROR(Table_Leaks2_Input[[#This Row],[Gross measure cost]]-Table_Leaks2_Input[[#This Row],[Estimated incentive]], "")</f>
        <v/>
      </c>
      <c r="R15" s="124" t="str">
        <f t="shared" si="0"/>
        <v/>
      </c>
      <c r="S15" s="126">
        <f>IF(OR(Table_Leaks2_Input[[#This Row],[Pressure at leak (psig)]]=0, Table_Leaks2_Input[[#This Row],[Pressure at leak (psig)]]=""),0,IF(Table_Leaks2_Input[[#This Row],[Pressure at leak (psig)]]&lt;20, 10, MROUND(Table_Leaks2_Input[[#This Row],[Pressure at leak (psig)]], 25)))</f>
        <v>0</v>
      </c>
      <c r="T15" s="126">
        <f>ROUND(Table_Leaks2_Input[[#This Row],[dB reading]],-1)</f>
        <v>0</v>
      </c>
      <c r="U15" s="127" t="str">
        <f>_xlfn.CONCAT(Table_Leaks2_Input[[#This Row],[Rounded dB Reading]],"psig ", Table_Leaks2_Input[[#This Row],[Rounded PSIG]],"db")</f>
        <v>0psig 0db</v>
      </c>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row>
    <row r="16" spans="1:46" x14ac:dyDescent="0.2">
      <c r="A16" s="120"/>
      <c r="B16" s="121">
        <v>212</v>
      </c>
      <c r="C16" s="128"/>
      <c r="D16" s="129"/>
      <c r="E16" s="130"/>
      <c r="F16" s="130"/>
      <c r="G16" s="130"/>
      <c r="H16" s="130"/>
      <c r="I16" s="131"/>
      <c r="J16" s="131"/>
      <c r="K16" s="122" t="str">
        <f>IFERROR(INDEX(TABLE_UE_dB[Leak Size (cfm)], MATCH(Table_Leaks2_Input[[#This Row],[Lookup Value]], TABLE_UE_dB[Lookup Value], 0)),"")</f>
        <v/>
      </c>
      <c r="L16" s="123" t="str">
        <f>IF(Table_Leaks2_Input[[#This Row],[Repaired (Y/N)]]="Yes", Value_LeakRepairIR, "")</f>
        <v/>
      </c>
      <c r="M16" s="124" t="str">
        <f>IFERROR(Table_Leaks2_Input[[#This Row],[Estimated leak size (cfm)]]*Value_WeightAvgCompEff*Value_SysAOH,"" )</f>
        <v/>
      </c>
      <c r="N16" s="125" t="str">
        <f>IFERROR(Table_Leaks2_Input[[#This Row],[Estimated leak size (cfm)]]*Value_WeightAvgCompEff,"" )</f>
        <v/>
      </c>
      <c r="O16" s="123" t="str">
        <f>IFERROR(Table_Leaks2_Input[[#This Row],[Energy savings (kWh)]]*Input_AvgkWhRate, "")</f>
        <v/>
      </c>
      <c r="P16" s="123" t="str">
        <f>IF(Table_Leaks2_Input[[#This Row],[Pressure at leak (psig)]]="", "",Table_Leaks2_Input[[#This Row],[Total equipment cost]]+Table_Leaks2_Input[[#This Row],[Total labor cost]])</f>
        <v/>
      </c>
      <c r="Q16" s="123" t="str">
        <f>IFERROR(Table_Leaks2_Input[[#This Row],[Gross measure cost]]-Table_Leaks2_Input[[#This Row],[Estimated incentive]], "")</f>
        <v/>
      </c>
      <c r="R16" s="124" t="str">
        <f t="shared" si="0"/>
        <v/>
      </c>
      <c r="S16" s="126">
        <f>IF(OR(Table_Leaks2_Input[[#This Row],[Pressure at leak (psig)]]=0, Table_Leaks2_Input[[#This Row],[Pressure at leak (psig)]]=""),0,IF(Table_Leaks2_Input[[#This Row],[Pressure at leak (psig)]]&lt;20, 10, MROUND(Table_Leaks2_Input[[#This Row],[Pressure at leak (psig)]], 25)))</f>
        <v>0</v>
      </c>
      <c r="T16" s="126">
        <f>ROUND(Table_Leaks2_Input[[#This Row],[dB reading]],-1)</f>
        <v>0</v>
      </c>
      <c r="U16" s="127" t="str">
        <f>_xlfn.CONCAT(Table_Leaks2_Input[[#This Row],[Rounded dB Reading]],"psig ", Table_Leaks2_Input[[#This Row],[Rounded PSIG]],"db")</f>
        <v>0psig 0db</v>
      </c>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spans="1:46" x14ac:dyDescent="0.2">
      <c r="A17" s="120"/>
      <c r="B17" s="121">
        <v>213</v>
      </c>
      <c r="C17" s="128"/>
      <c r="D17" s="129"/>
      <c r="E17" s="130"/>
      <c r="F17" s="130"/>
      <c r="G17" s="130"/>
      <c r="H17" s="130"/>
      <c r="I17" s="131"/>
      <c r="J17" s="131"/>
      <c r="K17" s="122" t="str">
        <f>IFERROR(INDEX(TABLE_UE_dB[Leak Size (cfm)], MATCH(Table_Leaks2_Input[[#This Row],[Lookup Value]], TABLE_UE_dB[Lookup Value], 0)),"")</f>
        <v/>
      </c>
      <c r="L17" s="123" t="str">
        <f>IF(Table_Leaks2_Input[[#This Row],[Repaired (Y/N)]]="Yes", Value_LeakRepairIR, "")</f>
        <v/>
      </c>
      <c r="M17" s="124" t="str">
        <f>IFERROR(Table_Leaks2_Input[[#This Row],[Estimated leak size (cfm)]]*Value_WeightAvgCompEff*Value_SysAOH,"" )</f>
        <v/>
      </c>
      <c r="N17" s="125" t="str">
        <f>IFERROR(Table_Leaks2_Input[[#This Row],[Estimated leak size (cfm)]]*Value_WeightAvgCompEff,"" )</f>
        <v/>
      </c>
      <c r="O17" s="123" t="str">
        <f>IFERROR(Table_Leaks2_Input[[#This Row],[Energy savings (kWh)]]*Input_AvgkWhRate, "")</f>
        <v/>
      </c>
      <c r="P17" s="123" t="str">
        <f>IF(Table_Leaks2_Input[[#This Row],[Pressure at leak (psig)]]="", "",Table_Leaks2_Input[[#This Row],[Total equipment cost]]+Table_Leaks2_Input[[#This Row],[Total labor cost]])</f>
        <v/>
      </c>
      <c r="Q17" s="123" t="str">
        <f>IFERROR(Table_Leaks2_Input[[#This Row],[Gross measure cost]]-Table_Leaks2_Input[[#This Row],[Estimated incentive]], "")</f>
        <v/>
      </c>
      <c r="R17" s="124" t="str">
        <f t="shared" si="0"/>
        <v/>
      </c>
      <c r="S17" s="126">
        <f>IF(OR(Table_Leaks2_Input[[#This Row],[Pressure at leak (psig)]]=0, Table_Leaks2_Input[[#This Row],[Pressure at leak (psig)]]=""),0,IF(Table_Leaks2_Input[[#This Row],[Pressure at leak (psig)]]&lt;20, 10, MROUND(Table_Leaks2_Input[[#This Row],[Pressure at leak (psig)]], 25)))</f>
        <v>0</v>
      </c>
      <c r="T17" s="126">
        <f>ROUND(Table_Leaks2_Input[[#This Row],[dB reading]],-1)</f>
        <v>0</v>
      </c>
      <c r="U17" s="127" t="str">
        <f>_xlfn.CONCAT(Table_Leaks2_Input[[#This Row],[Rounded dB Reading]],"psig ", Table_Leaks2_Input[[#This Row],[Rounded PSIG]],"db")</f>
        <v>0psig 0db</v>
      </c>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spans="1:46" x14ac:dyDescent="0.2">
      <c r="A18" s="120"/>
      <c r="B18" s="121">
        <v>214</v>
      </c>
      <c r="C18" s="128"/>
      <c r="D18" s="129"/>
      <c r="E18" s="130"/>
      <c r="F18" s="130"/>
      <c r="G18" s="130"/>
      <c r="H18" s="130"/>
      <c r="I18" s="131"/>
      <c r="J18" s="131"/>
      <c r="K18" s="122" t="str">
        <f>IFERROR(INDEX(TABLE_UE_dB[Leak Size (cfm)], MATCH(Table_Leaks2_Input[[#This Row],[Lookup Value]], TABLE_UE_dB[Lookup Value], 0)),"")</f>
        <v/>
      </c>
      <c r="L18" s="123" t="str">
        <f>IF(Table_Leaks2_Input[[#This Row],[Repaired (Y/N)]]="Yes", Value_LeakRepairIR, "")</f>
        <v/>
      </c>
      <c r="M18" s="124" t="str">
        <f>IFERROR(Table_Leaks2_Input[[#This Row],[Estimated leak size (cfm)]]*Value_WeightAvgCompEff*Value_SysAOH,"" )</f>
        <v/>
      </c>
      <c r="N18" s="125" t="str">
        <f>IFERROR(Table_Leaks2_Input[[#This Row],[Estimated leak size (cfm)]]*Value_WeightAvgCompEff,"" )</f>
        <v/>
      </c>
      <c r="O18" s="123" t="str">
        <f>IFERROR(Table_Leaks2_Input[[#This Row],[Energy savings (kWh)]]*Input_AvgkWhRate, "")</f>
        <v/>
      </c>
      <c r="P18" s="123" t="str">
        <f>IF(Table_Leaks2_Input[[#This Row],[Pressure at leak (psig)]]="", "",Table_Leaks2_Input[[#This Row],[Total equipment cost]]+Table_Leaks2_Input[[#This Row],[Total labor cost]])</f>
        <v/>
      </c>
      <c r="Q18" s="123" t="str">
        <f>IFERROR(Table_Leaks2_Input[[#This Row],[Gross measure cost]]-Table_Leaks2_Input[[#This Row],[Estimated incentive]], "")</f>
        <v/>
      </c>
      <c r="R18" s="124" t="str">
        <f t="shared" si="0"/>
        <v/>
      </c>
      <c r="S18" s="126">
        <f>IF(OR(Table_Leaks2_Input[[#This Row],[Pressure at leak (psig)]]=0, Table_Leaks2_Input[[#This Row],[Pressure at leak (psig)]]=""),0,IF(Table_Leaks2_Input[[#This Row],[Pressure at leak (psig)]]&lt;20, 10, MROUND(Table_Leaks2_Input[[#This Row],[Pressure at leak (psig)]], 25)))</f>
        <v>0</v>
      </c>
      <c r="T18" s="126">
        <f>ROUND(Table_Leaks2_Input[[#This Row],[dB reading]],-1)</f>
        <v>0</v>
      </c>
      <c r="U18" s="127" t="str">
        <f>_xlfn.CONCAT(Table_Leaks2_Input[[#This Row],[Rounded dB Reading]],"psig ", Table_Leaks2_Input[[#This Row],[Rounded PSIG]],"db")</f>
        <v>0psig 0db</v>
      </c>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spans="1:46" x14ac:dyDescent="0.2">
      <c r="A19" s="120"/>
      <c r="B19" s="121">
        <v>215</v>
      </c>
      <c r="C19" s="128"/>
      <c r="D19" s="129"/>
      <c r="E19" s="130"/>
      <c r="F19" s="130"/>
      <c r="G19" s="130"/>
      <c r="H19" s="130"/>
      <c r="I19" s="131"/>
      <c r="J19" s="131"/>
      <c r="K19" s="122" t="str">
        <f>IFERROR(INDEX(TABLE_UE_dB[Leak Size (cfm)], MATCH(Table_Leaks2_Input[[#This Row],[Lookup Value]], TABLE_UE_dB[Lookup Value], 0)),"")</f>
        <v/>
      </c>
      <c r="L19" s="123" t="str">
        <f>IF(Table_Leaks2_Input[[#This Row],[Repaired (Y/N)]]="Yes", Value_LeakRepairIR, "")</f>
        <v/>
      </c>
      <c r="M19" s="124" t="str">
        <f>IFERROR(Table_Leaks2_Input[[#This Row],[Estimated leak size (cfm)]]*Value_WeightAvgCompEff*Value_SysAOH,"" )</f>
        <v/>
      </c>
      <c r="N19" s="125" t="str">
        <f>IFERROR(Table_Leaks2_Input[[#This Row],[Estimated leak size (cfm)]]*Value_WeightAvgCompEff,"" )</f>
        <v/>
      </c>
      <c r="O19" s="123" t="str">
        <f>IFERROR(Table_Leaks2_Input[[#This Row],[Energy savings (kWh)]]*Input_AvgkWhRate, "")</f>
        <v/>
      </c>
      <c r="P19" s="123" t="str">
        <f>IF(Table_Leaks2_Input[[#This Row],[Pressure at leak (psig)]]="", "",Table_Leaks2_Input[[#This Row],[Total equipment cost]]+Table_Leaks2_Input[[#This Row],[Total labor cost]])</f>
        <v/>
      </c>
      <c r="Q19" s="123" t="str">
        <f>IFERROR(Table_Leaks2_Input[[#This Row],[Gross measure cost]]-Table_Leaks2_Input[[#This Row],[Estimated incentive]], "")</f>
        <v/>
      </c>
      <c r="R19" s="124" t="str">
        <f t="shared" si="0"/>
        <v/>
      </c>
      <c r="S19" s="126">
        <f>IF(OR(Table_Leaks2_Input[[#This Row],[Pressure at leak (psig)]]=0, Table_Leaks2_Input[[#This Row],[Pressure at leak (psig)]]=""),0,IF(Table_Leaks2_Input[[#This Row],[Pressure at leak (psig)]]&lt;20, 10, MROUND(Table_Leaks2_Input[[#This Row],[Pressure at leak (psig)]], 25)))</f>
        <v>0</v>
      </c>
      <c r="T19" s="126">
        <f>ROUND(Table_Leaks2_Input[[#This Row],[dB reading]],-1)</f>
        <v>0</v>
      </c>
      <c r="U19" s="127" t="str">
        <f>_xlfn.CONCAT(Table_Leaks2_Input[[#This Row],[Rounded dB Reading]],"psig ", Table_Leaks2_Input[[#This Row],[Rounded PSIG]],"db")</f>
        <v>0psig 0db</v>
      </c>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spans="1:46" x14ac:dyDescent="0.2">
      <c r="A20" s="120"/>
      <c r="B20" s="121">
        <v>216</v>
      </c>
      <c r="C20" s="128"/>
      <c r="D20" s="129"/>
      <c r="E20" s="130"/>
      <c r="F20" s="130"/>
      <c r="G20" s="130"/>
      <c r="H20" s="130"/>
      <c r="I20" s="131"/>
      <c r="J20" s="131"/>
      <c r="K20" s="122" t="str">
        <f>IFERROR(INDEX(TABLE_UE_dB[Leak Size (cfm)], MATCH(Table_Leaks2_Input[[#This Row],[Lookup Value]], TABLE_UE_dB[Lookup Value], 0)),"")</f>
        <v/>
      </c>
      <c r="L20" s="123" t="str">
        <f>IF(Table_Leaks2_Input[[#This Row],[Repaired (Y/N)]]="Yes", Value_LeakRepairIR, "")</f>
        <v/>
      </c>
      <c r="M20" s="124" t="str">
        <f>IFERROR(Table_Leaks2_Input[[#This Row],[Estimated leak size (cfm)]]*Value_WeightAvgCompEff*Value_SysAOH,"" )</f>
        <v/>
      </c>
      <c r="N20" s="125" t="str">
        <f>IFERROR(Table_Leaks2_Input[[#This Row],[Estimated leak size (cfm)]]*Value_WeightAvgCompEff,"" )</f>
        <v/>
      </c>
      <c r="O20" s="123" t="str">
        <f>IFERROR(Table_Leaks2_Input[[#This Row],[Energy savings (kWh)]]*Input_AvgkWhRate, "")</f>
        <v/>
      </c>
      <c r="P20" s="123" t="str">
        <f>IF(Table_Leaks2_Input[[#This Row],[Pressure at leak (psig)]]="", "",Table_Leaks2_Input[[#This Row],[Total equipment cost]]+Table_Leaks2_Input[[#This Row],[Total labor cost]])</f>
        <v/>
      </c>
      <c r="Q20" s="123" t="str">
        <f>IFERROR(Table_Leaks2_Input[[#This Row],[Gross measure cost]]-Table_Leaks2_Input[[#This Row],[Estimated incentive]], "")</f>
        <v/>
      </c>
      <c r="R20" s="124" t="str">
        <f t="shared" si="0"/>
        <v/>
      </c>
      <c r="S20" s="126">
        <f>IF(OR(Table_Leaks2_Input[[#This Row],[Pressure at leak (psig)]]=0, Table_Leaks2_Input[[#This Row],[Pressure at leak (psig)]]=""),0,IF(Table_Leaks2_Input[[#This Row],[Pressure at leak (psig)]]&lt;20, 10, MROUND(Table_Leaks2_Input[[#This Row],[Pressure at leak (psig)]], 25)))</f>
        <v>0</v>
      </c>
      <c r="T20" s="126">
        <f>ROUND(Table_Leaks2_Input[[#This Row],[dB reading]],-1)</f>
        <v>0</v>
      </c>
      <c r="U20" s="127" t="str">
        <f>_xlfn.CONCAT(Table_Leaks2_Input[[#This Row],[Rounded dB Reading]],"psig ", Table_Leaks2_Input[[#This Row],[Rounded PSIG]],"db")</f>
        <v>0psig 0db</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x14ac:dyDescent="0.2">
      <c r="A21" s="120"/>
      <c r="B21" s="121">
        <v>217</v>
      </c>
      <c r="C21" s="128"/>
      <c r="D21" s="129"/>
      <c r="E21" s="130"/>
      <c r="F21" s="130"/>
      <c r="G21" s="130"/>
      <c r="H21" s="130"/>
      <c r="I21" s="131"/>
      <c r="J21" s="131"/>
      <c r="K21" s="122" t="str">
        <f>IFERROR(INDEX(TABLE_UE_dB[Leak Size (cfm)], MATCH(Table_Leaks2_Input[[#This Row],[Lookup Value]], TABLE_UE_dB[Lookup Value], 0)),"")</f>
        <v/>
      </c>
      <c r="L21" s="123" t="str">
        <f>IF(Table_Leaks2_Input[[#This Row],[Repaired (Y/N)]]="Yes", Value_LeakRepairIR, "")</f>
        <v/>
      </c>
      <c r="M21" s="124" t="str">
        <f>IFERROR(Table_Leaks2_Input[[#This Row],[Estimated leak size (cfm)]]*Value_WeightAvgCompEff*Value_SysAOH,"" )</f>
        <v/>
      </c>
      <c r="N21" s="125" t="str">
        <f>IFERROR(Table_Leaks2_Input[[#This Row],[Estimated leak size (cfm)]]*Value_WeightAvgCompEff,"" )</f>
        <v/>
      </c>
      <c r="O21" s="123" t="str">
        <f>IFERROR(Table_Leaks2_Input[[#This Row],[Energy savings (kWh)]]*Input_AvgkWhRate, "")</f>
        <v/>
      </c>
      <c r="P21" s="123" t="str">
        <f>IF(Table_Leaks2_Input[[#This Row],[Pressure at leak (psig)]]="", "",Table_Leaks2_Input[[#This Row],[Total equipment cost]]+Table_Leaks2_Input[[#This Row],[Total labor cost]])</f>
        <v/>
      </c>
      <c r="Q21" s="123" t="str">
        <f>IFERROR(Table_Leaks2_Input[[#This Row],[Gross measure cost]]-Table_Leaks2_Input[[#This Row],[Estimated incentive]], "")</f>
        <v/>
      </c>
      <c r="R21" s="124" t="str">
        <f t="shared" si="0"/>
        <v/>
      </c>
      <c r="S21" s="126">
        <f>IF(OR(Table_Leaks2_Input[[#This Row],[Pressure at leak (psig)]]=0, Table_Leaks2_Input[[#This Row],[Pressure at leak (psig)]]=""),0,IF(Table_Leaks2_Input[[#This Row],[Pressure at leak (psig)]]&lt;20, 10, MROUND(Table_Leaks2_Input[[#This Row],[Pressure at leak (psig)]], 25)))</f>
        <v>0</v>
      </c>
      <c r="T21" s="126">
        <f>ROUND(Table_Leaks2_Input[[#This Row],[dB reading]],-1)</f>
        <v>0</v>
      </c>
      <c r="U21" s="127" t="str">
        <f>_xlfn.CONCAT(Table_Leaks2_Input[[#This Row],[Rounded dB Reading]],"psig ", Table_Leaks2_Input[[#This Row],[Rounded PSIG]],"db")</f>
        <v>0psig 0db</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x14ac:dyDescent="0.2">
      <c r="A22" s="120"/>
      <c r="B22" s="121">
        <v>218</v>
      </c>
      <c r="C22" s="128"/>
      <c r="D22" s="129"/>
      <c r="E22" s="130"/>
      <c r="F22" s="130"/>
      <c r="G22" s="130"/>
      <c r="H22" s="130"/>
      <c r="I22" s="131"/>
      <c r="J22" s="131"/>
      <c r="K22" s="122" t="str">
        <f>IFERROR(INDEX(TABLE_UE_dB[Leak Size (cfm)], MATCH(Table_Leaks2_Input[[#This Row],[Lookup Value]], TABLE_UE_dB[Lookup Value], 0)),"")</f>
        <v/>
      </c>
      <c r="L22" s="123" t="str">
        <f>IF(Table_Leaks2_Input[[#This Row],[Repaired (Y/N)]]="Yes", Value_LeakRepairIR, "")</f>
        <v/>
      </c>
      <c r="M22" s="124" t="str">
        <f>IFERROR(Table_Leaks2_Input[[#This Row],[Estimated leak size (cfm)]]*Value_WeightAvgCompEff*Value_SysAOH,"" )</f>
        <v/>
      </c>
      <c r="N22" s="125" t="str">
        <f>IFERROR(Table_Leaks2_Input[[#This Row],[Estimated leak size (cfm)]]*Value_WeightAvgCompEff,"" )</f>
        <v/>
      </c>
      <c r="O22" s="123" t="str">
        <f>IFERROR(Table_Leaks2_Input[[#This Row],[Energy savings (kWh)]]*Input_AvgkWhRate, "")</f>
        <v/>
      </c>
      <c r="P22" s="123" t="str">
        <f>IF(Table_Leaks2_Input[[#This Row],[Pressure at leak (psig)]]="", "",Table_Leaks2_Input[[#This Row],[Total equipment cost]]+Table_Leaks2_Input[[#This Row],[Total labor cost]])</f>
        <v/>
      </c>
      <c r="Q22" s="123" t="str">
        <f>IFERROR(Table_Leaks2_Input[[#This Row],[Gross measure cost]]-Table_Leaks2_Input[[#This Row],[Estimated incentive]], "")</f>
        <v/>
      </c>
      <c r="R22" s="124" t="str">
        <f t="shared" si="0"/>
        <v/>
      </c>
      <c r="S22" s="126">
        <f>IF(OR(Table_Leaks2_Input[[#This Row],[Pressure at leak (psig)]]=0, Table_Leaks2_Input[[#This Row],[Pressure at leak (psig)]]=""),0,IF(Table_Leaks2_Input[[#This Row],[Pressure at leak (psig)]]&lt;20, 10, MROUND(Table_Leaks2_Input[[#This Row],[Pressure at leak (psig)]], 25)))</f>
        <v>0</v>
      </c>
      <c r="T22" s="126">
        <f>ROUND(Table_Leaks2_Input[[#This Row],[dB reading]],-1)</f>
        <v>0</v>
      </c>
      <c r="U22" s="127" t="str">
        <f>_xlfn.CONCAT(Table_Leaks2_Input[[#This Row],[Rounded dB Reading]],"psig ", Table_Leaks2_Input[[#This Row],[Rounded PSIG]],"db")</f>
        <v>0psig 0db</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x14ac:dyDescent="0.2">
      <c r="A23" s="120"/>
      <c r="B23" s="121">
        <v>219</v>
      </c>
      <c r="C23" s="128"/>
      <c r="D23" s="129"/>
      <c r="E23" s="130"/>
      <c r="F23" s="130"/>
      <c r="G23" s="130"/>
      <c r="H23" s="130"/>
      <c r="I23" s="131"/>
      <c r="J23" s="131"/>
      <c r="K23" s="122" t="str">
        <f>IFERROR(INDEX(TABLE_UE_dB[Leak Size (cfm)], MATCH(Table_Leaks2_Input[[#This Row],[Lookup Value]], TABLE_UE_dB[Lookup Value], 0)),"")</f>
        <v/>
      </c>
      <c r="L23" s="123" t="str">
        <f>IF(Table_Leaks2_Input[[#This Row],[Repaired (Y/N)]]="Yes", Value_LeakRepairIR, "")</f>
        <v/>
      </c>
      <c r="M23" s="124" t="str">
        <f>IFERROR(Table_Leaks2_Input[[#This Row],[Estimated leak size (cfm)]]*Value_WeightAvgCompEff*Value_SysAOH,"" )</f>
        <v/>
      </c>
      <c r="N23" s="125" t="str">
        <f>IFERROR(Table_Leaks2_Input[[#This Row],[Estimated leak size (cfm)]]*Value_WeightAvgCompEff,"" )</f>
        <v/>
      </c>
      <c r="O23" s="123" t="str">
        <f>IFERROR(Table_Leaks2_Input[[#This Row],[Energy savings (kWh)]]*Input_AvgkWhRate, "")</f>
        <v/>
      </c>
      <c r="P23" s="123" t="str">
        <f>IF(Table_Leaks2_Input[[#This Row],[Pressure at leak (psig)]]="", "",Table_Leaks2_Input[[#This Row],[Total equipment cost]]+Table_Leaks2_Input[[#This Row],[Total labor cost]])</f>
        <v/>
      </c>
      <c r="Q23" s="123" t="str">
        <f>IFERROR(Table_Leaks2_Input[[#This Row],[Gross measure cost]]-Table_Leaks2_Input[[#This Row],[Estimated incentive]], "")</f>
        <v/>
      </c>
      <c r="R23" s="124" t="str">
        <f t="shared" si="0"/>
        <v/>
      </c>
      <c r="S23" s="126">
        <f>IF(OR(Table_Leaks2_Input[[#This Row],[Pressure at leak (psig)]]=0, Table_Leaks2_Input[[#This Row],[Pressure at leak (psig)]]=""),0,IF(Table_Leaks2_Input[[#This Row],[Pressure at leak (psig)]]&lt;20, 10, MROUND(Table_Leaks2_Input[[#This Row],[Pressure at leak (psig)]], 25)))</f>
        <v>0</v>
      </c>
      <c r="T23" s="126">
        <f>ROUND(Table_Leaks2_Input[[#This Row],[dB reading]],-1)</f>
        <v>0</v>
      </c>
      <c r="U23" s="127" t="str">
        <f>_xlfn.CONCAT(Table_Leaks2_Input[[#This Row],[Rounded dB Reading]],"psig ", Table_Leaks2_Input[[#This Row],[Rounded PSIG]],"db")</f>
        <v>0psig 0db</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spans="1:46" x14ac:dyDescent="0.2">
      <c r="A24" s="120"/>
      <c r="B24" s="121">
        <v>220</v>
      </c>
      <c r="C24" s="128"/>
      <c r="D24" s="129"/>
      <c r="E24" s="130"/>
      <c r="F24" s="130"/>
      <c r="G24" s="130"/>
      <c r="H24" s="130"/>
      <c r="I24" s="131"/>
      <c r="J24" s="131"/>
      <c r="K24" s="122" t="str">
        <f>IFERROR(INDEX(TABLE_UE_dB[Leak Size (cfm)], MATCH(Table_Leaks2_Input[[#This Row],[Lookup Value]], TABLE_UE_dB[Lookup Value], 0)),"")</f>
        <v/>
      </c>
      <c r="L24" s="123" t="str">
        <f>IF(Table_Leaks2_Input[[#This Row],[Repaired (Y/N)]]="Yes", Value_LeakRepairIR, "")</f>
        <v/>
      </c>
      <c r="M24" s="124" t="str">
        <f>IFERROR(Table_Leaks2_Input[[#This Row],[Estimated leak size (cfm)]]*Value_WeightAvgCompEff*Value_SysAOH,"" )</f>
        <v/>
      </c>
      <c r="N24" s="125" t="str">
        <f>IFERROR(Table_Leaks2_Input[[#This Row],[Estimated leak size (cfm)]]*Value_WeightAvgCompEff,"" )</f>
        <v/>
      </c>
      <c r="O24" s="123" t="str">
        <f>IFERROR(Table_Leaks2_Input[[#This Row],[Energy savings (kWh)]]*Input_AvgkWhRate, "")</f>
        <v/>
      </c>
      <c r="P24" s="123" t="str">
        <f>IF(Table_Leaks2_Input[[#This Row],[Pressure at leak (psig)]]="", "",Table_Leaks2_Input[[#This Row],[Total equipment cost]]+Table_Leaks2_Input[[#This Row],[Total labor cost]])</f>
        <v/>
      </c>
      <c r="Q24" s="123" t="str">
        <f>IFERROR(Table_Leaks2_Input[[#This Row],[Gross measure cost]]-Table_Leaks2_Input[[#This Row],[Estimated incentive]], "")</f>
        <v/>
      </c>
      <c r="R24" s="124" t="str">
        <f t="shared" si="0"/>
        <v/>
      </c>
      <c r="S24" s="126">
        <f>IF(OR(Table_Leaks2_Input[[#This Row],[Pressure at leak (psig)]]=0, Table_Leaks2_Input[[#This Row],[Pressure at leak (psig)]]=""),0,IF(Table_Leaks2_Input[[#This Row],[Pressure at leak (psig)]]&lt;20, 10, MROUND(Table_Leaks2_Input[[#This Row],[Pressure at leak (psig)]], 25)))</f>
        <v>0</v>
      </c>
      <c r="T24" s="126">
        <f>ROUND(Table_Leaks2_Input[[#This Row],[dB reading]],-1)</f>
        <v>0</v>
      </c>
      <c r="U24" s="127" t="str">
        <f>_xlfn.CONCAT(Table_Leaks2_Input[[#This Row],[Rounded dB Reading]],"psig ", Table_Leaks2_Input[[#This Row],[Rounded PSIG]],"db")</f>
        <v>0psig 0db</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spans="1:46" x14ac:dyDescent="0.2">
      <c r="A25" s="120"/>
      <c r="B25" s="121">
        <v>221</v>
      </c>
      <c r="C25" s="128"/>
      <c r="D25" s="129"/>
      <c r="E25" s="130"/>
      <c r="F25" s="130"/>
      <c r="G25" s="130"/>
      <c r="H25" s="130"/>
      <c r="I25" s="131"/>
      <c r="J25" s="131"/>
      <c r="K25" s="122" t="str">
        <f>IFERROR(INDEX(TABLE_UE_dB[Leak Size (cfm)], MATCH(Table_Leaks2_Input[[#This Row],[Lookup Value]], TABLE_UE_dB[Lookup Value], 0)),"")</f>
        <v/>
      </c>
      <c r="L25" s="123" t="str">
        <f>IF(Table_Leaks2_Input[[#This Row],[Repaired (Y/N)]]="Yes", Value_LeakRepairIR, "")</f>
        <v/>
      </c>
      <c r="M25" s="124" t="str">
        <f>IFERROR(Table_Leaks2_Input[[#This Row],[Estimated leak size (cfm)]]*Value_WeightAvgCompEff*Value_SysAOH,"" )</f>
        <v/>
      </c>
      <c r="N25" s="125" t="str">
        <f>IFERROR(Table_Leaks2_Input[[#This Row],[Estimated leak size (cfm)]]*Value_WeightAvgCompEff,"" )</f>
        <v/>
      </c>
      <c r="O25" s="123" t="str">
        <f>IFERROR(Table_Leaks2_Input[[#This Row],[Energy savings (kWh)]]*Input_AvgkWhRate, "")</f>
        <v/>
      </c>
      <c r="P25" s="123" t="str">
        <f>IF(Table_Leaks2_Input[[#This Row],[Pressure at leak (psig)]]="", "",Table_Leaks2_Input[[#This Row],[Total equipment cost]]+Table_Leaks2_Input[[#This Row],[Total labor cost]])</f>
        <v/>
      </c>
      <c r="Q25" s="123" t="str">
        <f>IFERROR(Table_Leaks2_Input[[#This Row],[Gross measure cost]]-Table_Leaks2_Input[[#This Row],[Estimated incentive]], "")</f>
        <v/>
      </c>
      <c r="R25" s="124" t="str">
        <f t="shared" si="0"/>
        <v/>
      </c>
      <c r="S25" s="126">
        <f>IF(OR(Table_Leaks2_Input[[#This Row],[Pressure at leak (psig)]]=0, Table_Leaks2_Input[[#This Row],[Pressure at leak (psig)]]=""),0,IF(Table_Leaks2_Input[[#This Row],[Pressure at leak (psig)]]&lt;20, 10, MROUND(Table_Leaks2_Input[[#This Row],[Pressure at leak (psig)]], 25)))</f>
        <v>0</v>
      </c>
      <c r="T25" s="126">
        <f>ROUND(Table_Leaks2_Input[[#This Row],[dB reading]],-1)</f>
        <v>0</v>
      </c>
      <c r="U25" s="127" t="str">
        <f>_xlfn.CONCAT(Table_Leaks2_Input[[#This Row],[Rounded dB Reading]],"psig ", Table_Leaks2_Input[[#This Row],[Rounded PSIG]],"db")</f>
        <v>0psig 0db</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spans="1:46" x14ac:dyDescent="0.2">
      <c r="A26" s="120"/>
      <c r="B26" s="121">
        <v>222</v>
      </c>
      <c r="C26" s="128"/>
      <c r="D26" s="129"/>
      <c r="E26" s="130"/>
      <c r="F26" s="130"/>
      <c r="G26" s="130"/>
      <c r="H26" s="130"/>
      <c r="I26" s="131"/>
      <c r="J26" s="131"/>
      <c r="K26" s="122" t="str">
        <f>IFERROR(INDEX(TABLE_UE_dB[Leak Size (cfm)], MATCH(Table_Leaks2_Input[[#This Row],[Lookup Value]], TABLE_UE_dB[Lookup Value], 0)),"")</f>
        <v/>
      </c>
      <c r="L26" s="123" t="str">
        <f>IF(Table_Leaks2_Input[[#This Row],[Repaired (Y/N)]]="Yes", Value_LeakRepairIR, "")</f>
        <v/>
      </c>
      <c r="M26" s="124" t="str">
        <f>IFERROR(Table_Leaks2_Input[[#This Row],[Estimated leak size (cfm)]]*Value_WeightAvgCompEff*Value_SysAOH,"" )</f>
        <v/>
      </c>
      <c r="N26" s="125" t="str">
        <f>IFERROR(Table_Leaks2_Input[[#This Row],[Estimated leak size (cfm)]]*Value_WeightAvgCompEff,"" )</f>
        <v/>
      </c>
      <c r="O26" s="123" t="str">
        <f>IFERROR(Table_Leaks2_Input[[#This Row],[Energy savings (kWh)]]*Input_AvgkWhRate, "")</f>
        <v/>
      </c>
      <c r="P26" s="123" t="str">
        <f>IF(Table_Leaks2_Input[[#This Row],[Pressure at leak (psig)]]="", "",Table_Leaks2_Input[[#This Row],[Total equipment cost]]+Table_Leaks2_Input[[#This Row],[Total labor cost]])</f>
        <v/>
      </c>
      <c r="Q26" s="123" t="str">
        <f>IFERROR(Table_Leaks2_Input[[#This Row],[Gross measure cost]]-Table_Leaks2_Input[[#This Row],[Estimated incentive]], "")</f>
        <v/>
      </c>
      <c r="R26" s="124" t="str">
        <f t="shared" si="0"/>
        <v/>
      </c>
      <c r="S26" s="126">
        <f>IF(OR(Table_Leaks2_Input[[#This Row],[Pressure at leak (psig)]]=0, Table_Leaks2_Input[[#This Row],[Pressure at leak (psig)]]=""),0,IF(Table_Leaks2_Input[[#This Row],[Pressure at leak (psig)]]&lt;20, 10, MROUND(Table_Leaks2_Input[[#This Row],[Pressure at leak (psig)]], 25)))</f>
        <v>0</v>
      </c>
      <c r="T26" s="126">
        <f>ROUND(Table_Leaks2_Input[[#This Row],[dB reading]],-1)</f>
        <v>0</v>
      </c>
      <c r="U26" s="127" t="str">
        <f>_xlfn.CONCAT(Table_Leaks2_Input[[#This Row],[Rounded dB Reading]],"psig ", Table_Leaks2_Input[[#This Row],[Rounded PSIG]],"db")</f>
        <v>0psig 0db</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spans="1:46" x14ac:dyDescent="0.2">
      <c r="A27" s="120"/>
      <c r="B27" s="121">
        <v>223</v>
      </c>
      <c r="C27" s="128"/>
      <c r="D27" s="129"/>
      <c r="E27" s="130"/>
      <c r="F27" s="130"/>
      <c r="G27" s="130"/>
      <c r="H27" s="130"/>
      <c r="I27" s="131"/>
      <c r="J27" s="131"/>
      <c r="K27" s="122" t="str">
        <f>IFERROR(INDEX(TABLE_UE_dB[Leak Size (cfm)], MATCH(Table_Leaks2_Input[[#This Row],[Lookup Value]], TABLE_UE_dB[Lookup Value], 0)),"")</f>
        <v/>
      </c>
      <c r="L27" s="123" t="str">
        <f>IF(Table_Leaks2_Input[[#This Row],[Repaired (Y/N)]]="Yes", Value_LeakRepairIR, "")</f>
        <v/>
      </c>
      <c r="M27" s="124" t="str">
        <f>IFERROR(Table_Leaks2_Input[[#This Row],[Estimated leak size (cfm)]]*Value_WeightAvgCompEff*Value_SysAOH,"" )</f>
        <v/>
      </c>
      <c r="N27" s="125" t="str">
        <f>IFERROR(Table_Leaks2_Input[[#This Row],[Estimated leak size (cfm)]]*Value_WeightAvgCompEff,"" )</f>
        <v/>
      </c>
      <c r="O27" s="123" t="str">
        <f>IFERROR(Table_Leaks2_Input[[#This Row],[Energy savings (kWh)]]*Input_AvgkWhRate, "")</f>
        <v/>
      </c>
      <c r="P27" s="123" t="str">
        <f>IF(Table_Leaks2_Input[[#This Row],[Pressure at leak (psig)]]="", "",Table_Leaks2_Input[[#This Row],[Total equipment cost]]+Table_Leaks2_Input[[#This Row],[Total labor cost]])</f>
        <v/>
      </c>
      <c r="Q27" s="123" t="str">
        <f>IFERROR(Table_Leaks2_Input[[#This Row],[Gross measure cost]]-Table_Leaks2_Input[[#This Row],[Estimated incentive]], "")</f>
        <v/>
      </c>
      <c r="R27" s="124" t="str">
        <f t="shared" si="0"/>
        <v/>
      </c>
      <c r="S27" s="126">
        <f>IF(OR(Table_Leaks2_Input[[#This Row],[Pressure at leak (psig)]]=0, Table_Leaks2_Input[[#This Row],[Pressure at leak (psig)]]=""),0,IF(Table_Leaks2_Input[[#This Row],[Pressure at leak (psig)]]&lt;20, 10, MROUND(Table_Leaks2_Input[[#This Row],[Pressure at leak (psig)]], 25)))</f>
        <v>0</v>
      </c>
      <c r="T27" s="126">
        <f>ROUND(Table_Leaks2_Input[[#This Row],[dB reading]],-1)</f>
        <v>0</v>
      </c>
      <c r="U27" s="127" t="str">
        <f>_xlfn.CONCAT(Table_Leaks2_Input[[#This Row],[Rounded dB Reading]],"psig ", Table_Leaks2_Input[[#This Row],[Rounded PSIG]],"db")</f>
        <v>0psig 0db</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spans="1:46" x14ac:dyDescent="0.2">
      <c r="A28" s="120"/>
      <c r="B28" s="121">
        <v>224</v>
      </c>
      <c r="C28" s="128"/>
      <c r="D28" s="129"/>
      <c r="E28" s="130"/>
      <c r="F28" s="130"/>
      <c r="G28" s="130"/>
      <c r="H28" s="130"/>
      <c r="I28" s="131"/>
      <c r="J28" s="131"/>
      <c r="K28" s="122" t="str">
        <f>IFERROR(INDEX(TABLE_UE_dB[Leak Size (cfm)], MATCH(Table_Leaks2_Input[[#This Row],[Lookup Value]], TABLE_UE_dB[Lookup Value], 0)),"")</f>
        <v/>
      </c>
      <c r="L28" s="123" t="str">
        <f>IF(Table_Leaks2_Input[[#This Row],[Repaired (Y/N)]]="Yes", Value_LeakRepairIR, "")</f>
        <v/>
      </c>
      <c r="M28" s="124" t="str">
        <f>IFERROR(Table_Leaks2_Input[[#This Row],[Estimated leak size (cfm)]]*Value_WeightAvgCompEff*Value_SysAOH,"" )</f>
        <v/>
      </c>
      <c r="N28" s="125" t="str">
        <f>IFERROR(Table_Leaks2_Input[[#This Row],[Estimated leak size (cfm)]]*Value_WeightAvgCompEff,"" )</f>
        <v/>
      </c>
      <c r="O28" s="123" t="str">
        <f>IFERROR(Table_Leaks2_Input[[#This Row],[Energy savings (kWh)]]*Input_AvgkWhRate, "")</f>
        <v/>
      </c>
      <c r="P28" s="123" t="str">
        <f>IF(Table_Leaks2_Input[[#This Row],[Pressure at leak (psig)]]="", "",Table_Leaks2_Input[[#This Row],[Total equipment cost]]+Table_Leaks2_Input[[#This Row],[Total labor cost]])</f>
        <v/>
      </c>
      <c r="Q28" s="123" t="str">
        <f>IFERROR(Table_Leaks2_Input[[#This Row],[Gross measure cost]]-Table_Leaks2_Input[[#This Row],[Estimated incentive]], "")</f>
        <v/>
      </c>
      <c r="R28" s="124" t="str">
        <f t="shared" si="0"/>
        <v/>
      </c>
      <c r="S28" s="126">
        <f>IF(OR(Table_Leaks2_Input[[#This Row],[Pressure at leak (psig)]]=0, Table_Leaks2_Input[[#This Row],[Pressure at leak (psig)]]=""),0,IF(Table_Leaks2_Input[[#This Row],[Pressure at leak (psig)]]&lt;20, 10, MROUND(Table_Leaks2_Input[[#This Row],[Pressure at leak (psig)]], 25)))</f>
        <v>0</v>
      </c>
      <c r="T28" s="126">
        <f>ROUND(Table_Leaks2_Input[[#This Row],[dB reading]],-1)</f>
        <v>0</v>
      </c>
      <c r="U28" s="127" t="str">
        <f>_xlfn.CONCAT(Table_Leaks2_Input[[#This Row],[Rounded dB Reading]],"psig ", Table_Leaks2_Input[[#This Row],[Rounded PSIG]],"db")</f>
        <v>0psig 0db</v>
      </c>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spans="1:46" x14ac:dyDescent="0.2">
      <c r="A29" s="120"/>
      <c r="B29" s="121">
        <v>225</v>
      </c>
      <c r="C29" s="128"/>
      <c r="D29" s="129"/>
      <c r="E29" s="130"/>
      <c r="F29" s="130"/>
      <c r="G29" s="130"/>
      <c r="H29" s="130"/>
      <c r="I29" s="131"/>
      <c r="J29" s="131"/>
      <c r="K29" s="122" t="str">
        <f>IFERROR(INDEX(TABLE_UE_dB[Leak Size (cfm)], MATCH(Table_Leaks2_Input[[#This Row],[Lookup Value]], TABLE_UE_dB[Lookup Value], 0)),"")</f>
        <v/>
      </c>
      <c r="L29" s="123" t="str">
        <f>IF(Table_Leaks2_Input[[#This Row],[Repaired (Y/N)]]="Yes", Value_LeakRepairIR, "")</f>
        <v/>
      </c>
      <c r="M29" s="124" t="str">
        <f>IFERROR(Table_Leaks2_Input[[#This Row],[Estimated leak size (cfm)]]*Value_WeightAvgCompEff*Value_SysAOH,"" )</f>
        <v/>
      </c>
      <c r="N29" s="125" t="str">
        <f>IFERROR(Table_Leaks2_Input[[#This Row],[Estimated leak size (cfm)]]*Value_WeightAvgCompEff,"" )</f>
        <v/>
      </c>
      <c r="O29" s="123" t="str">
        <f>IFERROR(Table_Leaks2_Input[[#This Row],[Energy savings (kWh)]]*Input_AvgkWhRate, "")</f>
        <v/>
      </c>
      <c r="P29" s="123" t="str">
        <f>IF(Table_Leaks2_Input[[#This Row],[Pressure at leak (psig)]]="", "",Table_Leaks2_Input[[#This Row],[Total equipment cost]]+Table_Leaks2_Input[[#This Row],[Total labor cost]])</f>
        <v/>
      </c>
      <c r="Q29" s="123" t="str">
        <f>IFERROR(Table_Leaks2_Input[[#This Row],[Gross measure cost]]-Table_Leaks2_Input[[#This Row],[Estimated incentive]], "")</f>
        <v/>
      </c>
      <c r="R29" s="124" t="str">
        <f t="shared" si="0"/>
        <v/>
      </c>
      <c r="S29" s="126">
        <f>IF(OR(Table_Leaks2_Input[[#This Row],[Pressure at leak (psig)]]=0, Table_Leaks2_Input[[#This Row],[Pressure at leak (psig)]]=""),0,IF(Table_Leaks2_Input[[#This Row],[Pressure at leak (psig)]]&lt;20, 10, MROUND(Table_Leaks2_Input[[#This Row],[Pressure at leak (psig)]], 25)))</f>
        <v>0</v>
      </c>
      <c r="T29" s="126">
        <f>ROUND(Table_Leaks2_Input[[#This Row],[dB reading]],-1)</f>
        <v>0</v>
      </c>
      <c r="U29" s="127" t="str">
        <f>_xlfn.CONCAT(Table_Leaks2_Input[[#This Row],[Rounded dB Reading]],"psig ", Table_Leaks2_Input[[#This Row],[Rounded PSIG]],"db")</f>
        <v>0psig 0db</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spans="1:46" x14ac:dyDescent="0.2">
      <c r="A30" s="120"/>
      <c r="B30" s="121">
        <v>226</v>
      </c>
      <c r="C30" s="128"/>
      <c r="D30" s="129"/>
      <c r="E30" s="130"/>
      <c r="F30" s="130"/>
      <c r="G30" s="130"/>
      <c r="H30" s="130"/>
      <c r="I30" s="131"/>
      <c r="J30" s="131"/>
      <c r="K30" s="122" t="str">
        <f>IFERROR(INDEX(TABLE_UE_dB[Leak Size (cfm)], MATCH(Table_Leaks2_Input[[#This Row],[Lookup Value]], TABLE_UE_dB[Lookup Value], 0)),"")</f>
        <v/>
      </c>
      <c r="L30" s="123" t="str">
        <f>IF(Table_Leaks2_Input[[#This Row],[Repaired (Y/N)]]="Yes", Value_LeakRepairIR, "")</f>
        <v/>
      </c>
      <c r="M30" s="124" t="str">
        <f>IFERROR(Table_Leaks2_Input[[#This Row],[Estimated leak size (cfm)]]*Value_WeightAvgCompEff*Value_SysAOH,"" )</f>
        <v/>
      </c>
      <c r="N30" s="125" t="str">
        <f>IFERROR(Table_Leaks2_Input[[#This Row],[Estimated leak size (cfm)]]*Value_WeightAvgCompEff,"" )</f>
        <v/>
      </c>
      <c r="O30" s="123" t="str">
        <f>IFERROR(Table_Leaks2_Input[[#This Row],[Energy savings (kWh)]]*Input_AvgkWhRate, "")</f>
        <v/>
      </c>
      <c r="P30" s="123" t="str">
        <f>IF(Table_Leaks2_Input[[#This Row],[Pressure at leak (psig)]]="", "",Table_Leaks2_Input[[#This Row],[Total equipment cost]]+Table_Leaks2_Input[[#This Row],[Total labor cost]])</f>
        <v/>
      </c>
      <c r="Q30" s="123" t="str">
        <f>IFERROR(Table_Leaks2_Input[[#This Row],[Gross measure cost]]-Table_Leaks2_Input[[#This Row],[Estimated incentive]], "")</f>
        <v/>
      </c>
      <c r="R30" s="124" t="str">
        <f t="shared" si="0"/>
        <v/>
      </c>
      <c r="S30" s="126">
        <f>IF(OR(Table_Leaks2_Input[[#This Row],[Pressure at leak (psig)]]=0, Table_Leaks2_Input[[#This Row],[Pressure at leak (psig)]]=""),0,IF(Table_Leaks2_Input[[#This Row],[Pressure at leak (psig)]]&lt;20, 10, MROUND(Table_Leaks2_Input[[#This Row],[Pressure at leak (psig)]], 25)))</f>
        <v>0</v>
      </c>
      <c r="T30" s="126">
        <f>ROUND(Table_Leaks2_Input[[#This Row],[dB reading]],-1)</f>
        <v>0</v>
      </c>
      <c r="U30" s="127" t="str">
        <f>_xlfn.CONCAT(Table_Leaks2_Input[[#This Row],[Rounded dB Reading]],"psig ", Table_Leaks2_Input[[#This Row],[Rounded PSIG]],"db")</f>
        <v>0psig 0db</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spans="1:46" x14ac:dyDescent="0.2">
      <c r="A31" s="75"/>
      <c r="B31" s="121">
        <v>227</v>
      </c>
      <c r="C31" s="128"/>
      <c r="D31" s="129"/>
      <c r="E31" s="130"/>
      <c r="F31" s="130"/>
      <c r="G31" s="130"/>
      <c r="H31" s="130"/>
      <c r="I31" s="131"/>
      <c r="J31" s="131"/>
      <c r="K31" s="122" t="str">
        <f>IFERROR(INDEX(TABLE_UE_dB[Leak Size (cfm)], MATCH(Table_Leaks2_Input[[#This Row],[Lookup Value]], TABLE_UE_dB[Lookup Value], 0)),"")</f>
        <v/>
      </c>
      <c r="L31" s="123" t="str">
        <f>IF(Table_Leaks2_Input[[#This Row],[Repaired (Y/N)]]="Yes", Value_LeakRepairIR, "")</f>
        <v/>
      </c>
      <c r="M31" s="124" t="str">
        <f>IFERROR(Table_Leaks2_Input[[#This Row],[Estimated leak size (cfm)]]*Value_WeightAvgCompEff*Value_SysAOH,"" )</f>
        <v/>
      </c>
      <c r="N31" s="125" t="str">
        <f>IFERROR(Table_Leaks2_Input[[#This Row],[Estimated leak size (cfm)]]*Value_WeightAvgCompEff,"" )</f>
        <v/>
      </c>
      <c r="O31" s="123" t="str">
        <f>IFERROR(Table_Leaks2_Input[[#This Row],[Energy savings (kWh)]]*Input_AvgkWhRate, "")</f>
        <v/>
      </c>
      <c r="P31" s="123" t="str">
        <f>IF(Table_Leaks2_Input[[#This Row],[Pressure at leak (psig)]]="", "",Table_Leaks2_Input[[#This Row],[Total equipment cost]]+Table_Leaks2_Input[[#This Row],[Total labor cost]])</f>
        <v/>
      </c>
      <c r="Q31" s="123" t="str">
        <f>IFERROR(Table_Leaks2_Input[[#This Row],[Gross measure cost]]-Table_Leaks2_Input[[#This Row],[Estimated incentive]], "")</f>
        <v/>
      </c>
      <c r="R31" s="124" t="str">
        <f t="shared" si="0"/>
        <v/>
      </c>
      <c r="S31" s="126">
        <f>IF(OR(Table_Leaks2_Input[[#This Row],[Pressure at leak (psig)]]=0, Table_Leaks2_Input[[#This Row],[Pressure at leak (psig)]]=""),0,IF(Table_Leaks2_Input[[#This Row],[Pressure at leak (psig)]]&lt;20, 10, MROUND(Table_Leaks2_Input[[#This Row],[Pressure at leak (psig)]], 25)))</f>
        <v>0</v>
      </c>
      <c r="T31" s="126">
        <f>ROUND(Table_Leaks2_Input[[#This Row],[dB reading]],-1)</f>
        <v>0</v>
      </c>
      <c r="U31" s="127" t="str">
        <f>_xlfn.CONCAT(Table_Leaks2_Input[[#This Row],[Rounded dB Reading]],"psig ", Table_Leaks2_Input[[#This Row],[Rounded PSIG]],"db")</f>
        <v>0psig 0db</v>
      </c>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x14ac:dyDescent="0.2">
      <c r="A32" s="75"/>
      <c r="B32" s="121">
        <v>228</v>
      </c>
      <c r="C32" s="128"/>
      <c r="D32" s="129"/>
      <c r="E32" s="130"/>
      <c r="F32" s="130"/>
      <c r="G32" s="130"/>
      <c r="H32" s="130"/>
      <c r="I32" s="131"/>
      <c r="J32" s="131"/>
      <c r="K32" s="122" t="str">
        <f>IFERROR(INDEX(TABLE_UE_dB[Leak Size (cfm)], MATCH(Table_Leaks2_Input[[#This Row],[Lookup Value]], TABLE_UE_dB[Lookup Value], 0)),"")</f>
        <v/>
      </c>
      <c r="L32" s="123" t="str">
        <f>IF(Table_Leaks2_Input[[#This Row],[Repaired (Y/N)]]="Yes", Value_LeakRepairIR, "")</f>
        <v/>
      </c>
      <c r="M32" s="124" t="str">
        <f>IFERROR(Table_Leaks2_Input[[#This Row],[Estimated leak size (cfm)]]*Value_WeightAvgCompEff*Value_SysAOH,"" )</f>
        <v/>
      </c>
      <c r="N32" s="125" t="str">
        <f>IFERROR(Table_Leaks2_Input[[#This Row],[Estimated leak size (cfm)]]*Value_WeightAvgCompEff,"" )</f>
        <v/>
      </c>
      <c r="O32" s="123" t="str">
        <f>IFERROR(Table_Leaks2_Input[[#This Row],[Energy savings (kWh)]]*Input_AvgkWhRate, "")</f>
        <v/>
      </c>
      <c r="P32" s="123" t="str">
        <f>IF(Table_Leaks2_Input[[#This Row],[Pressure at leak (psig)]]="", "",Table_Leaks2_Input[[#This Row],[Total equipment cost]]+Table_Leaks2_Input[[#This Row],[Total labor cost]])</f>
        <v/>
      </c>
      <c r="Q32" s="123" t="str">
        <f>IFERROR(Table_Leaks2_Input[[#This Row],[Gross measure cost]]-Table_Leaks2_Input[[#This Row],[Estimated incentive]], "")</f>
        <v/>
      </c>
      <c r="R32" s="124" t="str">
        <f t="shared" si="0"/>
        <v/>
      </c>
      <c r="S32" s="126">
        <f>IF(OR(Table_Leaks2_Input[[#This Row],[Pressure at leak (psig)]]=0, Table_Leaks2_Input[[#This Row],[Pressure at leak (psig)]]=""),0,IF(Table_Leaks2_Input[[#This Row],[Pressure at leak (psig)]]&lt;20, 10, MROUND(Table_Leaks2_Input[[#This Row],[Pressure at leak (psig)]], 25)))</f>
        <v>0</v>
      </c>
      <c r="T32" s="126">
        <f>ROUND(Table_Leaks2_Input[[#This Row],[dB reading]],-1)</f>
        <v>0</v>
      </c>
      <c r="U32" s="127" t="str">
        <f>_xlfn.CONCAT(Table_Leaks2_Input[[#This Row],[Rounded dB Reading]],"psig ", Table_Leaks2_Input[[#This Row],[Rounded PSIG]],"db")</f>
        <v>0psig 0db</v>
      </c>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x14ac:dyDescent="0.2">
      <c r="A33" s="75"/>
      <c r="B33" s="121">
        <v>229</v>
      </c>
      <c r="C33" s="128"/>
      <c r="D33" s="129"/>
      <c r="E33" s="130"/>
      <c r="F33" s="130"/>
      <c r="G33" s="130"/>
      <c r="H33" s="130"/>
      <c r="I33" s="131"/>
      <c r="J33" s="131"/>
      <c r="K33" s="122" t="str">
        <f>IFERROR(INDEX(TABLE_UE_dB[Leak Size (cfm)], MATCH(Table_Leaks2_Input[[#This Row],[Lookup Value]], TABLE_UE_dB[Lookup Value], 0)),"")</f>
        <v/>
      </c>
      <c r="L33" s="123" t="str">
        <f>IF(Table_Leaks2_Input[[#This Row],[Repaired (Y/N)]]="Yes", Value_LeakRepairIR, "")</f>
        <v/>
      </c>
      <c r="M33" s="124" t="str">
        <f>IFERROR(Table_Leaks2_Input[[#This Row],[Estimated leak size (cfm)]]*Value_WeightAvgCompEff*Value_SysAOH,"" )</f>
        <v/>
      </c>
      <c r="N33" s="125" t="str">
        <f>IFERROR(Table_Leaks2_Input[[#This Row],[Estimated leak size (cfm)]]*Value_WeightAvgCompEff,"" )</f>
        <v/>
      </c>
      <c r="O33" s="123" t="str">
        <f>IFERROR(Table_Leaks2_Input[[#This Row],[Energy savings (kWh)]]*Input_AvgkWhRate, "")</f>
        <v/>
      </c>
      <c r="P33" s="123" t="str">
        <f>IF(Table_Leaks2_Input[[#This Row],[Pressure at leak (psig)]]="", "",Table_Leaks2_Input[[#This Row],[Total equipment cost]]+Table_Leaks2_Input[[#This Row],[Total labor cost]])</f>
        <v/>
      </c>
      <c r="Q33" s="123" t="str">
        <f>IFERROR(Table_Leaks2_Input[[#This Row],[Gross measure cost]]-Table_Leaks2_Input[[#This Row],[Estimated incentive]], "")</f>
        <v/>
      </c>
      <c r="R33" s="124" t="str">
        <f t="shared" si="0"/>
        <v/>
      </c>
      <c r="S33" s="126">
        <f>IF(OR(Table_Leaks2_Input[[#This Row],[Pressure at leak (psig)]]=0, Table_Leaks2_Input[[#This Row],[Pressure at leak (psig)]]=""),0,IF(Table_Leaks2_Input[[#This Row],[Pressure at leak (psig)]]&lt;20, 10, MROUND(Table_Leaks2_Input[[#This Row],[Pressure at leak (psig)]], 25)))</f>
        <v>0</v>
      </c>
      <c r="T33" s="126">
        <f>ROUND(Table_Leaks2_Input[[#This Row],[dB reading]],-1)</f>
        <v>0</v>
      </c>
      <c r="U33" s="127" t="str">
        <f>_xlfn.CONCAT(Table_Leaks2_Input[[#This Row],[Rounded dB Reading]],"psig ", Table_Leaks2_Input[[#This Row],[Rounded PSIG]],"db")</f>
        <v>0psig 0db</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x14ac:dyDescent="0.2">
      <c r="A34" s="75"/>
      <c r="B34" s="121">
        <v>230</v>
      </c>
      <c r="C34" s="128"/>
      <c r="D34" s="129"/>
      <c r="E34" s="130"/>
      <c r="F34" s="130"/>
      <c r="G34" s="130"/>
      <c r="H34" s="130"/>
      <c r="I34" s="131"/>
      <c r="J34" s="131"/>
      <c r="K34" s="122" t="str">
        <f>IFERROR(INDEX(TABLE_UE_dB[Leak Size (cfm)], MATCH(Table_Leaks2_Input[[#This Row],[Lookup Value]], TABLE_UE_dB[Lookup Value], 0)),"")</f>
        <v/>
      </c>
      <c r="L34" s="123" t="str">
        <f>IF(Table_Leaks2_Input[[#This Row],[Repaired (Y/N)]]="Yes", Value_LeakRepairIR, "")</f>
        <v/>
      </c>
      <c r="M34" s="124" t="str">
        <f>IFERROR(Table_Leaks2_Input[[#This Row],[Estimated leak size (cfm)]]*Value_WeightAvgCompEff*Value_SysAOH,"" )</f>
        <v/>
      </c>
      <c r="N34" s="125" t="str">
        <f>IFERROR(Table_Leaks2_Input[[#This Row],[Estimated leak size (cfm)]]*Value_WeightAvgCompEff,"" )</f>
        <v/>
      </c>
      <c r="O34" s="123" t="str">
        <f>IFERROR(Table_Leaks2_Input[[#This Row],[Energy savings (kWh)]]*Input_AvgkWhRate, "")</f>
        <v/>
      </c>
      <c r="P34" s="123" t="str">
        <f>IF(Table_Leaks2_Input[[#This Row],[Pressure at leak (psig)]]="", "",Table_Leaks2_Input[[#This Row],[Total equipment cost]]+Table_Leaks2_Input[[#This Row],[Total labor cost]])</f>
        <v/>
      </c>
      <c r="Q34" s="123" t="str">
        <f>IFERROR(Table_Leaks2_Input[[#This Row],[Gross measure cost]]-Table_Leaks2_Input[[#This Row],[Estimated incentive]], "")</f>
        <v/>
      </c>
      <c r="R34" s="124" t="str">
        <f t="shared" si="0"/>
        <v/>
      </c>
      <c r="S34" s="126">
        <f>IF(OR(Table_Leaks2_Input[[#This Row],[Pressure at leak (psig)]]=0, Table_Leaks2_Input[[#This Row],[Pressure at leak (psig)]]=""),0,IF(Table_Leaks2_Input[[#This Row],[Pressure at leak (psig)]]&lt;20, 10, MROUND(Table_Leaks2_Input[[#This Row],[Pressure at leak (psig)]], 25)))</f>
        <v>0</v>
      </c>
      <c r="T34" s="126">
        <f>ROUND(Table_Leaks2_Input[[#This Row],[dB reading]],-1)</f>
        <v>0</v>
      </c>
      <c r="U34" s="127" t="str">
        <f>_xlfn.CONCAT(Table_Leaks2_Input[[#This Row],[Rounded dB Reading]],"psig ", Table_Leaks2_Input[[#This Row],[Rounded PSIG]],"db")</f>
        <v>0psig 0db</v>
      </c>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x14ac:dyDescent="0.2">
      <c r="A35" s="75"/>
      <c r="B35" s="121">
        <v>231</v>
      </c>
      <c r="C35" s="128"/>
      <c r="D35" s="129"/>
      <c r="E35" s="130"/>
      <c r="F35" s="130"/>
      <c r="G35" s="130"/>
      <c r="H35" s="130"/>
      <c r="I35" s="131"/>
      <c r="J35" s="131"/>
      <c r="K35" s="122" t="str">
        <f>IFERROR(INDEX(TABLE_UE_dB[Leak Size (cfm)], MATCH(Table_Leaks2_Input[[#This Row],[Lookup Value]], TABLE_UE_dB[Lookup Value], 0)),"")</f>
        <v/>
      </c>
      <c r="L35" s="123" t="str">
        <f>IF(Table_Leaks2_Input[[#This Row],[Repaired (Y/N)]]="Yes", Value_LeakRepairIR, "")</f>
        <v/>
      </c>
      <c r="M35" s="124" t="str">
        <f>IFERROR(Table_Leaks2_Input[[#This Row],[Estimated leak size (cfm)]]*Value_WeightAvgCompEff*Value_SysAOH,"" )</f>
        <v/>
      </c>
      <c r="N35" s="125" t="str">
        <f>IFERROR(Table_Leaks2_Input[[#This Row],[Estimated leak size (cfm)]]*Value_WeightAvgCompEff,"" )</f>
        <v/>
      </c>
      <c r="O35" s="123" t="str">
        <f>IFERROR(Table_Leaks2_Input[[#This Row],[Energy savings (kWh)]]*Input_AvgkWhRate, "")</f>
        <v/>
      </c>
      <c r="P35" s="123" t="str">
        <f>IF(Table_Leaks2_Input[[#This Row],[Pressure at leak (psig)]]="", "",Table_Leaks2_Input[[#This Row],[Total equipment cost]]+Table_Leaks2_Input[[#This Row],[Total labor cost]])</f>
        <v/>
      </c>
      <c r="Q35" s="123" t="str">
        <f>IFERROR(Table_Leaks2_Input[[#This Row],[Gross measure cost]]-Table_Leaks2_Input[[#This Row],[Estimated incentive]], "")</f>
        <v/>
      </c>
      <c r="R35" s="124" t="str">
        <f t="shared" si="0"/>
        <v/>
      </c>
      <c r="S35" s="126">
        <f>IF(OR(Table_Leaks2_Input[[#This Row],[Pressure at leak (psig)]]=0, Table_Leaks2_Input[[#This Row],[Pressure at leak (psig)]]=""),0,IF(Table_Leaks2_Input[[#This Row],[Pressure at leak (psig)]]&lt;20, 10, MROUND(Table_Leaks2_Input[[#This Row],[Pressure at leak (psig)]], 25)))</f>
        <v>0</v>
      </c>
      <c r="T35" s="126">
        <f>ROUND(Table_Leaks2_Input[[#This Row],[dB reading]],-1)</f>
        <v>0</v>
      </c>
      <c r="U35" s="127" t="str">
        <f>_xlfn.CONCAT(Table_Leaks2_Input[[#This Row],[Rounded dB Reading]],"psig ", Table_Leaks2_Input[[#This Row],[Rounded PSIG]],"db")</f>
        <v>0psig 0db</v>
      </c>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x14ac:dyDescent="0.2">
      <c r="A36" s="75"/>
      <c r="B36" s="121">
        <v>232</v>
      </c>
      <c r="C36" s="128"/>
      <c r="D36" s="129"/>
      <c r="E36" s="130"/>
      <c r="F36" s="130"/>
      <c r="G36" s="130"/>
      <c r="H36" s="130"/>
      <c r="I36" s="131"/>
      <c r="J36" s="131"/>
      <c r="K36" s="122" t="str">
        <f>IFERROR(INDEX(TABLE_UE_dB[Leak Size (cfm)], MATCH(Table_Leaks2_Input[[#This Row],[Lookup Value]], TABLE_UE_dB[Lookup Value], 0)),"")</f>
        <v/>
      </c>
      <c r="L36" s="123" t="str">
        <f>IF(Table_Leaks2_Input[[#This Row],[Repaired (Y/N)]]="Yes", Value_LeakRepairIR, "")</f>
        <v/>
      </c>
      <c r="M36" s="124" t="str">
        <f>IFERROR(Table_Leaks2_Input[[#This Row],[Estimated leak size (cfm)]]*Value_WeightAvgCompEff*Value_SysAOH,"" )</f>
        <v/>
      </c>
      <c r="N36" s="125" t="str">
        <f>IFERROR(Table_Leaks2_Input[[#This Row],[Estimated leak size (cfm)]]*Value_WeightAvgCompEff,"" )</f>
        <v/>
      </c>
      <c r="O36" s="123" t="str">
        <f>IFERROR(Table_Leaks2_Input[[#This Row],[Energy savings (kWh)]]*Input_AvgkWhRate, "")</f>
        <v/>
      </c>
      <c r="P36" s="123" t="str">
        <f>IF(Table_Leaks2_Input[[#This Row],[Pressure at leak (psig)]]="", "",Table_Leaks2_Input[[#This Row],[Total equipment cost]]+Table_Leaks2_Input[[#This Row],[Total labor cost]])</f>
        <v/>
      </c>
      <c r="Q36" s="123" t="str">
        <f>IFERROR(Table_Leaks2_Input[[#This Row],[Gross measure cost]]-Table_Leaks2_Input[[#This Row],[Estimated incentive]], "")</f>
        <v/>
      </c>
      <c r="R36" s="124" t="str">
        <f t="shared" si="0"/>
        <v/>
      </c>
      <c r="S36" s="126">
        <f>IF(OR(Table_Leaks2_Input[[#This Row],[Pressure at leak (psig)]]=0, Table_Leaks2_Input[[#This Row],[Pressure at leak (psig)]]=""),0,IF(Table_Leaks2_Input[[#This Row],[Pressure at leak (psig)]]&lt;20, 10, MROUND(Table_Leaks2_Input[[#This Row],[Pressure at leak (psig)]], 25)))</f>
        <v>0</v>
      </c>
      <c r="T36" s="126">
        <f>ROUND(Table_Leaks2_Input[[#This Row],[dB reading]],-1)</f>
        <v>0</v>
      </c>
      <c r="U36" s="127" t="str">
        <f>_xlfn.CONCAT(Table_Leaks2_Input[[#This Row],[Rounded dB Reading]],"psig ", Table_Leaks2_Input[[#This Row],[Rounded PSIG]],"db")</f>
        <v>0psig 0db</v>
      </c>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x14ac:dyDescent="0.2">
      <c r="A37" s="75"/>
      <c r="B37" s="121">
        <v>233</v>
      </c>
      <c r="C37" s="128"/>
      <c r="D37" s="129"/>
      <c r="E37" s="130"/>
      <c r="F37" s="130"/>
      <c r="G37" s="130"/>
      <c r="H37" s="130"/>
      <c r="I37" s="131"/>
      <c r="J37" s="131"/>
      <c r="K37" s="122" t="str">
        <f>IFERROR(INDEX(TABLE_UE_dB[Leak Size (cfm)], MATCH(Table_Leaks2_Input[[#This Row],[Lookup Value]], TABLE_UE_dB[Lookup Value], 0)),"")</f>
        <v/>
      </c>
      <c r="L37" s="123" t="str">
        <f>IF(Table_Leaks2_Input[[#This Row],[Repaired (Y/N)]]="Yes", Value_LeakRepairIR, "")</f>
        <v/>
      </c>
      <c r="M37" s="124" t="str">
        <f>IFERROR(Table_Leaks2_Input[[#This Row],[Estimated leak size (cfm)]]*Value_WeightAvgCompEff*Value_SysAOH,"" )</f>
        <v/>
      </c>
      <c r="N37" s="125" t="str">
        <f>IFERROR(Table_Leaks2_Input[[#This Row],[Estimated leak size (cfm)]]*Value_WeightAvgCompEff,"" )</f>
        <v/>
      </c>
      <c r="O37" s="123" t="str">
        <f>IFERROR(Table_Leaks2_Input[[#This Row],[Energy savings (kWh)]]*Input_AvgkWhRate, "")</f>
        <v/>
      </c>
      <c r="P37" s="123" t="str">
        <f>IF(Table_Leaks2_Input[[#This Row],[Pressure at leak (psig)]]="", "",Table_Leaks2_Input[[#This Row],[Total equipment cost]]+Table_Leaks2_Input[[#This Row],[Total labor cost]])</f>
        <v/>
      </c>
      <c r="Q37" s="123" t="str">
        <f>IFERROR(Table_Leaks2_Input[[#This Row],[Gross measure cost]]-Table_Leaks2_Input[[#This Row],[Estimated incentive]], "")</f>
        <v/>
      </c>
      <c r="R37" s="124" t="str">
        <f t="shared" si="0"/>
        <v/>
      </c>
      <c r="S37" s="126">
        <f>IF(OR(Table_Leaks2_Input[[#This Row],[Pressure at leak (psig)]]=0, Table_Leaks2_Input[[#This Row],[Pressure at leak (psig)]]=""),0,IF(Table_Leaks2_Input[[#This Row],[Pressure at leak (psig)]]&lt;20, 10, MROUND(Table_Leaks2_Input[[#This Row],[Pressure at leak (psig)]], 25)))</f>
        <v>0</v>
      </c>
      <c r="T37" s="126">
        <f>ROUND(Table_Leaks2_Input[[#This Row],[dB reading]],-1)</f>
        <v>0</v>
      </c>
      <c r="U37" s="127" t="str">
        <f>_xlfn.CONCAT(Table_Leaks2_Input[[#This Row],[Rounded dB Reading]],"psig ", Table_Leaks2_Input[[#This Row],[Rounded PSIG]],"db")</f>
        <v>0psig 0db</v>
      </c>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x14ac:dyDescent="0.2">
      <c r="A38" s="75"/>
      <c r="B38" s="121">
        <v>234</v>
      </c>
      <c r="C38" s="128"/>
      <c r="D38" s="129"/>
      <c r="E38" s="130"/>
      <c r="F38" s="130"/>
      <c r="G38" s="130"/>
      <c r="H38" s="130"/>
      <c r="I38" s="131"/>
      <c r="J38" s="131"/>
      <c r="K38" s="122" t="str">
        <f>IFERROR(INDEX(TABLE_UE_dB[Leak Size (cfm)], MATCH(Table_Leaks2_Input[[#This Row],[Lookup Value]], TABLE_UE_dB[Lookup Value], 0)),"")</f>
        <v/>
      </c>
      <c r="L38" s="123" t="str">
        <f>IF(Table_Leaks2_Input[[#This Row],[Repaired (Y/N)]]="Yes", Value_LeakRepairIR, "")</f>
        <v/>
      </c>
      <c r="M38" s="124" t="str">
        <f>IFERROR(Table_Leaks2_Input[[#This Row],[Estimated leak size (cfm)]]*Value_WeightAvgCompEff*Value_SysAOH,"" )</f>
        <v/>
      </c>
      <c r="N38" s="125" t="str">
        <f>IFERROR(Table_Leaks2_Input[[#This Row],[Estimated leak size (cfm)]]*Value_WeightAvgCompEff,"" )</f>
        <v/>
      </c>
      <c r="O38" s="123" t="str">
        <f>IFERROR(Table_Leaks2_Input[[#This Row],[Energy savings (kWh)]]*Input_AvgkWhRate, "")</f>
        <v/>
      </c>
      <c r="P38" s="123" t="str">
        <f>IF(Table_Leaks2_Input[[#This Row],[Pressure at leak (psig)]]="", "",Table_Leaks2_Input[[#This Row],[Total equipment cost]]+Table_Leaks2_Input[[#This Row],[Total labor cost]])</f>
        <v/>
      </c>
      <c r="Q38" s="123" t="str">
        <f>IFERROR(Table_Leaks2_Input[[#This Row],[Gross measure cost]]-Table_Leaks2_Input[[#This Row],[Estimated incentive]], "")</f>
        <v/>
      </c>
      <c r="R38" s="124" t="str">
        <f t="shared" si="0"/>
        <v/>
      </c>
      <c r="S38" s="126">
        <f>IF(OR(Table_Leaks2_Input[[#This Row],[Pressure at leak (psig)]]=0, Table_Leaks2_Input[[#This Row],[Pressure at leak (psig)]]=""),0,IF(Table_Leaks2_Input[[#This Row],[Pressure at leak (psig)]]&lt;20, 10, MROUND(Table_Leaks2_Input[[#This Row],[Pressure at leak (psig)]], 25)))</f>
        <v>0</v>
      </c>
      <c r="T38" s="126">
        <f>ROUND(Table_Leaks2_Input[[#This Row],[dB reading]],-1)</f>
        <v>0</v>
      </c>
      <c r="U38" s="127" t="str">
        <f>_xlfn.CONCAT(Table_Leaks2_Input[[#This Row],[Rounded dB Reading]],"psig ", Table_Leaks2_Input[[#This Row],[Rounded PSIG]],"db")</f>
        <v>0psig 0db</v>
      </c>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x14ac:dyDescent="0.2">
      <c r="A39" s="75"/>
      <c r="B39" s="121">
        <v>235</v>
      </c>
      <c r="C39" s="128"/>
      <c r="D39" s="129"/>
      <c r="E39" s="130"/>
      <c r="F39" s="130"/>
      <c r="G39" s="130"/>
      <c r="H39" s="130"/>
      <c r="I39" s="131"/>
      <c r="J39" s="131"/>
      <c r="K39" s="122" t="str">
        <f>IFERROR(INDEX(TABLE_UE_dB[Leak Size (cfm)], MATCH(Table_Leaks2_Input[[#This Row],[Lookup Value]], TABLE_UE_dB[Lookup Value], 0)),"")</f>
        <v/>
      </c>
      <c r="L39" s="123" t="str">
        <f>IF(Table_Leaks2_Input[[#This Row],[Repaired (Y/N)]]="Yes", Value_LeakRepairIR, "")</f>
        <v/>
      </c>
      <c r="M39" s="124" t="str">
        <f>IFERROR(Table_Leaks2_Input[[#This Row],[Estimated leak size (cfm)]]*Value_WeightAvgCompEff*Value_SysAOH,"" )</f>
        <v/>
      </c>
      <c r="N39" s="125" t="str">
        <f>IFERROR(Table_Leaks2_Input[[#This Row],[Estimated leak size (cfm)]]*Value_WeightAvgCompEff,"" )</f>
        <v/>
      </c>
      <c r="O39" s="123" t="str">
        <f>IFERROR(Table_Leaks2_Input[[#This Row],[Energy savings (kWh)]]*Input_AvgkWhRate, "")</f>
        <v/>
      </c>
      <c r="P39" s="123" t="str">
        <f>IF(Table_Leaks2_Input[[#This Row],[Pressure at leak (psig)]]="", "",Table_Leaks2_Input[[#This Row],[Total equipment cost]]+Table_Leaks2_Input[[#This Row],[Total labor cost]])</f>
        <v/>
      </c>
      <c r="Q39" s="123" t="str">
        <f>IFERROR(Table_Leaks2_Input[[#This Row],[Gross measure cost]]-Table_Leaks2_Input[[#This Row],[Estimated incentive]], "")</f>
        <v/>
      </c>
      <c r="R39" s="124" t="str">
        <f t="shared" si="0"/>
        <v/>
      </c>
      <c r="S39" s="126">
        <f>IF(OR(Table_Leaks2_Input[[#This Row],[Pressure at leak (psig)]]=0, Table_Leaks2_Input[[#This Row],[Pressure at leak (psig)]]=""),0,IF(Table_Leaks2_Input[[#This Row],[Pressure at leak (psig)]]&lt;20, 10, MROUND(Table_Leaks2_Input[[#This Row],[Pressure at leak (psig)]], 25)))</f>
        <v>0</v>
      </c>
      <c r="T39" s="126">
        <f>ROUND(Table_Leaks2_Input[[#This Row],[dB reading]],-1)</f>
        <v>0</v>
      </c>
      <c r="U39" s="127" t="str">
        <f>_xlfn.CONCAT(Table_Leaks2_Input[[#This Row],[Rounded dB Reading]],"psig ", Table_Leaks2_Input[[#This Row],[Rounded PSIG]],"db")</f>
        <v>0psig 0db</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x14ac:dyDescent="0.2">
      <c r="A40" s="75"/>
      <c r="B40" s="121">
        <v>236</v>
      </c>
      <c r="C40" s="128"/>
      <c r="D40" s="129"/>
      <c r="E40" s="130"/>
      <c r="F40" s="130"/>
      <c r="G40" s="130"/>
      <c r="H40" s="130"/>
      <c r="I40" s="131"/>
      <c r="J40" s="131"/>
      <c r="K40" s="122" t="str">
        <f>IFERROR(INDEX(TABLE_UE_dB[Leak Size (cfm)], MATCH(Table_Leaks2_Input[[#This Row],[Lookup Value]], TABLE_UE_dB[Lookup Value], 0)),"")</f>
        <v/>
      </c>
      <c r="L40" s="123" t="str">
        <f>IF(Table_Leaks2_Input[[#This Row],[Repaired (Y/N)]]="Yes", Value_LeakRepairIR, "")</f>
        <v/>
      </c>
      <c r="M40" s="124" t="str">
        <f>IFERROR(Table_Leaks2_Input[[#This Row],[Estimated leak size (cfm)]]*Value_WeightAvgCompEff*Value_SysAOH,"" )</f>
        <v/>
      </c>
      <c r="N40" s="125" t="str">
        <f>IFERROR(Table_Leaks2_Input[[#This Row],[Estimated leak size (cfm)]]*Value_WeightAvgCompEff,"" )</f>
        <v/>
      </c>
      <c r="O40" s="123" t="str">
        <f>IFERROR(Table_Leaks2_Input[[#This Row],[Energy savings (kWh)]]*Input_AvgkWhRate, "")</f>
        <v/>
      </c>
      <c r="P40" s="123" t="str">
        <f>IF(Table_Leaks2_Input[[#This Row],[Pressure at leak (psig)]]="", "",Table_Leaks2_Input[[#This Row],[Total equipment cost]]+Table_Leaks2_Input[[#This Row],[Total labor cost]])</f>
        <v/>
      </c>
      <c r="Q40" s="123" t="str">
        <f>IFERROR(Table_Leaks2_Input[[#This Row],[Gross measure cost]]-Table_Leaks2_Input[[#This Row],[Estimated incentive]], "")</f>
        <v/>
      </c>
      <c r="R40" s="124" t="str">
        <f t="shared" si="0"/>
        <v/>
      </c>
      <c r="S40" s="126">
        <f>IF(OR(Table_Leaks2_Input[[#This Row],[Pressure at leak (psig)]]=0, Table_Leaks2_Input[[#This Row],[Pressure at leak (psig)]]=""),0,IF(Table_Leaks2_Input[[#This Row],[Pressure at leak (psig)]]&lt;20, 10, MROUND(Table_Leaks2_Input[[#This Row],[Pressure at leak (psig)]], 25)))</f>
        <v>0</v>
      </c>
      <c r="T40" s="126">
        <f>ROUND(Table_Leaks2_Input[[#This Row],[dB reading]],-1)</f>
        <v>0</v>
      </c>
      <c r="U40" s="127" t="str">
        <f>_xlfn.CONCAT(Table_Leaks2_Input[[#This Row],[Rounded dB Reading]],"psig ", Table_Leaks2_Input[[#This Row],[Rounded PSIG]],"db")</f>
        <v>0psig 0db</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x14ac:dyDescent="0.2">
      <c r="A41" s="75"/>
      <c r="B41" s="121">
        <v>237</v>
      </c>
      <c r="C41" s="128"/>
      <c r="D41" s="129"/>
      <c r="E41" s="130"/>
      <c r="F41" s="130"/>
      <c r="G41" s="130"/>
      <c r="H41" s="130"/>
      <c r="I41" s="131"/>
      <c r="J41" s="131"/>
      <c r="K41" s="122" t="str">
        <f>IFERROR(INDEX(TABLE_UE_dB[Leak Size (cfm)], MATCH(Table_Leaks2_Input[[#This Row],[Lookup Value]], TABLE_UE_dB[Lookup Value], 0)),"")</f>
        <v/>
      </c>
      <c r="L41" s="123" t="str">
        <f>IF(Table_Leaks2_Input[[#This Row],[Repaired (Y/N)]]="Yes", Value_LeakRepairIR, "")</f>
        <v/>
      </c>
      <c r="M41" s="124" t="str">
        <f>IFERROR(Table_Leaks2_Input[[#This Row],[Estimated leak size (cfm)]]*Value_WeightAvgCompEff*Value_SysAOH,"" )</f>
        <v/>
      </c>
      <c r="N41" s="125" t="str">
        <f>IFERROR(Table_Leaks2_Input[[#This Row],[Estimated leak size (cfm)]]*Value_WeightAvgCompEff,"" )</f>
        <v/>
      </c>
      <c r="O41" s="123" t="str">
        <f>IFERROR(Table_Leaks2_Input[[#This Row],[Energy savings (kWh)]]*Input_AvgkWhRate, "")</f>
        <v/>
      </c>
      <c r="P41" s="123" t="str">
        <f>IF(Table_Leaks2_Input[[#This Row],[Pressure at leak (psig)]]="", "",Table_Leaks2_Input[[#This Row],[Total equipment cost]]+Table_Leaks2_Input[[#This Row],[Total labor cost]])</f>
        <v/>
      </c>
      <c r="Q41" s="123" t="str">
        <f>IFERROR(Table_Leaks2_Input[[#This Row],[Gross measure cost]]-Table_Leaks2_Input[[#This Row],[Estimated incentive]], "")</f>
        <v/>
      </c>
      <c r="R41" s="124" t="str">
        <f t="shared" si="0"/>
        <v/>
      </c>
      <c r="S41" s="126">
        <f>IF(OR(Table_Leaks2_Input[[#This Row],[Pressure at leak (psig)]]=0, Table_Leaks2_Input[[#This Row],[Pressure at leak (psig)]]=""),0,IF(Table_Leaks2_Input[[#This Row],[Pressure at leak (psig)]]&lt;20, 10, MROUND(Table_Leaks2_Input[[#This Row],[Pressure at leak (psig)]], 25)))</f>
        <v>0</v>
      </c>
      <c r="T41" s="126">
        <f>ROUND(Table_Leaks2_Input[[#This Row],[dB reading]],-1)</f>
        <v>0</v>
      </c>
      <c r="U41" s="127" t="str">
        <f>_xlfn.CONCAT(Table_Leaks2_Input[[#This Row],[Rounded dB Reading]],"psig ", Table_Leaks2_Input[[#This Row],[Rounded PSIG]],"db")</f>
        <v>0psig 0db</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x14ac:dyDescent="0.2">
      <c r="A42" s="75"/>
      <c r="B42" s="121">
        <v>238</v>
      </c>
      <c r="C42" s="128"/>
      <c r="D42" s="129"/>
      <c r="E42" s="130"/>
      <c r="F42" s="130"/>
      <c r="G42" s="130"/>
      <c r="H42" s="130"/>
      <c r="I42" s="131"/>
      <c r="J42" s="131"/>
      <c r="K42" s="122" t="str">
        <f>IFERROR(INDEX(TABLE_UE_dB[Leak Size (cfm)], MATCH(Table_Leaks2_Input[[#This Row],[Lookup Value]], TABLE_UE_dB[Lookup Value], 0)),"")</f>
        <v/>
      </c>
      <c r="L42" s="123" t="str">
        <f>IF(Table_Leaks2_Input[[#This Row],[Repaired (Y/N)]]="Yes", Value_LeakRepairIR, "")</f>
        <v/>
      </c>
      <c r="M42" s="124" t="str">
        <f>IFERROR(Table_Leaks2_Input[[#This Row],[Estimated leak size (cfm)]]*Value_WeightAvgCompEff*Value_SysAOH,"" )</f>
        <v/>
      </c>
      <c r="N42" s="125" t="str">
        <f>IFERROR(Table_Leaks2_Input[[#This Row],[Estimated leak size (cfm)]]*Value_WeightAvgCompEff,"" )</f>
        <v/>
      </c>
      <c r="O42" s="123" t="str">
        <f>IFERROR(Table_Leaks2_Input[[#This Row],[Energy savings (kWh)]]*Input_AvgkWhRate, "")</f>
        <v/>
      </c>
      <c r="P42" s="123" t="str">
        <f>IF(Table_Leaks2_Input[[#This Row],[Pressure at leak (psig)]]="", "",Table_Leaks2_Input[[#This Row],[Total equipment cost]]+Table_Leaks2_Input[[#This Row],[Total labor cost]])</f>
        <v/>
      </c>
      <c r="Q42" s="123" t="str">
        <f>IFERROR(Table_Leaks2_Input[[#This Row],[Gross measure cost]]-Table_Leaks2_Input[[#This Row],[Estimated incentive]], "")</f>
        <v/>
      </c>
      <c r="R42" s="124" t="str">
        <f t="shared" si="0"/>
        <v/>
      </c>
      <c r="S42" s="126">
        <f>IF(OR(Table_Leaks2_Input[[#This Row],[Pressure at leak (psig)]]=0, Table_Leaks2_Input[[#This Row],[Pressure at leak (psig)]]=""),0,IF(Table_Leaks2_Input[[#This Row],[Pressure at leak (psig)]]&lt;20, 10, MROUND(Table_Leaks2_Input[[#This Row],[Pressure at leak (psig)]], 25)))</f>
        <v>0</v>
      </c>
      <c r="T42" s="126">
        <f>ROUND(Table_Leaks2_Input[[#This Row],[dB reading]],-1)</f>
        <v>0</v>
      </c>
      <c r="U42" s="127" t="str">
        <f>_xlfn.CONCAT(Table_Leaks2_Input[[#This Row],[Rounded dB Reading]],"psig ", Table_Leaks2_Input[[#This Row],[Rounded PSIG]],"db")</f>
        <v>0psig 0db</v>
      </c>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x14ac:dyDescent="0.2">
      <c r="A43" s="75"/>
      <c r="B43" s="121">
        <v>239</v>
      </c>
      <c r="C43" s="128"/>
      <c r="D43" s="129"/>
      <c r="E43" s="130"/>
      <c r="F43" s="130"/>
      <c r="G43" s="130"/>
      <c r="H43" s="130"/>
      <c r="I43" s="131"/>
      <c r="J43" s="131"/>
      <c r="K43" s="122" t="str">
        <f>IFERROR(INDEX(TABLE_UE_dB[Leak Size (cfm)], MATCH(Table_Leaks2_Input[[#This Row],[Lookup Value]], TABLE_UE_dB[Lookup Value], 0)),"")</f>
        <v/>
      </c>
      <c r="L43" s="123" t="str">
        <f>IF(Table_Leaks2_Input[[#This Row],[Repaired (Y/N)]]="Yes", Value_LeakRepairIR, "")</f>
        <v/>
      </c>
      <c r="M43" s="124" t="str">
        <f>IFERROR(Table_Leaks2_Input[[#This Row],[Estimated leak size (cfm)]]*Value_WeightAvgCompEff*Value_SysAOH,"" )</f>
        <v/>
      </c>
      <c r="N43" s="125" t="str">
        <f>IFERROR(Table_Leaks2_Input[[#This Row],[Estimated leak size (cfm)]]*Value_WeightAvgCompEff,"" )</f>
        <v/>
      </c>
      <c r="O43" s="123" t="str">
        <f>IFERROR(Table_Leaks2_Input[[#This Row],[Energy savings (kWh)]]*Input_AvgkWhRate, "")</f>
        <v/>
      </c>
      <c r="P43" s="123" t="str">
        <f>IF(Table_Leaks2_Input[[#This Row],[Pressure at leak (psig)]]="", "",Table_Leaks2_Input[[#This Row],[Total equipment cost]]+Table_Leaks2_Input[[#This Row],[Total labor cost]])</f>
        <v/>
      </c>
      <c r="Q43" s="123" t="str">
        <f>IFERROR(Table_Leaks2_Input[[#This Row],[Gross measure cost]]-Table_Leaks2_Input[[#This Row],[Estimated incentive]], "")</f>
        <v/>
      </c>
      <c r="R43" s="124" t="str">
        <f t="shared" si="0"/>
        <v/>
      </c>
      <c r="S43" s="126">
        <f>IF(OR(Table_Leaks2_Input[[#This Row],[Pressure at leak (psig)]]=0, Table_Leaks2_Input[[#This Row],[Pressure at leak (psig)]]=""),0,IF(Table_Leaks2_Input[[#This Row],[Pressure at leak (psig)]]&lt;20, 10, MROUND(Table_Leaks2_Input[[#This Row],[Pressure at leak (psig)]], 25)))</f>
        <v>0</v>
      </c>
      <c r="T43" s="126">
        <f>ROUND(Table_Leaks2_Input[[#This Row],[dB reading]],-1)</f>
        <v>0</v>
      </c>
      <c r="U43" s="127" t="str">
        <f>_xlfn.CONCAT(Table_Leaks2_Input[[#This Row],[Rounded dB Reading]],"psig ", Table_Leaks2_Input[[#This Row],[Rounded PSIG]],"db")</f>
        <v>0psig 0db</v>
      </c>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
      <c r="A44" s="75"/>
      <c r="B44" s="121">
        <v>240</v>
      </c>
      <c r="C44" s="128"/>
      <c r="D44" s="129"/>
      <c r="E44" s="130"/>
      <c r="F44" s="130"/>
      <c r="G44" s="130"/>
      <c r="H44" s="130"/>
      <c r="I44" s="131"/>
      <c r="J44" s="131"/>
      <c r="K44" s="122" t="str">
        <f>IFERROR(INDEX(TABLE_UE_dB[Leak Size (cfm)], MATCH(Table_Leaks2_Input[[#This Row],[Lookup Value]], TABLE_UE_dB[Lookup Value], 0)),"")</f>
        <v/>
      </c>
      <c r="L44" s="123" t="str">
        <f>IF(Table_Leaks2_Input[[#This Row],[Repaired (Y/N)]]="Yes", Value_LeakRepairIR, "")</f>
        <v/>
      </c>
      <c r="M44" s="124" t="str">
        <f>IFERROR(Table_Leaks2_Input[[#This Row],[Estimated leak size (cfm)]]*Value_WeightAvgCompEff*Value_SysAOH,"" )</f>
        <v/>
      </c>
      <c r="N44" s="125" t="str">
        <f>IFERROR(Table_Leaks2_Input[[#This Row],[Estimated leak size (cfm)]]*Value_WeightAvgCompEff,"" )</f>
        <v/>
      </c>
      <c r="O44" s="123" t="str">
        <f>IFERROR(Table_Leaks2_Input[[#This Row],[Energy savings (kWh)]]*Input_AvgkWhRate, "")</f>
        <v/>
      </c>
      <c r="P44" s="123" t="str">
        <f>IF(Table_Leaks2_Input[[#This Row],[Pressure at leak (psig)]]="", "",Table_Leaks2_Input[[#This Row],[Total equipment cost]]+Table_Leaks2_Input[[#This Row],[Total labor cost]])</f>
        <v/>
      </c>
      <c r="Q44" s="123" t="str">
        <f>IFERROR(Table_Leaks2_Input[[#This Row],[Gross measure cost]]-Table_Leaks2_Input[[#This Row],[Estimated incentive]], "")</f>
        <v/>
      </c>
      <c r="R44" s="124" t="str">
        <f t="shared" si="0"/>
        <v/>
      </c>
      <c r="S44" s="126">
        <f>IF(OR(Table_Leaks2_Input[[#This Row],[Pressure at leak (psig)]]=0, Table_Leaks2_Input[[#This Row],[Pressure at leak (psig)]]=""),0,IF(Table_Leaks2_Input[[#This Row],[Pressure at leak (psig)]]&lt;20, 10, MROUND(Table_Leaks2_Input[[#This Row],[Pressure at leak (psig)]], 25)))</f>
        <v>0</v>
      </c>
      <c r="T44" s="126">
        <f>ROUND(Table_Leaks2_Input[[#This Row],[dB reading]],-1)</f>
        <v>0</v>
      </c>
      <c r="U44" s="127" t="str">
        <f>_xlfn.CONCAT(Table_Leaks2_Input[[#This Row],[Rounded dB Reading]],"psig ", Table_Leaks2_Input[[#This Row],[Rounded PSIG]],"db")</f>
        <v>0psig 0db</v>
      </c>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row>
    <row r="45" spans="1:46" x14ac:dyDescent="0.2">
      <c r="A45" s="75"/>
      <c r="B45" s="121">
        <v>241</v>
      </c>
      <c r="C45" s="128"/>
      <c r="D45" s="129"/>
      <c r="E45" s="130"/>
      <c r="F45" s="130"/>
      <c r="G45" s="130"/>
      <c r="H45" s="130"/>
      <c r="I45" s="131"/>
      <c r="J45" s="131"/>
      <c r="K45" s="122" t="str">
        <f>IFERROR(INDEX(TABLE_UE_dB[Leak Size (cfm)], MATCH(Table_Leaks2_Input[[#This Row],[Lookup Value]], TABLE_UE_dB[Lookup Value], 0)),"")</f>
        <v/>
      </c>
      <c r="L45" s="123" t="str">
        <f>IF(Table_Leaks2_Input[[#This Row],[Repaired (Y/N)]]="Yes", Value_LeakRepairIR, "")</f>
        <v/>
      </c>
      <c r="M45" s="124" t="str">
        <f>IFERROR(Table_Leaks2_Input[[#This Row],[Estimated leak size (cfm)]]*Value_WeightAvgCompEff*Value_SysAOH,"" )</f>
        <v/>
      </c>
      <c r="N45" s="125" t="str">
        <f>IFERROR(Table_Leaks2_Input[[#This Row],[Estimated leak size (cfm)]]*Value_WeightAvgCompEff,"" )</f>
        <v/>
      </c>
      <c r="O45" s="123" t="str">
        <f>IFERROR(Table_Leaks2_Input[[#This Row],[Energy savings (kWh)]]*Input_AvgkWhRate, "")</f>
        <v/>
      </c>
      <c r="P45" s="123" t="str">
        <f>IF(Table_Leaks2_Input[[#This Row],[Pressure at leak (psig)]]="", "",Table_Leaks2_Input[[#This Row],[Total equipment cost]]+Table_Leaks2_Input[[#This Row],[Total labor cost]])</f>
        <v/>
      </c>
      <c r="Q45" s="123" t="str">
        <f>IFERROR(Table_Leaks2_Input[[#This Row],[Gross measure cost]]-Table_Leaks2_Input[[#This Row],[Estimated incentive]], "")</f>
        <v/>
      </c>
      <c r="R45" s="124" t="str">
        <f t="shared" si="0"/>
        <v/>
      </c>
      <c r="S45" s="126">
        <f>IF(OR(Table_Leaks2_Input[[#This Row],[Pressure at leak (psig)]]=0, Table_Leaks2_Input[[#This Row],[Pressure at leak (psig)]]=""),0,IF(Table_Leaks2_Input[[#This Row],[Pressure at leak (psig)]]&lt;20, 10, MROUND(Table_Leaks2_Input[[#This Row],[Pressure at leak (psig)]], 25)))</f>
        <v>0</v>
      </c>
      <c r="T45" s="126">
        <f>ROUND(Table_Leaks2_Input[[#This Row],[dB reading]],-1)</f>
        <v>0</v>
      </c>
      <c r="U45" s="127" t="str">
        <f>_xlfn.CONCAT(Table_Leaks2_Input[[#This Row],[Rounded dB Reading]],"psig ", Table_Leaks2_Input[[#This Row],[Rounded PSIG]],"db")</f>
        <v>0psig 0db</v>
      </c>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row>
    <row r="46" spans="1:46" x14ac:dyDescent="0.2">
      <c r="A46" s="75"/>
      <c r="B46" s="121">
        <v>242</v>
      </c>
      <c r="C46" s="128"/>
      <c r="D46" s="129"/>
      <c r="E46" s="130"/>
      <c r="F46" s="130"/>
      <c r="G46" s="130"/>
      <c r="H46" s="130"/>
      <c r="I46" s="131"/>
      <c r="J46" s="131"/>
      <c r="K46" s="122" t="str">
        <f>IFERROR(INDEX(TABLE_UE_dB[Leak Size (cfm)], MATCH(Table_Leaks2_Input[[#This Row],[Lookup Value]], TABLE_UE_dB[Lookup Value], 0)),"")</f>
        <v/>
      </c>
      <c r="L46" s="123" t="str">
        <f>IF(Table_Leaks2_Input[[#This Row],[Repaired (Y/N)]]="Yes", Value_LeakRepairIR, "")</f>
        <v/>
      </c>
      <c r="M46" s="124" t="str">
        <f>IFERROR(Table_Leaks2_Input[[#This Row],[Estimated leak size (cfm)]]*Value_WeightAvgCompEff*Value_SysAOH,"" )</f>
        <v/>
      </c>
      <c r="N46" s="125" t="str">
        <f>IFERROR(Table_Leaks2_Input[[#This Row],[Estimated leak size (cfm)]]*Value_WeightAvgCompEff,"" )</f>
        <v/>
      </c>
      <c r="O46" s="123" t="str">
        <f>IFERROR(Table_Leaks2_Input[[#This Row],[Energy savings (kWh)]]*Input_AvgkWhRate, "")</f>
        <v/>
      </c>
      <c r="P46" s="123" t="str">
        <f>IF(Table_Leaks2_Input[[#This Row],[Pressure at leak (psig)]]="", "",Table_Leaks2_Input[[#This Row],[Total equipment cost]]+Table_Leaks2_Input[[#This Row],[Total labor cost]])</f>
        <v/>
      </c>
      <c r="Q46" s="123" t="str">
        <f>IFERROR(Table_Leaks2_Input[[#This Row],[Gross measure cost]]-Table_Leaks2_Input[[#This Row],[Estimated incentive]], "")</f>
        <v/>
      </c>
      <c r="R46" s="124" t="str">
        <f t="shared" si="0"/>
        <v/>
      </c>
      <c r="S46" s="126">
        <f>IF(OR(Table_Leaks2_Input[[#This Row],[Pressure at leak (psig)]]=0, Table_Leaks2_Input[[#This Row],[Pressure at leak (psig)]]=""),0,IF(Table_Leaks2_Input[[#This Row],[Pressure at leak (psig)]]&lt;20, 10, MROUND(Table_Leaks2_Input[[#This Row],[Pressure at leak (psig)]], 25)))</f>
        <v>0</v>
      </c>
      <c r="T46" s="126">
        <f>ROUND(Table_Leaks2_Input[[#This Row],[dB reading]],-1)</f>
        <v>0</v>
      </c>
      <c r="U46" s="127" t="str">
        <f>_xlfn.CONCAT(Table_Leaks2_Input[[#This Row],[Rounded dB Reading]],"psig ", Table_Leaks2_Input[[#This Row],[Rounded PSIG]],"db")</f>
        <v>0psig 0db</v>
      </c>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row>
    <row r="47" spans="1:46" x14ac:dyDescent="0.2">
      <c r="A47" s="75"/>
      <c r="B47" s="121">
        <v>243</v>
      </c>
      <c r="C47" s="128"/>
      <c r="D47" s="129"/>
      <c r="E47" s="130"/>
      <c r="F47" s="130"/>
      <c r="G47" s="130"/>
      <c r="H47" s="130"/>
      <c r="I47" s="131"/>
      <c r="J47" s="131"/>
      <c r="K47" s="122" t="str">
        <f>IFERROR(INDEX(TABLE_UE_dB[Leak Size (cfm)], MATCH(Table_Leaks2_Input[[#This Row],[Lookup Value]], TABLE_UE_dB[Lookup Value], 0)),"")</f>
        <v/>
      </c>
      <c r="L47" s="123" t="str">
        <f>IF(Table_Leaks2_Input[[#This Row],[Repaired (Y/N)]]="Yes", Value_LeakRepairIR, "")</f>
        <v/>
      </c>
      <c r="M47" s="124" t="str">
        <f>IFERROR(Table_Leaks2_Input[[#This Row],[Estimated leak size (cfm)]]*Value_WeightAvgCompEff*Value_SysAOH,"" )</f>
        <v/>
      </c>
      <c r="N47" s="125" t="str">
        <f>IFERROR(Table_Leaks2_Input[[#This Row],[Estimated leak size (cfm)]]*Value_WeightAvgCompEff,"" )</f>
        <v/>
      </c>
      <c r="O47" s="123" t="str">
        <f>IFERROR(Table_Leaks2_Input[[#This Row],[Energy savings (kWh)]]*Input_AvgkWhRate, "")</f>
        <v/>
      </c>
      <c r="P47" s="123" t="str">
        <f>IF(Table_Leaks2_Input[[#This Row],[Pressure at leak (psig)]]="", "",Table_Leaks2_Input[[#This Row],[Total equipment cost]]+Table_Leaks2_Input[[#This Row],[Total labor cost]])</f>
        <v/>
      </c>
      <c r="Q47" s="123" t="str">
        <f>IFERROR(Table_Leaks2_Input[[#This Row],[Gross measure cost]]-Table_Leaks2_Input[[#This Row],[Estimated incentive]], "")</f>
        <v/>
      </c>
      <c r="R47" s="124" t="str">
        <f t="shared" si="0"/>
        <v/>
      </c>
      <c r="S47" s="126">
        <f>IF(OR(Table_Leaks2_Input[[#This Row],[Pressure at leak (psig)]]=0, Table_Leaks2_Input[[#This Row],[Pressure at leak (psig)]]=""),0,IF(Table_Leaks2_Input[[#This Row],[Pressure at leak (psig)]]&lt;20, 10, MROUND(Table_Leaks2_Input[[#This Row],[Pressure at leak (psig)]], 25)))</f>
        <v>0</v>
      </c>
      <c r="T47" s="126">
        <f>ROUND(Table_Leaks2_Input[[#This Row],[dB reading]],-1)</f>
        <v>0</v>
      </c>
      <c r="U47" s="127" t="str">
        <f>_xlfn.CONCAT(Table_Leaks2_Input[[#This Row],[Rounded dB Reading]],"psig ", Table_Leaks2_Input[[#This Row],[Rounded PSIG]],"db")</f>
        <v>0psig 0db</v>
      </c>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row>
    <row r="48" spans="1:46" x14ac:dyDescent="0.2">
      <c r="A48" s="75"/>
      <c r="B48" s="121">
        <v>244</v>
      </c>
      <c r="C48" s="128"/>
      <c r="D48" s="129"/>
      <c r="E48" s="130"/>
      <c r="F48" s="130"/>
      <c r="G48" s="130"/>
      <c r="H48" s="130"/>
      <c r="I48" s="131"/>
      <c r="J48" s="131"/>
      <c r="K48" s="122" t="str">
        <f>IFERROR(INDEX(TABLE_UE_dB[Leak Size (cfm)], MATCH(Table_Leaks2_Input[[#This Row],[Lookup Value]], TABLE_UE_dB[Lookup Value], 0)),"")</f>
        <v/>
      </c>
      <c r="L48" s="123" t="str">
        <f>IF(Table_Leaks2_Input[[#This Row],[Repaired (Y/N)]]="Yes", Value_LeakRepairIR, "")</f>
        <v/>
      </c>
      <c r="M48" s="124" t="str">
        <f>IFERROR(Table_Leaks2_Input[[#This Row],[Estimated leak size (cfm)]]*Value_WeightAvgCompEff*Value_SysAOH,"" )</f>
        <v/>
      </c>
      <c r="N48" s="125" t="str">
        <f>IFERROR(Table_Leaks2_Input[[#This Row],[Estimated leak size (cfm)]]*Value_WeightAvgCompEff,"" )</f>
        <v/>
      </c>
      <c r="O48" s="123" t="str">
        <f>IFERROR(Table_Leaks2_Input[[#This Row],[Energy savings (kWh)]]*Input_AvgkWhRate, "")</f>
        <v/>
      </c>
      <c r="P48" s="123" t="str">
        <f>IF(Table_Leaks2_Input[[#This Row],[Pressure at leak (psig)]]="", "",Table_Leaks2_Input[[#This Row],[Total equipment cost]]+Table_Leaks2_Input[[#This Row],[Total labor cost]])</f>
        <v/>
      </c>
      <c r="Q48" s="123" t="str">
        <f>IFERROR(Table_Leaks2_Input[[#This Row],[Gross measure cost]]-Table_Leaks2_Input[[#This Row],[Estimated incentive]], "")</f>
        <v/>
      </c>
      <c r="R48" s="124" t="str">
        <f t="shared" si="0"/>
        <v/>
      </c>
      <c r="S48" s="126">
        <f>IF(OR(Table_Leaks2_Input[[#This Row],[Pressure at leak (psig)]]=0, Table_Leaks2_Input[[#This Row],[Pressure at leak (psig)]]=""),0,IF(Table_Leaks2_Input[[#This Row],[Pressure at leak (psig)]]&lt;20, 10, MROUND(Table_Leaks2_Input[[#This Row],[Pressure at leak (psig)]], 25)))</f>
        <v>0</v>
      </c>
      <c r="T48" s="126">
        <f>ROUND(Table_Leaks2_Input[[#This Row],[dB reading]],-1)</f>
        <v>0</v>
      </c>
      <c r="U48" s="127" t="str">
        <f>_xlfn.CONCAT(Table_Leaks2_Input[[#This Row],[Rounded dB Reading]],"psig ", Table_Leaks2_Input[[#This Row],[Rounded PSIG]],"db")</f>
        <v>0psig 0db</v>
      </c>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row>
    <row r="49" spans="1:46" x14ac:dyDescent="0.2">
      <c r="A49" s="75"/>
      <c r="B49" s="121">
        <v>245</v>
      </c>
      <c r="C49" s="128"/>
      <c r="D49" s="129"/>
      <c r="E49" s="130"/>
      <c r="F49" s="130"/>
      <c r="G49" s="130"/>
      <c r="H49" s="130"/>
      <c r="I49" s="131"/>
      <c r="J49" s="131"/>
      <c r="K49" s="122" t="str">
        <f>IFERROR(INDEX(TABLE_UE_dB[Leak Size (cfm)], MATCH(Table_Leaks2_Input[[#This Row],[Lookup Value]], TABLE_UE_dB[Lookup Value], 0)),"")</f>
        <v/>
      </c>
      <c r="L49" s="123" t="str">
        <f>IF(Table_Leaks2_Input[[#This Row],[Repaired (Y/N)]]="Yes", Value_LeakRepairIR, "")</f>
        <v/>
      </c>
      <c r="M49" s="124" t="str">
        <f>IFERROR(Table_Leaks2_Input[[#This Row],[Estimated leak size (cfm)]]*Value_WeightAvgCompEff*Value_SysAOH,"" )</f>
        <v/>
      </c>
      <c r="N49" s="125" t="str">
        <f>IFERROR(Table_Leaks2_Input[[#This Row],[Estimated leak size (cfm)]]*Value_WeightAvgCompEff,"" )</f>
        <v/>
      </c>
      <c r="O49" s="123" t="str">
        <f>IFERROR(Table_Leaks2_Input[[#This Row],[Energy savings (kWh)]]*Input_AvgkWhRate, "")</f>
        <v/>
      </c>
      <c r="P49" s="123" t="str">
        <f>IF(Table_Leaks2_Input[[#This Row],[Pressure at leak (psig)]]="", "",Table_Leaks2_Input[[#This Row],[Total equipment cost]]+Table_Leaks2_Input[[#This Row],[Total labor cost]])</f>
        <v/>
      </c>
      <c r="Q49" s="123" t="str">
        <f>IFERROR(Table_Leaks2_Input[[#This Row],[Gross measure cost]]-Table_Leaks2_Input[[#This Row],[Estimated incentive]], "")</f>
        <v/>
      </c>
      <c r="R49" s="124" t="str">
        <f t="shared" si="0"/>
        <v/>
      </c>
      <c r="S49" s="126">
        <f>IF(OR(Table_Leaks2_Input[[#This Row],[Pressure at leak (psig)]]=0, Table_Leaks2_Input[[#This Row],[Pressure at leak (psig)]]=""),0,IF(Table_Leaks2_Input[[#This Row],[Pressure at leak (psig)]]&lt;20, 10, MROUND(Table_Leaks2_Input[[#This Row],[Pressure at leak (psig)]], 25)))</f>
        <v>0</v>
      </c>
      <c r="T49" s="126">
        <f>ROUND(Table_Leaks2_Input[[#This Row],[dB reading]],-1)</f>
        <v>0</v>
      </c>
      <c r="U49" s="127" t="str">
        <f>_xlfn.CONCAT(Table_Leaks2_Input[[#This Row],[Rounded dB Reading]],"psig ", Table_Leaks2_Input[[#This Row],[Rounded PSIG]],"db")</f>
        <v>0psig 0db</v>
      </c>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row>
    <row r="50" spans="1:46" x14ac:dyDescent="0.2">
      <c r="A50" s="75"/>
      <c r="B50" s="121">
        <v>246</v>
      </c>
      <c r="C50" s="128"/>
      <c r="D50" s="129"/>
      <c r="E50" s="130"/>
      <c r="F50" s="130"/>
      <c r="G50" s="130"/>
      <c r="H50" s="130"/>
      <c r="I50" s="131"/>
      <c r="J50" s="131"/>
      <c r="K50" s="122" t="str">
        <f>IFERROR(INDEX(TABLE_UE_dB[Leak Size (cfm)], MATCH(Table_Leaks2_Input[[#This Row],[Lookup Value]], TABLE_UE_dB[Lookup Value], 0)),"")</f>
        <v/>
      </c>
      <c r="L50" s="123" t="str">
        <f>IF(Table_Leaks2_Input[[#This Row],[Repaired (Y/N)]]="Yes", Value_LeakRepairIR, "")</f>
        <v/>
      </c>
      <c r="M50" s="124" t="str">
        <f>IFERROR(Table_Leaks2_Input[[#This Row],[Estimated leak size (cfm)]]*Value_WeightAvgCompEff*Value_SysAOH,"" )</f>
        <v/>
      </c>
      <c r="N50" s="125" t="str">
        <f>IFERROR(Table_Leaks2_Input[[#This Row],[Estimated leak size (cfm)]]*Value_WeightAvgCompEff,"" )</f>
        <v/>
      </c>
      <c r="O50" s="123" t="str">
        <f>IFERROR(Table_Leaks2_Input[[#This Row],[Energy savings (kWh)]]*Input_AvgkWhRate, "")</f>
        <v/>
      </c>
      <c r="P50" s="123" t="str">
        <f>IF(Table_Leaks2_Input[[#This Row],[Pressure at leak (psig)]]="", "",Table_Leaks2_Input[[#This Row],[Total equipment cost]]+Table_Leaks2_Input[[#This Row],[Total labor cost]])</f>
        <v/>
      </c>
      <c r="Q50" s="123" t="str">
        <f>IFERROR(Table_Leaks2_Input[[#This Row],[Gross measure cost]]-Table_Leaks2_Input[[#This Row],[Estimated incentive]], "")</f>
        <v/>
      </c>
      <c r="R50" s="124" t="str">
        <f t="shared" si="0"/>
        <v/>
      </c>
      <c r="S50" s="126">
        <f>IF(OR(Table_Leaks2_Input[[#This Row],[Pressure at leak (psig)]]=0, Table_Leaks2_Input[[#This Row],[Pressure at leak (psig)]]=""),0,IF(Table_Leaks2_Input[[#This Row],[Pressure at leak (psig)]]&lt;20, 10, MROUND(Table_Leaks2_Input[[#This Row],[Pressure at leak (psig)]], 25)))</f>
        <v>0</v>
      </c>
      <c r="T50" s="126">
        <f>ROUND(Table_Leaks2_Input[[#This Row],[dB reading]],-1)</f>
        <v>0</v>
      </c>
      <c r="U50" s="127" t="str">
        <f>_xlfn.CONCAT(Table_Leaks2_Input[[#This Row],[Rounded dB Reading]],"psig ", Table_Leaks2_Input[[#This Row],[Rounded PSIG]],"db")</f>
        <v>0psig 0db</v>
      </c>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row>
    <row r="51" spans="1:46" x14ac:dyDescent="0.2">
      <c r="A51" s="75"/>
      <c r="B51" s="121">
        <v>247</v>
      </c>
      <c r="C51" s="128"/>
      <c r="D51" s="129"/>
      <c r="E51" s="130"/>
      <c r="F51" s="130"/>
      <c r="G51" s="130"/>
      <c r="H51" s="130"/>
      <c r="I51" s="131"/>
      <c r="J51" s="131"/>
      <c r="K51" s="122" t="str">
        <f>IFERROR(INDEX(TABLE_UE_dB[Leak Size (cfm)], MATCH(Table_Leaks2_Input[[#This Row],[Lookup Value]], TABLE_UE_dB[Lookup Value], 0)),"")</f>
        <v/>
      </c>
      <c r="L51" s="123" t="str">
        <f>IF(Table_Leaks2_Input[[#This Row],[Repaired (Y/N)]]="Yes", Value_LeakRepairIR, "")</f>
        <v/>
      </c>
      <c r="M51" s="124" t="str">
        <f>IFERROR(Table_Leaks2_Input[[#This Row],[Estimated leak size (cfm)]]*Value_WeightAvgCompEff*Value_SysAOH,"" )</f>
        <v/>
      </c>
      <c r="N51" s="125" t="str">
        <f>IFERROR(Table_Leaks2_Input[[#This Row],[Estimated leak size (cfm)]]*Value_WeightAvgCompEff,"" )</f>
        <v/>
      </c>
      <c r="O51" s="123" t="str">
        <f>IFERROR(Table_Leaks2_Input[[#This Row],[Energy savings (kWh)]]*Input_AvgkWhRate, "")</f>
        <v/>
      </c>
      <c r="P51" s="123" t="str">
        <f>IF(Table_Leaks2_Input[[#This Row],[Pressure at leak (psig)]]="", "",Table_Leaks2_Input[[#This Row],[Total equipment cost]]+Table_Leaks2_Input[[#This Row],[Total labor cost]])</f>
        <v/>
      </c>
      <c r="Q51" s="123" t="str">
        <f>IFERROR(Table_Leaks2_Input[[#This Row],[Gross measure cost]]-Table_Leaks2_Input[[#This Row],[Estimated incentive]], "")</f>
        <v/>
      </c>
      <c r="R51" s="124" t="str">
        <f t="shared" si="0"/>
        <v/>
      </c>
      <c r="S51" s="126">
        <f>IF(OR(Table_Leaks2_Input[[#This Row],[Pressure at leak (psig)]]=0, Table_Leaks2_Input[[#This Row],[Pressure at leak (psig)]]=""),0,IF(Table_Leaks2_Input[[#This Row],[Pressure at leak (psig)]]&lt;20, 10, MROUND(Table_Leaks2_Input[[#This Row],[Pressure at leak (psig)]], 25)))</f>
        <v>0</v>
      </c>
      <c r="T51" s="126">
        <f>ROUND(Table_Leaks2_Input[[#This Row],[dB reading]],-1)</f>
        <v>0</v>
      </c>
      <c r="U51" s="127" t="str">
        <f>_xlfn.CONCAT(Table_Leaks2_Input[[#This Row],[Rounded dB Reading]],"psig ", Table_Leaks2_Input[[#This Row],[Rounded PSIG]],"db")</f>
        <v>0psig 0db</v>
      </c>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row>
    <row r="52" spans="1:46" x14ac:dyDescent="0.2">
      <c r="A52" s="75"/>
      <c r="B52" s="121">
        <v>248</v>
      </c>
      <c r="C52" s="128"/>
      <c r="D52" s="129"/>
      <c r="E52" s="130"/>
      <c r="F52" s="130"/>
      <c r="G52" s="130"/>
      <c r="H52" s="130"/>
      <c r="I52" s="131"/>
      <c r="J52" s="131"/>
      <c r="K52" s="122" t="str">
        <f>IFERROR(INDEX(TABLE_UE_dB[Leak Size (cfm)], MATCH(Table_Leaks2_Input[[#This Row],[Lookup Value]], TABLE_UE_dB[Lookup Value], 0)),"")</f>
        <v/>
      </c>
      <c r="L52" s="123" t="str">
        <f>IF(Table_Leaks2_Input[[#This Row],[Repaired (Y/N)]]="Yes", Value_LeakRepairIR, "")</f>
        <v/>
      </c>
      <c r="M52" s="124" t="str">
        <f>IFERROR(Table_Leaks2_Input[[#This Row],[Estimated leak size (cfm)]]*Value_WeightAvgCompEff*Value_SysAOH,"" )</f>
        <v/>
      </c>
      <c r="N52" s="125" t="str">
        <f>IFERROR(Table_Leaks2_Input[[#This Row],[Estimated leak size (cfm)]]*Value_WeightAvgCompEff,"" )</f>
        <v/>
      </c>
      <c r="O52" s="123" t="str">
        <f>IFERROR(Table_Leaks2_Input[[#This Row],[Energy savings (kWh)]]*Input_AvgkWhRate, "")</f>
        <v/>
      </c>
      <c r="P52" s="123" t="str">
        <f>IF(Table_Leaks2_Input[[#This Row],[Pressure at leak (psig)]]="", "",Table_Leaks2_Input[[#This Row],[Total equipment cost]]+Table_Leaks2_Input[[#This Row],[Total labor cost]])</f>
        <v/>
      </c>
      <c r="Q52" s="123" t="str">
        <f>IFERROR(Table_Leaks2_Input[[#This Row],[Gross measure cost]]-Table_Leaks2_Input[[#This Row],[Estimated incentive]], "")</f>
        <v/>
      </c>
      <c r="R52" s="124" t="str">
        <f t="shared" si="0"/>
        <v/>
      </c>
      <c r="S52" s="126">
        <f>IF(OR(Table_Leaks2_Input[[#This Row],[Pressure at leak (psig)]]=0, Table_Leaks2_Input[[#This Row],[Pressure at leak (psig)]]=""),0,IF(Table_Leaks2_Input[[#This Row],[Pressure at leak (psig)]]&lt;20, 10, MROUND(Table_Leaks2_Input[[#This Row],[Pressure at leak (psig)]], 25)))</f>
        <v>0</v>
      </c>
      <c r="T52" s="126">
        <f>ROUND(Table_Leaks2_Input[[#This Row],[dB reading]],-1)</f>
        <v>0</v>
      </c>
      <c r="U52" s="127" t="str">
        <f>_xlfn.CONCAT(Table_Leaks2_Input[[#This Row],[Rounded dB Reading]],"psig ", Table_Leaks2_Input[[#This Row],[Rounded PSIG]],"db")</f>
        <v>0psig 0db</v>
      </c>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row>
    <row r="53" spans="1:46" x14ac:dyDescent="0.2">
      <c r="A53" s="75"/>
      <c r="B53" s="121">
        <v>249</v>
      </c>
      <c r="C53" s="128"/>
      <c r="D53" s="129"/>
      <c r="E53" s="130"/>
      <c r="F53" s="130"/>
      <c r="G53" s="130"/>
      <c r="H53" s="130"/>
      <c r="I53" s="131"/>
      <c r="J53" s="131"/>
      <c r="K53" s="122" t="str">
        <f>IFERROR(INDEX(TABLE_UE_dB[Leak Size (cfm)], MATCH(Table_Leaks2_Input[[#This Row],[Lookup Value]], TABLE_UE_dB[Lookup Value], 0)),"")</f>
        <v/>
      </c>
      <c r="L53" s="123" t="str">
        <f>IF(Table_Leaks2_Input[[#This Row],[Repaired (Y/N)]]="Yes", Value_LeakRepairIR, "")</f>
        <v/>
      </c>
      <c r="M53" s="124" t="str">
        <f>IFERROR(Table_Leaks2_Input[[#This Row],[Estimated leak size (cfm)]]*Value_WeightAvgCompEff*Value_SysAOH,"" )</f>
        <v/>
      </c>
      <c r="N53" s="125" t="str">
        <f>IFERROR(Table_Leaks2_Input[[#This Row],[Estimated leak size (cfm)]]*Value_WeightAvgCompEff,"" )</f>
        <v/>
      </c>
      <c r="O53" s="123" t="str">
        <f>IFERROR(Table_Leaks2_Input[[#This Row],[Energy savings (kWh)]]*Input_AvgkWhRate, "")</f>
        <v/>
      </c>
      <c r="P53" s="123" t="str">
        <f>IF(Table_Leaks2_Input[[#This Row],[Pressure at leak (psig)]]="", "",Table_Leaks2_Input[[#This Row],[Total equipment cost]]+Table_Leaks2_Input[[#This Row],[Total labor cost]])</f>
        <v/>
      </c>
      <c r="Q53" s="123" t="str">
        <f>IFERROR(Table_Leaks2_Input[[#This Row],[Gross measure cost]]-Table_Leaks2_Input[[#This Row],[Estimated incentive]], "")</f>
        <v/>
      </c>
      <c r="R53" s="124" t="str">
        <f t="shared" si="0"/>
        <v/>
      </c>
      <c r="S53" s="126">
        <f>IF(OR(Table_Leaks2_Input[[#This Row],[Pressure at leak (psig)]]=0, Table_Leaks2_Input[[#This Row],[Pressure at leak (psig)]]=""),0,IF(Table_Leaks2_Input[[#This Row],[Pressure at leak (psig)]]&lt;20, 10, MROUND(Table_Leaks2_Input[[#This Row],[Pressure at leak (psig)]], 25)))</f>
        <v>0</v>
      </c>
      <c r="T53" s="126">
        <f>ROUND(Table_Leaks2_Input[[#This Row],[dB reading]],-1)</f>
        <v>0</v>
      </c>
      <c r="U53" s="127" t="str">
        <f>_xlfn.CONCAT(Table_Leaks2_Input[[#This Row],[Rounded dB Reading]],"psig ", Table_Leaks2_Input[[#This Row],[Rounded PSIG]],"db")</f>
        <v>0psig 0db</v>
      </c>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row>
    <row r="54" spans="1:46" x14ac:dyDescent="0.2">
      <c r="A54" s="75"/>
      <c r="B54" s="121">
        <v>250</v>
      </c>
      <c r="C54" s="128"/>
      <c r="D54" s="129"/>
      <c r="E54" s="130"/>
      <c r="F54" s="130"/>
      <c r="G54" s="130"/>
      <c r="H54" s="130"/>
      <c r="I54" s="131"/>
      <c r="J54" s="131"/>
      <c r="K54" s="122" t="str">
        <f>IFERROR(INDEX(TABLE_UE_dB[Leak Size (cfm)], MATCH(Table_Leaks2_Input[[#This Row],[Lookup Value]], TABLE_UE_dB[Lookup Value], 0)),"")</f>
        <v/>
      </c>
      <c r="L54" s="123" t="str">
        <f>IF(Table_Leaks2_Input[[#This Row],[Repaired (Y/N)]]="Yes", Value_LeakRepairIR, "")</f>
        <v/>
      </c>
      <c r="M54" s="124" t="str">
        <f>IFERROR(Table_Leaks2_Input[[#This Row],[Estimated leak size (cfm)]]*Value_WeightAvgCompEff*Value_SysAOH,"" )</f>
        <v/>
      </c>
      <c r="N54" s="125" t="str">
        <f>IFERROR(Table_Leaks2_Input[[#This Row],[Estimated leak size (cfm)]]*Value_WeightAvgCompEff,"" )</f>
        <v/>
      </c>
      <c r="O54" s="123" t="str">
        <f>IFERROR(Table_Leaks2_Input[[#This Row],[Energy savings (kWh)]]*Input_AvgkWhRate, "")</f>
        <v/>
      </c>
      <c r="P54" s="123" t="str">
        <f>IF(Table_Leaks2_Input[[#This Row],[Pressure at leak (psig)]]="", "",Table_Leaks2_Input[[#This Row],[Total equipment cost]]+Table_Leaks2_Input[[#This Row],[Total labor cost]])</f>
        <v/>
      </c>
      <c r="Q54" s="123" t="str">
        <f>IFERROR(Table_Leaks2_Input[[#This Row],[Gross measure cost]]-Table_Leaks2_Input[[#This Row],[Estimated incentive]], "")</f>
        <v/>
      </c>
      <c r="R54" s="124" t="str">
        <f t="shared" si="0"/>
        <v/>
      </c>
      <c r="S54" s="126">
        <f>IF(OR(Table_Leaks2_Input[[#This Row],[Pressure at leak (psig)]]=0, Table_Leaks2_Input[[#This Row],[Pressure at leak (psig)]]=""),0,IF(Table_Leaks2_Input[[#This Row],[Pressure at leak (psig)]]&lt;20, 10, MROUND(Table_Leaks2_Input[[#This Row],[Pressure at leak (psig)]], 25)))</f>
        <v>0</v>
      </c>
      <c r="T54" s="126">
        <f>ROUND(Table_Leaks2_Input[[#This Row],[dB reading]],-1)</f>
        <v>0</v>
      </c>
      <c r="U54" s="127" t="str">
        <f>_xlfn.CONCAT(Table_Leaks2_Input[[#This Row],[Rounded dB Reading]],"psig ", Table_Leaks2_Input[[#This Row],[Rounded PSIG]],"db")</f>
        <v>0psig 0db</v>
      </c>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row>
    <row r="55" spans="1:46" x14ac:dyDescent="0.2">
      <c r="A55" s="75"/>
      <c r="B55" s="121">
        <v>251</v>
      </c>
      <c r="C55" s="128"/>
      <c r="D55" s="129"/>
      <c r="E55" s="130"/>
      <c r="F55" s="130"/>
      <c r="G55" s="130"/>
      <c r="H55" s="130"/>
      <c r="I55" s="131"/>
      <c r="J55" s="131"/>
      <c r="K55" s="122" t="str">
        <f>IFERROR(INDEX(TABLE_UE_dB[Leak Size (cfm)], MATCH(Table_Leaks2_Input[[#This Row],[Lookup Value]], TABLE_UE_dB[Lookup Value], 0)),"")</f>
        <v/>
      </c>
      <c r="L55" s="123" t="str">
        <f>IF(Table_Leaks2_Input[[#This Row],[Repaired (Y/N)]]="Yes", Value_LeakRepairIR, "")</f>
        <v/>
      </c>
      <c r="M55" s="124" t="str">
        <f>IFERROR(Table_Leaks2_Input[[#This Row],[Estimated leak size (cfm)]]*Value_WeightAvgCompEff*Value_SysAOH,"" )</f>
        <v/>
      </c>
      <c r="N55" s="125" t="str">
        <f>IFERROR(Table_Leaks2_Input[[#This Row],[Estimated leak size (cfm)]]*Value_WeightAvgCompEff,"" )</f>
        <v/>
      </c>
      <c r="O55" s="123" t="str">
        <f>IFERROR(Table_Leaks2_Input[[#This Row],[Energy savings (kWh)]]*Input_AvgkWhRate, "")</f>
        <v/>
      </c>
      <c r="P55" s="123" t="str">
        <f>IF(Table_Leaks2_Input[[#This Row],[Pressure at leak (psig)]]="", "",Table_Leaks2_Input[[#This Row],[Total equipment cost]]+Table_Leaks2_Input[[#This Row],[Total labor cost]])</f>
        <v/>
      </c>
      <c r="Q55" s="123" t="str">
        <f>IFERROR(Table_Leaks2_Input[[#This Row],[Gross measure cost]]-Table_Leaks2_Input[[#This Row],[Estimated incentive]], "")</f>
        <v/>
      </c>
      <c r="R55" s="124" t="str">
        <f t="shared" si="0"/>
        <v/>
      </c>
      <c r="S55" s="126">
        <f>IF(OR(Table_Leaks2_Input[[#This Row],[Pressure at leak (psig)]]=0, Table_Leaks2_Input[[#This Row],[Pressure at leak (psig)]]=""),0,IF(Table_Leaks2_Input[[#This Row],[Pressure at leak (psig)]]&lt;20, 10, MROUND(Table_Leaks2_Input[[#This Row],[Pressure at leak (psig)]], 25)))</f>
        <v>0</v>
      </c>
      <c r="T55" s="126">
        <f>ROUND(Table_Leaks2_Input[[#This Row],[dB reading]],-1)</f>
        <v>0</v>
      </c>
      <c r="U55" s="127" t="str">
        <f>_xlfn.CONCAT(Table_Leaks2_Input[[#This Row],[Rounded dB Reading]],"psig ", Table_Leaks2_Input[[#This Row],[Rounded PSIG]],"db")</f>
        <v>0psig 0db</v>
      </c>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row>
    <row r="56" spans="1:46" x14ac:dyDescent="0.2">
      <c r="A56" s="75"/>
      <c r="B56" s="121">
        <v>252</v>
      </c>
      <c r="C56" s="128"/>
      <c r="D56" s="129"/>
      <c r="E56" s="130"/>
      <c r="F56" s="130"/>
      <c r="G56" s="130"/>
      <c r="H56" s="130"/>
      <c r="I56" s="131"/>
      <c r="J56" s="131"/>
      <c r="K56" s="122" t="str">
        <f>IFERROR(INDEX(TABLE_UE_dB[Leak Size (cfm)], MATCH(Table_Leaks2_Input[[#This Row],[Lookup Value]], TABLE_UE_dB[Lookup Value], 0)),"")</f>
        <v/>
      </c>
      <c r="L56" s="123" t="str">
        <f>IF(Table_Leaks2_Input[[#This Row],[Repaired (Y/N)]]="Yes", Value_LeakRepairIR, "")</f>
        <v/>
      </c>
      <c r="M56" s="124" t="str">
        <f>IFERROR(Table_Leaks2_Input[[#This Row],[Estimated leak size (cfm)]]*Value_WeightAvgCompEff*Value_SysAOH,"" )</f>
        <v/>
      </c>
      <c r="N56" s="125" t="str">
        <f>IFERROR(Table_Leaks2_Input[[#This Row],[Estimated leak size (cfm)]]*Value_WeightAvgCompEff,"" )</f>
        <v/>
      </c>
      <c r="O56" s="123" t="str">
        <f>IFERROR(Table_Leaks2_Input[[#This Row],[Energy savings (kWh)]]*Input_AvgkWhRate, "")</f>
        <v/>
      </c>
      <c r="P56" s="123" t="str">
        <f>IF(Table_Leaks2_Input[[#This Row],[Pressure at leak (psig)]]="", "",Table_Leaks2_Input[[#This Row],[Total equipment cost]]+Table_Leaks2_Input[[#This Row],[Total labor cost]])</f>
        <v/>
      </c>
      <c r="Q56" s="123" t="str">
        <f>IFERROR(Table_Leaks2_Input[[#This Row],[Gross measure cost]]-Table_Leaks2_Input[[#This Row],[Estimated incentive]], "")</f>
        <v/>
      </c>
      <c r="R56" s="124" t="str">
        <f t="shared" si="0"/>
        <v/>
      </c>
      <c r="S56" s="126">
        <f>IF(OR(Table_Leaks2_Input[[#This Row],[Pressure at leak (psig)]]=0, Table_Leaks2_Input[[#This Row],[Pressure at leak (psig)]]=""),0,IF(Table_Leaks2_Input[[#This Row],[Pressure at leak (psig)]]&lt;20, 10, MROUND(Table_Leaks2_Input[[#This Row],[Pressure at leak (psig)]], 25)))</f>
        <v>0</v>
      </c>
      <c r="T56" s="126">
        <f>ROUND(Table_Leaks2_Input[[#This Row],[dB reading]],-1)</f>
        <v>0</v>
      </c>
      <c r="U56" s="127" t="str">
        <f>_xlfn.CONCAT(Table_Leaks2_Input[[#This Row],[Rounded dB Reading]],"psig ", Table_Leaks2_Input[[#This Row],[Rounded PSIG]],"db")</f>
        <v>0psig 0db</v>
      </c>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row>
    <row r="57" spans="1:46" x14ac:dyDescent="0.2">
      <c r="A57" s="75"/>
      <c r="B57" s="121">
        <v>253</v>
      </c>
      <c r="C57" s="128"/>
      <c r="D57" s="129"/>
      <c r="E57" s="130"/>
      <c r="F57" s="130"/>
      <c r="G57" s="130"/>
      <c r="H57" s="130"/>
      <c r="I57" s="131"/>
      <c r="J57" s="131"/>
      <c r="K57" s="122" t="str">
        <f>IFERROR(INDEX(TABLE_UE_dB[Leak Size (cfm)], MATCH(Table_Leaks2_Input[[#This Row],[Lookup Value]], TABLE_UE_dB[Lookup Value], 0)),"")</f>
        <v/>
      </c>
      <c r="L57" s="123" t="str">
        <f>IF(Table_Leaks2_Input[[#This Row],[Repaired (Y/N)]]="Yes", Value_LeakRepairIR, "")</f>
        <v/>
      </c>
      <c r="M57" s="124" t="str">
        <f>IFERROR(Table_Leaks2_Input[[#This Row],[Estimated leak size (cfm)]]*Value_WeightAvgCompEff*Value_SysAOH,"" )</f>
        <v/>
      </c>
      <c r="N57" s="125" t="str">
        <f>IFERROR(Table_Leaks2_Input[[#This Row],[Estimated leak size (cfm)]]*Value_WeightAvgCompEff,"" )</f>
        <v/>
      </c>
      <c r="O57" s="123" t="str">
        <f>IFERROR(Table_Leaks2_Input[[#This Row],[Energy savings (kWh)]]*Input_AvgkWhRate, "")</f>
        <v/>
      </c>
      <c r="P57" s="123" t="str">
        <f>IF(Table_Leaks2_Input[[#This Row],[Pressure at leak (psig)]]="", "",Table_Leaks2_Input[[#This Row],[Total equipment cost]]+Table_Leaks2_Input[[#This Row],[Total labor cost]])</f>
        <v/>
      </c>
      <c r="Q57" s="123" t="str">
        <f>IFERROR(Table_Leaks2_Input[[#This Row],[Gross measure cost]]-Table_Leaks2_Input[[#This Row],[Estimated incentive]], "")</f>
        <v/>
      </c>
      <c r="R57" s="124" t="str">
        <f t="shared" si="0"/>
        <v/>
      </c>
      <c r="S57" s="126">
        <f>IF(OR(Table_Leaks2_Input[[#This Row],[Pressure at leak (psig)]]=0, Table_Leaks2_Input[[#This Row],[Pressure at leak (psig)]]=""),0,IF(Table_Leaks2_Input[[#This Row],[Pressure at leak (psig)]]&lt;20, 10, MROUND(Table_Leaks2_Input[[#This Row],[Pressure at leak (psig)]], 25)))</f>
        <v>0</v>
      </c>
      <c r="T57" s="126">
        <f>ROUND(Table_Leaks2_Input[[#This Row],[dB reading]],-1)</f>
        <v>0</v>
      </c>
      <c r="U57" s="127" t="str">
        <f>_xlfn.CONCAT(Table_Leaks2_Input[[#This Row],[Rounded dB Reading]],"psig ", Table_Leaks2_Input[[#This Row],[Rounded PSIG]],"db")</f>
        <v>0psig 0db</v>
      </c>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row>
    <row r="58" spans="1:46" x14ac:dyDescent="0.2">
      <c r="A58" s="75"/>
      <c r="B58" s="121">
        <v>254</v>
      </c>
      <c r="C58" s="128"/>
      <c r="D58" s="129"/>
      <c r="E58" s="130"/>
      <c r="F58" s="130"/>
      <c r="G58" s="130"/>
      <c r="H58" s="130"/>
      <c r="I58" s="131"/>
      <c r="J58" s="131"/>
      <c r="K58" s="122" t="str">
        <f>IFERROR(INDEX(TABLE_UE_dB[Leak Size (cfm)], MATCH(Table_Leaks2_Input[[#This Row],[Lookup Value]], TABLE_UE_dB[Lookup Value], 0)),"")</f>
        <v/>
      </c>
      <c r="L58" s="123" t="str">
        <f>IF(Table_Leaks2_Input[[#This Row],[Repaired (Y/N)]]="Yes", Value_LeakRepairIR, "")</f>
        <v/>
      </c>
      <c r="M58" s="124" t="str">
        <f>IFERROR(Table_Leaks2_Input[[#This Row],[Estimated leak size (cfm)]]*Value_WeightAvgCompEff*Value_SysAOH,"" )</f>
        <v/>
      </c>
      <c r="N58" s="125" t="str">
        <f>IFERROR(Table_Leaks2_Input[[#This Row],[Estimated leak size (cfm)]]*Value_WeightAvgCompEff,"" )</f>
        <v/>
      </c>
      <c r="O58" s="123" t="str">
        <f>IFERROR(Table_Leaks2_Input[[#This Row],[Energy savings (kWh)]]*Input_AvgkWhRate, "")</f>
        <v/>
      </c>
      <c r="P58" s="123" t="str">
        <f>IF(Table_Leaks2_Input[[#This Row],[Pressure at leak (psig)]]="", "",Table_Leaks2_Input[[#This Row],[Total equipment cost]]+Table_Leaks2_Input[[#This Row],[Total labor cost]])</f>
        <v/>
      </c>
      <c r="Q58" s="123" t="str">
        <f>IFERROR(Table_Leaks2_Input[[#This Row],[Gross measure cost]]-Table_Leaks2_Input[[#This Row],[Estimated incentive]], "")</f>
        <v/>
      </c>
      <c r="R58" s="124" t="str">
        <f t="shared" si="0"/>
        <v/>
      </c>
      <c r="S58" s="126">
        <f>IF(OR(Table_Leaks2_Input[[#This Row],[Pressure at leak (psig)]]=0, Table_Leaks2_Input[[#This Row],[Pressure at leak (psig)]]=""),0,IF(Table_Leaks2_Input[[#This Row],[Pressure at leak (psig)]]&lt;20, 10, MROUND(Table_Leaks2_Input[[#This Row],[Pressure at leak (psig)]], 25)))</f>
        <v>0</v>
      </c>
      <c r="T58" s="126">
        <f>ROUND(Table_Leaks2_Input[[#This Row],[dB reading]],-1)</f>
        <v>0</v>
      </c>
      <c r="U58" s="127" t="str">
        <f>_xlfn.CONCAT(Table_Leaks2_Input[[#This Row],[Rounded dB Reading]],"psig ", Table_Leaks2_Input[[#This Row],[Rounded PSIG]],"db")</f>
        <v>0psig 0db</v>
      </c>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row>
    <row r="59" spans="1:46" x14ac:dyDescent="0.2">
      <c r="A59" s="75"/>
      <c r="B59" s="121">
        <v>255</v>
      </c>
      <c r="C59" s="128"/>
      <c r="D59" s="129"/>
      <c r="E59" s="130"/>
      <c r="F59" s="130"/>
      <c r="G59" s="130"/>
      <c r="H59" s="130"/>
      <c r="I59" s="131"/>
      <c r="J59" s="131"/>
      <c r="K59" s="122" t="str">
        <f>IFERROR(INDEX(TABLE_UE_dB[Leak Size (cfm)], MATCH(Table_Leaks2_Input[[#This Row],[Lookup Value]], TABLE_UE_dB[Lookup Value], 0)),"")</f>
        <v/>
      </c>
      <c r="L59" s="123" t="str">
        <f>IF(Table_Leaks2_Input[[#This Row],[Repaired (Y/N)]]="Yes", Value_LeakRepairIR, "")</f>
        <v/>
      </c>
      <c r="M59" s="124" t="str">
        <f>IFERROR(Table_Leaks2_Input[[#This Row],[Estimated leak size (cfm)]]*Value_WeightAvgCompEff*Value_SysAOH,"" )</f>
        <v/>
      </c>
      <c r="N59" s="125" t="str">
        <f>IFERROR(Table_Leaks2_Input[[#This Row],[Estimated leak size (cfm)]]*Value_WeightAvgCompEff,"" )</f>
        <v/>
      </c>
      <c r="O59" s="123" t="str">
        <f>IFERROR(Table_Leaks2_Input[[#This Row],[Energy savings (kWh)]]*Input_AvgkWhRate, "")</f>
        <v/>
      </c>
      <c r="P59" s="123" t="str">
        <f>IF(Table_Leaks2_Input[[#This Row],[Pressure at leak (psig)]]="", "",Table_Leaks2_Input[[#This Row],[Total equipment cost]]+Table_Leaks2_Input[[#This Row],[Total labor cost]])</f>
        <v/>
      </c>
      <c r="Q59" s="123" t="str">
        <f>IFERROR(Table_Leaks2_Input[[#This Row],[Gross measure cost]]-Table_Leaks2_Input[[#This Row],[Estimated incentive]], "")</f>
        <v/>
      </c>
      <c r="R59" s="124" t="str">
        <f t="shared" si="0"/>
        <v/>
      </c>
      <c r="S59" s="126">
        <f>IF(OR(Table_Leaks2_Input[[#This Row],[Pressure at leak (psig)]]=0, Table_Leaks2_Input[[#This Row],[Pressure at leak (psig)]]=""),0,IF(Table_Leaks2_Input[[#This Row],[Pressure at leak (psig)]]&lt;20, 10, MROUND(Table_Leaks2_Input[[#This Row],[Pressure at leak (psig)]], 25)))</f>
        <v>0</v>
      </c>
      <c r="T59" s="126">
        <f>ROUND(Table_Leaks2_Input[[#This Row],[dB reading]],-1)</f>
        <v>0</v>
      </c>
      <c r="U59" s="127" t="str">
        <f>_xlfn.CONCAT(Table_Leaks2_Input[[#This Row],[Rounded dB Reading]],"psig ", Table_Leaks2_Input[[#This Row],[Rounded PSIG]],"db")</f>
        <v>0psig 0db</v>
      </c>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row>
    <row r="60" spans="1:46" x14ac:dyDescent="0.2">
      <c r="A60" s="75"/>
      <c r="B60" s="121">
        <v>256</v>
      </c>
      <c r="C60" s="128"/>
      <c r="D60" s="129"/>
      <c r="E60" s="130"/>
      <c r="F60" s="130"/>
      <c r="G60" s="130"/>
      <c r="H60" s="130"/>
      <c r="I60" s="131"/>
      <c r="J60" s="131"/>
      <c r="K60" s="122" t="str">
        <f>IFERROR(INDEX(TABLE_UE_dB[Leak Size (cfm)], MATCH(Table_Leaks2_Input[[#This Row],[Lookup Value]], TABLE_UE_dB[Lookup Value], 0)),"")</f>
        <v/>
      </c>
      <c r="L60" s="123" t="str">
        <f>IF(Table_Leaks2_Input[[#This Row],[Repaired (Y/N)]]="Yes", Value_LeakRepairIR, "")</f>
        <v/>
      </c>
      <c r="M60" s="124" t="str">
        <f>IFERROR(Table_Leaks2_Input[[#This Row],[Estimated leak size (cfm)]]*Value_WeightAvgCompEff*Value_SysAOH,"" )</f>
        <v/>
      </c>
      <c r="N60" s="125" t="str">
        <f>IFERROR(Table_Leaks2_Input[[#This Row],[Estimated leak size (cfm)]]*Value_WeightAvgCompEff,"" )</f>
        <v/>
      </c>
      <c r="O60" s="123" t="str">
        <f>IFERROR(Table_Leaks2_Input[[#This Row],[Energy savings (kWh)]]*Input_AvgkWhRate, "")</f>
        <v/>
      </c>
      <c r="P60" s="123" t="str">
        <f>IF(Table_Leaks2_Input[[#This Row],[Pressure at leak (psig)]]="", "",Table_Leaks2_Input[[#This Row],[Total equipment cost]]+Table_Leaks2_Input[[#This Row],[Total labor cost]])</f>
        <v/>
      </c>
      <c r="Q60" s="123" t="str">
        <f>IFERROR(Table_Leaks2_Input[[#This Row],[Gross measure cost]]-Table_Leaks2_Input[[#This Row],[Estimated incentive]], "")</f>
        <v/>
      </c>
      <c r="R60" s="124" t="str">
        <f t="shared" si="0"/>
        <v/>
      </c>
      <c r="S60" s="126">
        <f>IF(OR(Table_Leaks2_Input[[#This Row],[Pressure at leak (psig)]]=0, Table_Leaks2_Input[[#This Row],[Pressure at leak (psig)]]=""),0,IF(Table_Leaks2_Input[[#This Row],[Pressure at leak (psig)]]&lt;20, 10, MROUND(Table_Leaks2_Input[[#This Row],[Pressure at leak (psig)]], 25)))</f>
        <v>0</v>
      </c>
      <c r="T60" s="126">
        <f>ROUND(Table_Leaks2_Input[[#This Row],[dB reading]],-1)</f>
        <v>0</v>
      </c>
      <c r="U60" s="127" t="str">
        <f>_xlfn.CONCAT(Table_Leaks2_Input[[#This Row],[Rounded dB Reading]],"psig ", Table_Leaks2_Input[[#This Row],[Rounded PSIG]],"db")</f>
        <v>0psig 0db</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row>
    <row r="61" spans="1:46" x14ac:dyDescent="0.2">
      <c r="A61" s="75"/>
      <c r="B61" s="121">
        <v>257</v>
      </c>
      <c r="C61" s="128"/>
      <c r="D61" s="129"/>
      <c r="E61" s="130"/>
      <c r="F61" s="130"/>
      <c r="G61" s="130"/>
      <c r="H61" s="130"/>
      <c r="I61" s="131"/>
      <c r="J61" s="131"/>
      <c r="K61" s="122" t="str">
        <f>IFERROR(INDEX(TABLE_UE_dB[Leak Size (cfm)], MATCH(Table_Leaks2_Input[[#This Row],[Lookup Value]], TABLE_UE_dB[Lookup Value], 0)),"")</f>
        <v/>
      </c>
      <c r="L61" s="123" t="str">
        <f>IF(Table_Leaks2_Input[[#This Row],[Repaired (Y/N)]]="Yes", Value_LeakRepairIR, "")</f>
        <v/>
      </c>
      <c r="M61" s="124" t="str">
        <f>IFERROR(Table_Leaks2_Input[[#This Row],[Estimated leak size (cfm)]]*Value_WeightAvgCompEff*Value_SysAOH,"" )</f>
        <v/>
      </c>
      <c r="N61" s="125" t="str">
        <f>IFERROR(Table_Leaks2_Input[[#This Row],[Estimated leak size (cfm)]]*Value_WeightAvgCompEff,"" )</f>
        <v/>
      </c>
      <c r="O61" s="123" t="str">
        <f>IFERROR(Table_Leaks2_Input[[#This Row],[Energy savings (kWh)]]*Input_AvgkWhRate, "")</f>
        <v/>
      </c>
      <c r="P61" s="123" t="str">
        <f>IF(Table_Leaks2_Input[[#This Row],[Pressure at leak (psig)]]="", "",Table_Leaks2_Input[[#This Row],[Total equipment cost]]+Table_Leaks2_Input[[#This Row],[Total labor cost]])</f>
        <v/>
      </c>
      <c r="Q61" s="123" t="str">
        <f>IFERROR(Table_Leaks2_Input[[#This Row],[Gross measure cost]]-Table_Leaks2_Input[[#This Row],[Estimated incentive]], "")</f>
        <v/>
      </c>
      <c r="R61" s="124" t="str">
        <f t="shared" si="0"/>
        <v/>
      </c>
      <c r="S61" s="126">
        <f>IF(OR(Table_Leaks2_Input[[#This Row],[Pressure at leak (psig)]]=0, Table_Leaks2_Input[[#This Row],[Pressure at leak (psig)]]=""),0,IF(Table_Leaks2_Input[[#This Row],[Pressure at leak (psig)]]&lt;20, 10, MROUND(Table_Leaks2_Input[[#This Row],[Pressure at leak (psig)]], 25)))</f>
        <v>0</v>
      </c>
      <c r="T61" s="126">
        <f>ROUND(Table_Leaks2_Input[[#This Row],[dB reading]],-1)</f>
        <v>0</v>
      </c>
      <c r="U61" s="127" t="str">
        <f>_xlfn.CONCAT(Table_Leaks2_Input[[#This Row],[Rounded dB Reading]],"psig ", Table_Leaks2_Input[[#This Row],[Rounded PSIG]],"db")</f>
        <v>0psig 0db</v>
      </c>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row>
    <row r="62" spans="1:46" x14ac:dyDescent="0.2">
      <c r="A62" s="75"/>
      <c r="B62" s="121">
        <v>258</v>
      </c>
      <c r="C62" s="128"/>
      <c r="D62" s="129"/>
      <c r="E62" s="130"/>
      <c r="F62" s="130"/>
      <c r="G62" s="130"/>
      <c r="H62" s="130"/>
      <c r="I62" s="131"/>
      <c r="J62" s="131"/>
      <c r="K62" s="122" t="str">
        <f>IFERROR(INDEX(TABLE_UE_dB[Leak Size (cfm)], MATCH(Table_Leaks2_Input[[#This Row],[Lookup Value]], TABLE_UE_dB[Lookup Value], 0)),"")</f>
        <v/>
      </c>
      <c r="L62" s="123" t="str">
        <f>IF(Table_Leaks2_Input[[#This Row],[Repaired (Y/N)]]="Yes", Value_LeakRepairIR, "")</f>
        <v/>
      </c>
      <c r="M62" s="124" t="str">
        <f>IFERROR(Table_Leaks2_Input[[#This Row],[Estimated leak size (cfm)]]*Value_WeightAvgCompEff*Value_SysAOH,"" )</f>
        <v/>
      </c>
      <c r="N62" s="125" t="str">
        <f>IFERROR(Table_Leaks2_Input[[#This Row],[Estimated leak size (cfm)]]*Value_WeightAvgCompEff,"" )</f>
        <v/>
      </c>
      <c r="O62" s="123" t="str">
        <f>IFERROR(Table_Leaks2_Input[[#This Row],[Energy savings (kWh)]]*Input_AvgkWhRate, "")</f>
        <v/>
      </c>
      <c r="P62" s="123" t="str">
        <f>IF(Table_Leaks2_Input[[#This Row],[Pressure at leak (psig)]]="", "",Table_Leaks2_Input[[#This Row],[Total equipment cost]]+Table_Leaks2_Input[[#This Row],[Total labor cost]])</f>
        <v/>
      </c>
      <c r="Q62" s="123" t="str">
        <f>IFERROR(Table_Leaks2_Input[[#This Row],[Gross measure cost]]-Table_Leaks2_Input[[#This Row],[Estimated incentive]], "")</f>
        <v/>
      </c>
      <c r="R62" s="124" t="str">
        <f t="shared" si="0"/>
        <v/>
      </c>
      <c r="S62" s="126">
        <f>IF(OR(Table_Leaks2_Input[[#This Row],[Pressure at leak (psig)]]=0, Table_Leaks2_Input[[#This Row],[Pressure at leak (psig)]]=""),0,IF(Table_Leaks2_Input[[#This Row],[Pressure at leak (psig)]]&lt;20, 10, MROUND(Table_Leaks2_Input[[#This Row],[Pressure at leak (psig)]], 25)))</f>
        <v>0</v>
      </c>
      <c r="T62" s="126">
        <f>ROUND(Table_Leaks2_Input[[#This Row],[dB reading]],-1)</f>
        <v>0</v>
      </c>
      <c r="U62" s="127" t="str">
        <f>_xlfn.CONCAT(Table_Leaks2_Input[[#This Row],[Rounded dB Reading]],"psig ", Table_Leaks2_Input[[#This Row],[Rounded PSIG]],"db")</f>
        <v>0psig 0db</v>
      </c>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row>
    <row r="63" spans="1:46" x14ac:dyDescent="0.2">
      <c r="A63" s="75"/>
      <c r="B63" s="121">
        <v>259</v>
      </c>
      <c r="C63" s="128"/>
      <c r="D63" s="129"/>
      <c r="E63" s="130"/>
      <c r="F63" s="130"/>
      <c r="G63" s="130"/>
      <c r="H63" s="130"/>
      <c r="I63" s="131"/>
      <c r="J63" s="131"/>
      <c r="K63" s="122" t="str">
        <f>IFERROR(INDEX(TABLE_UE_dB[Leak Size (cfm)], MATCH(Table_Leaks2_Input[[#This Row],[Lookup Value]], TABLE_UE_dB[Lookup Value], 0)),"")</f>
        <v/>
      </c>
      <c r="L63" s="123" t="str">
        <f>IF(Table_Leaks2_Input[[#This Row],[Repaired (Y/N)]]="Yes", Value_LeakRepairIR, "")</f>
        <v/>
      </c>
      <c r="M63" s="124" t="str">
        <f>IFERROR(Table_Leaks2_Input[[#This Row],[Estimated leak size (cfm)]]*Value_WeightAvgCompEff*Value_SysAOH,"" )</f>
        <v/>
      </c>
      <c r="N63" s="125" t="str">
        <f>IFERROR(Table_Leaks2_Input[[#This Row],[Estimated leak size (cfm)]]*Value_WeightAvgCompEff,"" )</f>
        <v/>
      </c>
      <c r="O63" s="123" t="str">
        <f>IFERROR(Table_Leaks2_Input[[#This Row],[Energy savings (kWh)]]*Input_AvgkWhRate, "")</f>
        <v/>
      </c>
      <c r="P63" s="123" t="str">
        <f>IF(Table_Leaks2_Input[[#This Row],[Pressure at leak (psig)]]="", "",Table_Leaks2_Input[[#This Row],[Total equipment cost]]+Table_Leaks2_Input[[#This Row],[Total labor cost]])</f>
        <v/>
      </c>
      <c r="Q63" s="123" t="str">
        <f>IFERROR(Table_Leaks2_Input[[#This Row],[Gross measure cost]]-Table_Leaks2_Input[[#This Row],[Estimated incentive]], "")</f>
        <v/>
      </c>
      <c r="R63" s="124" t="str">
        <f t="shared" si="0"/>
        <v/>
      </c>
      <c r="S63" s="126">
        <f>IF(OR(Table_Leaks2_Input[[#This Row],[Pressure at leak (psig)]]=0, Table_Leaks2_Input[[#This Row],[Pressure at leak (psig)]]=""),0,IF(Table_Leaks2_Input[[#This Row],[Pressure at leak (psig)]]&lt;20, 10, MROUND(Table_Leaks2_Input[[#This Row],[Pressure at leak (psig)]], 25)))</f>
        <v>0</v>
      </c>
      <c r="T63" s="126">
        <f>ROUND(Table_Leaks2_Input[[#This Row],[dB reading]],-1)</f>
        <v>0</v>
      </c>
      <c r="U63" s="127" t="str">
        <f>_xlfn.CONCAT(Table_Leaks2_Input[[#This Row],[Rounded dB Reading]],"psig ", Table_Leaks2_Input[[#This Row],[Rounded PSIG]],"db")</f>
        <v>0psig 0db</v>
      </c>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row>
    <row r="64" spans="1:46" x14ac:dyDescent="0.2">
      <c r="A64" s="75"/>
      <c r="B64" s="121">
        <v>260</v>
      </c>
      <c r="C64" s="128"/>
      <c r="D64" s="129"/>
      <c r="E64" s="130"/>
      <c r="F64" s="130"/>
      <c r="G64" s="130"/>
      <c r="H64" s="130"/>
      <c r="I64" s="131"/>
      <c r="J64" s="131"/>
      <c r="K64" s="122" t="str">
        <f>IFERROR(INDEX(TABLE_UE_dB[Leak Size (cfm)], MATCH(Table_Leaks2_Input[[#This Row],[Lookup Value]], TABLE_UE_dB[Lookup Value], 0)),"")</f>
        <v/>
      </c>
      <c r="L64" s="123" t="str">
        <f>IF(Table_Leaks2_Input[[#This Row],[Repaired (Y/N)]]="Yes", Value_LeakRepairIR, "")</f>
        <v/>
      </c>
      <c r="M64" s="124" t="str">
        <f>IFERROR(Table_Leaks2_Input[[#This Row],[Estimated leak size (cfm)]]*Value_WeightAvgCompEff*Value_SysAOH,"" )</f>
        <v/>
      </c>
      <c r="N64" s="125" t="str">
        <f>IFERROR(Table_Leaks2_Input[[#This Row],[Estimated leak size (cfm)]]*Value_WeightAvgCompEff,"" )</f>
        <v/>
      </c>
      <c r="O64" s="123" t="str">
        <f>IFERROR(Table_Leaks2_Input[[#This Row],[Energy savings (kWh)]]*Input_AvgkWhRate, "")</f>
        <v/>
      </c>
      <c r="P64" s="123" t="str">
        <f>IF(Table_Leaks2_Input[[#This Row],[Pressure at leak (psig)]]="", "",Table_Leaks2_Input[[#This Row],[Total equipment cost]]+Table_Leaks2_Input[[#This Row],[Total labor cost]])</f>
        <v/>
      </c>
      <c r="Q64" s="123" t="str">
        <f>IFERROR(Table_Leaks2_Input[[#This Row],[Gross measure cost]]-Table_Leaks2_Input[[#This Row],[Estimated incentive]], "")</f>
        <v/>
      </c>
      <c r="R64" s="124" t="str">
        <f t="shared" si="0"/>
        <v/>
      </c>
      <c r="S64" s="126">
        <f>IF(OR(Table_Leaks2_Input[[#This Row],[Pressure at leak (psig)]]=0, Table_Leaks2_Input[[#This Row],[Pressure at leak (psig)]]=""),0,IF(Table_Leaks2_Input[[#This Row],[Pressure at leak (psig)]]&lt;20, 10, MROUND(Table_Leaks2_Input[[#This Row],[Pressure at leak (psig)]], 25)))</f>
        <v>0</v>
      </c>
      <c r="T64" s="126">
        <f>ROUND(Table_Leaks2_Input[[#This Row],[dB reading]],-1)</f>
        <v>0</v>
      </c>
      <c r="U64" s="127" t="str">
        <f>_xlfn.CONCAT(Table_Leaks2_Input[[#This Row],[Rounded dB Reading]],"psig ", Table_Leaks2_Input[[#This Row],[Rounded PSIG]],"db")</f>
        <v>0psig 0db</v>
      </c>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row>
    <row r="65" spans="1:46" x14ac:dyDescent="0.2">
      <c r="A65" s="75"/>
      <c r="B65" s="121">
        <v>261</v>
      </c>
      <c r="C65" s="128"/>
      <c r="D65" s="129"/>
      <c r="E65" s="130"/>
      <c r="F65" s="130"/>
      <c r="G65" s="130"/>
      <c r="H65" s="130"/>
      <c r="I65" s="131"/>
      <c r="J65" s="131"/>
      <c r="K65" s="122" t="str">
        <f>IFERROR(INDEX(TABLE_UE_dB[Leak Size (cfm)], MATCH(Table_Leaks2_Input[[#This Row],[Lookup Value]], TABLE_UE_dB[Lookup Value], 0)),"")</f>
        <v/>
      </c>
      <c r="L65" s="123" t="str">
        <f>IF(Table_Leaks2_Input[[#This Row],[Repaired (Y/N)]]="Yes", Value_LeakRepairIR, "")</f>
        <v/>
      </c>
      <c r="M65" s="124" t="str">
        <f>IFERROR(Table_Leaks2_Input[[#This Row],[Estimated leak size (cfm)]]*Value_WeightAvgCompEff*Value_SysAOH,"" )</f>
        <v/>
      </c>
      <c r="N65" s="125" t="str">
        <f>IFERROR(Table_Leaks2_Input[[#This Row],[Estimated leak size (cfm)]]*Value_WeightAvgCompEff,"" )</f>
        <v/>
      </c>
      <c r="O65" s="123" t="str">
        <f>IFERROR(Table_Leaks2_Input[[#This Row],[Energy savings (kWh)]]*Input_AvgkWhRate, "")</f>
        <v/>
      </c>
      <c r="P65" s="123" t="str">
        <f>IF(Table_Leaks2_Input[[#This Row],[Pressure at leak (psig)]]="", "",Table_Leaks2_Input[[#This Row],[Total equipment cost]]+Table_Leaks2_Input[[#This Row],[Total labor cost]])</f>
        <v/>
      </c>
      <c r="Q65" s="123" t="str">
        <f>IFERROR(Table_Leaks2_Input[[#This Row],[Gross measure cost]]-Table_Leaks2_Input[[#This Row],[Estimated incentive]], "")</f>
        <v/>
      </c>
      <c r="R65" s="124" t="str">
        <f t="shared" si="0"/>
        <v/>
      </c>
      <c r="S65" s="126">
        <f>IF(OR(Table_Leaks2_Input[[#This Row],[Pressure at leak (psig)]]=0, Table_Leaks2_Input[[#This Row],[Pressure at leak (psig)]]=""),0,IF(Table_Leaks2_Input[[#This Row],[Pressure at leak (psig)]]&lt;20, 10, MROUND(Table_Leaks2_Input[[#This Row],[Pressure at leak (psig)]], 25)))</f>
        <v>0</v>
      </c>
      <c r="T65" s="126">
        <f>ROUND(Table_Leaks2_Input[[#This Row],[dB reading]],-1)</f>
        <v>0</v>
      </c>
      <c r="U65" s="127" t="str">
        <f>_xlfn.CONCAT(Table_Leaks2_Input[[#This Row],[Rounded dB Reading]],"psig ", Table_Leaks2_Input[[#This Row],[Rounded PSIG]],"db")</f>
        <v>0psig 0db</v>
      </c>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row>
    <row r="66" spans="1:46" x14ac:dyDescent="0.2">
      <c r="A66" s="75"/>
      <c r="B66" s="121">
        <v>262</v>
      </c>
      <c r="C66" s="128"/>
      <c r="D66" s="129"/>
      <c r="E66" s="130"/>
      <c r="F66" s="130"/>
      <c r="G66" s="130"/>
      <c r="H66" s="130"/>
      <c r="I66" s="131"/>
      <c r="J66" s="131"/>
      <c r="K66" s="122" t="str">
        <f>IFERROR(INDEX(TABLE_UE_dB[Leak Size (cfm)], MATCH(Table_Leaks2_Input[[#This Row],[Lookup Value]], TABLE_UE_dB[Lookup Value], 0)),"")</f>
        <v/>
      </c>
      <c r="L66" s="123" t="str">
        <f>IF(Table_Leaks2_Input[[#This Row],[Repaired (Y/N)]]="Yes", Value_LeakRepairIR, "")</f>
        <v/>
      </c>
      <c r="M66" s="124" t="str">
        <f>IFERROR(Table_Leaks2_Input[[#This Row],[Estimated leak size (cfm)]]*Value_WeightAvgCompEff*Value_SysAOH,"" )</f>
        <v/>
      </c>
      <c r="N66" s="125" t="str">
        <f>IFERROR(Table_Leaks2_Input[[#This Row],[Estimated leak size (cfm)]]*Value_WeightAvgCompEff,"" )</f>
        <v/>
      </c>
      <c r="O66" s="123" t="str">
        <f>IFERROR(Table_Leaks2_Input[[#This Row],[Energy savings (kWh)]]*Input_AvgkWhRate, "")</f>
        <v/>
      </c>
      <c r="P66" s="123" t="str">
        <f>IF(Table_Leaks2_Input[[#This Row],[Pressure at leak (psig)]]="", "",Table_Leaks2_Input[[#This Row],[Total equipment cost]]+Table_Leaks2_Input[[#This Row],[Total labor cost]])</f>
        <v/>
      </c>
      <c r="Q66" s="123" t="str">
        <f>IFERROR(Table_Leaks2_Input[[#This Row],[Gross measure cost]]-Table_Leaks2_Input[[#This Row],[Estimated incentive]], "")</f>
        <v/>
      </c>
      <c r="R66" s="124" t="str">
        <f t="shared" si="0"/>
        <v/>
      </c>
      <c r="S66" s="126">
        <f>IF(OR(Table_Leaks2_Input[[#This Row],[Pressure at leak (psig)]]=0, Table_Leaks2_Input[[#This Row],[Pressure at leak (psig)]]=""),0,IF(Table_Leaks2_Input[[#This Row],[Pressure at leak (psig)]]&lt;20, 10, MROUND(Table_Leaks2_Input[[#This Row],[Pressure at leak (psig)]], 25)))</f>
        <v>0</v>
      </c>
      <c r="T66" s="126">
        <f>ROUND(Table_Leaks2_Input[[#This Row],[dB reading]],-1)</f>
        <v>0</v>
      </c>
      <c r="U66" s="127" t="str">
        <f>_xlfn.CONCAT(Table_Leaks2_Input[[#This Row],[Rounded dB Reading]],"psig ", Table_Leaks2_Input[[#This Row],[Rounded PSIG]],"db")</f>
        <v>0psig 0db</v>
      </c>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row>
    <row r="67" spans="1:46" x14ac:dyDescent="0.2">
      <c r="A67" s="75"/>
      <c r="B67" s="121">
        <v>263</v>
      </c>
      <c r="C67" s="128"/>
      <c r="D67" s="129"/>
      <c r="E67" s="130"/>
      <c r="F67" s="130"/>
      <c r="G67" s="130"/>
      <c r="H67" s="130"/>
      <c r="I67" s="131"/>
      <c r="J67" s="131"/>
      <c r="K67" s="122" t="str">
        <f>IFERROR(INDEX(TABLE_UE_dB[Leak Size (cfm)], MATCH(Table_Leaks2_Input[[#This Row],[Lookup Value]], TABLE_UE_dB[Lookup Value], 0)),"")</f>
        <v/>
      </c>
      <c r="L67" s="123" t="str">
        <f>IF(Table_Leaks2_Input[[#This Row],[Repaired (Y/N)]]="Yes", Value_LeakRepairIR, "")</f>
        <v/>
      </c>
      <c r="M67" s="124" t="str">
        <f>IFERROR(Table_Leaks2_Input[[#This Row],[Estimated leak size (cfm)]]*Value_WeightAvgCompEff*Value_SysAOH,"" )</f>
        <v/>
      </c>
      <c r="N67" s="125" t="str">
        <f>IFERROR(Table_Leaks2_Input[[#This Row],[Estimated leak size (cfm)]]*Value_WeightAvgCompEff,"" )</f>
        <v/>
      </c>
      <c r="O67" s="123" t="str">
        <f>IFERROR(Table_Leaks2_Input[[#This Row],[Energy savings (kWh)]]*Input_AvgkWhRate, "")</f>
        <v/>
      </c>
      <c r="P67" s="123" t="str">
        <f>IF(Table_Leaks2_Input[[#This Row],[Pressure at leak (psig)]]="", "",Table_Leaks2_Input[[#This Row],[Total equipment cost]]+Table_Leaks2_Input[[#This Row],[Total labor cost]])</f>
        <v/>
      </c>
      <c r="Q67" s="123" t="str">
        <f>IFERROR(Table_Leaks2_Input[[#This Row],[Gross measure cost]]-Table_Leaks2_Input[[#This Row],[Estimated incentive]], "")</f>
        <v/>
      </c>
      <c r="R67" s="124" t="str">
        <f t="shared" si="0"/>
        <v/>
      </c>
      <c r="S67" s="126">
        <f>IF(OR(Table_Leaks2_Input[[#This Row],[Pressure at leak (psig)]]=0, Table_Leaks2_Input[[#This Row],[Pressure at leak (psig)]]=""),0,IF(Table_Leaks2_Input[[#This Row],[Pressure at leak (psig)]]&lt;20, 10, MROUND(Table_Leaks2_Input[[#This Row],[Pressure at leak (psig)]], 25)))</f>
        <v>0</v>
      </c>
      <c r="T67" s="126">
        <f>ROUND(Table_Leaks2_Input[[#This Row],[dB reading]],-1)</f>
        <v>0</v>
      </c>
      <c r="U67" s="127" t="str">
        <f>_xlfn.CONCAT(Table_Leaks2_Input[[#This Row],[Rounded dB Reading]],"psig ", Table_Leaks2_Input[[#This Row],[Rounded PSIG]],"db")</f>
        <v>0psig 0db</v>
      </c>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row>
    <row r="68" spans="1:46" x14ac:dyDescent="0.2">
      <c r="A68" s="75"/>
      <c r="B68" s="121">
        <v>264</v>
      </c>
      <c r="C68" s="128"/>
      <c r="D68" s="129"/>
      <c r="E68" s="130"/>
      <c r="F68" s="130"/>
      <c r="G68" s="130"/>
      <c r="H68" s="130"/>
      <c r="I68" s="131"/>
      <c r="J68" s="131"/>
      <c r="K68" s="122" t="str">
        <f>IFERROR(INDEX(TABLE_UE_dB[Leak Size (cfm)], MATCH(Table_Leaks2_Input[[#This Row],[Lookup Value]], TABLE_UE_dB[Lookup Value], 0)),"")</f>
        <v/>
      </c>
      <c r="L68" s="123" t="str">
        <f>IF(Table_Leaks2_Input[[#This Row],[Repaired (Y/N)]]="Yes", Value_LeakRepairIR, "")</f>
        <v/>
      </c>
      <c r="M68" s="124" t="str">
        <f>IFERROR(Table_Leaks2_Input[[#This Row],[Estimated leak size (cfm)]]*Value_WeightAvgCompEff*Value_SysAOH,"" )</f>
        <v/>
      </c>
      <c r="N68" s="125" t="str">
        <f>IFERROR(Table_Leaks2_Input[[#This Row],[Estimated leak size (cfm)]]*Value_WeightAvgCompEff,"" )</f>
        <v/>
      </c>
      <c r="O68" s="123" t="str">
        <f>IFERROR(Table_Leaks2_Input[[#This Row],[Energy savings (kWh)]]*Input_AvgkWhRate, "")</f>
        <v/>
      </c>
      <c r="P68" s="123" t="str">
        <f>IF(Table_Leaks2_Input[[#This Row],[Pressure at leak (psig)]]="", "",Table_Leaks2_Input[[#This Row],[Total equipment cost]]+Table_Leaks2_Input[[#This Row],[Total labor cost]])</f>
        <v/>
      </c>
      <c r="Q68" s="123" t="str">
        <f>IFERROR(Table_Leaks2_Input[[#This Row],[Gross measure cost]]-Table_Leaks2_Input[[#This Row],[Estimated incentive]], "")</f>
        <v/>
      </c>
      <c r="R68" s="124" t="str">
        <f t="shared" si="0"/>
        <v/>
      </c>
      <c r="S68" s="126">
        <f>IF(OR(Table_Leaks2_Input[[#This Row],[Pressure at leak (psig)]]=0, Table_Leaks2_Input[[#This Row],[Pressure at leak (psig)]]=""),0,IF(Table_Leaks2_Input[[#This Row],[Pressure at leak (psig)]]&lt;20, 10, MROUND(Table_Leaks2_Input[[#This Row],[Pressure at leak (psig)]], 25)))</f>
        <v>0</v>
      </c>
      <c r="T68" s="126">
        <f>ROUND(Table_Leaks2_Input[[#This Row],[dB reading]],-1)</f>
        <v>0</v>
      </c>
      <c r="U68" s="127" t="str">
        <f>_xlfn.CONCAT(Table_Leaks2_Input[[#This Row],[Rounded dB Reading]],"psig ", Table_Leaks2_Input[[#This Row],[Rounded PSIG]],"db")</f>
        <v>0psig 0db</v>
      </c>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row>
    <row r="69" spans="1:46" x14ac:dyDescent="0.2">
      <c r="A69" s="75"/>
      <c r="B69" s="121">
        <v>265</v>
      </c>
      <c r="C69" s="128"/>
      <c r="D69" s="129"/>
      <c r="E69" s="130"/>
      <c r="F69" s="130"/>
      <c r="G69" s="130"/>
      <c r="H69" s="130"/>
      <c r="I69" s="131"/>
      <c r="J69" s="131"/>
      <c r="K69" s="122" t="str">
        <f>IFERROR(INDEX(TABLE_UE_dB[Leak Size (cfm)], MATCH(Table_Leaks2_Input[[#This Row],[Lookup Value]], TABLE_UE_dB[Lookup Value], 0)),"")</f>
        <v/>
      </c>
      <c r="L69" s="123" t="str">
        <f>IF(Table_Leaks2_Input[[#This Row],[Repaired (Y/N)]]="Yes", Value_LeakRepairIR, "")</f>
        <v/>
      </c>
      <c r="M69" s="124" t="str">
        <f>IFERROR(Table_Leaks2_Input[[#This Row],[Estimated leak size (cfm)]]*Value_WeightAvgCompEff*Value_SysAOH,"" )</f>
        <v/>
      </c>
      <c r="N69" s="125" t="str">
        <f>IFERROR(Table_Leaks2_Input[[#This Row],[Estimated leak size (cfm)]]*Value_WeightAvgCompEff,"" )</f>
        <v/>
      </c>
      <c r="O69" s="123" t="str">
        <f>IFERROR(Table_Leaks2_Input[[#This Row],[Energy savings (kWh)]]*Input_AvgkWhRate, "")</f>
        <v/>
      </c>
      <c r="P69" s="123" t="str">
        <f>IF(Table_Leaks2_Input[[#This Row],[Pressure at leak (psig)]]="", "",Table_Leaks2_Input[[#This Row],[Total equipment cost]]+Table_Leaks2_Input[[#This Row],[Total labor cost]])</f>
        <v/>
      </c>
      <c r="Q69" s="123" t="str">
        <f>IFERROR(Table_Leaks2_Input[[#This Row],[Gross measure cost]]-Table_Leaks2_Input[[#This Row],[Estimated incentive]], "")</f>
        <v/>
      </c>
      <c r="R69" s="124" t="str">
        <f t="shared" ref="R69:R132" si="1">IFERROR($Q69/$O69,"")</f>
        <v/>
      </c>
      <c r="S69" s="126">
        <f>IF(OR(Table_Leaks2_Input[[#This Row],[Pressure at leak (psig)]]=0, Table_Leaks2_Input[[#This Row],[Pressure at leak (psig)]]=""),0,IF(Table_Leaks2_Input[[#This Row],[Pressure at leak (psig)]]&lt;20, 10, MROUND(Table_Leaks2_Input[[#This Row],[Pressure at leak (psig)]], 25)))</f>
        <v>0</v>
      </c>
      <c r="T69" s="126">
        <f>ROUND(Table_Leaks2_Input[[#This Row],[dB reading]],-1)</f>
        <v>0</v>
      </c>
      <c r="U69" s="127" t="str">
        <f>_xlfn.CONCAT(Table_Leaks2_Input[[#This Row],[Rounded dB Reading]],"psig ", Table_Leaks2_Input[[#This Row],[Rounded PSIG]],"db")</f>
        <v>0psig 0db</v>
      </c>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row>
    <row r="70" spans="1:46" x14ac:dyDescent="0.2">
      <c r="A70" s="75"/>
      <c r="B70" s="121">
        <v>266</v>
      </c>
      <c r="C70" s="128"/>
      <c r="D70" s="129"/>
      <c r="E70" s="130"/>
      <c r="F70" s="130"/>
      <c r="G70" s="130"/>
      <c r="H70" s="130"/>
      <c r="I70" s="131"/>
      <c r="J70" s="131"/>
      <c r="K70" s="122" t="str">
        <f>IFERROR(INDEX(TABLE_UE_dB[Leak Size (cfm)], MATCH(Table_Leaks2_Input[[#This Row],[Lookup Value]], TABLE_UE_dB[Lookup Value], 0)),"")</f>
        <v/>
      </c>
      <c r="L70" s="123" t="str">
        <f>IF(Table_Leaks2_Input[[#This Row],[Repaired (Y/N)]]="Yes", Value_LeakRepairIR, "")</f>
        <v/>
      </c>
      <c r="M70" s="124" t="str">
        <f>IFERROR(Table_Leaks2_Input[[#This Row],[Estimated leak size (cfm)]]*Value_WeightAvgCompEff*Value_SysAOH,"" )</f>
        <v/>
      </c>
      <c r="N70" s="125" t="str">
        <f>IFERROR(Table_Leaks2_Input[[#This Row],[Estimated leak size (cfm)]]*Value_WeightAvgCompEff,"" )</f>
        <v/>
      </c>
      <c r="O70" s="123" t="str">
        <f>IFERROR(Table_Leaks2_Input[[#This Row],[Energy savings (kWh)]]*Input_AvgkWhRate, "")</f>
        <v/>
      </c>
      <c r="P70" s="123" t="str">
        <f>IF(Table_Leaks2_Input[[#This Row],[Pressure at leak (psig)]]="", "",Table_Leaks2_Input[[#This Row],[Total equipment cost]]+Table_Leaks2_Input[[#This Row],[Total labor cost]])</f>
        <v/>
      </c>
      <c r="Q70" s="123" t="str">
        <f>IFERROR(Table_Leaks2_Input[[#This Row],[Gross measure cost]]-Table_Leaks2_Input[[#This Row],[Estimated incentive]], "")</f>
        <v/>
      </c>
      <c r="R70" s="124" t="str">
        <f t="shared" si="1"/>
        <v/>
      </c>
      <c r="S70" s="126">
        <f>IF(OR(Table_Leaks2_Input[[#This Row],[Pressure at leak (psig)]]=0, Table_Leaks2_Input[[#This Row],[Pressure at leak (psig)]]=""),0,IF(Table_Leaks2_Input[[#This Row],[Pressure at leak (psig)]]&lt;20, 10, MROUND(Table_Leaks2_Input[[#This Row],[Pressure at leak (psig)]], 25)))</f>
        <v>0</v>
      </c>
      <c r="T70" s="126">
        <f>ROUND(Table_Leaks2_Input[[#This Row],[dB reading]],-1)</f>
        <v>0</v>
      </c>
      <c r="U70" s="127" t="str">
        <f>_xlfn.CONCAT(Table_Leaks2_Input[[#This Row],[Rounded dB Reading]],"psig ", Table_Leaks2_Input[[#This Row],[Rounded PSIG]],"db")</f>
        <v>0psig 0db</v>
      </c>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row>
    <row r="71" spans="1:46" x14ac:dyDescent="0.2">
      <c r="A71" s="75"/>
      <c r="B71" s="121">
        <v>267</v>
      </c>
      <c r="C71" s="128"/>
      <c r="D71" s="129"/>
      <c r="E71" s="130"/>
      <c r="F71" s="130"/>
      <c r="G71" s="130"/>
      <c r="H71" s="130"/>
      <c r="I71" s="131"/>
      <c r="J71" s="131"/>
      <c r="K71" s="122" t="str">
        <f>IFERROR(INDEX(TABLE_UE_dB[Leak Size (cfm)], MATCH(Table_Leaks2_Input[[#This Row],[Lookup Value]], TABLE_UE_dB[Lookup Value], 0)),"")</f>
        <v/>
      </c>
      <c r="L71" s="123" t="str">
        <f>IF(Table_Leaks2_Input[[#This Row],[Repaired (Y/N)]]="Yes", Value_LeakRepairIR, "")</f>
        <v/>
      </c>
      <c r="M71" s="124" t="str">
        <f>IFERROR(Table_Leaks2_Input[[#This Row],[Estimated leak size (cfm)]]*Value_WeightAvgCompEff*Value_SysAOH,"" )</f>
        <v/>
      </c>
      <c r="N71" s="125" t="str">
        <f>IFERROR(Table_Leaks2_Input[[#This Row],[Estimated leak size (cfm)]]*Value_WeightAvgCompEff,"" )</f>
        <v/>
      </c>
      <c r="O71" s="123" t="str">
        <f>IFERROR(Table_Leaks2_Input[[#This Row],[Energy savings (kWh)]]*Input_AvgkWhRate, "")</f>
        <v/>
      </c>
      <c r="P71" s="123" t="str">
        <f>IF(Table_Leaks2_Input[[#This Row],[Pressure at leak (psig)]]="", "",Table_Leaks2_Input[[#This Row],[Total equipment cost]]+Table_Leaks2_Input[[#This Row],[Total labor cost]])</f>
        <v/>
      </c>
      <c r="Q71" s="123" t="str">
        <f>IFERROR(Table_Leaks2_Input[[#This Row],[Gross measure cost]]-Table_Leaks2_Input[[#This Row],[Estimated incentive]], "")</f>
        <v/>
      </c>
      <c r="R71" s="124" t="str">
        <f t="shared" si="1"/>
        <v/>
      </c>
      <c r="S71" s="126">
        <f>IF(OR(Table_Leaks2_Input[[#This Row],[Pressure at leak (psig)]]=0, Table_Leaks2_Input[[#This Row],[Pressure at leak (psig)]]=""),0,IF(Table_Leaks2_Input[[#This Row],[Pressure at leak (psig)]]&lt;20, 10, MROUND(Table_Leaks2_Input[[#This Row],[Pressure at leak (psig)]], 25)))</f>
        <v>0</v>
      </c>
      <c r="T71" s="126">
        <f>ROUND(Table_Leaks2_Input[[#This Row],[dB reading]],-1)</f>
        <v>0</v>
      </c>
      <c r="U71" s="127" t="str">
        <f>_xlfn.CONCAT(Table_Leaks2_Input[[#This Row],[Rounded dB Reading]],"psig ", Table_Leaks2_Input[[#This Row],[Rounded PSIG]],"db")</f>
        <v>0psig 0db</v>
      </c>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row>
    <row r="72" spans="1:46" x14ac:dyDescent="0.2">
      <c r="A72" s="75"/>
      <c r="B72" s="121">
        <v>268</v>
      </c>
      <c r="C72" s="128"/>
      <c r="D72" s="129"/>
      <c r="E72" s="130"/>
      <c r="F72" s="130"/>
      <c r="G72" s="130"/>
      <c r="H72" s="130"/>
      <c r="I72" s="131"/>
      <c r="J72" s="131"/>
      <c r="K72" s="122" t="str">
        <f>IFERROR(INDEX(TABLE_UE_dB[Leak Size (cfm)], MATCH(Table_Leaks2_Input[[#This Row],[Lookup Value]], TABLE_UE_dB[Lookup Value], 0)),"")</f>
        <v/>
      </c>
      <c r="L72" s="123" t="str">
        <f>IF(Table_Leaks2_Input[[#This Row],[Repaired (Y/N)]]="Yes", Value_LeakRepairIR, "")</f>
        <v/>
      </c>
      <c r="M72" s="124" t="str">
        <f>IFERROR(Table_Leaks2_Input[[#This Row],[Estimated leak size (cfm)]]*Value_WeightAvgCompEff*Value_SysAOH,"" )</f>
        <v/>
      </c>
      <c r="N72" s="125" t="str">
        <f>IFERROR(Table_Leaks2_Input[[#This Row],[Estimated leak size (cfm)]]*Value_WeightAvgCompEff,"" )</f>
        <v/>
      </c>
      <c r="O72" s="123" t="str">
        <f>IFERROR(Table_Leaks2_Input[[#This Row],[Energy savings (kWh)]]*Input_AvgkWhRate, "")</f>
        <v/>
      </c>
      <c r="P72" s="123" t="str">
        <f>IF(Table_Leaks2_Input[[#This Row],[Pressure at leak (psig)]]="", "",Table_Leaks2_Input[[#This Row],[Total equipment cost]]+Table_Leaks2_Input[[#This Row],[Total labor cost]])</f>
        <v/>
      </c>
      <c r="Q72" s="123" t="str">
        <f>IFERROR(Table_Leaks2_Input[[#This Row],[Gross measure cost]]-Table_Leaks2_Input[[#This Row],[Estimated incentive]], "")</f>
        <v/>
      </c>
      <c r="R72" s="124" t="str">
        <f t="shared" si="1"/>
        <v/>
      </c>
      <c r="S72" s="126">
        <f>IF(OR(Table_Leaks2_Input[[#This Row],[Pressure at leak (psig)]]=0, Table_Leaks2_Input[[#This Row],[Pressure at leak (psig)]]=""),0,IF(Table_Leaks2_Input[[#This Row],[Pressure at leak (psig)]]&lt;20, 10, MROUND(Table_Leaks2_Input[[#This Row],[Pressure at leak (psig)]], 25)))</f>
        <v>0</v>
      </c>
      <c r="T72" s="126">
        <f>ROUND(Table_Leaks2_Input[[#This Row],[dB reading]],-1)</f>
        <v>0</v>
      </c>
      <c r="U72" s="127" t="str">
        <f>_xlfn.CONCAT(Table_Leaks2_Input[[#This Row],[Rounded dB Reading]],"psig ", Table_Leaks2_Input[[#This Row],[Rounded PSIG]],"db")</f>
        <v>0psig 0db</v>
      </c>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row>
    <row r="73" spans="1:46" x14ac:dyDescent="0.2">
      <c r="A73" s="75"/>
      <c r="B73" s="121">
        <v>269</v>
      </c>
      <c r="C73" s="128"/>
      <c r="D73" s="129"/>
      <c r="E73" s="130"/>
      <c r="F73" s="130"/>
      <c r="G73" s="130"/>
      <c r="H73" s="130"/>
      <c r="I73" s="131"/>
      <c r="J73" s="131"/>
      <c r="K73" s="122" t="str">
        <f>IFERROR(INDEX(TABLE_UE_dB[Leak Size (cfm)], MATCH(Table_Leaks2_Input[[#This Row],[Lookup Value]], TABLE_UE_dB[Lookup Value], 0)),"")</f>
        <v/>
      </c>
      <c r="L73" s="123" t="str">
        <f>IF(Table_Leaks2_Input[[#This Row],[Repaired (Y/N)]]="Yes", Value_LeakRepairIR, "")</f>
        <v/>
      </c>
      <c r="M73" s="124" t="str">
        <f>IFERROR(Table_Leaks2_Input[[#This Row],[Estimated leak size (cfm)]]*Value_WeightAvgCompEff*Value_SysAOH,"" )</f>
        <v/>
      </c>
      <c r="N73" s="125" t="str">
        <f>IFERROR(Table_Leaks2_Input[[#This Row],[Estimated leak size (cfm)]]*Value_WeightAvgCompEff,"" )</f>
        <v/>
      </c>
      <c r="O73" s="123" t="str">
        <f>IFERROR(Table_Leaks2_Input[[#This Row],[Energy savings (kWh)]]*Input_AvgkWhRate, "")</f>
        <v/>
      </c>
      <c r="P73" s="123" t="str">
        <f>IF(Table_Leaks2_Input[[#This Row],[Pressure at leak (psig)]]="", "",Table_Leaks2_Input[[#This Row],[Total equipment cost]]+Table_Leaks2_Input[[#This Row],[Total labor cost]])</f>
        <v/>
      </c>
      <c r="Q73" s="123" t="str">
        <f>IFERROR(Table_Leaks2_Input[[#This Row],[Gross measure cost]]-Table_Leaks2_Input[[#This Row],[Estimated incentive]], "")</f>
        <v/>
      </c>
      <c r="R73" s="124" t="str">
        <f t="shared" si="1"/>
        <v/>
      </c>
      <c r="S73" s="126">
        <f>IF(OR(Table_Leaks2_Input[[#This Row],[Pressure at leak (psig)]]=0, Table_Leaks2_Input[[#This Row],[Pressure at leak (psig)]]=""),0,IF(Table_Leaks2_Input[[#This Row],[Pressure at leak (psig)]]&lt;20, 10, MROUND(Table_Leaks2_Input[[#This Row],[Pressure at leak (psig)]], 25)))</f>
        <v>0</v>
      </c>
      <c r="T73" s="126">
        <f>ROUND(Table_Leaks2_Input[[#This Row],[dB reading]],-1)</f>
        <v>0</v>
      </c>
      <c r="U73" s="127" t="str">
        <f>_xlfn.CONCAT(Table_Leaks2_Input[[#This Row],[Rounded dB Reading]],"psig ", Table_Leaks2_Input[[#This Row],[Rounded PSIG]],"db")</f>
        <v>0psig 0db</v>
      </c>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row>
    <row r="74" spans="1:46" x14ac:dyDescent="0.2">
      <c r="A74" s="75"/>
      <c r="B74" s="121">
        <v>270</v>
      </c>
      <c r="C74" s="128"/>
      <c r="D74" s="129"/>
      <c r="E74" s="130"/>
      <c r="F74" s="130"/>
      <c r="G74" s="130"/>
      <c r="H74" s="130"/>
      <c r="I74" s="131"/>
      <c r="J74" s="131"/>
      <c r="K74" s="122" t="str">
        <f>IFERROR(INDEX(TABLE_UE_dB[Leak Size (cfm)], MATCH(Table_Leaks2_Input[[#This Row],[Lookup Value]], TABLE_UE_dB[Lookup Value], 0)),"")</f>
        <v/>
      </c>
      <c r="L74" s="123" t="str">
        <f>IF(Table_Leaks2_Input[[#This Row],[Repaired (Y/N)]]="Yes", Value_LeakRepairIR, "")</f>
        <v/>
      </c>
      <c r="M74" s="124" t="str">
        <f>IFERROR(Table_Leaks2_Input[[#This Row],[Estimated leak size (cfm)]]*Value_WeightAvgCompEff*Value_SysAOH,"" )</f>
        <v/>
      </c>
      <c r="N74" s="125" t="str">
        <f>IFERROR(Table_Leaks2_Input[[#This Row],[Estimated leak size (cfm)]]*Value_WeightAvgCompEff,"" )</f>
        <v/>
      </c>
      <c r="O74" s="123" t="str">
        <f>IFERROR(Table_Leaks2_Input[[#This Row],[Energy savings (kWh)]]*Input_AvgkWhRate, "")</f>
        <v/>
      </c>
      <c r="P74" s="123" t="str">
        <f>IF(Table_Leaks2_Input[[#This Row],[Pressure at leak (psig)]]="", "",Table_Leaks2_Input[[#This Row],[Total equipment cost]]+Table_Leaks2_Input[[#This Row],[Total labor cost]])</f>
        <v/>
      </c>
      <c r="Q74" s="123" t="str">
        <f>IFERROR(Table_Leaks2_Input[[#This Row],[Gross measure cost]]-Table_Leaks2_Input[[#This Row],[Estimated incentive]], "")</f>
        <v/>
      </c>
      <c r="R74" s="124" t="str">
        <f t="shared" si="1"/>
        <v/>
      </c>
      <c r="S74" s="126">
        <f>IF(OR(Table_Leaks2_Input[[#This Row],[Pressure at leak (psig)]]=0, Table_Leaks2_Input[[#This Row],[Pressure at leak (psig)]]=""),0,IF(Table_Leaks2_Input[[#This Row],[Pressure at leak (psig)]]&lt;20, 10, MROUND(Table_Leaks2_Input[[#This Row],[Pressure at leak (psig)]], 25)))</f>
        <v>0</v>
      </c>
      <c r="T74" s="126">
        <f>ROUND(Table_Leaks2_Input[[#This Row],[dB reading]],-1)</f>
        <v>0</v>
      </c>
      <c r="U74" s="127" t="str">
        <f>_xlfn.CONCAT(Table_Leaks2_Input[[#This Row],[Rounded dB Reading]],"psig ", Table_Leaks2_Input[[#This Row],[Rounded PSIG]],"db")</f>
        <v>0psig 0db</v>
      </c>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6" x14ac:dyDescent="0.2">
      <c r="A75" s="75"/>
      <c r="B75" s="121">
        <v>271</v>
      </c>
      <c r="C75" s="128"/>
      <c r="D75" s="129"/>
      <c r="E75" s="130"/>
      <c r="F75" s="130"/>
      <c r="G75" s="130"/>
      <c r="H75" s="130"/>
      <c r="I75" s="131"/>
      <c r="J75" s="131"/>
      <c r="K75" s="122" t="str">
        <f>IFERROR(INDEX(TABLE_UE_dB[Leak Size (cfm)], MATCH(Table_Leaks2_Input[[#This Row],[Lookup Value]], TABLE_UE_dB[Lookup Value], 0)),"")</f>
        <v/>
      </c>
      <c r="L75" s="123" t="str">
        <f>IF(Table_Leaks2_Input[[#This Row],[Repaired (Y/N)]]="Yes", Value_LeakRepairIR, "")</f>
        <v/>
      </c>
      <c r="M75" s="124" t="str">
        <f>IFERROR(Table_Leaks2_Input[[#This Row],[Estimated leak size (cfm)]]*Value_WeightAvgCompEff*Value_SysAOH,"" )</f>
        <v/>
      </c>
      <c r="N75" s="125" t="str">
        <f>IFERROR(Table_Leaks2_Input[[#This Row],[Estimated leak size (cfm)]]*Value_WeightAvgCompEff,"" )</f>
        <v/>
      </c>
      <c r="O75" s="123" t="str">
        <f>IFERROR(Table_Leaks2_Input[[#This Row],[Energy savings (kWh)]]*Input_AvgkWhRate, "")</f>
        <v/>
      </c>
      <c r="P75" s="123" t="str">
        <f>IF(Table_Leaks2_Input[[#This Row],[Pressure at leak (psig)]]="", "",Table_Leaks2_Input[[#This Row],[Total equipment cost]]+Table_Leaks2_Input[[#This Row],[Total labor cost]])</f>
        <v/>
      </c>
      <c r="Q75" s="123" t="str">
        <f>IFERROR(Table_Leaks2_Input[[#This Row],[Gross measure cost]]-Table_Leaks2_Input[[#This Row],[Estimated incentive]], "")</f>
        <v/>
      </c>
      <c r="R75" s="124" t="str">
        <f t="shared" si="1"/>
        <v/>
      </c>
      <c r="S75" s="126">
        <f>IF(OR(Table_Leaks2_Input[[#This Row],[Pressure at leak (psig)]]=0, Table_Leaks2_Input[[#This Row],[Pressure at leak (psig)]]=""),0,IF(Table_Leaks2_Input[[#This Row],[Pressure at leak (psig)]]&lt;20, 10, MROUND(Table_Leaks2_Input[[#This Row],[Pressure at leak (psig)]], 25)))</f>
        <v>0</v>
      </c>
      <c r="T75" s="126">
        <f>ROUND(Table_Leaks2_Input[[#This Row],[dB reading]],-1)</f>
        <v>0</v>
      </c>
      <c r="U75" s="127" t="str">
        <f>_xlfn.CONCAT(Table_Leaks2_Input[[#This Row],[Rounded dB Reading]],"psig ", Table_Leaks2_Input[[#This Row],[Rounded PSIG]],"db")</f>
        <v>0psig 0db</v>
      </c>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row>
    <row r="76" spans="1:46" x14ac:dyDescent="0.2">
      <c r="A76" s="75"/>
      <c r="B76" s="121">
        <v>272</v>
      </c>
      <c r="C76" s="128"/>
      <c r="D76" s="129"/>
      <c r="E76" s="130"/>
      <c r="F76" s="130"/>
      <c r="G76" s="130"/>
      <c r="H76" s="130"/>
      <c r="I76" s="131"/>
      <c r="J76" s="131"/>
      <c r="K76" s="122" t="str">
        <f>IFERROR(INDEX(TABLE_UE_dB[Leak Size (cfm)], MATCH(Table_Leaks2_Input[[#This Row],[Lookup Value]], TABLE_UE_dB[Lookup Value], 0)),"")</f>
        <v/>
      </c>
      <c r="L76" s="123" t="str">
        <f>IF(Table_Leaks2_Input[[#This Row],[Repaired (Y/N)]]="Yes", Value_LeakRepairIR, "")</f>
        <v/>
      </c>
      <c r="M76" s="124" t="str">
        <f>IFERROR(Table_Leaks2_Input[[#This Row],[Estimated leak size (cfm)]]*Value_WeightAvgCompEff*Value_SysAOH,"" )</f>
        <v/>
      </c>
      <c r="N76" s="125" t="str">
        <f>IFERROR(Table_Leaks2_Input[[#This Row],[Estimated leak size (cfm)]]*Value_WeightAvgCompEff,"" )</f>
        <v/>
      </c>
      <c r="O76" s="123" t="str">
        <f>IFERROR(Table_Leaks2_Input[[#This Row],[Energy savings (kWh)]]*Input_AvgkWhRate, "")</f>
        <v/>
      </c>
      <c r="P76" s="123" t="str">
        <f>IF(Table_Leaks2_Input[[#This Row],[Pressure at leak (psig)]]="", "",Table_Leaks2_Input[[#This Row],[Total equipment cost]]+Table_Leaks2_Input[[#This Row],[Total labor cost]])</f>
        <v/>
      </c>
      <c r="Q76" s="123" t="str">
        <f>IFERROR(Table_Leaks2_Input[[#This Row],[Gross measure cost]]-Table_Leaks2_Input[[#This Row],[Estimated incentive]], "")</f>
        <v/>
      </c>
      <c r="R76" s="124" t="str">
        <f t="shared" si="1"/>
        <v/>
      </c>
      <c r="S76" s="126">
        <f>IF(OR(Table_Leaks2_Input[[#This Row],[Pressure at leak (psig)]]=0, Table_Leaks2_Input[[#This Row],[Pressure at leak (psig)]]=""),0,IF(Table_Leaks2_Input[[#This Row],[Pressure at leak (psig)]]&lt;20, 10, MROUND(Table_Leaks2_Input[[#This Row],[Pressure at leak (psig)]], 25)))</f>
        <v>0</v>
      </c>
      <c r="T76" s="126">
        <f>ROUND(Table_Leaks2_Input[[#This Row],[dB reading]],-1)</f>
        <v>0</v>
      </c>
      <c r="U76" s="127" t="str">
        <f>_xlfn.CONCAT(Table_Leaks2_Input[[#This Row],[Rounded dB Reading]],"psig ", Table_Leaks2_Input[[#This Row],[Rounded PSIG]],"db")</f>
        <v>0psig 0db</v>
      </c>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row>
    <row r="77" spans="1:46" x14ac:dyDescent="0.2">
      <c r="A77" s="75"/>
      <c r="B77" s="121">
        <v>273</v>
      </c>
      <c r="C77" s="128"/>
      <c r="D77" s="129"/>
      <c r="E77" s="130"/>
      <c r="F77" s="130"/>
      <c r="G77" s="130"/>
      <c r="H77" s="130"/>
      <c r="I77" s="131"/>
      <c r="J77" s="131"/>
      <c r="K77" s="122" t="str">
        <f>IFERROR(INDEX(TABLE_UE_dB[Leak Size (cfm)], MATCH(Table_Leaks2_Input[[#This Row],[Lookup Value]], TABLE_UE_dB[Lookup Value], 0)),"")</f>
        <v/>
      </c>
      <c r="L77" s="123" t="str">
        <f>IF(Table_Leaks2_Input[[#This Row],[Repaired (Y/N)]]="Yes", Value_LeakRepairIR, "")</f>
        <v/>
      </c>
      <c r="M77" s="124" t="str">
        <f>IFERROR(Table_Leaks2_Input[[#This Row],[Estimated leak size (cfm)]]*Value_WeightAvgCompEff*Value_SysAOH,"" )</f>
        <v/>
      </c>
      <c r="N77" s="125" t="str">
        <f>IFERROR(Table_Leaks2_Input[[#This Row],[Estimated leak size (cfm)]]*Value_WeightAvgCompEff,"" )</f>
        <v/>
      </c>
      <c r="O77" s="123" t="str">
        <f>IFERROR(Table_Leaks2_Input[[#This Row],[Energy savings (kWh)]]*Input_AvgkWhRate, "")</f>
        <v/>
      </c>
      <c r="P77" s="123" t="str">
        <f>IF(Table_Leaks2_Input[[#This Row],[Pressure at leak (psig)]]="", "",Table_Leaks2_Input[[#This Row],[Total equipment cost]]+Table_Leaks2_Input[[#This Row],[Total labor cost]])</f>
        <v/>
      </c>
      <c r="Q77" s="123" t="str">
        <f>IFERROR(Table_Leaks2_Input[[#This Row],[Gross measure cost]]-Table_Leaks2_Input[[#This Row],[Estimated incentive]], "")</f>
        <v/>
      </c>
      <c r="R77" s="124" t="str">
        <f t="shared" si="1"/>
        <v/>
      </c>
      <c r="S77" s="126">
        <f>IF(OR(Table_Leaks2_Input[[#This Row],[Pressure at leak (psig)]]=0, Table_Leaks2_Input[[#This Row],[Pressure at leak (psig)]]=""),0,IF(Table_Leaks2_Input[[#This Row],[Pressure at leak (psig)]]&lt;20, 10, MROUND(Table_Leaks2_Input[[#This Row],[Pressure at leak (psig)]], 25)))</f>
        <v>0</v>
      </c>
      <c r="T77" s="126">
        <f>ROUND(Table_Leaks2_Input[[#This Row],[dB reading]],-1)</f>
        <v>0</v>
      </c>
      <c r="U77" s="127" t="str">
        <f>_xlfn.CONCAT(Table_Leaks2_Input[[#This Row],[Rounded dB Reading]],"psig ", Table_Leaks2_Input[[#This Row],[Rounded PSIG]],"db")</f>
        <v>0psig 0db</v>
      </c>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row>
    <row r="78" spans="1:46" x14ac:dyDescent="0.2">
      <c r="A78" s="75"/>
      <c r="B78" s="121">
        <v>274</v>
      </c>
      <c r="C78" s="128"/>
      <c r="D78" s="129"/>
      <c r="E78" s="130"/>
      <c r="F78" s="130"/>
      <c r="G78" s="130"/>
      <c r="H78" s="130"/>
      <c r="I78" s="131"/>
      <c r="J78" s="131"/>
      <c r="K78" s="122" t="str">
        <f>IFERROR(INDEX(TABLE_UE_dB[Leak Size (cfm)], MATCH(Table_Leaks2_Input[[#This Row],[Lookup Value]], TABLE_UE_dB[Lookup Value], 0)),"")</f>
        <v/>
      </c>
      <c r="L78" s="123" t="str">
        <f>IF(Table_Leaks2_Input[[#This Row],[Repaired (Y/N)]]="Yes", Value_LeakRepairIR, "")</f>
        <v/>
      </c>
      <c r="M78" s="124" t="str">
        <f>IFERROR(Table_Leaks2_Input[[#This Row],[Estimated leak size (cfm)]]*Value_WeightAvgCompEff*Value_SysAOH,"" )</f>
        <v/>
      </c>
      <c r="N78" s="125" t="str">
        <f>IFERROR(Table_Leaks2_Input[[#This Row],[Estimated leak size (cfm)]]*Value_WeightAvgCompEff,"" )</f>
        <v/>
      </c>
      <c r="O78" s="123" t="str">
        <f>IFERROR(Table_Leaks2_Input[[#This Row],[Energy savings (kWh)]]*Input_AvgkWhRate, "")</f>
        <v/>
      </c>
      <c r="P78" s="123" t="str">
        <f>IF(Table_Leaks2_Input[[#This Row],[Pressure at leak (psig)]]="", "",Table_Leaks2_Input[[#This Row],[Total equipment cost]]+Table_Leaks2_Input[[#This Row],[Total labor cost]])</f>
        <v/>
      </c>
      <c r="Q78" s="123" t="str">
        <f>IFERROR(Table_Leaks2_Input[[#This Row],[Gross measure cost]]-Table_Leaks2_Input[[#This Row],[Estimated incentive]], "")</f>
        <v/>
      </c>
      <c r="R78" s="124" t="str">
        <f t="shared" si="1"/>
        <v/>
      </c>
      <c r="S78" s="126">
        <f>IF(OR(Table_Leaks2_Input[[#This Row],[Pressure at leak (psig)]]=0, Table_Leaks2_Input[[#This Row],[Pressure at leak (psig)]]=""),0,IF(Table_Leaks2_Input[[#This Row],[Pressure at leak (psig)]]&lt;20, 10, MROUND(Table_Leaks2_Input[[#This Row],[Pressure at leak (psig)]], 25)))</f>
        <v>0</v>
      </c>
      <c r="T78" s="126">
        <f>ROUND(Table_Leaks2_Input[[#This Row],[dB reading]],-1)</f>
        <v>0</v>
      </c>
      <c r="U78" s="127" t="str">
        <f>_xlfn.CONCAT(Table_Leaks2_Input[[#This Row],[Rounded dB Reading]],"psig ", Table_Leaks2_Input[[#This Row],[Rounded PSIG]],"db")</f>
        <v>0psig 0db</v>
      </c>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row>
    <row r="79" spans="1:46" x14ac:dyDescent="0.2">
      <c r="A79" s="75"/>
      <c r="B79" s="121">
        <v>275</v>
      </c>
      <c r="C79" s="128"/>
      <c r="D79" s="129"/>
      <c r="E79" s="130"/>
      <c r="F79" s="130"/>
      <c r="G79" s="130"/>
      <c r="H79" s="130"/>
      <c r="I79" s="131"/>
      <c r="J79" s="131"/>
      <c r="K79" s="122" t="str">
        <f>IFERROR(INDEX(TABLE_UE_dB[Leak Size (cfm)], MATCH(Table_Leaks2_Input[[#This Row],[Lookup Value]], TABLE_UE_dB[Lookup Value], 0)),"")</f>
        <v/>
      </c>
      <c r="L79" s="123" t="str">
        <f>IF(Table_Leaks2_Input[[#This Row],[Repaired (Y/N)]]="Yes", Value_LeakRepairIR, "")</f>
        <v/>
      </c>
      <c r="M79" s="124" t="str">
        <f>IFERROR(Table_Leaks2_Input[[#This Row],[Estimated leak size (cfm)]]*Value_WeightAvgCompEff*Value_SysAOH,"" )</f>
        <v/>
      </c>
      <c r="N79" s="125" t="str">
        <f>IFERROR(Table_Leaks2_Input[[#This Row],[Estimated leak size (cfm)]]*Value_WeightAvgCompEff,"" )</f>
        <v/>
      </c>
      <c r="O79" s="123" t="str">
        <f>IFERROR(Table_Leaks2_Input[[#This Row],[Energy savings (kWh)]]*Input_AvgkWhRate, "")</f>
        <v/>
      </c>
      <c r="P79" s="123" t="str">
        <f>IF(Table_Leaks2_Input[[#This Row],[Pressure at leak (psig)]]="", "",Table_Leaks2_Input[[#This Row],[Total equipment cost]]+Table_Leaks2_Input[[#This Row],[Total labor cost]])</f>
        <v/>
      </c>
      <c r="Q79" s="123" t="str">
        <f>IFERROR(Table_Leaks2_Input[[#This Row],[Gross measure cost]]-Table_Leaks2_Input[[#This Row],[Estimated incentive]], "")</f>
        <v/>
      </c>
      <c r="R79" s="124" t="str">
        <f t="shared" si="1"/>
        <v/>
      </c>
      <c r="S79" s="126">
        <f>IF(OR(Table_Leaks2_Input[[#This Row],[Pressure at leak (psig)]]=0, Table_Leaks2_Input[[#This Row],[Pressure at leak (psig)]]=""),0,IF(Table_Leaks2_Input[[#This Row],[Pressure at leak (psig)]]&lt;20, 10, MROUND(Table_Leaks2_Input[[#This Row],[Pressure at leak (psig)]], 25)))</f>
        <v>0</v>
      </c>
      <c r="T79" s="126">
        <f>ROUND(Table_Leaks2_Input[[#This Row],[dB reading]],-1)</f>
        <v>0</v>
      </c>
      <c r="U79" s="127" t="str">
        <f>_xlfn.CONCAT(Table_Leaks2_Input[[#This Row],[Rounded dB Reading]],"psig ", Table_Leaks2_Input[[#This Row],[Rounded PSIG]],"db")</f>
        <v>0psig 0db</v>
      </c>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row>
    <row r="80" spans="1:46" x14ac:dyDescent="0.2">
      <c r="A80" s="75"/>
      <c r="B80" s="121">
        <v>276</v>
      </c>
      <c r="C80" s="128"/>
      <c r="D80" s="129"/>
      <c r="E80" s="130"/>
      <c r="F80" s="130"/>
      <c r="G80" s="130"/>
      <c r="H80" s="130"/>
      <c r="I80" s="131"/>
      <c r="J80" s="131"/>
      <c r="K80" s="122" t="str">
        <f>IFERROR(INDEX(TABLE_UE_dB[Leak Size (cfm)], MATCH(Table_Leaks2_Input[[#This Row],[Lookup Value]], TABLE_UE_dB[Lookup Value], 0)),"")</f>
        <v/>
      </c>
      <c r="L80" s="123" t="str">
        <f>IF(Table_Leaks2_Input[[#This Row],[Repaired (Y/N)]]="Yes", Value_LeakRepairIR, "")</f>
        <v/>
      </c>
      <c r="M80" s="124" t="str">
        <f>IFERROR(Table_Leaks2_Input[[#This Row],[Estimated leak size (cfm)]]*Value_WeightAvgCompEff*Value_SysAOH,"" )</f>
        <v/>
      </c>
      <c r="N80" s="125" t="str">
        <f>IFERROR(Table_Leaks2_Input[[#This Row],[Estimated leak size (cfm)]]*Value_WeightAvgCompEff,"" )</f>
        <v/>
      </c>
      <c r="O80" s="123" t="str">
        <f>IFERROR(Table_Leaks2_Input[[#This Row],[Energy savings (kWh)]]*Input_AvgkWhRate, "")</f>
        <v/>
      </c>
      <c r="P80" s="123" t="str">
        <f>IF(Table_Leaks2_Input[[#This Row],[Pressure at leak (psig)]]="", "",Table_Leaks2_Input[[#This Row],[Total equipment cost]]+Table_Leaks2_Input[[#This Row],[Total labor cost]])</f>
        <v/>
      </c>
      <c r="Q80" s="123" t="str">
        <f>IFERROR(Table_Leaks2_Input[[#This Row],[Gross measure cost]]-Table_Leaks2_Input[[#This Row],[Estimated incentive]], "")</f>
        <v/>
      </c>
      <c r="R80" s="124" t="str">
        <f t="shared" si="1"/>
        <v/>
      </c>
      <c r="S80" s="126">
        <f>IF(OR(Table_Leaks2_Input[[#This Row],[Pressure at leak (psig)]]=0, Table_Leaks2_Input[[#This Row],[Pressure at leak (psig)]]=""),0,IF(Table_Leaks2_Input[[#This Row],[Pressure at leak (psig)]]&lt;20, 10, MROUND(Table_Leaks2_Input[[#This Row],[Pressure at leak (psig)]], 25)))</f>
        <v>0</v>
      </c>
      <c r="T80" s="126">
        <f>ROUND(Table_Leaks2_Input[[#This Row],[dB reading]],-1)</f>
        <v>0</v>
      </c>
      <c r="U80" s="127" t="str">
        <f>_xlfn.CONCAT(Table_Leaks2_Input[[#This Row],[Rounded dB Reading]],"psig ", Table_Leaks2_Input[[#This Row],[Rounded PSIG]],"db")</f>
        <v>0psig 0db</v>
      </c>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row>
    <row r="81" spans="1:46" x14ac:dyDescent="0.2">
      <c r="A81" s="75"/>
      <c r="B81" s="121">
        <v>277</v>
      </c>
      <c r="C81" s="128"/>
      <c r="D81" s="129"/>
      <c r="E81" s="130"/>
      <c r="F81" s="130"/>
      <c r="G81" s="130"/>
      <c r="H81" s="130"/>
      <c r="I81" s="131"/>
      <c r="J81" s="131"/>
      <c r="K81" s="122" t="str">
        <f>IFERROR(INDEX(TABLE_UE_dB[Leak Size (cfm)], MATCH(Table_Leaks2_Input[[#This Row],[Lookup Value]], TABLE_UE_dB[Lookup Value], 0)),"")</f>
        <v/>
      </c>
      <c r="L81" s="123" t="str">
        <f>IF(Table_Leaks2_Input[[#This Row],[Repaired (Y/N)]]="Yes", Value_LeakRepairIR, "")</f>
        <v/>
      </c>
      <c r="M81" s="124" t="str">
        <f>IFERROR(Table_Leaks2_Input[[#This Row],[Estimated leak size (cfm)]]*Value_WeightAvgCompEff*Value_SysAOH,"" )</f>
        <v/>
      </c>
      <c r="N81" s="125" t="str">
        <f>IFERROR(Table_Leaks2_Input[[#This Row],[Estimated leak size (cfm)]]*Value_WeightAvgCompEff,"" )</f>
        <v/>
      </c>
      <c r="O81" s="123" t="str">
        <f>IFERROR(Table_Leaks2_Input[[#This Row],[Energy savings (kWh)]]*Input_AvgkWhRate, "")</f>
        <v/>
      </c>
      <c r="P81" s="123" t="str">
        <f>IF(Table_Leaks2_Input[[#This Row],[Pressure at leak (psig)]]="", "",Table_Leaks2_Input[[#This Row],[Total equipment cost]]+Table_Leaks2_Input[[#This Row],[Total labor cost]])</f>
        <v/>
      </c>
      <c r="Q81" s="123" t="str">
        <f>IFERROR(Table_Leaks2_Input[[#This Row],[Gross measure cost]]-Table_Leaks2_Input[[#This Row],[Estimated incentive]], "")</f>
        <v/>
      </c>
      <c r="R81" s="124" t="str">
        <f t="shared" si="1"/>
        <v/>
      </c>
      <c r="S81" s="126">
        <f>IF(OR(Table_Leaks2_Input[[#This Row],[Pressure at leak (psig)]]=0, Table_Leaks2_Input[[#This Row],[Pressure at leak (psig)]]=""),0,IF(Table_Leaks2_Input[[#This Row],[Pressure at leak (psig)]]&lt;20, 10, MROUND(Table_Leaks2_Input[[#This Row],[Pressure at leak (psig)]], 25)))</f>
        <v>0</v>
      </c>
      <c r="T81" s="126">
        <f>ROUND(Table_Leaks2_Input[[#This Row],[dB reading]],-1)</f>
        <v>0</v>
      </c>
      <c r="U81" s="127" t="str">
        <f>_xlfn.CONCAT(Table_Leaks2_Input[[#This Row],[Rounded dB Reading]],"psig ", Table_Leaks2_Input[[#This Row],[Rounded PSIG]],"db")</f>
        <v>0psig 0db</v>
      </c>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row>
    <row r="82" spans="1:46" x14ac:dyDescent="0.2">
      <c r="A82" s="75"/>
      <c r="B82" s="121">
        <v>278</v>
      </c>
      <c r="C82" s="128"/>
      <c r="D82" s="129"/>
      <c r="E82" s="130"/>
      <c r="F82" s="130"/>
      <c r="G82" s="130"/>
      <c r="H82" s="130"/>
      <c r="I82" s="131"/>
      <c r="J82" s="131"/>
      <c r="K82" s="122" t="str">
        <f>IFERROR(INDEX(TABLE_UE_dB[Leak Size (cfm)], MATCH(Table_Leaks2_Input[[#This Row],[Lookup Value]], TABLE_UE_dB[Lookup Value], 0)),"")</f>
        <v/>
      </c>
      <c r="L82" s="123" t="str">
        <f>IF(Table_Leaks2_Input[[#This Row],[Repaired (Y/N)]]="Yes", Value_LeakRepairIR, "")</f>
        <v/>
      </c>
      <c r="M82" s="124" t="str">
        <f>IFERROR(Table_Leaks2_Input[[#This Row],[Estimated leak size (cfm)]]*Value_WeightAvgCompEff*Value_SysAOH,"" )</f>
        <v/>
      </c>
      <c r="N82" s="125" t="str">
        <f>IFERROR(Table_Leaks2_Input[[#This Row],[Estimated leak size (cfm)]]*Value_WeightAvgCompEff,"" )</f>
        <v/>
      </c>
      <c r="O82" s="123" t="str">
        <f>IFERROR(Table_Leaks2_Input[[#This Row],[Energy savings (kWh)]]*Input_AvgkWhRate, "")</f>
        <v/>
      </c>
      <c r="P82" s="123" t="str">
        <f>IF(Table_Leaks2_Input[[#This Row],[Pressure at leak (psig)]]="", "",Table_Leaks2_Input[[#This Row],[Total equipment cost]]+Table_Leaks2_Input[[#This Row],[Total labor cost]])</f>
        <v/>
      </c>
      <c r="Q82" s="123" t="str">
        <f>IFERROR(Table_Leaks2_Input[[#This Row],[Gross measure cost]]-Table_Leaks2_Input[[#This Row],[Estimated incentive]], "")</f>
        <v/>
      </c>
      <c r="R82" s="124" t="str">
        <f t="shared" si="1"/>
        <v/>
      </c>
      <c r="S82" s="126">
        <f>IF(OR(Table_Leaks2_Input[[#This Row],[Pressure at leak (psig)]]=0, Table_Leaks2_Input[[#This Row],[Pressure at leak (psig)]]=""),0,IF(Table_Leaks2_Input[[#This Row],[Pressure at leak (psig)]]&lt;20, 10, MROUND(Table_Leaks2_Input[[#This Row],[Pressure at leak (psig)]], 25)))</f>
        <v>0</v>
      </c>
      <c r="T82" s="126">
        <f>ROUND(Table_Leaks2_Input[[#This Row],[dB reading]],-1)</f>
        <v>0</v>
      </c>
      <c r="U82" s="127" t="str">
        <f>_xlfn.CONCAT(Table_Leaks2_Input[[#This Row],[Rounded dB Reading]],"psig ", Table_Leaks2_Input[[#This Row],[Rounded PSIG]],"db")</f>
        <v>0psig 0db</v>
      </c>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46" x14ac:dyDescent="0.2">
      <c r="A83" s="75"/>
      <c r="B83" s="121">
        <v>279</v>
      </c>
      <c r="C83" s="128"/>
      <c r="D83" s="129"/>
      <c r="E83" s="130"/>
      <c r="F83" s="130"/>
      <c r="G83" s="130"/>
      <c r="H83" s="130"/>
      <c r="I83" s="131"/>
      <c r="J83" s="131"/>
      <c r="K83" s="122" t="str">
        <f>IFERROR(INDEX(TABLE_UE_dB[Leak Size (cfm)], MATCH(Table_Leaks2_Input[[#This Row],[Lookup Value]], TABLE_UE_dB[Lookup Value], 0)),"")</f>
        <v/>
      </c>
      <c r="L83" s="123" t="str">
        <f>IF(Table_Leaks2_Input[[#This Row],[Repaired (Y/N)]]="Yes", Value_LeakRepairIR, "")</f>
        <v/>
      </c>
      <c r="M83" s="124" t="str">
        <f>IFERROR(Table_Leaks2_Input[[#This Row],[Estimated leak size (cfm)]]*Value_WeightAvgCompEff*Value_SysAOH,"" )</f>
        <v/>
      </c>
      <c r="N83" s="125" t="str">
        <f>IFERROR(Table_Leaks2_Input[[#This Row],[Estimated leak size (cfm)]]*Value_WeightAvgCompEff,"" )</f>
        <v/>
      </c>
      <c r="O83" s="123" t="str">
        <f>IFERROR(Table_Leaks2_Input[[#This Row],[Energy savings (kWh)]]*Input_AvgkWhRate, "")</f>
        <v/>
      </c>
      <c r="P83" s="123" t="str">
        <f>IF(Table_Leaks2_Input[[#This Row],[Pressure at leak (psig)]]="", "",Table_Leaks2_Input[[#This Row],[Total equipment cost]]+Table_Leaks2_Input[[#This Row],[Total labor cost]])</f>
        <v/>
      </c>
      <c r="Q83" s="123" t="str">
        <f>IFERROR(Table_Leaks2_Input[[#This Row],[Gross measure cost]]-Table_Leaks2_Input[[#This Row],[Estimated incentive]], "")</f>
        <v/>
      </c>
      <c r="R83" s="124" t="str">
        <f t="shared" si="1"/>
        <v/>
      </c>
      <c r="S83" s="126">
        <f>IF(OR(Table_Leaks2_Input[[#This Row],[Pressure at leak (psig)]]=0, Table_Leaks2_Input[[#This Row],[Pressure at leak (psig)]]=""),0,IF(Table_Leaks2_Input[[#This Row],[Pressure at leak (psig)]]&lt;20, 10, MROUND(Table_Leaks2_Input[[#This Row],[Pressure at leak (psig)]], 25)))</f>
        <v>0</v>
      </c>
      <c r="T83" s="126">
        <f>ROUND(Table_Leaks2_Input[[#This Row],[dB reading]],-1)</f>
        <v>0</v>
      </c>
      <c r="U83" s="127" t="str">
        <f>_xlfn.CONCAT(Table_Leaks2_Input[[#This Row],[Rounded dB Reading]],"psig ", Table_Leaks2_Input[[#This Row],[Rounded PSIG]],"db")</f>
        <v>0psig 0db</v>
      </c>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row>
    <row r="84" spans="1:46" x14ac:dyDescent="0.2">
      <c r="A84" s="75"/>
      <c r="B84" s="121">
        <v>280</v>
      </c>
      <c r="C84" s="128"/>
      <c r="D84" s="129"/>
      <c r="E84" s="130"/>
      <c r="F84" s="130"/>
      <c r="G84" s="130"/>
      <c r="H84" s="130"/>
      <c r="I84" s="131"/>
      <c r="J84" s="131"/>
      <c r="K84" s="122" t="str">
        <f>IFERROR(INDEX(TABLE_UE_dB[Leak Size (cfm)], MATCH(Table_Leaks2_Input[[#This Row],[Lookup Value]], TABLE_UE_dB[Lookup Value], 0)),"")</f>
        <v/>
      </c>
      <c r="L84" s="123" t="str">
        <f>IF(Table_Leaks2_Input[[#This Row],[Repaired (Y/N)]]="Yes", Value_LeakRepairIR, "")</f>
        <v/>
      </c>
      <c r="M84" s="124" t="str">
        <f>IFERROR(Table_Leaks2_Input[[#This Row],[Estimated leak size (cfm)]]*Value_WeightAvgCompEff*Value_SysAOH,"" )</f>
        <v/>
      </c>
      <c r="N84" s="125" t="str">
        <f>IFERROR(Table_Leaks2_Input[[#This Row],[Estimated leak size (cfm)]]*Value_WeightAvgCompEff,"" )</f>
        <v/>
      </c>
      <c r="O84" s="123" t="str">
        <f>IFERROR(Table_Leaks2_Input[[#This Row],[Energy savings (kWh)]]*Input_AvgkWhRate, "")</f>
        <v/>
      </c>
      <c r="P84" s="123" t="str">
        <f>IF(Table_Leaks2_Input[[#This Row],[Pressure at leak (psig)]]="", "",Table_Leaks2_Input[[#This Row],[Total equipment cost]]+Table_Leaks2_Input[[#This Row],[Total labor cost]])</f>
        <v/>
      </c>
      <c r="Q84" s="123" t="str">
        <f>IFERROR(Table_Leaks2_Input[[#This Row],[Gross measure cost]]-Table_Leaks2_Input[[#This Row],[Estimated incentive]], "")</f>
        <v/>
      </c>
      <c r="R84" s="124" t="str">
        <f t="shared" si="1"/>
        <v/>
      </c>
      <c r="S84" s="126">
        <f>IF(OR(Table_Leaks2_Input[[#This Row],[Pressure at leak (psig)]]=0, Table_Leaks2_Input[[#This Row],[Pressure at leak (psig)]]=""),0,IF(Table_Leaks2_Input[[#This Row],[Pressure at leak (psig)]]&lt;20, 10, MROUND(Table_Leaks2_Input[[#This Row],[Pressure at leak (psig)]], 25)))</f>
        <v>0</v>
      </c>
      <c r="T84" s="126">
        <f>ROUND(Table_Leaks2_Input[[#This Row],[dB reading]],-1)</f>
        <v>0</v>
      </c>
      <c r="U84" s="127" t="str">
        <f>_xlfn.CONCAT(Table_Leaks2_Input[[#This Row],[Rounded dB Reading]],"psig ", Table_Leaks2_Input[[#This Row],[Rounded PSIG]],"db")</f>
        <v>0psig 0db</v>
      </c>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46" x14ac:dyDescent="0.2">
      <c r="A85" s="75"/>
      <c r="B85" s="121">
        <v>281</v>
      </c>
      <c r="C85" s="128"/>
      <c r="D85" s="129"/>
      <c r="E85" s="130"/>
      <c r="F85" s="130"/>
      <c r="G85" s="130"/>
      <c r="H85" s="130"/>
      <c r="I85" s="131"/>
      <c r="J85" s="131"/>
      <c r="K85" s="122" t="str">
        <f>IFERROR(INDEX(TABLE_UE_dB[Leak Size (cfm)], MATCH(Table_Leaks2_Input[[#This Row],[Lookup Value]], TABLE_UE_dB[Lookup Value], 0)),"")</f>
        <v/>
      </c>
      <c r="L85" s="123" t="str">
        <f>IF(Table_Leaks2_Input[[#This Row],[Repaired (Y/N)]]="Yes", Value_LeakRepairIR, "")</f>
        <v/>
      </c>
      <c r="M85" s="124" t="str">
        <f>IFERROR(Table_Leaks2_Input[[#This Row],[Estimated leak size (cfm)]]*Value_WeightAvgCompEff*Value_SysAOH,"" )</f>
        <v/>
      </c>
      <c r="N85" s="125" t="str">
        <f>IFERROR(Table_Leaks2_Input[[#This Row],[Estimated leak size (cfm)]]*Value_WeightAvgCompEff,"" )</f>
        <v/>
      </c>
      <c r="O85" s="123" t="str">
        <f>IFERROR(Table_Leaks2_Input[[#This Row],[Energy savings (kWh)]]*Input_AvgkWhRate, "")</f>
        <v/>
      </c>
      <c r="P85" s="123" t="str">
        <f>IF(Table_Leaks2_Input[[#This Row],[Pressure at leak (psig)]]="", "",Table_Leaks2_Input[[#This Row],[Total equipment cost]]+Table_Leaks2_Input[[#This Row],[Total labor cost]])</f>
        <v/>
      </c>
      <c r="Q85" s="123" t="str">
        <f>IFERROR(Table_Leaks2_Input[[#This Row],[Gross measure cost]]-Table_Leaks2_Input[[#This Row],[Estimated incentive]], "")</f>
        <v/>
      </c>
      <c r="R85" s="124" t="str">
        <f t="shared" si="1"/>
        <v/>
      </c>
      <c r="S85" s="126">
        <f>IF(OR(Table_Leaks2_Input[[#This Row],[Pressure at leak (psig)]]=0, Table_Leaks2_Input[[#This Row],[Pressure at leak (psig)]]=""),0,IF(Table_Leaks2_Input[[#This Row],[Pressure at leak (psig)]]&lt;20, 10, MROUND(Table_Leaks2_Input[[#This Row],[Pressure at leak (psig)]], 25)))</f>
        <v>0</v>
      </c>
      <c r="T85" s="126">
        <f>ROUND(Table_Leaks2_Input[[#This Row],[dB reading]],-1)</f>
        <v>0</v>
      </c>
      <c r="U85" s="127" t="str">
        <f>_xlfn.CONCAT(Table_Leaks2_Input[[#This Row],[Rounded dB Reading]],"psig ", Table_Leaks2_Input[[#This Row],[Rounded PSIG]],"db")</f>
        <v>0psig 0db</v>
      </c>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row>
    <row r="86" spans="1:46" x14ac:dyDescent="0.2">
      <c r="A86" s="75"/>
      <c r="B86" s="121">
        <v>282</v>
      </c>
      <c r="C86" s="128"/>
      <c r="D86" s="129"/>
      <c r="E86" s="130"/>
      <c r="F86" s="130"/>
      <c r="G86" s="130"/>
      <c r="H86" s="130"/>
      <c r="I86" s="131"/>
      <c r="J86" s="131"/>
      <c r="K86" s="122" t="str">
        <f>IFERROR(INDEX(TABLE_UE_dB[Leak Size (cfm)], MATCH(Table_Leaks2_Input[[#This Row],[Lookup Value]], TABLE_UE_dB[Lookup Value], 0)),"")</f>
        <v/>
      </c>
      <c r="L86" s="123" t="str">
        <f>IF(Table_Leaks2_Input[[#This Row],[Repaired (Y/N)]]="Yes", Value_LeakRepairIR, "")</f>
        <v/>
      </c>
      <c r="M86" s="124" t="str">
        <f>IFERROR(Table_Leaks2_Input[[#This Row],[Estimated leak size (cfm)]]*Value_WeightAvgCompEff*Value_SysAOH,"" )</f>
        <v/>
      </c>
      <c r="N86" s="125" t="str">
        <f>IFERROR(Table_Leaks2_Input[[#This Row],[Estimated leak size (cfm)]]*Value_WeightAvgCompEff,"" )</f>
        <v/>
      </c>
      <c r="O86" s="123" t="str">
        <f>IFERROR(Table_Leaks2_Input[[#This Row],[Energy savings (kWh)]]*Input_AvgkWhRate, "")</f>
        <v/>
      </c>
      <c r="P86" s="123" t="str">
        <f>IF(Table_Leaks2_Input[[#This Row],[Pressure at leak (psig)]]="", "",Table_Leaks2_Input[[#This Row],[Total equipment cost]]+Table_Leaks2_Input[[#This Row],[Total labor cost]])</f>
        <v/>
      </c>
      <c r="Q86" s="123" t="str">
        <f>IFERROR(Table_Leaks2_Input[[#This Row],[Gross measure cost]]-Table_Leaks2_Input[[#This Row],[Estimated incentive]], "")</f>
        <v/>
      </c>
      <c r="R86" s="124" t="str">
        <f t="shared" si="1"/>
        <v/>
      </c>
      <c r="S86" s="126">
        <f>IF(OR(Table_Leaks2_Input[[#This Row],[Pressure at leak (psig)]]=0, Table_Leaks2_Input[[#This Row],[Pressure at leak (psig)]]=""),0,IF(Table_Leaks2_Input[[#This Row],[Pressure at leak (psig)]]&lt;20, 10, MROUND(Table_Leaks2_Input[[#This Row],[Pressure at leak (psig)]], 25)))</f>
        <v>0</v>
      </c>
      <c r="T86" s="126">
        <f>ROUND(Table_Leaks2_Input[[#This Row],[dB reading]],-1)</f>
        <v>0</v>
      </c>
      <c r="U86" s="127" t="str">
        <f>_xlfn.CONCAT(Table_Leaks2_Input[[#This Row],[Rounded dB Reading]],"psig ", Table_Leaks2_Input[[#This Row],[Rounded PSIG]],"db")</f>
        <v>0psig 0db</v>
      </c>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row>
    <row r="87" spans="1:46" x14ac:dyDescent="0.2">
      <c r="A87" s="75"/>
      <c r="B87" s="121">
        <v>283</v>
      </c>
      <c r="C87" s="128"/>
      <c r="D87" s="129"/>
      <c r="E87" s="130"/>
      <c r="F87" s="130"/>
      <c r="G87" s="130"/>
      <c r="H87" s="130"/>
      <c r="I87" s="131"/>
      <c r="J87" s="131"/>
      <c r="K87" s="122" t="str">
        <f>IFERROR(INDEX(TABLE_UE_dB[Leak Size (cfm)], MATCH(Table_Leaks2_Input[[#This Row],[Lookup Value]], TABLE_UE_dB[Lookup Value], 0)),"")</f>
        <v/>
      </c>
      <c r="L87" s="123" t="str">
        <f>IF(Table_Leaks2_Input[[#This Row],[Repaired (Y/N)]]="Yes", Value_LeakRepairIR, "")</f>
        <v/>
      </c>
      <c r="M87" s="124" t="str">
        <f>IFERROR(Table_Leaks2_Input[[#This Row],[Estimated leak size (cfm)]]*Value_WeightAvgCompEff*Value_SysAOH,"" )</f>
        <v/>
      </c>
      <c r="N87" s="125" t="str">
        <f>IFERROR(Table_Leaks2_Input[[#This Row],[Estimated leak size (cfm)]]*Value_WeightAvgCompEff,"" )</f>
        <v/>
      </c>
      <c r="O87" s="123" t="str">
        <f>IFERROR(Table_Leaks2_Input[[#This Row],[Energy savings (kWh)]]*Input_AvgkWhRate, "")</f>
        <v/>
      </c>
      <c r="P87" s="123" t="str">
        <f>IF(Table_Leaks2_Input[[#This Row],[Pressure at leak (psig)]]="", "",Table_Leaks2_Input[[#This Row],[Total equipment cost]]+Table_Leaks2_Input[[#This Row],[Total labor cost]])</f>
        <v/>
      </c>
      <c r="Q87" s="123" t="str">
        <f>IFERROR(Table_Leaks2_Input[[#This Row],[Gross measure cost]]-Table_Leaks2_Input[[#This Row],[Estimated incentive]], "")</f>
        <v/>
      </c>
      <c r="R87" s="124" t="str">
        <f t="shared" si="1"/>
        <v/>
      </c>
      <c r="S87" s="126">
        <f>IF(OR(Table_Leaks2_Input[[#This Row],[Pressure at leak (psig)]]=0, Table_Leaks2_Input[[#This Row],[Pressure at leak (psig)]]=""),0,IF(Table_Leaks2_Input[[#This Row],[Pressure at leak (psig)]]&lt;20, 10, MROUND(Table_Leaks2_Input[[#This Row],[Pressure at leak (psig)]], 25)))</f>
        <v>0</v>
      </c>
      <c r="T87" s="126">
        <f>ROUND(Table_Leaks2_Input[[#This Row],[dB reading]],-1)</f>
        <v>0</v>
      </c>
      <c r="U87" s="127" t="str">
        <f>_xlfn.CONCAT(Table_Leaks2_Input[[#This Row],[Rounded dB Reading]],"psig ", Table_Leaks2_Input[[#This Row],[Rounded PSIG]],"db")</f>
        <v>0psig 0db</v>
      </c>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row>
    <row r="88" spans="1:46" x14ac:dyDescent="0.2">
      <c r="A88" s="75"/>
      <c r="B88" s="121">
        <v>284</v>
      </c>
      <c r="C88" s="128"/>
      <c r="D88" s="129"/>
      <c r="E88" s="130"/>
      <c r="F88" s="130"/>
      <c r="G88" s="130"/>
      <c r="H88" s="130"/>
      <c r="I88" s="131"/>
      <c r="J88" s="131"/>
      <c r="K88" s="122" t="str">
        <f>IFERROR(INDEX(TABLE_UE_dB[Leak Size (cfm)], MATCH(Table_Leaks2_Input[[#This Row],[Lookup Value]], TABLE_UE_dB[Lookup Value], 0)),"")</f>
        <v/>
      </c>
      <c r="L88" s="123" t="str">
        <f>IF(Table_Leaks2_Input[[#This Row],[Repaired (Y/N)]]="Yes", Value_LeakRepairIR, "")</f>
        <v/>
      </c>
      <c r="M88" s="124" t="str">
        <f>IFERROR(Table_Leaks2_Input[[#This Row],[Estimated leak size (cfm)]]*Value_WeightAvgCompEff*Value_SysAOH,"" )</f>
        <v/>
      </c>
      <c r="N88" s="125" t="str">
        <f>IFERROR(Table_Leaks2_Input[[#This Row],[Estimated leak size (cfm)]]*Value_WeightAvgCompEff,"" )</f>
        <v/>
      </c>
      <c r="O88" s="123" t="str">
        <f>IFERROR(Table_Leaks2_Input[[#This Row],[Energy savings (kWh)]]*Input_AvgkWhRate, "")</f>
        <v/>
      </c>
      <c r="P88" s="123" t="str">
        <f>IF(Table_Leaks2_Input[[#This Row],[Pressure at leak (psig)]]="", "",Table_Leaks2_Input[[#This Row],[Total equipment cost]]+Table_Leaks2_Input[[#This Row],[Total labor cost]])</f>
        <v/>
      </c>
      <c r="Q88" s="123" t="str">
        <f>IFERROR(Table_Leaks2_Input[[#This Row],[Gross measure cost]]-Table_Leaks2_Input[[#This Row],[Estimated incentive]], "")</f>
        <v/>
      </c>
      <c r="R88" s="124" t="str">
        <f t="shared" si="1"/>
        <v/>
      </c>
      <c r="S88" s="126">
        <f>IF(OR(Table_Leaks2_Input[[#This Row],[Pressure at leak (psig)]]=0, Table_Leaks2_Input[[#This Row],[Pressure at leak (psig)]]=""),0,IF(Table_Leaks2_Input[[#This Row],[Pressure at leak (psig)]]&lt;20, 10, MROUND(Table_Leaks2_Input[[#This Row],[Pressure at leak (psig)]], 25)))</f>
        <v>0</v>
      </c>
      <c r="T88" s="126">
        <f>ROUND(Table_Leaks2_Input[[#This Row],[dB reading]],-1)</f>
        <v>0</v>
      </c>
      <c r="U88" s="127" t="str">
        <f>_xlfn.CONCAT(Table_Leaks2_Input[[#This Row],[Rounded dB Reading]],"psig ", Table_Leaks2_Input[[#This Row],[Rounded PSIG]],"db")</f>
        <v>0psig 0db</v>
      </c>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row>
    <row r="89" spans="1:46" x14ac:dyDescent="0.2">
      <c r="A89" s="75"/>
      <c r="B89" s="121">
        <v>285</v>
      </c>
      <c r="C89" s="128"/>
      <c r="D89" s="129"/>
      <c r="E89" s="130"/>
      <c r="F89" s="130"/>
      <c r="G89" s="130"/>
      <c r="H89" s="130"/>
      <c r="I89" s="131"/>
      <c r="J89" s="131"/>
      <c r="K89" s="122" t="str">
        <f>IFERROR(INDEX(TABLE_UE_dB[Leak Size (cfm)], MATCH(Table_Leaks2_Input[[#This Row],[Lookup Value]], TABLE_UE_dB[Lookup Value], 0)),"")</f>
        <v/>
      </c>
      <c r="L89" s="123" t="str">
        <f>IF(Table_Leaks2_Input[[#This Row],[Repaired (Y/N)]]="Yes", Value_LeakRepairIR, "")</f>
        <v/>
      </c>
      <c r="M89" s="124" t="str">
        <f>IFERROR(Table_Leaks2_Input[[#This Row],[Estimated leak size (cfm)]]*Value_WeightAvgCompEff*Value_SysAOH,"" )</f>
        <v/>
      </c>
      <c r="N89" s="125" t="str">
        <f>IFERROR(Table_Leaks2_Input[[#This Row],[Estimated leak size (cfm)]]*Value_WeightAvgCompEff,"" )</f>
        <v/>
      </c>
      <c r="O89" s="123" t="str">
        <f>IFERROR(Table_Leaks2_Input[[#This Row],[Energy savings (kWh)]]*Input_AvgkWhRate, "")</f>
        <v/>
      </c>
      <c r="P89" s="123" t="str">
        <f>IF(Table_Leaks2_Input[[#This Row],[Pressure at leak (psig)]]="", "",Table_Leaks2_Input[[#This Row],[Total equipment cost]]+Table_Leaks2_Input[[#This Row],[Total labor cost]])</f>
        <v/>
      </c>
      <c r="Q89" s="123" t="str">
        <f>IFERROR(Table_Leaks2_Input[[#This Row],[Gross measure cost]]-Table_Leaks2_Input[[#This Row],[Estimated incentive]], "")</f>
        <v/>
      </c>
      <c r="R89" s="124" t="str">
        <f t="shared" si="1"/>
        <v/>
      </c>
      <c r="S89" s="126">
        <f>IF(OR(Table_Leaks2_Input[[#This Row],[Pressure at leak (psig)]]=0, Table_Leaks2_Input[[#This Row],[Pressure at leak (psig)]]=""),0,IF(Table_Leaks2_Input[[#This Row],[Pressure at leak (psig)]]&lt;20, 10, MROUND(Table_Leaks2_Input[[#This Row],[Pressure at leak (psig)]], 25)))</f>
        <v>0</v>
      </c>
      <c r="T89" s="126">
        <f>ROUND(Table_Leaks2_Input[[#This Row],[dB reading]],-1)</f>
        <v>0</v>
      </c>
      <c r="U89" s="127" t="str">
        <f>_xlfn.CONCAT(Table_Leaks2_Input[[#This Row],[Rounded dB Reading]],"psig ", Table_Leaks2_Input[[#This Row],[Rounded PSIG]],"db")</f>
        <v>0psig 0db</v>
      </c>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row>
    <row r="90" spans="1:46" x14ac:dyDescent="0.2">
      <c r="A90" s="75"/>
      <c r="B90" s="121">
        <v>286</v>
      </c>
      <c r="C90" s="128"/>
      <c r="D90" s="129"/>
      <c r="E90" s="130"/>
      <c r="F90" s="130"/>
      <c r="G90" s="130"/>
      <c r="H90" s="130"/>
      <c r="I90" s="131"/>
      <c r="J90" s="131"/>
      <c r="K90" s="122" t="str">
        <f>IFERROR(INDEX(TABLE_UE_dB[Leak Size (cfm)], MATCH(Table_Leaks2_Input[[#This Row],[Lookup Value]], TABLE_UE_dB[Lookup Value], 0)),"")</f>
        <v/>
      </c>
      <c r="L90" s="123" t="str">
        <f>IF(Table_Leaks2_Input[[#This Row],[Repaired (Y/N)]]="Yes", Value_LeakRepairIR, "")</f>
        <v/>
      </c>
      <c r="M90" s="124" t="str">
        <f>IFERROR(Table_Leaks2_Input[[#This Row],[Estimated leak size (cfm)]]*Value_WeightAvgCompEff*Value_SysAOH,"" )</f>
        <v/>
      </c>
      <c r="N90" s="125" t="str">
        <f>IFERROR(Table_Leaks2_Input[[#This Row],[Estimated leak size (cfm)]]*Value_WeightAvgCompEff,"" )</f>
        <v/>
      </c>
      <c r="O90" s="123" t="str">
        <f>IFERROR(Table_Leaks2_Input[[#This Row],[Energy savings (kWh)]]*Input_AvgkWhRate, "")</f>
        <v/>
      </c>
      <c r="P90" s="123" t="str">
        <f>IF(Table_Leaks2_Input[[#This Row],[Pressure at leak (psig)]]="", "",Table_Leaks2_Input[[#This Row],[Total equipment cost]]+Table_Leaks2_Input[[#This Row],[Total labor cost]])</f>
        <v/>
      </c>
      <c r="Q90" s="123" t="str">
        <f>IFERROR(Table_Leaks2_Input[[#This Row],[Gross measure cost]]-Table_Leaks2_Input[[#This Row],[Estimated incentive]], "")</f>
        <v/>
      </c>
      <c r="R90" s="124" t="str">
        <f t="shared" si="1"/>
        <v/>
      </c>
      <c r="S90" s="126">
        <f>IF(OR(Table_Leaks2_Input[[#This Row],[Pressure at leak (psig)]]=0, Table_Leaks2_Input[[#This Row],[Pressure at leak (psig)]]=""),0,IF(Table_Leaks2_Input[[#This Row],[Pressure at leak (psig)]]&lt;20, 10, MROUND(Table_Leaks2_Input[[#This Row],[Pressure at leak (psig)]], 25)))</f>
        <v>0</v>
      </c>
      <c r="T90" s="126">
        <f>ROUND(Table_Leaks2_Input[[#This Row],[dB reading]],-1)</f>
        <v>0</v>
      </c>
      <c r="U90" s="127" t="str">
        <f>_xlfn.CONCAT(Table_Leaks2_Input[[#This Row],[Rounded dB Reading]],"psig ", Table_Leaks2_Input[[#This Row],[Rounded PSIG]],"db")</f>
        <v>0psig 0db</v>
      </c>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row>
    <row r="91" spans="1:46" x14ac:dyDescent="0.2">
      <c r="A91" s="75"/>
      <c r="B91" s="121">
        <v>287</v>
      </c>
      <c r="C91" s="128"/>
      <c r="D91" s="129"/>
      <c r="E91" s="130"/>
      <c r="F91" s="130"/>
      <c r="G91" s="130"/>
      <c r="H91" s="130"/>
      <c r="I91" s="131"/>
      <c r="J91" s="131"/>
      <c r="K91" s="122" t="str">
        <f>IFERROR(INDEX(TABLE_UE_dB[Leak Size (cfm)], MATCH(Table_Leaks2_Input[[#This Row],[Lookup Value]], TABLE_UE_dB[Lookup Value], 0)),"")</f>
        <v/>
      </c>
      <c r="L91" s="123" t="str">
        <f>IF(Table_Leaks2_Input[[#This Row],[Repaired (Y/N)]]="Yes", Value_LeakRepairIR, "")</f>
        <v/>
      </c>
      <c r="M91" s="124" t="str">
        <f>IFERROR(Table_Leaks2_Input[[#This Row],[Estimated leak size (cfm)]]*Value_WeightAvgCompEff*Value_SysAOH,"" )</f>
        <v/>
      </c>
      <c r="N91" s="125" t="str">
        <f>IFERROR(Table_Leaks2_Input[[#This Row],[Estimated leak size (cfm)]]*Value_WeightAvgCompEff,"" )</f>
        <v/>
      </c>
      <c r="O91" s="123" t="str">
        <f>IFERROR(Table_Leaks2_Input[[#This Row],[Energy savings (kWh)]]*Input_AvgkWhRate, "")</f>
        <v/>
      </c>
      <c r="P91" s="123" t="str">
        <f>IF(Table_Leaks2_Input[[#This Row],[Pressure at leak (psig)]]="", "",Table_Leaks2_Input[[#This Row],[Total equipment cost]]+Table_Leaks2_Input[[#This Row],[Total labor cost]])</f>
        <v/>
      </c>
      <c r="Q91" s="123" t="str">
        <f>IFERROR(Table_Leaks2_Input[[#This Row],[Gross measure cost]]-Table_Leaks2_Input[[#This Row],[Estimated incentive]], "")</f>
        <v/>
      </c>
      <c r="R91" s="124" t="str">
        <f t="shared" si="1"/>
        <v/>
      </c>
      <c r="S91" s="126">
        <f>IF(OR(Table_Leaks2_Input[[#This Row],[Pressure at leak (psig)]]=0, Table_Leaks2_Input[[#This Row],[Pressure at leak (psig)]]=""),0,IF(Table_Leaks2_Input[[#This Row],[Pressure at leak (psig)]]&lt;20, 10, MROUND(Table_Leaks2_Input[[#This Row],[Pressure at leak (psig)]], 25)))</f>
        <v>0</v>
      </c>
      <c r="T91" s="126">
        <f>ROUND(Table_Leaks2_Input[[#This Row],[dB reading]],-1)</f>
        <v>0</v>
      </c>
      <c r="U91" s="127" t="str">
        <f>_xlfn.CONCAT(Table_Leaks2_Input[[#This Row],[Rounded dB Reading]],"psig ", Table_Leaks2_Input[[#This Row],[Rounded PSIG]],"db")</f>
        <v>0psig 0db</v>
      </c>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row>
    <row r="92" spans="1:46" x14ac:dyDescent="0.2">
      <c r="A92" s="75"/>
      <c r="B92" s="121">
        <v>288</v>
      </c>
      <c r="C92" s="128"/>
      <c r="D92" s="129"/>
      <c r="E92" s="130"/>
      <c r="F92" s="130"/>
      <c r="G92" s="130"/>
      <c r="H92" s="130"/>
      <c r="I92" s="131"/>
      <c r="J92" s="131"/>
      <c r="K92" s="122" t="str">
        <f>IFERROR(INDEX(TABLE_UE_dB[Leak Size (cfm)], MATCH(Table_Leaks2_Input[[#This Row],[Lookup Value]], TABLE_UE_dB[Lookup Value], 0)),"")</f>
        <v/>
      </c>
      <c r="L92" s="123" t="str">
        <f>IF(Table_Leaks2_Input[[#This Row],[Repaired (Y/N)]]="Yes", Value_LeakRepairIR, "")</f>
        <v/>
      </c>
      <c r="M92" s="124" t="str">
        <f>IFERROR(Table_Leaks2_Input[[#This Row],[Estimated leak size (cfm)]]*Value_WeightAvgCompEff*Value_SysAOH,"" )</f>
        <v/>
      </c>
      <c r="N92" s="125" t="str">
        <f>IFERROR(Table_Leaks2_Input[[#This Row],[Estimated leak size (cfm)]]*Value_WeightAvgCompEff,"" )</f>
        <v/>
      </c>
      <c r="O92" s="123" t="str">
        <f>IFERROR(Table_Leaks2_Input[[#This Row],[Energy savings (kWh)]]*Input_AvgkWhRate, "")</f>
        <v/>
      </c>
      <c r="P92" s="123" t="str">
        <f>IF(Table_Leaks2_Input[[#This Row],[Pressure at leak (psig)]]="", "",Table_Leaks2_Input[[#This Row],[Total equipment cost]]+Table_Leaks2_Input[[#This Row],[Total labor cost]])</f>
        <v/>
      </c>
      <c r="Q92" s="123" t="str">
        <f>IFERROR(Table_Leaks2_Input[[#This Row],[Gross measure cost]]-Table_Leaks2_Input[[#This Row],[Estimated incentive]], "")</f>
        <v/>
      </c>
      <c r="R92" s="124" t="str">
        <f t="shared" si="1"/>
        <v/>
      </c>
      <c r="S92" s="126">
        <f>IF(OR(Table_Leaks2_Input[[#This Row],[Pressure at leak (psig)]]=0, Table_Leaks2_Input[[#This Row],[Pressure at leak (psig)]]=""),0,IF(Table_Leaks2_Input[[#This Row],[Pressure at leak (psig)]]&lt;20, 10, MROUND(Table_Leaks2_Input[[#This Row],[Pressure at leak (psig)]], 25)))</f>
        <v>0</v>
      </c>
      <c r="T92" s="126">
        <f>ROUND(Table_Leaks2_Input[[#This Row],[dB reading]],-1)</f>
        <v>0</v>
      </c>
      <c r="U92" s="127" t="str">
        <f>_xlfn.CONCAT(Table_Leaks2_Input[[#This Row],[Rounded dB Reading]],"psig ", Table_Leaks2_Input[[#This Row],[Rounded PSIG]],"db")</f>
        <v>0psig 0db</v>
      </c>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row>
    <row r="93" spans="1:46" x14ac:dyDescent="0.2">
      <c r="A93" s="75"/>
      <c r="B93" s="121">
        <v>289</v>
      </c>
      <c r="C93" s="128"/>
      <c r="D93" s="129"/>
      <c r="E93" s="130"/>
      <c r="F93" s="130"/>
      <c r="G93" s="130"/>
      <c r="H93" s="130"/>
      <c r="I93" s="131"/>
      <c r="J93" s="131"/>
      <c r="K93" s="122" t="str">
        <f>IFERROR(INDEX(TABLE_UE_dB[Leak Size (cfm)], MATCH(Table_Leaks2_Input[[#This Row],[Lookup Value]], TABLE_UE_dB[Lookup Value], 0)),"")</f>
        <v/>
      </c>
      <c r="L93" s="123" t="str">
        <f>IF(Table_Leaks2_Input[[#This Row],[Repaired (Y/N)]]="Yes", Value_LeakRepairIR, "")</f>
        <v/>
      </c>
      <c r="M93" s="124" t="str">
        <f>IFERROR(Table_Leaks2_Input[[#This Row],[Estimated leak size (cfm)]]*Value_WeightAvgCompEff*Value_SysAOH,"" )</f>
        <v/>
      </c>
      <c r="N93" s="125" t="str">
        <f>IFERROR(Table_Leaks2_Input[[#This Row],[Estimated leak size (cfm)]]*Value_WeightAvgCompEff,"" )</f>
        <v/>
      </c>
      <c r="O93" s="123" t="str">
        <f>IFERROR(Table_Leaks2_Input[[#This Row],[Energy savings (kWh)]]*Input_AvgkWhRate, "")</f>
        <v/>
      </c>
      <c r="P93" s="123" t="str">
        <f>IF(Table_Leaks2_Input[[#This Row],[Pressure at leak (psig)]]="", "",Table_Leaks2_Input[[#This Row],[Total equipment cost]]+Table_Leaks2_Input[[#This Row],[Total labor cost]])</f>
        <v/>
      </c>
      <c r="Q93" s="123" t="str">
        <f>IFERROR(Table_Leaks2_Input[[#This Row],[Gross measure cost]]-Table_Leaks2_Input[[#This Row],[Estimated incentive]], "")</f>
        <v/>
      </c>
      <c r="R93" s="124" t="str">
        <f t="shared" si="1"/>
        <v/>
      </c>
      <c r="S93" s="126">
        <f>IF(OR(Table_Leaks2_Input[[#This Row],[Pressure at leak (psig)]]=0, Table_Leaks2_Input[[#This Row],[Pressure at leak (psig)]]=""),0,IF(Table_Leaks2_Input[[#This Row],[Pressure at leak (psig)]]&lt;20, 10, MROUND(Table_Leaks2_Input[[#This Row],[Pressure at leak (psig)]], 25)))</f>
        <v>0</v>
      </c>
      <c r="T93" s="126">
        <f>ROUND(Table_Leaks2_Input[[#This Row],[dB reading]],-1)</f>
        <v>0</v>
      </c>
      <c r="U93" s="127" t="str">
        <f>_xlfn.CONCAT(Table_Leaks2_Input[[#This Row],[Rounded dB Reading]],"psig ", Table_Leaks2_Input[[#This Row],[Rounded PSIG]],"db")</f>
        <v>0psig 0db</v>
      </c>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row>
    <row r="94" spans="1:46" x14ac:dyDescent="0.2">
      <c r="A94" s="75"/>
      <c r="B94" s="121">
        <v>290</v>
      </c>
      <c r="C94" s="128"/>
      <c r="D94" s="129"/>
      <c r="E94" s="130"/>
      <c r="F94" s="130"/>
      <c r="G94" s="130"/>
      <c r="H94" s="130"/>
      <c r="I94" s="131"/>
      <c r="J94" s="131"/>
      <c r="K94" s="122" t="str">
        <f>IFERROR(INDEX(TABLE_UE_dB[Leak Size (cfm)], MATCH(Table_Leaks2_Input[[#This Row],[Lookup Value]], TABLE_UE_dB[Lookup Value], 0)),"")</f>
        <v/>
      </c>
      <c r="L94" s="123" t="str">
        <f>IF(Table_Leaks2_Input[[#This Row],[Repaired (Y/N)]]="Yes", Value_LeakRepairIR, "")</f>
        <v/>
      </c>
      <c r="M94" s="124" t="str">
        <f>IFERROR(Table_Leaks2_Input[[#This Row],[Estimated leak size (cfm)]]*Value_WeightAvgCompEff*Value_SysAOH,"" )</f>
        <v/>
      </c>
      <c r="N94" s="125" t="str">
        <f>IFERROR(Table_Leaks2_Input[[#This Row],[Estimated leak size (cfm)]]*Value_WeightAvgCompEff,"" )</f>
        <v/>
      </c>
      <c r="O94" s="123" t="str">
        <f>IFERROR(Table_Leaks2_Input[[#This Row],[Energy savings (kWh)]]*Input_AvgkWhRate, "")</f>
        <v/>
      </c>
      <c r="P94" s="123" t="str">
        <f>IF(Table_Leaks2_Input[[#This Row],[Pressure at leak (psig)]]="", "",Table_Leaks2_Input[[#This Row],[Total equipment cost]]+Table_Leaks2_Input[[#This Row],[Total labor cost]])</f>
        <v/>
      </c>
      <c r="Q94" s="123" t="str">
        <f>IFERROR(Table_Leaks2_Input[[#This Row],[Gross measure cost]]-Table_Leaks2_Input[[#This Row],[Estimated incentive]], "")</f>
        <v/>
      </c>
      <c r="R94" s="124" t="str">
        <f t="shared" si="1"/>
        <v/>
      </c>
      <c r="S94" s="126">
        <f>IF(OR(Table_Leaks2_Input[[#This Row],[Pressure at leak (psig)]]=0, Table_Leaks2_Input[[#This Row],[Pressure at leak (psig)]]=""),0,IF(Table_Leaks2_Input[[#This Row],[Pressure at leak (psig)]]&lt;20, 10, MROUND(Table_Leaks2_Input[[#This Row],[Pressure at leak (psig)]], 25)))</f>
        <v>0</v>
      </c>
      <c r="T94" s="126">
        <f>ROUND(Table_Leaks2_Input[[#This Row],[dB reading]],-1)</f>
        <v>0</v>
      </c>
      <c r="U94" s="127" t="str">
        <f>_xlfn.CONCAT(Table_Leaks2_Input[[#This Row],[Rounded dB Reading]],"psig ", Table_Leaks2_Input[[#This Row],[Rounded PSIG]],"db")</f>
        <v>0psig 0db</v>
      </c>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row>
    <row r="95" spans="1:46" x14ac:dyDescent="0.2">
      <c r="A95" s="75"/>
      <c r="B95" s="121">
        <v>291</v>
      </c>
      <c r="C95" s="128"/>
      <c r="D95" s="129"/>
      <c r="E95" s="130"/>
      <c r="F95" s="130"/>
      <c r="G95" s="130"/>
      <c r="H95" s="130"/>
      <c r="I95" s="131"/>
      <c r="J95" s="131"/>
      <c r="K95" s="122" t="str">
        <f>IFERROR(INDEX(TABLE_UE_dB[Leak Size (cfm)], MATCH(Table_Leaks2_Input[[#This Row],[Lookup Value]], TABLE_UE_dB[Lookup Value], 0)),"")</f>
        <v/>
      </c>
      <c r="L95" s="123" t="str">
        <f>IF(Table_Leaks2_Input[[#This Row],[Repaired (Y/N)]]="Yes", Value_LeakRepairIR, "")</f>
        <v/>
      </c>
      <c r="M95" s="124" t="str">
        <f>IFERROR(Table_Leaks2_Input[[#This Row],[Estimated leak size (cfm)]]*Value_WeightAvgCompEff*Value_SysAOH,"" )</f>
        <v/>
      </c>
      <c r="N95" s="125" t="str">
        <f>IFERROR(Table_Leaks2_Input[[#This Row],[Estimated leak size (cfm)]]*Value_WeightAvgCompEff,"" )</f>
        <v/>
      </c>
      <c r="O95" s="123" t="str">
        <f>IFERROR(Table_Leaks2_Input[[#This Row],[Energy savings (kWh)]]*Input_AvgkWhRate, "")</f>
        <v/>
      </c>
      <c r="P95" s="123" t="str">
        <f>IF(Table_Leaks2_Input[[#This Row],[Pressure at leak (psig)]]="", "",Table_Leaks2_Input[[#This Row],[Total equipment cost]]+Table_Leaks2_Input[[#This Row],[Total labor cost]])</f>
        <v/>
      </c>
      <c r="Q95" s="123" t="str">
        <f>IFERROR(Table_Leaks2_Input[[#This Row],[Gross measure cost]]-Table_Leaks2_Input[[#This Row],[Estimated incentive]], "")</f>
        <v/>
      </c>
      <c r="R95" s="124" t="str">
        <f t="shared" si="1"/>
        <v/>
      </c>
      <c r="S95" s="126">
        <f>IF(OR(Table_Leaks2_Input[[#This Row],[Pressure at leak (psig)]]=0, Table_Leaks2_Input[[#This Row],[Pressure at leak (psig)]]=""),0,IF(Table_Leaks2_Input[[#This Row],[Pressure at leak (psig)]]&lt;20, 10, MROUND(Table_Leaks2_Input[[#This Row],[Pressure at leak (psig)]], 25)))</f>
        <v>0</v>
      </c>
      <c r="T95" s="126">
        <f>ROUND(Table_Leaks2_Input[[#This Row],[dB reading]],-1)</f>
        <v>0</v>
      </c>
      <c r="U95" s="127" t="str">
        <f>_xlfn.CONCAT(Table_Leaks2_Input[[#This Row],[Rounded dB Reading]],"psig ", Table_Leaks2_Input[[#This Row],[Rounded PSIG]],"db")</f>
        <v>0psig 0db</v>
      </c>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row>
    <row r="96" spans="1:46" x14ac:dyDescent="0.2">
      <c r="A96" s="75"/>
      <c r="B96" s="121">
        <v>292</v>
      </c>
      <c r="C96" s="128"/>
      <c r="D96" s="129"/>
      <c r="E96" s="130"/>
      <c r="F96" s="130"/>
      <c r="G96" s="130"/>
      <c r="H96" s="130"/>
      <c r="I96" s="131"/>
      <c r="J96" s="131"/>
      <c r="K96" s="122" t="str">
        <f>IFERROR(INDEX(TABLE_UE_dB[Leak Size (cfm)], MATCH(Table_Leaks2_Input[[#This Row],[Lookup Value]], TABLE_UE_dB[Lookup Value], 0)),"")</f>
        <v/>
      </c>
      <c r="L96" s="123" t="str">
        <f>IF(Table_Leaks2_Input[[#This Row],[Repaired (Y/N)]]="Yes", Value_LeakRepairIR, "")</f>
        <v/>
      </c>
      <c r="M96" s="124" t="str">
        <f>IFERROR(Table_Leaks2_Input[[#This Row],[Estimated leak size (cfm)]]*Value_WeightAvgCompEff*Value_SysAOH,"" )</f>
        <v/>
      </c>
      <c r="N96" s="125" t="str">
        <f>IFERROR(Table_Leaks2_Input[[#This Row],[Estimated leak size (cfm)]]*Value_WeightAvgCompEff,"" )</f>
        <v/>
      </c>
      <c r="O96" s="123" t="str">
        <f>IFERROR(Table_Leaks2_Input[[#This Row],[Energy savings (kWh)]]*Input_AvgkWhRate, "")</f>
        <v/>
      </c>
      <c r="P96" s="123" t="str">
        <f>IF(Table_Leaks2_Input[[#This Row],[Pressure at leak (psig)]]="", "",Table_Leaks2_Input[[#This Row],[Total equipment cost]]+Table_Leaks2_Input[[#This Row],[Total labor cost]])</f>
        <v/>
      </c>
      <c r="Q96" s="123" t="str">
        <f>IFERROR(Table_Leaks2_Input[[#This Row],[Gross measure cost]]-Table_Leaks2_Input[[#This Row],[Estimated incentive]], "")</f>
        <v/>
      </c>
      <c r="R96" s="124" t="str">
        <f t="shared" si="1"/>
        <v/>
      </c>
      <c r="S96" s="126">
        <f>IF(OR(Table_Leaks2_Input[[#This Row],[Pressure at leak (psig)]]=0, Table_Leaks2_Input[[#This Row],[Pressure at leak (psig)]]=""),0,IF(Table_Leaks2_Input[[#This Row],[Pressure at leak (psig)]]&lt;20, 10, MROUND(Table_Leaks2_Input[[#This Row],[Pressure at leak (psig)]], 25)))</f>
        <v>0</v>
      </c>
      <c r="T96" s="126">
        <f>ROUND(Table_Leaks2_Input[[#This Row],[dB reading]],-1)</f>
        <v>0</v>
      </c>
      <c r="U96" s="127" t="str">
        <f>_xlfn.CONCAT(Table_Leaks2_Input[[#This Row],[Rounded dB Reading]],"psig ", Table_Leaks2_Input[[#This Row],[Rounded PSIG]],"db")</f>
        <v>0psig 0db</v>
      </c>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row>
    <row r="97" spans="1:46" x14ac:dyDescent="0.2">
      <c r="A97" s="75"/>
      <c r="B97" s="121">
        <v>293</v>
      </c>
      <c r="C97" s="128"/>
      <c r="D97" s="129"/>
      <c r="E97" s="130"/>
      <c r="F97" s="130"/>
      <c r="G97" s="130"/>
      <c r="H97" s="130"/>
      <c r="I97" s="131"/>
      <c r="J97" s="131"/>
      <c r="K97" s="122" t="str">
        <f>IFERROR(INDEX(TABLE_UE_dB[Leak Size (cfm)], MATCH(Table_Leaks2_Input[[#This Row],[Lookup Value]], TABLE_UE_dB[Lookup Value], 0)),"")</f>
        <v/>
      </c>
      <c r="L97" s="123" t="str">
        <f>IF(Table_Leaks2_Input[[#This Row],[Repaired (Y/N)]]="Yes", Value_LeakRepairIR, "")</f>
        <v/>
      </c>
      <c r="M97" s="124" t="str">
        <f>IFERROR(Table_Leaks2_Input[[#This Row],[Estimated leak size (cfm)]]*Value_WeightAvgCompEff*Value_SysAOH,"" )</f>
        <v/>
      </c>
      <c r="N97" s="125" t="str">
        <f>IFERROR(Table_Leaks2_Input[[#This Row],[Estimated leak size (cfm)]]*Value_WeightAvgCompEff,"" )</f>
        <v/>
      </c>
      <c r="O97" s="123" t="str">
        <f>IFERROR(Table_Leaks2_Input[[#This Row],[Energy savings (kWh)]]*Input_AvgkWhRate, "")</f>
        <v/>
      </c>
      <c r="P97" s="123" t="str">
        <f>IF(Table_Leaks2_Input[[#This Row],[Pressure at leak (psig)]]="", "",Table_Leaks2_Input[[#This Row],[Total equipment cost]]+Table_Leaks2_Input[[#This Row],[Total labor cost]])</f>
        <v/>
      </c>
      <c r="Q97" s="123" t="str">
        <f>IFERROR(Table_Leaks2_Input[[#This Row],[Gross measure cost]]-Table_Leaks2_Input[[#This Row],[Estimated incentive]], "")</f>
        <v/>
      </c>
      <c r="R97" s="124" t="str">
        <f t="shared" si="1"/>
        <v/>
      </c>
      <c r="S97" s="126">
        <f>IF(OR(Table_Leaks2_Input[[#This Row],[Pressure at leak (psig)]]=0, Table_Leaks2_Input[[#This Row],[Pressure at leak (psig)]]=""),0,IF(Table_Leaks2_Input[[#This Row],[Pressure at leak (psig)]]&lt;20, 10, MROUND(Table_Leaks2_Input[[#This Row],[Pressure at leak (psig)]], 25)))</f>
        <v>0</v>
      </c>
      <c r="T97" s="126">
        <f>ROUND(Table_Leaks2_Input[[#This Row],[dB reading]],-1)</f>
        <v>0</v>
      </c>
      <c r="U97" s="127" t="str">
        <f>_xlfn.CONCAT(Table_Leaks2_Input[[#This Row],[Rounded dB Reading]],"psig ", Table_Leaks2_Input[[#This Row],[Rounded PSIG]],"db")</f>
        <v>0psig 0db</v>
      </c>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row>
    <row r="98" spans="1:46" x14ac:dyDescent="0.2">
      <c r="A98" s="75"/>
      <c r="B98" s="121">
        <v>294</v>
      </c>
      <c r="C98" s="128"/>
      <c r="D98" s="129"/>
      <c r="E98" s="130"/>
      <c r="F98" s="130"/>
      <c r="G98" s="130"/>
      <c r="H98" s="130"/>
      <c r="I98" s="131"/>
      <c r="J98" s="131"/>
      <c r="K98" s="122" t="str">
        <f>IFERROR(INDEX(TABLE_UE_dB[Leak Size (cfm)], MATCH(Table_Leaks2_Input[[#This Row],[Lookup Value]], TABLE_UE_dB[Lookup Value], 0)),"")</f>
        <v/>
      </c>
      <c r="L98" s="123" t="str">
        <f>IF(Table_Leaks2_Input[[#This Row],[Repaired (Y/N)]]="Yes", Value_LeakRepairIR, "")</f>
        <v/>
      </c>
      <c r="M98" s="124" t="str">
        <f>IFERROR(Table_Leaks2_Input[[#This Row],[Estimated leak size (cfm)]]*Value_WeightAvgCompEff*Value_SysAOH,"" )</f>
        <v/>
      </c>
      <c r="N98" s="125" t="str">
        <f>IFERROR(Table_Leaks2_Input[[#This Row],[Estimated leak size (cfm)]]*Value_WeightAvgCompEff,"" )</f>
        <v/>
      </c>
      <c r="O98" s="123" t="str">
        <f>IFERROR(Table_Leaks2_Input[[#This Row],[Energy savings (kWh)]]*Input_AvgkWhRate, "")</f>
        <v/>
      </c>
      <c r="P98" s="123" t="str">
        <f>IF(Table_Leaks2_Input[[#This Row],[Pressure at leak (psig)]]="", "",Table_Leaks2_Input[[#This Row],[Total equipment cost]]+Table_Leaks2_Input[[#This Row],[Total labor cost]])</f>
        <v/>
      </c>
      <c r="Q98" s="123" t="str">
        <f>IFERROR(Table_Leaks2_Input[[#This Row],[Gross measure cost]]-Table_Leaks2_Input[[#This Row],[Estimated incentive]], "")</f>
        <v/>
      </c>
      <c r="R98" s="124" t="str">
        <f t="shared" si="1"/>
        <v/>
      </c>
      <c r="S98" s="126">
        <f>IF(OR(Table_Leaks2_Input[[#This Row],[Pressure at leak (psig)]]=0, Table_Leaks2_Input[[#This Row],[Pressure at leak (psig)]]=""),0,IF(Table_Leaks2_Input[[#This Row],[Pressure at leak (psig)]]&lt;20, 10, MROUND(Table_Leaks2_Input[[#This Row],[Pressure at leak (psig)]], 25)))</f>
        <v>0</v>
      </c>
      <c r="T98" s="126">
        <f>ROUND(Table_Leaks2_Input[[#This Row],[dB reading]],-1)</f>
        <v>0</v>
      </c>
      <c r="U98" s="127" t="str">
        <f>_xlfn.CONCAT(Table_Leaks2_Input[[#This Row],[Rounded dB Reading]],"psig ", Table_Leaks2_Input[[#This Row],[Rounded PSIG]],"db")</f>
        <v>0psig 0db</v>
      </c>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row>
    <row r="99" spans="1:46" x14ac:dyDescent="0.2">
      <c r="A99" s="75"/>
      <c r="B99" s="121">
        <v>295</v>
      </c>
      <c r="C99" s="128"/>
      <c r="D99" s="129"/>
      <c r="E99" s="130"/>
      <c r="F99" s="130"/>
      <c r="G99" s="130"/>
      <c r="H99" s="130"/>
      <c r="I99" s="131"/>
      <c r="J99" s="131"/>
      <c r="K99" s="122" t="str">
        <f>IFERROR(INDEX(TABLE_UE_dB[Leak Size (cfm)], MATCH(Table_Leaks2_Input[[#This Row],[Lookup Value]], TABLE_UE_dB[Lookup Value], 0)),"")</f>
        <v/>
      </c>
      <c r="L99" s="123" t="str">
        <f>IF(Table_Leaks2_Input[[#This Row],[Repaired (Y/N)]]="Yes", Value_LeakRepairIR, "")</f>
        <v/>
      </c>
      <c r="M99" s="124" t="str">
        <f>IFERROR(Table_Leaks2_Input[[#This Row],[Estimated leak size (cfm)]]*Value_WeightAvgCompEff*Value_SysAOH,"" )</f>
        <v/>
      </c>
      <c r="N99" s="125" t="str">
        <f>IFERROR(Table_Leaks2_Input[[#This Row],[Estimated leak size (cfm)]]*Value_WeightAvgCompEff,"" )</f>
        <v/>
      </c>
      <c r="O99" s="123" t="str">
        <f>IFERROR(Table_Leaks2_Input[[#This Row],[Energy savings (kWh)]]*Input_AvgkWhRate, "")</f>
        <v/>
      </c>
      <c r="P99" s="123" t="str">
        <f>IF(Table_Leaks2_Input[[#This Row],[Pressure at leak (psig)]]="", "",Table_Leaks2_Input[[#This Row],[Total equipment cost]]+Table_Leaks2_Input[[#This Row],[Total labor cost]])</f>
        <v/>
      </c>
      <c r="Q99" s="123" t="str">
        <f>IFERROR(Table_Leaks2_Input[[#This Row],[Gross measure cost]]-Table_Leaks2_Input[[#This Row],[Estimated incentive]], "")</f>
        <v/>
      </c>
      <c r="R99" s="124" t="str">
        <f t="shared" si="1"/>
        <v/>
      </c>
      <c r="S99" s="126">
        <f>IF(OR(Table_Leaks2_Input[[#This Row],[Pressure at leak (psig)]]=0, Table_Leaks2_Input[[#This Row],[Pressure at leak (psig)]]=""),0,IF(Table_Leaks2_Input[[#This Row],[Pressure at leak (psig)]]&lt;20, 10, MROUND(Table_Leaks2_Input[[#This Row],[Pressure at leak (psig)]], 25)))</f>
        <v>0</v>
      </c>
      <c r="T99" s="126">
        <f>ROUND(Table_Leaks2_Input[[#This Row],[dB reading]],-1)</f>
        <v>0</v>
      </c>
      <c r="U99" s="127" t="str">
        <f>_xlfn.CONCAT(Table_Leaks2_Input[[#This Row],[Rounded dB Reading]],"psig ", Table_Leaks2_Input[[#This Row],[Rounded PSIG]],"db")</f>
        <v>0psig 0db</v>
      </c>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row>
    <row r="100" spans="1:46" x14ac:dyDescent="0.2">
      <c r="A100" s="75"/>
      <c r="B100" s="121">
        <v>296</v>
      </c>
      <c r="C100" s="128"/>
      <c r="D100" s="129"/>
      <c r="E100" s="130"/>
      <c r="F100" s="130"/>
      <c r="G100" s="130"/>
      <c r="H100" s="130"/>
      <c r="I100" s="131"/>
      <c r="J100" s="131"/>
      <c r="K100" s="122" t="str">
        <f>IFERROR(INDEX(TABLE_UE_dB[Leak Size (cfm)], MATCH(Table_Leaks2_Input[[#This Row],[Lookup Value]], TABLE_UE_dB[Lookup Value], 0)),"")</f>
        <v/>
      </c>
      <c r="L100" s="123" t="str">
        <f>IF(Table_Leaks2_Input[[#This Row],[Repaired (Y/N)]]="Yes", Value_LeakRepairIR, "")</f>
        <v/>
      </c>
      <c r="M100" s="124" t="str">
        <f>IFERROR(Table_Leaks2_Input[[#This Row],[Estimated leak size (cfm)]]*Value_WeightAvgCompEff*Value_SysAOH,"" )</f>
        <v/>
      </c>
      <c r="N100" s="125" t="str">
        <f>IFERROR(Table_Leaks2_Input[[#This Row],[Estimated leak size (cfm)]]*Value_WeightAvgCompEff,"" )</f>
        <v/>
      </c>
      <c r="O100" s="123" t="str">
        <f>IFERROR(Table_Leaks2_Input[[#This Row],[Energy savings (kWh)]]*Input_AvgkWhRate, "")</f>
        <v/>
      </c>
      <c r="P100" s="123" t="str">
        <f>IF(Table_Leaks2_Input[[#This Row],[Pressure at leak (psig)]]="", "",Table_Leaks2_Input[[#This Row],[Total equipment cost]]+Table_Leaks2_Input[[#This Row],[Total labor cost]])</f>
        <v/>
      </c>
      <c r="Q100" s="123" t="str">
        <f>IFERROR(Table_Leaks2_Input[[#This Row],[Gross measure cost]]-Table_Leaks2_Input[[#This Row],[Estimated incentive]], "")</f>
        <v/>
      </c>
      <c r="R100" s="124" t="str">
        <f t="shared" si="1"/>
        <v/>
      </c>
      <c r="S100" s="126">
        <f>IF(OR(Table_Leaks2_Input[[#This Row],[Pressure at leak (psig)]]=0, Table_Leaks2_Input[[#This Row],[Pressure at leak (psig)]]=""),0,IF(Table_Leaks2_Input[[#This Row],[Pressure at leak (psig)]]&lt;20, 10, MROUND(Table_Leaks2_Input[[#This Row],[Pressure at leak (psig)]], 25)))</f>
        <v>0</v>
      </c>
      <c r="T100" s="126">
        <f>ROUND(Table_Leaks2_Input[[#This Row],[dB reading]],-1)</f>
        <v>0</v>
      </c>
      <c r="U100" s="127" t="str">
        <f>_xlfn.CONCAT(Table_Leaks2_Input[[#This Row],[Rounded dB Reading]],"psig ", Table_Leaks2_Input[[#This Row],[Rounded PSIG]],"db")</f>
        <v>0psig 0db</v>
      </c>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row>
    <row r="101" spans="1:46" x14ac:dyDescent="0.2">
      <c r="A101" s="75"/>
      <c r="B101" s="121">
        <v>297</v>
      </c>
      <c r="C101" s="128"/>
      <c r="D101" s="129"/>
      <c r="E101" s="130"/>
      <c r="F101" s="130"/>
      <c r="G101" s="130"/>
      <c r="H101" s="130"/>
      <c r="I101" s="131"/>
      <c r="J101" s="131"/>
      <c r="K101" s="122" t="str">
        <f>IFERROR(INDEX(TABLE_UE_dB[Leak Size (cfm)], MATCH(Table_Leaks2_Input[[#This Row],[Lookup Value]], TABLE_UE_dB[Lookup Value], 0)),"")</f>
        <v/>
      </c>
      <c r="L101" s="123" t="str">
        <f>IF(Table_Leaks2_Input[[#This Row],[Repaired (Y/N)]]="Yes", Value_LeakRepairIR, "")</f>
        <v/>
      </c>
      <c r="M101" s="124" t="str">
        <f>IFERROR(Table_Leaks2_Input[[#This Row],[Estimated leak size (cfm)]]*Value_WeightAvgCompEff*Value_SysAOH,"" )</f>
        <v/>
      </c>
      <c r="N101" s="125" t="str">
        <f>IFERROR(Table_Leaks2_Input[[#This Row],[Estimated leak size (cfm)]]*Value_WeightAvgCompEff,"" )</f>
        <v/>
      </c>
      <c r="O101" s="123" t="str">
        <f>IFERROR(Table_Leaks2_Input[[#This Row],[Energy savings (kWh)]]*Input_AvgkWhRate, "")</f>
        <v/>
      </c>
      <c r="P101" s="123" t="str">
        <f>IF(Table_Leaks2_Input[[#This Row],[Pressure at leak (psig)]]="", "",Table_Leaks2_Input[[#This Row],[Total equipment cost]]+Table_Leaks2_Input[[#This Row],[Total labor cost]])</f>
        <v/>
      </c>
      <c r="Q101" s="123" t="str">
        <f>IFERROR(Table_Leaks2_Input[[#This Row],[Gross measure cost]]-Table_Leaks2_Input[[#This Row],[Estimated incentive]], "")</f>
        <v/>
      </c>
      <c r="R101" s="124" t="str">
        <f t="shared" si="1"/>
        <v/>
      </c>
      <c r="S101" s="126">
        <f>IF(OR(Table_Leaks2_Input[[#This Row],[Pressure at leak (psig)]]=0, Table_Leaks2_Input[[#This Row],[Pressure at leak (psig)]]=""),0,IF(Table_Leaks2_Input[[#This Row],[Pressure at leak (psig)]]&lt;20, 10, MROUND(Table_Leaks2_Input[[#This Row],[Pressure at leak (psig)]], 25)))</f>
        <v>0</v>
      </c>
      <c r="T101" s="126">
        <f>ROUND(Table_Leaks2_Input[[#This Row],[dB reading]],-1)</f>
        <v>0</v>
      </c>
      <c r="U101" s="127" t="str">
        <f>_xlfn.CONCAT(Table_Leaks2_Input[[#This Row],[Rounded dB Reading]],"psig ", Table_Leaks2_Input[[#This Row],[Rounded PSIG]],"db")</f>
        <v>0psig 0db</v>
      </c>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row>
    <row r="102" spans="1:46" x14ac:dyDescent="0.2">
      <c r="A102" s="75"/>
      <c r="B102" s="121">
        <v>298</v>
      </c>
      <c r="C102" s="128"/>
      <c r="D102" s="129"/>
      <c r="E102" s="130"/>
      <c r="F102" s="130"/>
      <c r="G102" s="130"/>
      <c r="H102" s="130"/>
      <c r="I102" s="131"/>
      <c r="J102" s="131"/>
      <c r="K102" s="122" t="str">
        <f>IFERROR(INDEX(TABLE_UE_dB[Leak Size (cfm)], MATCH(Table_Leaks2_Input[[#This Row],[Lookup Value]], TABLE_UE_dB[Lookup Value], 0)),"")</f>
        <v/>
      </c>
      <c r="L102" s="123" t="str">
        <f>IF(Table_Leaks2_Input[[#This Row],[Repaired (Y/N)]]="Yes", Value_LeakRepairIR, "")</f>
        <v/>
      </c>
      <c r="M102" s="124" t="str">
        <f>IFERROR(Table_Leaks2_Input[[#This Row],[Estimated leak size (cfm)]]*Value_WeightAvgCompEff*Value_SysAOH,"" )</f>
        <v/>
      </c>
      <c r="N102" s="125" t="str">
        <f>IFERROR(Table_Leaks2_Input[[#This Row],[Estimated leak size (cfm)]]*Value_WeightAvgCompEff,"" )</f>
        <v/>
      </c>
      <c r="O102" s="123" t="str">
        <f>IFERROR(Table_Leaks2_Input[[#This Row],[Energy savings (kWh)]]*Input_AvgkWhRate, "")</f>
        <v/>
      </c>
      <c r="P102" s="123" t="str">
        <f>IF(Table_Leaks2_Input[[#This Row],[Pressure at leak (psig)]]="", "",Table_Leaks2_Input[[#This Row],[Total equipment cost]]+Table_Leaks2_Input[[#This Row],[Total labor cost]])</f>
        <v/>
      </c>
      <c r="Q102" s="123" t="str">
        <f>IFERROR(Table_Leaks2_Input[[#This Row],[Gross measure cost]]-Table_Leaks2_Input[[#This Row],[Estimated incentive]], "")</f>
        <v/>
      </c>
      <c r="R102" s="124" t="str">
        <f t="shared" si="1"/>
        <v/>
      </c>
      <c r="S102" s="126">
        <f>IF(OR(Table_Leaks2_Input[[#This Row],[Pressure at leak (psig)]]=0, Table_Leaks2_Input[[#This Row],[Pressure at leak (psig)]]=""),0,IF(Table_Leaks2_Input[[#This Row],[Pressure at leak (psig)]]&lt;20, 10, MROUND(Table_Leaks2_Input[[#This Row],[Pressure at leak (psig)]], 25)))</f>
        <v>0</v>
      </c>
      <c r="T102" s="126">
        <f>ROUND(Table_Leaks2_Input[[#This Row],[dB reading]],-1)</f>
        <v>0</v>
      </c>
      <c r="U102" s="127" t="str">
        <f>_xlfn.CONCAT(Table_Leaks2_Input[[#This Row],[Rounded dB Reading]],"psig ", Table_Leaks2_Input[[#This Row],[Rounded PSIG]],"db")</f>
        <v>0psig 0db</v>
      </c>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row>
    <row r="103" spans="1:46" x14ac:dyDescent="0.2">
      <c r="A103" s="75"/>
      <c r="B103" s="121">
        <v>299</v>
      </c>
      <c r="C103" s="128"/>
      <c r="D103" s="129"/>
      <c r="E103" s="130"/>
      <c r="F103" s="130"/>
      <c r="G103" s="130"/>
      <c r="H103" s="130"/>
      <c r="I103" s="131"/>
      <c r="J103" s="131"/>
      <c r="K103" s="122" t="str">
        <f>IFERROR(INDEX(TABLE_UE_dB[Leak Size (cfm)], MATCH(Table_Leaks2_Input[[#This Row],[Lookup Value]], TABLE_UE_dB[Lookup Value], 0)),"")</f>
        <v/>
      </c>
      <c r="L103" s="123" t="str">
        <f>IF(Table_Leaks2_Input[[#This Row],[Repaired (Y/N)]]="Yes", Value_LeakRepairIR, "")</f>
        <v/>
      </c>
      <c r="M103" s="124" t="str">
        <f>IFERROR(Table_Leaks2_Input[[#This Row],[Estimated leak size (cfm)]]*Value_WeightAvgCompEff*Value_SysAOH,"" )</f>
        <v/>
      </c>
      <c r="N103" s="125" t="str">
        <f>IFERROR(Table_Leaks2_Input[[#This Row],[Estimated leak size (cfm)]]*Value_WeightAvgCompEff,"" )</f>
        <v/>
      </c>
      <c r="O103" s="123" t="str">
        <f>IFERROR(Table_Leaks2_Input[[#This Row],[Energy savings (kWh)]]*Input_AvgkWhRate, "")</f>
        <v/>
      </c>
      <c r="P103" s="123" t="str">
        <f>IF(Table_Leaks2_Input[[#This Row],[Pressure at leak (psig)]]="", "",Table_Leaks2_Input[[#This Row],[Total equipment cost]]+Table_Leaks2_Input[[#This Row],[Total labor cost]])</f>
        <v/>
      </c>
      <c r="Q103" s="123" t="str">
        <f>IFERROR(Table_Leaks2_Input[[#This Row],[Gross measure cost]]-Table_Leaks2_Input[[#This Row],[Estimated incentive]], "")</f>
        <v/>
      </c>
      <c r="R103" s="124" t="str">
        <f t="shared" si="1"/>
        <v/>
      </c>
      <c r="S103" s="126">
        <f>IF(OR(Table_Leaks2_Input[[#This Row],[Pressure at leak (psig)]]=0, Table_Leaks2_Input[[#This Row],[Pressure at leak (psig)]]=""),0,IF(Table_Leaks2_Input[[#This Row],[Pressure at leak (psig)]]&lt;20, 10, MROUND(Table_Leaks2_Input[[#This Row],[Pressure at leak (psig)]], 25)))</f>
        <v>0</v>
      </c>
      <c r="T103" s="126">
        <f>ROUND(Table_Leaks2_Input[[#This Row],[dB reading]],-1)</f>
        <v>0</v>
      </c>
      <c r="U103" s="127" t="str">
        <f>_xlfn.CONCAT(Table_Leaks2_Input[[#This Row],[Rounded dB Reading]],"psig ", Table_Leaks2_Input[[#This Row],[Rounded PSIG]],"db")</f>
        <v>0psig 0db</v>
      </c>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row>
    <row r="104" spans="1:46" x14ac:dyDescent="0.2">
      <c r="A104" s="75"/>
      <c r="B104" s="121">
        <v>300</v>
      </c>
      <c r="C104" s="128"/>
      <c r="D104" s="129"/>
      <c r="E104" s="130"/>
      <c r="F104" s="130"/>
      <c r="G104" s="130"/>
      <c r="H104" s="130"/>
      <c r="I104" s="131"/>
      <c r="J104" s="131"/>
      <c r="K104" s="122" t="str">
        <f>IFERROR(INDEX(TABLE_UE_dB[Leak Size (cfm)], MATCH(Table_Leaks2_Input[[#This Row],[Lookup Value]], TABLE_UE_dB[Lookup Value], 0)),"")</f>
        <v/>
      </c>
      <c r="L104" s="123" t="str">
        <f>IF(Table_Leaks2_Input[[#This Row],[Repaired (Y/N)]]="Yes", Value_LeakRepairIR, "")</f>
        <v/>
      </c>
      <c r="M104" s="124" t="str">
        <f>IFERROR(Table_Leaks2_Input[[#This Row],[Estimated leak size (cfm)]]*Value_WeightAvgCompEff*Value_SysAOH,"" )</f>
        <v/>
      </c>
      <c r="N104" s="125" t="str">
        <f>IFERROR(Table_Leaks2_Input[[#This Row],[Estimated leak size (cfm)]]*Value_WeightAvgCompEff,"" )</f>
        <v/>
      </c>
      <c r="O104" s="123" t="str">
        <f>IFERROR(Table_Leaks2_Input[[#This Row],[Energy savings (kWh)]]*Input_AvgkWhRate, "")</f>
        <v/>
      </c>
      <c r="P104" s="123" t="str">
        <f>IF(Table_Leaks2_Input[[#This Row],[Pressure at leak (psig)]]="", "",Table_Leaks2_Input[[#This Row],[Total equipment cost]]+Table_Leaks2_Input[[#This Row],[Total labor cost]])</f>
        <v/>
      </c>
      <c r="Q104" s="123" t="str">
        <f>IFERROR(Table_Leaks2_Input[[#This Row],[Gross measure cost]]-Table_Leaks2_Input[[#This Row],[Estimated incentive]], "")</f>
        <v/>
      </c>
      <c r="R104" s="124" t="str">
        <f t="shared" si="1"/>
        <v/>
      </c>
      <c r="S104" s="126">
        <f>IF(OR(Table_Leaks2_Input[[#This Row],[Pressure at leak (psig)]]=0, Table_Leaks2_Input[[#This Row],[Pressure at leak (psig)]]=""),0,IF(Table_Leaks2_Input[[#This Row],[Pressure at leak (psig)]]&lt;20, 10, MROUND(Table_Leaks2_Input[[#This Row],[Pressure at leak (psig)]], 25)))</f>
        <v>0</v>
      </c>
      <c r="T104" s="126">
        <f>ROUND(Table_Leaks2_Input[[#This Row],[dB reading]],-1)</f>
        <v>0</v>
      </c>
      <c r="U104" s="127" t="str">
        <f>_xlfn.CONCAT(Table_Leaks2_Input[[#This Row],[Rounded dB Reading]],"psig ", Table_Leaks2_Input[[#This Row],[Rounded PSIG]],"db")</f>
        <v>0psig 0db</v>
      </c>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row>
    <row r="105" spans="1:46" x14ac:dyDescent="0.2">
      <c r="A105" s="75"/>
      <c r="B105" s="121">
        <v>301</v>
      </c>
      <c r="C105" s="128"/>
      <c r="D105" s="129"/>
      <c r="E105" s="130"/>
      <c r="F105" s="130"/>
      <c r="G105" s="130"/>
      <c r="H105" s="130"/>
      <c r="I105" s="131"/>
      <c r="J105" s="131"/>
      <c r="K105" s="122" t="str">
        <f>IFERROR(INDEX(TABLE_UE_dB[Leak Size (cfm)], MATCH(Table_Leaks2_Input[[#This Row],[Lookup Value]], TABLE_UE_dB[Lookup Value], 0)),"")</f>
        <v/>
      </c>
      <c r="L105" s="123" t="str">
        <f>IF(Table_Leaks2_Input[[#This Row],[Repaired (Y/N)]]="Yes", Value_LeakRepairIR, "")</f>
        <v/>
      </c>
      <c r="M105" s="124" t="str">
        <f>IFERROR(Table_Leaks2_Input[[#This Row],[Estimated leak size (cfm)]]*Value_WeightAvgCompEff*Value_SysAOH,"" )</f>
        <v/>
      </c>
      <c r="N105" s="125" t="str">
        <f>IFERROR(Table_Leaks2_Input[[#This Row],[Estimated leak size (cfm)]]*Value_WeightAvgCompEff,"" )</f>
        <v/>
      </c>
      <c r="O105" s="123" t="str">
        <f>IFERROR(Table_Leaks2_Input[[#This Row],[Energy savings (kWh)]]*Input_AvgkWhRate, "")</f>
        <v/>
      </c>
      <c r="P105" s="123" t="str">
        <f>IF(Table_Leaks2_Input[[#This Row],[Pressure at leak (psig)]]="", "",Table_Leaks2_Input[[#This Row],[Total equipment cost]]+Table_Leaks2_Input[[#This Row],[Total labor cost]])</f>
        <v/>
      </c>
      <c r="Q105" s="123" t="str">
        <f>IFERROR(Table_Leaks2_Input[[#This Row],[Gross measure cost]]-Table_Leaks2_Input[[#This Row],[Estimated incentive]], "")</f>
        <v/>
      </c>
      <c r="R105" s="124" t="str">
        <f t="shared" si="1"/>
        <v/>
      </c>
      <c r="S105" s="126">
        <f>IF(OR(Table_Leaks2_Input[[#This Row],[Pressure at leak (psig)]]=0, Table_Leaks2_Input[[#This Row],[Pressure at leak (psig)]]=""),0,IF(Table_Leaks2_Input[[#This Row],[Pressure at leak (psig)]]&lt;20, 10, MROUND(Table_Leaks2_Input[[#This Row],[Pressure at leak (psig)]], 25)))</f>
        <v>0</v>
      </c>
      <c r="T105" s="126">
        <f>ROUND(Table_Leaks2_Input[[#This Row],[dB reading]],-1)</f>
        <v>0</v>
      </c>
      <c r="U105" s="127" t="str">
        <f>_xlfn.CONCAT(Table_Leaks2_Input[[#This Row],[Rounded dB Reading]],"psig ", Table_Leaks2_Input[[#This Row],[Rounded PSIG]],"db")</f>
        <v>0psig 0db</v>
      </c>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row>
    <row r="106" spans="1:46" x14ac:dyDescent="0.2">
      <c r="A106" s="75"/>
      <c r="B106" s="121">
        <v>302</v>
      </c>
      <c r="C106" s="128"/>
      <c r="D106" s="129"/>
      <c r="E106" s="130"/>
      <c r="F106" s="130"/>
      <c r="G106" s="130"/>
      <c r="H106" s="130"/>
      <c r="I106" s="131"/>
      <c r="J106" s="131"/>
      <c r="K106" s="122" t="str">
        <f>IFERROR(INDEX(TABLE_UE_dB[Leak Size (cfm)], MATCH(Table_Leaks2_Input[[#This Row],[Lookup Value]], TABLE_UE_dB[Lookup Value], 0)),"")</f>
        <v/>
      </c>
      <c r="L106" s="123" t="str">
        <f>IF(Table_Leaks2_Input[[#This Row],[Repaired (Y/N)]]="Yes", Value_LeakRepairIR, "")</f>
        <v/>
      </c>
      <c r="M106" s="124" t="str">
        <f>IFERROR(Table_Leaks2_Input[[#This Row],[Estimated leak size (cfm)]]*Value_WeightAvgCompEff*Value_SysAOH,"" )</f>
        <v/>
      </c>
      <c r="N106" s="125" t="str">
        <f>IFERROR(Table_Leaks2_Input[[#This Row],[Estimated leak size (cfm)]]*Value_WeightAvgCompEff,"" )</f>
        <v/>
      </c>
      <c r="O106" s="123" t="str">
        <f>IFERROR(Table_Leaks2_Input[[#This Row],[Energy savings (kWh)]]*Input_AvgkWhRate, "")</f>
        <v/>
      </c>
      <c r="P106" s="123" t="str">
        <f>IF(Table_Leaks2_Input[[#This Row],[Pressure at leak (psig)]]="", "",Table_Leaks2_Input[[#This Row],[Total equipment cost]]+Table_Leaks2_Input[[#This Row],[Total labor cost]])</f>
        <v/>
      </c>
      <c r="Q106" s="123" t="str">
        <f>IFERROR(Table_Leaks2_Input[[#This Row],[Gross measure cost]]-Table_Leaks2_Input[[#This Row],[Estimated incentive]], "")</f>
        <v/>
      </c>
      <c r="R106" s="124" t="str">
        <f t="shared" si="1"/>
        <v/>
      </c>
      <c r="S106" s="126">
        <f>IF(OR(Table_Leaks2_Input[[#This Row],[Pressure at leak (psig)]]=0, Table_Leaks2_Input[[#This Row],[Pressure at leak (psig)]]=""),0,IF(Table_Leaks2_Input[[#This Row],[Pressure at leak (psig)]]&lt;20, 10, MROUND(Table_Leaks2_Input[[#This Row],[Pressure at leak (psig)]], 25)))</f>
        <v>0</v>
      </c>
      <c r="T106" s="126">
        <f>ROUND(Table_Leaks2_Input[[#This Row],[dB reading]],-1)</f>
        <v>0</v>
      </c>
      <c r="U106" s="127" t="str">
        <f>_xlfn.CONCAT(Table_Leaks2_Input[[#This Row],[Rounded dB Reading]],"psig ", Table_Leaks2_Input[[#This Row],[Rounded PSIG]],"db")</f>
        <v>0psig 0db</v>
      </c>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row>
    <row r="107" spans="1:46" x14ac:dyDescent="0.2">
      <c r="A107" s="75"/>
      <c r="B107" s="121">
        <v>303</v>
      </c>
      <c r="C107" s="128"/>
      <c r="D107" s="129"/>
      <c r="E107" s="130"/>
      <c r="F107" s="130"/>
      <c r="G107" s="130"/>
      <c r="H107" s="130"/>
      <c r="I107" s="131"/>
      <c r="J107" s="131"/>
      <c r="K107" s="122" t="str">
        <f>IFERROR(INDEX(TABLE_UE_dB[Leak Size (cfm)], MATCH(Table_Leaks2_Input[[#This Row],[Lookup Value]], TABLE_UE_dB[Lookup Value], 0)),"")</f>
        <v/>
      </c>
      <c r="L107" s="123" t="str">
        <f>IF(Table_Leaks2_Input[[#This Row],[Repaired (Y/N)]]="Yes", Value_LeakRepairIR, "")</f>
        <v/>
      </c>
      <c r="M107" s="124" t="str">
        <f>IFERROR(Table_Leaks2_Input[[#This Row],[Estimated leak size (cfm)]]*Value_WeightAvgCompEff*Value_SysAOH,"" )</f>
        <v/>
      </c>
      <c r="N107" s="125" t="str">
        <f>IFERROR(Table_Leaks2_Input[[#This Row],[Estimated leak size (cfm)]]*Value_WeightAvgCompEff,"" )</f>
        <v/>
      </c>
      <c r="O107" s="123" t="str">
        <f>IFERROR(Table_Leaks2_Input[[#This Row],[Energy savings (kWh)]]*Input_AvgkWhRate, "")</f>
        <v/>
      </c>
      <c r="P107" s="123" t="str">
        <f>IF(Table_Leaks2_Input[[#This Row],[Pressure at leak (psig)]]="", "",Table_Leaks2_Input[[#This Row],[Total equipment cost]]+Table_Leaks2_Input[[#This Row],[Total labor cost]])</f>
        <v/>
      </c>
      <c r="Q107" s="123" t="str">
        <f>IFERROR(Table_Leaks2_Input[[#This Row],[Gross measure cost]]-Table_Leaks2_Input[[#This Row],[Estimated incentive]], "")</f>
        <v/>
      </c>
      <c r="R107" s="124" t="str">
        <f t="shared" si="1"/>
        <v/>
      </c>
      <c r="S107" s="126">
        <f>IF(OR(Table_Leaks2_Input[[#This Row],[Pressure at leak (psig)]]=0, Table_Leaks2_Input[[#This Row],[Pressure at leak (psig)]]=""),0,IF(Table_Leaks2_Input[[#This Row],[Pressure at leak (psig)]]&lt;20, 10, MROUND(Table_Leaks2_Input[[#This Row],[Pressure at leak (psig)]], 25)))</f>
        <v>0</v>
      </c>
      <c r="T107" s="126">
        <f>ROUND(Table_Leaks2_Input[[#This Row],[dB reading]],-1)</f>
        <v>0</v>
      </c>
      <c r="U107" s="127" t="str">
        <f>_xlfn.CONCAT(Table_Leaks2_Input[[#This Row],[Rounded dB Reading]],"psig ", Table_Leaks2_Input[[#This Row],[Rounded PSIG]],"db")</f>
        <v>0psig 0db</v>
      </c>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row>
    <row r="108" spans="1:46" x14ac:dyDescent="0.2">
      <c r="A108" s="75"/>
      <c r="B108" s="121">
        <v>304</v>
      </c>
      <c r="C108" s="128"/>
      <c r="D108" s="129"/>
      <c r="E108" s="130"/>
      <c r="F108" s="130"/>
      <c r="G108" s="130"/>
      <c r="H108" s="130"/>
      <c r="I108" s="131"/>
      <c r="J108" s="131"/>
      <c r="K108" s="122" t="str">
        <f>IFERROR(INDEX(TABLE_UE_dB[Leak Size (cfm)], MATCH(Table_Leaks2_Input[[#This Row],[Lookup Value]], TABLE_UE_dB[Lookup Value], 0)),"")</f>
        <v/>
      </c>
      <c r="L108" s="123" t="str">
        <f>IF(Table_Leaks2_Input[[#This Row],[Repaired (Y/N)]]="Yes", Value_LeakRepairIR, "")</f>
        <v/>
      </c>
      <c r="M108" s="124" t="str">
        <f>IFERROR(Table_Leaks2_Input[[#This Row],[Estimated leak size (cfm)]]*Value_WeightAvgCompEff*Value_SysAOH,"" )</f>
        <v/>
      </c>
      <c r="N108" s="125" t="str">
        <f>IFERROR(Table_Leaks2_Input[[#This Row],[Estimated leak size (cfm)]]*Value_WeightAvgCompEff,"" )</f>
        <v/>
      </c>
      <c r="O108" s="123" t="str">
        <f>IFERROR(Table_Leaks2_Input[[#This Row],[Energy savings (kWh)]]*Input_AvgkWhRate, "")</f>
        <v/>
      </c>
      <c r="P108" s="123" t="str">
        <f>IF(Table_Leaks2_Input[[#This Row],[Pressure at leak (psig)]]="", "",Table_Leaks2_Input[[#This Row],[Total equipment cost]]+Table_Leaks2_Input[[#This Row],[Total labor cost]])</f>
        <v/>
      </c>
      <c r="Q108" s="123" t="str">
        <f>IFERROR(Table_Leaks2_Input[[#This Row],[Gross measure cost]]-Table_Leaks2_Input[[#This Row],[Estimated incentive]], "")</f>
        <v/>
      </c>
      <c r="R108" s="124" t="str">
        <f t="shared" si="1"/>
        <v/>
      </c>
      <c r="S108" s="126">
        <f>IF(OR(Table_Leaks2_Input[[#This Row],[Pressure at leak (psig)]]=0, Table_Leaks2_Input[[#This Row],[Pressure at leak (psig)]]=""),0,IF(Table_Leaks2_Input[[#This Row],[Pressure at leak (psig)]]&lt;20, 10, MROUND(Table_Leaks2_Input[[#This Row],[Pressure at leak (psig)]], 25)))</f>
        <v>0</v>
      </c>
      <c r="T108" s="126">
        <f>ROUND(Table_Leaks2_Input[[#This Row],[dB reading]],-1)</f>
        <v>0</v>
      </c>
      <c r="U108" s="127" t="str">
        <f>_xlfn.CONCAT(Table_Leaks2_Input[[#This Row],[Rounded dB Reading]],"psig ", Table_Leaks2_Input[[#This Row],[Rounded PSIG]],"db")</f>
        <v>0psig 0db</v>
      </c>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row>
    <row r="109" spans="1:46" x14ac:dyDescent="0.2">
      <c r="A109" s="75"/>
      <c r="B109" s="121">
        <v>305</v>
      </c>
      <c r="C109" s="128"/>
      <c r="D109" s="129"/>
      <c r="E109" s="130"/>
      <c r="F109" s="130"/>
      <c r="G109" s="130"/>
      <c r="H109" s="130"/>
      <c r="I109" s="131"/>
      <c r="J109" s="131"/>
      <c r="K109" s="122" t="str">
        <f>IFERROR(INDEX(TABLE_UE_dB[Leak Size (cfm)], MATCH(Table_Leaks2_Input[[#This Row],[Lookup Value]], TABLE_UE_dB[Lookup Value], 0)),"")</f>
        <v/>
      </c>
      <c r="L109" s="123" t="str">
        <f>IF(Table_Leaks2_Input[[#This Row],[Repaired (Y/N)]]="Yes", Value_LeakRepairIR, "")</f>
        <v/>
      </c>
      <c r="M109" s="124" t="str">
        <f>IFERROR(Table_Leaks2_Input[[#This Row],[Estimated leak size (cfm)]]*Value_WeightAvgCompEff*Value_SysAOH,"" )</f>
        <v/>
      </c>
      <c r="N109" s="125" t="str">
        <f>IFERROR(Table_Leaks2_Input[[#This Row],[Estimated leak size (cfm)]]*Value_WeightAvgCompEff,"" )</f>
        <v/>
      </c>
      <c r="O109" s="123" t="str">
        <f>IFERROR(Table_Leaks2_Input[[#This Row],[Energy savings (kWh)]]*Input_AvgkWhRate, "")</f>
        <v/>
      </c>
      <c r="P109" s="123" t="str">
        <f>IF(Table_Leaks2_Input[[#This Row],[Pressure at leak (psig)]]="", "",Table_Leaks2_Input[[#This Row],[Total equipment cost]]+Table_Leaks2_Input[[#This Row],[Total labor cost]])</f>
        <v/>
      </c>
      <c r="Q109" s="123" t="str">
        <f>IFERROR(Table_Leaks2_Input[[#This Row],[Gross measure cost]]-Table_Leaks2_Input[[#This Row],[Estimated incentive]], "")</f>
        <v/>
      </c>
      <c r="R109" s="124" t="str">
        <f t="shared" si="1"/>
        <v/>
      </c>
      <c r="S109" s="126">
        <f>IF(OR(Table_Leaks2_Input[[#This Row],[Pressure at leak (psig)]]=0, Table_Leaks2_Input[[#This Row],[Pressure at leak (psig)]]=""),0,IF(Table_Leaks2_Input[[#This Row],[Pressure at leak (psig)]]&lt;20, 10, MROUND(Table_Leaks2_Input[[#This Row],[Pressure at leak (psig)]], 25)))</f>
        <v>0</v>
      </c>
      <c r="T109" s="126">
        <f>ROUND(Table_Leaks2_Input[[#This Row],[dB reading]],-1)</f>
        <v>0</v>
      </c>
      <c r="U109" s="127" t="str">
        <f>_xlfn.CONCAT(Table_Leaks2_Input[[#This Row],[Rounded dB Reading]],"psig ", Table_Leaks2_Input[[#This Row],[Rounded PSIG]],"db")</f>
        <v>0psig 0db</v>
      </c>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row>
    <row r="110" spans="1:46" x14ac:dyDescent="0.2">
      <c r="A110" s="75"/>
      <c r="B110" s="121">
        <v>306</v>
      </c>
      <c r="C110" s="128"/>
      <c r="D110" s="129"/>
      <c r="E110" s="130"/>
      <c r="F110" s="130"/>
      <c r="G110" s="130"/>
      <c r="H110" s="130"/>
      <c r="I110" s="131"/>
      <c r="J110" s="131"/>
      <c r="K110" s="122" t="str">
        <f>IFERROR(INDEX(TABLE_UE_dB[Leak Size (cfm)], MATCH(Table_Leaks2_Input[[#This Row],[Lookup Value]], TABLE_UE_dB[Lookup Value], 0)),"")</f>
        <v/>
      </c>
      <c r="L110" s="123" t="str">
        <f>IF(Table_Leaks2_Input[[#This Row],[Repaired (Y/N)]]="Yes", Value_LeakRepairIR, "")</f>
        <v/>
      </c>
      <c r="M110" s="124" t="str">
        <f>IFERROR(Table_Leaks2_Input[[#This Row],[Estimated leak size (cfm)]]*Value_WeightAvgCompEff*Value_SysAOH,"" )</f>
        <v/>
      </c>
      <c r="N110" s="125" t="str">
        <f>IFERROR(Table_Leaks2_Input[[#This Row],[Estimated leak size (cfm)]]*Value_WeightAvgCompEff,"" )</f>
        <v/>
      </c>
      <c r="O110" s="123" t="str">
        <f>IFERROR(Table_Leaks2_Input[[#This Row],[Energy savings (kWh)]]*Input_AvgkWhRate, "")</f>
        <v/>
      </c>
      <c r="P110" s="123" t="str">
        <f>IF(Table_Leaks2_Input[[#This Row],[Pressure at leak (psig)]]="", "",Table_Leaks2_Input[[#This Row],[Total equipment cost]]+Table_Leaks2_Input[[#This Row],[Total labor cost]])</f>
        <v/>
      </c>
      <c r="Q110" s="123" t="str">
        <f>IFERROR(Table_Leaks2_Input[[#This Row],[Gross measure cost]]-Table_Leaks2_Input[[#This Row],[Estimated incentive]], "")</f>
        <v/>
      </c>
      <c r="R110" s="124" t="str">
        <f t="shared" si="1"/>
        <v/>
      </c>
      <c r="S110" s="126">
        <f>IF(OR(Table_Leaks2_Input[[#This Row],[Pressure at leak (psig)]]=0, Table_Leaks2_Input[[#This Row],[Pressure at leak (psig)]]=""),0,IF(Table_Leaks2_Input[[#This Row],[Pressure at leak (psig)]]&lt;20, 10, MROUND(Table_Leaks2_Input[[#This Row],[Pressure at leak (psig)]], 25)))</f>
        <v>0</v>
      </c>
      <c r="T110" s="126">
        <f>ROUND(Table_Leaks2_Input[[#This Row],[dB reading]],-1)</f>
        <v>0</v>
      </c>
      <c r="U110" s="127" t="str">
        <f>_xlfn.CONCAT(Table_Leaks2_Input[[#This Row],[Rounded dB Reading]],"psig ", Table_Leaks2_Input[[#This Row],[Rounded PSIG]],"db")</f>
        <v>0psig 0db</v>
      </c>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row>
    <row r="111" spans="1:46" x14ac:dyDescent="0.2">
      <c r="A111" s="75"/>
      <c r="B111" s="121">
        <v>307</v>
      </c>
      <c r="C111" s="128"/>
      <c r="D111" s="129"/>
      <c r="E111" s="130"/>
      <c r="F111" s="130"/>
      <c r="G111" s="130"/>
      <c r="H111" s="130"/>
      <c r="I111" s="131"/>
      <c r="J111" s="131"/>
      <c r="K111" s="122" t="str">
        <f>IFERROR(INDEX(TABLE_UE_dB[Leak Size (cfm)], MATCH(Table_Leaks2_Input[[#This Row],[Lookup Value]], TABLE_UE_dB[Lookup Value], 0)),"")</f>
        <v/>
      </c>
      <c r="L111" s="123" t="str">
        <f>IF(Table_Leaks2_Input[[#This Row],[Repaired (Y/N)]]="Yes", Value_LeakRepairIR, "")</f>
        <v/>
      </c>
      <c r="M111" s="124" t="str">
        <f>IFERROR(Table_Leaks2_Input[[#This Row],[Estimated leak size (cfm)]]*Value_WeightAvgCompEff*Value_SysAOH,"" )</f>
        <v/>
      </c>
      <c r="N111" s="125" t="str">
        <f>IFERROR(Table_Leaks2_Input[[#This Row],[Estimated leak size (cfm)]]*Value_WeightAvgCompEff,"" )</f>
        <v/>
      </c>
      <c r="O111" s="123" t="str">
        <f>IFERROR(Table_Leaks2_Input[[#This Row],[Energy savings (kWh)]]*Input_AvgkWhRate, "")</f>
        <v/>
      </c>
      <c r="P111" s="123" t="str">
        <f>IF(Table_Leaks2_Input[[#This Row],[Pressure at leak (psig)]]="", "",Table_Leaks2_Input[[#This Row],[Total equipment cost]]+Table_Leaks2_Input[[#This Row],[Total labor cost]])</f>
        <v/>
      </c>
      <c r="Q111" s="123" t="str">
        <f>IFERROR(Table_Leaks2_Input[[#This Row],[Gross measure cost]]-Table_Leaks2_Input[[#This Row],[Estimated incentive]], "")</f>
        <v/>
      </c>
      <c r="R111" s="124" t="str">
        <f t="shared" si="1"/>
        <v/>
      </c>
      <c r="S111" s="126">
        <f>IF(OR(Table_Leaks2_Input[[#This Row],[Pressure at leak (psig)]]=0, Table_Leaks2_Input[[#This Row],[Pressure at leak (psig)]]=""),0,IF(Table_Leaks2_Input[[#This Row],[Pressure at leak (psig)]]&lt;20, 10, MROUND(Table_Leaks2_Input[[#This Row],[Pressure at leak (psig)]], 25)))</f>
        <v>0</v>
      </c>
      <c r="T111" s="126">
        <f>ROUND(Table_Leaks2_Input[[#This Row],[dB reading]],-1)</f>
        <v>0</v>
      </c>
      <c r="U111" s="127" t="str">
        <f>_xlfn.CONCAT(Table_Leaks2_Input[[#This Row],[Rounded dB Reading]],"psig ", Table_Leaks2_Input[[#This Row],[Rounded PSIG]],"db")</f>
        <v>0psig 0db</v>
      </c>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row>
    <row r="112" spans="1:46" x14ac:dyDescent="0.2">
      <c r="A112" s="75"/>
      <c r="B112" s="121">
        <v>308</v>
      </c>
      <c r="C112" s="128"/>
      <c r="D112" s="129"/>
      <c r="E112" s="130"/>
      <c r="F112" s="130"/>
      <c r="G112" s="130"/>
      <c r="H112" s="130"/>
      <c r="I112" s="131"/>
      <c r="J112" s="131"/>
      <c r="K112" s="122" t="str">
        <f>IFERROR(INDEX(TABLE_UE_dB[Leak Size (cfm)], MATCH(Table_Leaks2_Input[[#This Row],[Lookup Value]], TABLE_UE_dB[Lookup Value], 0)),"")</f>
        <v/>
      </c>
      <c r="L112" s="123" t="str">
        <f>IF(Table_Leaks2_Input[[#This Row],[Repaired (Y/N)]]="Yes", Value_LeakRepairIR, "")</f>
        <v/>
      </c>
      <c r="M112" s="124" t="str">
        <f>IFERROR(Table_Leaks2_Input[[#This Row],[Estimated leak size (cfm)]]*Value_WeightAvgCompEff*Value_SysAOH,"" )</f>
        <v/>
      </c>
      <c r="N112" s="125" t="str">
        <f>IFERROR(Table_Leaks2_Input[[#This Row],[Estimated leak size (cfm)]]*Value_WeightAvgCompEff,"" )</f>
        <v/>
      </c>
      <c r="O112" s="123" t="str">
        <f>IFERROR(Table_Leaks2_Input[[#This Row],[Energy savings (kWh)]]*Input_AvgkWhRate, "")</f>
        <v/>
      </c>
      <c r="P112" s="123" t="str">
        <f>IF(Table_Leaks2_Input[[#This Row],[Pressure at leak (psig)]]="", "",Table_Leaks2_Input[[#This Row],[Total equipment cost]]+Table_Leaks2_Input[[#This Row],[Total labor cost]])</f>
        <v/>
      </c>
      <c r="Q112" s="123" t="str">
        <f>IFERROR(Table_Leaks2_Input[[#This Row],[Gross measure cost]]-Table_Leaks2_Input[[#This Row],[Estimated incentive]], "")</f>
        <v/>
      </c>
      <c r="R112" s="124" t="str">
        <f t="shared" si="1"/>
        <v/>
      </c>
      <c r="S112" s="126">
        <f>IF(OR(Table_Leaks2_Input[[#This Row],[Pressure at leak (psig)]]=0, Table_Leaks2_Input[[#This Row],[Pressure at leak (psig)]]=""),0,IF(Table_Leaks2_Input[[#This Row],[Pressure at leak (psig)]]&lt;20, 10, MROUND(Table_Leaks2_Input[[#This Row],[Pressure at leak (psig)]], 25)))</f>
        <v>0</v>
      </c>
      <c r="T112" s="126">
        <f>ROUND(Table_Leaks2_Input[[#This Row],[dB reading]],-1)</f>
        <v>0</v>
      </c>
      <c r="U112" s="127" t="str">
        <f>_xlfn.CONCAT(Table_Leaks2_Input[[#This Row],[Rounded dB Reading]],"psig ", Table_Leaks2_Input[[#This Row],[Rounded PSIG]],"db")</f>
        <v>0psig 0db</v>
      </c>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row>
    <row r="113" spans="1:46" x14ac:dyDescent="0.2">
      <c r="A113" s="75"/>
      <c r="B113" s="121">
        <v>309</v>
      </c>
      <c r="C113" s="128"/>
      <c r="D113" s="129"/>
      <c r="E113" s="130"/>
      <c r="F113" s="130"/>
      <c r="G113" s="130"/>
      <c r="H113" s="130"/>
      <c r="I113" s="131"/>
      <c r="J113" s="131"/>
      <c r="K113" s="122" t="str">
        <f>IFERROR(INDEX(TABLE_UE_dB[Leak Size (cfm)], MATCH(Table_Leaks2_Input[[#This Row],[Lookup Value]], TABLE_UE_dB[Lookup Value], 0)),"")</f>
        <v/>
      </c>
      <c r="L113" s="123" t="str">
        <f>IF(Table_Leaks2_Input[[#This Row],[Repaired (Y/N)]]="Yes", Value_LeakRepairIR, "")</f>
        <v/>
      </c>
      <c r="M113" s="124" t="str">
        <f>IFERROR(Table_Leaks2_Input[[#This Row],[Estimated leak size (cfm)]]*Value_WeightAvgCompEff*Value_SysAOH,"" )</f>
        <v/>
      </c>
      <c r="N113" s="125" t="str">
        <f>IFERROR(Table_Leaks2_Input[[#This Row],[Estimated leak size (cfm)]]*Value_WeightAvgCompEff,"" )</f>
        <v/>
      </c>
      <c r="O113" s="123" t="str">
        <f>IFERROR(Table_Leaks2_Input[[#This Row],[Energy savings (kWh)]]*Input_AvgkWhRate, "")</f>
        <v/>
      </c>
      <c r="P113" s="123" t="str">
        <f>IF(Table_Leaks2_Input[[#This Row],[Pressure at leak (psig)]]="", "",Table_Leaks2_Input[[#This Row],[Total equipment cost]]+Table_Leaks2_Input[[#This Row],[Total labor cost]])</f>
        <v/>
      </c>
      <c r="Q113" s="123" t="str">
        <f>IFERROR(Table_Leaks2_Input[[#This Row],[Gross measure cost]]-Table_Leaks2_Input[[#This Row],[Estimated incentive]], "")</f>
        <v/>
      </c>
      <c r="R113" s="124" t="str">
        <f t="shared" si="1"/>
        <v/>
      </c>
      <c r="S113" s="126">
        <f>IF(OR(Table_Leaks2_Input[[#This Row],[Pressure at leak (psig)]]=0, Table_Leaks2_Input[[#This Row],[Pressure at leak (psig)]]=""),0,IF(Table_Leaks2_Input[[#This Row],[Pressure at leak (psig)]]&lt;20, 10, MROUND(Table_Leaks2_Input[[#This Row],[Pressure at leak (psig)]], 25)))</f>
        <v>0</v>
      </c>
      <c r="T113" s="126">
        <f>ROUND(Table_Leaks2_Input[[#This Row],[dB reading]],-1)</f>
        <v>0</v>
      </c>
      <c r="U113" s="127" t="str">
        <f>_xlfn.CONCAT(Table_Leaks2_Input[[#This Row],[Rounded dB Reading]],"psig ", Table_Leaks2_Input[[#This Row],[Rounded PSIG]],"db")</f>
        <v>0psig 0db</v>
      </c>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row>
    <row r="114" spans="1:46" x14ac:dyDescent="0.2">
      <c r="A114" s="75"/>
      <c r="B114" s="121">
        <v>310</v>
      </c>
      <c r="C114" s="128"/>
      <c r="D114" s="129"/>
      <c r="E114" s="130"/>
      <c r="F114" s="130"/>
      <c r="G114" s="130"/>
      <c r="H114" s="130"/>
      <c r="I114" s="131"/>
      <c r="J114" s="131"/>
      <c r="K114" s="122" t="str">
        <f>IFERROR(INDEX(TABLE_UE_dB[Leak Size (cfm)], MATCH(Table_Leaks2_Input[[#This Row],[Lookup Value]], TABLE_UE_dB[Lookup Value], 0)),"")</f>
        <v/>
      </c>
      <c r="L114" s="123" t="str">
        <f>IF(Table_Leaks2_Input[[#This Row],[Repaired (Y/N)]]="Yes", Value_LeakRepairIR, "")</f>
        <v/>
      </c>
      <c r="M114" s="124" t="str">
        <f>IFERROR(Table_Leaks2_Input[[#This Row],[Estimated leak size (cfm)]]*Value_WeightAvgCompEff*Value_SysAOH,"" )</f>
        <v/>
      </c>
      <c r="N114" s="125" t="str">
        <f>IFERROR(Table_Leaks2_Input[[#This Row],[Estimated leak size (cfm)]]*Value_WeightAvgCompEff,"" )</f>
        <v/>
      </c>
      <c r="O114" s="123" t="str">
        <f>IFERROR(Table_Leaks2_Input[[#This Row],[Energy savings (kWh)]]*Input_AvgkWhRate, "")</f>
        <v/>
      </c>
      <c r="P114" s="123" t="str">
        <f>IF(Table_Leaks2_Input[[#This Row],[Pressure at leak (psig)]]="", "",Table_Leaks2_Input[[#This Row],[Total equipment cost]]+Table_Leaks2_Input[[#This Row],[Total labor cost]])</f>
        <v/>
      </c>
      <c r="Q114" s="123" t="str">
        <f>IFERROR(Table_Leaks2_Input[[#This Row],[Gross measure cost]]-Table_Leaks2_Input[[#This Row],[Estimated incentive]], "")</f>
        <v/>
      </c>
      <c r="R114" s="124" t="str">
        <f t="shared" si="1"/>
        <v/>
      </c>
      <c r="S114" s="126">
        <f>IF(OR(Table_Leaks2_Input[[#This Row],[Pressure at leak (psig)]]=0, Table_Leaks2_Input[[#This Row],[Pressure at leak (psig)]]=""),0,IF(Table_Leaks2_Input[[#This Row],[Pressure at leak (psig)]]&lt;20, 10, MROUND(Table_Leaks2_Input[[#This Row],[Pressure at leak (psig)]], 25)))</f>
        <v>0</v>
      </c>
      <c r="T114" s="126">
        <f>ROUND(Table_Leaks2_Input[[#This Row],[dB reading]],-1)</f>
        <v>0</v>
      </c>
      <c r="U114" s="127" t="str">
        <f>_xlfn.CONCAT(Table_Leaks2_Input[[#This Row],[Rounded dB Reading]],"psig ", Table_Leaks2_Input[[#This Row],[Rounded PSIG]],"db")</f>
        <v>0psig 0db</v>
      </c>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row>
    <row r="115" spans="1:46" x14ac:dyDescent="0.2">
      <c r="A115" s="75"/>
      <c r="B115" s="121">
        <v>311</v>
      </c>
      <c r="C115" s="128"/>
      <c r="D115" s="129"/>
      <c r="E115" s="130"/>
      <c r="F115" s="130"/>
      <c r="G115" s="130"/>
      <c r="H115" s="130"/>
      <c r="I115" s="131"/>
      <c r="J115" s="131"/>
      <c r="K115" s="122" t="str">
        <f>IFERROR(INDEX(TABLE_UE_dB[Leak Size (cfm)], MATCH(Table_Leaks2_Input[[#This Row],[Lookup Value]], TABLE_UE_dB[Lookup Value], 0)),"")</f>
        <v/>
      </c>
      <c r="L115" s="123" t="str">
        <f>IF(Table_Leaks2_Input[[#This Row],[Repaired (Y/N)]]="Yes", Value_LeakRepairIR, "")</f>
        <v/>
      </c>
      <c r="M115" s="124" t="str">
        <f>IFERROR(Table_Leaks2_Input[[#This Row],[Estimated leak size (cfm)]]*Value_WeightAvgCompEff*Value_SysAOH,"" )</f>
        <v/>
      </c>
      <c r="N115" s="125" t="str">
        <f>IFERROR(Table_Leaks2_Input[[#This Row],[Estimated leak size (cfm)]]*Value_WeightAvgCompEff,"" )</f>
        <v/>
      </c>
      <c r="O115" s="123" t="str">
        <f>IFERROR(Table_Leaks2_Input[[#This Row],[Energy savings (kWh)]]*Input_AvgkWhRate, "")</f>
        <v/>
      </c>
      <c r="P115" s="123" t="str">
        <f>IF(Table_Leaks2_Input[[#This Row],[Pressure at leak (psig)]]="", "",Table_Leaks2_Input[[#This Row],[Total equipment cost]]+Table_Leaks2_Input[[#This Row],[Total labor cost]])</f>
        <v/>
      </c>
      <c r="Q115" s="123" t="str">
        <f>IFERROR(Table_Leaks2_Input[[#This Row],[Gross measure cost]]-Table_Leaks2_Input[[#This Row],[Estimated incentive]], "")</f>
        <v/>
      </c>
      <c r="R115" s="124" t="str">
        <f t="shared" si="1"/>
        <v/>
      </c>
      <c r="S115" s="126">
        <f>IF(OR(Table_Leaks2_Input[[#This Row],[Pressure at leak (psig)]]=0, Table_Leaks2_Input[[#This Row],[Pressure at leak (psig)]]=""),0,IF(Table_Leaks2_Input[[#This Row],[Pressure at leak (psig)]]&lt;20, 10, MROUND(Table_Leaks2_Input[[#This Row],[Pressure at leak (psig)]], 25)))</f>
        <v>0</v>
      </c>
      <c r="T115" s="126">
        <f>ROUND(Table_Leaks2_Input[[#This Row],[dB reading]],-1)</f>
        <v>0</v>
      </c>
      <c r="U115" s="127" t="str">
        <f>_xlfn.CONCAT(Table_Leaks2_Input[[#This Row],[Rounded dB Reading]],"psig ", Table_Leaks2_Input[[#This Row],[Rounded PSIG]],"db")</f>
        <v>0psig 0db</v>
      </c>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row>
    <row r="116" spans="1:46" x14ac:dyDescent="0.2">
      <c r="A116" s="75"/>
      <c r="B116" s="121">
        <v>312</v>
      </c>
      <c r="C116" s="128"/>
      <c r="D116" s="129"/>
      <c r="E116" s="130"/>
      <c r="F116" s="130"/>
      <c r="G116" s="130"/>
      <c r="H116" s="130"/>
      <c r="I116" s="131"/>
      <c r="J116" s="131"/>
      <c r="K116" s="122" t="str">
        <f>IFERROR(INDEX(TABLE_UE_dB[Leak Size (cfm)], MATCH(Table_Leaks2_Input[[#This Row],[Lookup Value]], TABLE_UE_dB[Lookup Value], 0)),"")</f>
        <v/>
      </c>
      <c r="L116" s="123" t="str">
        <f>IF(Table_Leaks2_Input[[#This Row],[Repaired (Y/N)]]="Yes", Value_LeakRepairIR, "")</f>
        <v/>
      </c>
      <c r="M116" s="124" t="str">
        <f>IFERROR(Table_Leaks2_Input[[#This Row],[Estimated leak size (cfm)]]*Value_WeightAvgCompEff*Value_SysAOH,"" )</f>
        <v/>
      </c>
      <c r="N116" s="125" t="str">
        <f>IFERROR(Table_Leaks2_Input[[#This Row],[Estimated leak size (cfm)]]*Value_WeightAvgCompEff,"" )</f>
        <v/>
      </c>
      <c r="O116" s="123" t="str">
        <f>IFERROR(Table_Leaks2_Input[[#This Row],[Energy savings (kWh)]]*Input_AvgkWhRate, "")</f>
        <v/>
      </c>
      <c r="P116" s="123" t="str">
        <f>IF(Table_Leaks2_Input[[#This Row],[Pressure at leak (psig)]]="", "",Table_Leaks2_Input[[#This Row],[Total equipment cost]]+Table_Leaks2_Input[[#This Row],[Total labor cost]])</f>
        <v/>
      </c>
      <c r="Q116" s="123" t="str">
        <f>IFERROR(Table_Leaks2_Input[[#This Row],[Gross measure cost]]-Table_Leaks2_Input[[#This Row],[Estimated incentive]], "")</f>
        <v/>
      </c>
      <c r="R116" s="124" t="str">
        <f t="shared" si="1"/>
        <v/>
      </c>
      <c r="S116" s="126">
        <f>IF(OR(Table_Leaks2_Input[[#This Row],[Pressure at leak (psig)]]=0, Table_Leaks2_Input[[#This Row],[Pressure at leak (psig)]]=""),0,IF(Table_Leaks2_Input[[#This Row],[Pressure at leak (psig)]]&lt;20, 10, MROUND(Table_Leaks2_Input[[#This Row],[Pressure at leak (psig)]], 25)))</f>
        <v>0</v>
      </c>
      <c r="T116" s="126">
        <f>ROUND(Table_Leaks2_Input[[#This Row],[dB reading]],-1)</f>
        <v>0</v>
      </c>
      <c r="U116" s="127" t="str">
        <f>_xlfn.CONCAT(Table_Leaks2_Input[[#This Row],[Rounded dB Reading]],"psig ", Table_Leaks2_Input[[#This Row],[Rounded PSIG]],"db")</f>
        <v>0psig 0db</v>
      </c>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row>
    <row r="117" spans="1:46" x14ac:dyDescent="0.2">
      <c r="A117" s="75"/>
      <c r="B117" s="121">
        <v>313</v>
      </c>
      <c r="C117" s="128"/>
      <c r="D117" s="129"/>
      <c r="E117" s="130"/>
      <c r="F117" s="130"/>
      <c r="G117" s="130"/>
      <c r="H117" s="130"/>
      <c r="I117" s="131"/>
      <c r="J117" s="131"/>
      <c r="K117" s="122" t="str">
        <f>IFERROR(INDEX(TABLE_UE_dB[Leak Size (cfm)], MATCH(Table_Leaks2_Input[[#This Row],[Lookup Value]], TABLE_UE_dB[Lookup Value], 0)),"")</f>
        <v/>
      </c>
      <c r="L117" s="123" t="str">
        <f>IF(Table_Leaks2_Input[[#This Row],[Repaired (Y/N)]]="Yes", Value_LeakRepairIR, "")</f>
        <v/>
      </c>
      <c r="M117" s="124" t="str">
        <f>IFERROR(Table_Leaks2_Input[[#This Row],[Estimated leak size (cfm)]]*Value_WeightAvgCompEff*Value_SysAOH,"" )</f>
        <v/>
      </c>
      <c r="N117" s="125" t="str">
        <f>IFERROR(Table_Leaks2_Input[[#This Row],[Estimated leak size (cfm)]]*Value_WeightAvgCompEff,"" )</f>
        <v/>
      </c>
      <c r="O117" s="123" t="str">
        <f>IFERROR(Table_Leaks2_Input[[#This Row],[Energy savings (kWh)]]*Input_AvgkWhRate, "")</f>
        <v/>
      </c>
      <c r="P117" s="123" t="str">
        <f>IF(Table_Leaks2_Input[[#This Row],[Pressure at leak (psig)]]="", "",Table_Leaks2_Input[[#This Row],[Total equipment cost]]+Table_Leaks2_Input[[#This Row],[Total labor cost]])</f>
        <v/>
      </c>
      <c r="Q117" s="123" t="str">
        <f>IFERROR(Table_Leaks2_Input[[#This Row],[Gross measure cost]]-Table_Leaks2_Input[[#This Row],[Estimated incentive]], "")</f>
        <v/>
      </c>
      <c r="R117" s="124" t="str">
        <f t="shared" si="1"/>
        <v/>
      </c>
      <c r="S117" s="126">
        <f>IF(OR(Table_Leaks2_Input[[#This Row],[Pressure at leak (psig)]]=0, Table_Leaks2_Input[[#This Row],[Pressure at leak (psig)]]=""),0,IF(Table_Leaks2_Input[[#This Row],[Pressure at leak (psig)]]&lt;20, 10, MROUND(Table_Leaks2_Input[[#This Row],[Pressure at leak (psig)]], 25)))</f>
        <v>0</v>
      </c>
      <c r="T117" s="126">
        <f>ROUND(Table_Leaks2_Input[[#This Row],[dB reading]],-1)</f>
        <v>0</v>
      </c>
      <c r="U117" s="127" t="str">
        <f>_xlfn.CONCAT(Table_Leaks2_Input[[#This Row],[Rounded dB Reading]],"psig ", Table_Leaks2_Input[[#This Row],[Rounded PSIG]],"db")</f>
        <v>0psig 0db</v>
      </c>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row>
    <row r="118" spans="1:46" x14ac:dyDescent="0.2">
      <c r="A118" s="75"/>
      <c r="B118" s="121">
        <v>314</v>
      </c>
      <c r="C118" s="128"/>
      <c r="D118" s="129"/>
      <c r="E118" s="130"/>
      <c r="F118" s="130"/>
      <c r="G118" s="130"/>
      <c r="H118" s="130"/>
      <c r="I118" s="131"/>
      <c r="J118" s="131"/>
      <c r="K118" s="122" t="str">
        <f>IFERROR(INDEX(TABLE_UE_dB[Leak Size (cfm)], MATCH(Table_Leaks2_Input[[#This Row],[Lookup Value]], TABLE_UE_dB[Lookup Value], 0)),"")</f>
        <v/>
      </c>
      <c r="L118" s="123" t="str">
        <f>IF(Table_Leaks2_Input[[#This Row],[Repaired (Y/N)]]="Yes", Value_LeakRepairIR, "")</f>
        <v/>
      </c>
      <c r="M118" s="124" t="str">
        <f>IFERROR(Table_Leaks2_Input[[#This Row],[Estimated leak size (cfm)]]*Value_WeightAvgCompEff*Value_SysAOH,"" )</f>
        <v/>
      </c>
      <c r="N118" s="125" t="str">
        <f>IFERROR(Table_Leaks2_Input[[#This Row],[Estimated leak size (cfm)]]*Value_WeightAvgCompEff,"" )</f>
        <v/>
      </c>
      <c r="O118" s="123" t="str">
        <f>IFERROR(Table_Leaks2_Input[[#This Row],[Energy savings (kWh)]]*Input_AvgkWhRate, "")</f>
        <v/>
      </c>
      <c r="P118" s="123" t="str">
        <f>IF(Table_Leaks2_Input[[#This Row],[Pressure at leak (psig)]]="", "",Table_Leaks2_Input[[#This Row],[Total equipment cost]]+Table_Leaks2_Input[[#This Row],[Total labor cost]])</f>
        <v/>
      </c>
      <c r="Q118" s="123" t="str">
        <f>IFERROR(Table_Leaks2_Input[[#This Row],[Gross measure cost]]-Table_Leaks2_Input[[#This Row],[Estimated incentive]], "")</f>
        <v/>
      </c>
      <c r="R118" s="124" t="str">
        <f t="shared" si="1"/>
        <v/>
      </c>
      <c r="S118" s="126">
        <f>IF(OR(Table_Leaks2_Input[[#This Row],[Pressure at leak (psig)]]=0, Table_Leaks2_Input[[#This Row],[Pressure at leak (psig)]]=""),0,IF(Table_Leaks2_Input[[#This Row],[Pressure at leak (psig)]]&lt;20, 10, MROUND(Table_Leaks2_Input[[#This Row],[Pressure at leak (psig)]], 25)))</f>
        <v>0</v>
      </c>
      <c r="T118" s="126">
        <f>ROUND(Table_Leaks2_Input[[#This Row],[dB reading]],-1)</f>
        <v>0</v>
      </c>
      <c r="U118" s="127" t="str">
        <f>_xlfn.CONCAT(Table_Leaks2_Input[[#This Row],[Rounded dB Reading]],"psig ", Table_Leaks2_Input[[#This Row],[Rounded PSIG]],"db")</f>
        <v>0psig 0db</v>
      </c>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row>
    <row r="119" spans="1:46" x14ac:dyDescent="0.2">
      <c r="A119" s="75"/>
      <c r="B119" s="121">
        <v>315</v>
      </c>
      <c r="C119" s="128"/>
      <c r="D119" s="129"/>
      <c r="E119" s="130"/>
      <c r="F119" s="130"/>
      <c r="G119" s="130"/>
      <c r="H119" s="130"/>
      <c r="I119" s="131"/>
      <c r="J119" s="131"/>
      <c r="K119" s="122" t="str">
        <f>IFERROR(INDEX(TABLE_UE_dB[Leak Size (cfm)], MATCH(Table_Leaks2_Input[[#This Row],[Lookup Value]], TABLE_UE_dB[Lookup Value], 0)),"")</f>
        <v/>
      </c>
      <c r="L119" s="123" t="str">
        <f>IF(Table_Leaks2_Input[[#This Row],[Repaired (Y/N)]]="Yes", Value_LeakRepairIR, "")</f>
        <v/>
      </c>
      <c r="M119" s="124" t="str">
        <f>IFERROR(Table_Leaks2_Input[[#This Row],[Estimated leak size (cfm)]]*Value_WeightAvgCompEff*Value_SysAOH,"" )</f>
        <v/>
      </c>
      <c r="N119" s="125" t="str">
        <f>IFERROR(Table_Leaks2_Input[[#This Row],[Estimated leak size (cfm)]]*Value_WeightAvgCompEff,"" )</f>
        <v/>
      </c>
      <c r="O119" s="123" t="str">
        <f>IFERROR(Table_Leaks2_Input[[#This Row],[Energy savings (kWh)]]*Input_AvgkWhRate, "")</f>
        <v/>
      </c>
      <c r="P119" s="123" t="str">
        <f>IF(Table_Leaks2_Input[[#This Row],[Pressure at leak (psig)]]="", "",Table_Leaks2_Input[[#This Row],[Total equipment cost]]+Table_Leaks2_Input[[#This Row],[Total labor cost]])</f>
        <v/>
      </c>
      <c r="Q119" s="123" t="str">
        <f>IFERROR(Table_Leaks2_Input[[#This Row],[Gross measure cost]]-Table_Leaks2_Input[[#This Row],[Estimated incentive]], "")</f>
        <v/>
      </c>
      <c r="R119" s="124" t="str">
        <f t="shared" si="1"/>
        <v/>
      </c>
      <c r="S119" s="126">
        <f>IF(OR(Table_Leaks2_Input[[#This Row],[Pressure at leak (psig)]]=0, Table_Leaks2_Input[[#This Row],[Pressure at leak (psig)]]=""),0,IF(Table_Leaks2_Input[[#This Row],[Pressure at leak (psig)]]&lt;20, 10, MROUND(Table_Leaks2_Input[[#This Row],[Pressure at leak (psig)]], 25)))</f>
        <v>0</v>
      </c>
      <c r="T119" s="126">
        <f>ROUND(Table_Leaks2_Input[[#This Row],[dB reading]],-1)</f>
        <v>0</v>
      </c>
      <c r="U119" s="127" t="str">
        <f>_xlfn.CONCAT(Table_Leaks2_Input[[#This Row],[Rounded dB Reading]],"psig ", Table_Leaks2_Input[[#This Row],[Rounded PSIG]],"db")</f>
        <v>0psig 0db</v>
      </c>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row>
    <row r="120" spans="1:46" x14ac:dyDescent="0.2">
      <c r="A120" s="75"/>
      <c r="B120" s="121">
        <v>316</v>
      </c>
      <c r="C120" s="128"/>
      <c r="D120" s="129"/>
      <c r="E120" s="130"/>
      <c r="F120" s="130"/>
      <c r="G120" s="130"/>
      <c r="H120" s="130"/>
      <c r="I120" s="131"/>
      <c r="J120" s="131"/>
      <c r="K120" s="122" t="str">
        <f>IFERROR(INDEX(TABLE_UE_dB[Leak Size (cfm)], MATCH(Table_Leaks2_Input[[#This Row],[Lookup Value]], TABLE_UE_dB[Lookup Value], 0)),"")</f>
        <v/>
      </c>
      <c r="L120" s="123" t="str">
        <f>IF(Table_Leaks2_Input[[#This Row],[Repaired (Y/N)]]="Yes", Value_LeakRepairIR, "")</f>
        <v/>
      </c>
      <c r="M120" s="124" t="str">
        <f>IFERROR(Table_Leaks2_Input[[#This Row],[Estimated leak size (cfm)]]*Value_WeightAvgCompEff*Value_SysAOH,"" )</f>
        <v/>
      </c>
      <c r="N120" s="125" t="str">
        <f>IFERROR(Table_Leaks2_Input[[#This Row],[Estimated leak size (cfm)]]*Value_WeightAvgCompEff,"" )</f>
        <v/>
      </c>
      <c r="O120" s="123" t="str">
        <f>IFERROR(Table_Leaks2_Input[[#This Row],[Energy savings (kWh)]]*Input_AvgkWhRate, "")</f>
        <v/>
      </c>
      <c r="P120" s="123" t="str">
        <f>IF(Table_Leaks2_Input[[#This Row],[Pressure at leak (psig)]]="", "",Table_Leaks2_Input[[#This Row],[Total equipment cost]]+Table_Leaks2_Input[[#This Row],[Total labor cost]])</f>
        <v/>
      </c>
      <c r="Q120" s="123" t="str">
        <f>IFERROR(Table_Leaks2_Input[[#This Row],[Gross measure cost]]-Table_Leaks2_Input[[#This Row],[Estimated incentive]], "")</f>
        <v/>
      </c>
      <c r="R120" s="124" t="str">
        <f t="shared" si="1"/>
        <v/>
      </c>
      <c r="S120" s="126">
        <f>IF(OR(Table_Leaks2_Input[[#This Row],[Pressure at leak (psig)]]=0, Table_Leaks2_Input[[#This Row],[Pressure at leak (psig)]]=""),0,IF(Table_Leaks2_Input[[#This Row],[Pressure at leak (psig)]]&lt;20, 10, MROUND(Table_Leaks2_Input[[#This Row],[Pressure at leak (psig)]], 25)))</f>
        <v>0</v>
      </c>
      <c r="T120" s="126">
        <f>ROUND(Table_Leaks2_Input[[#This Row],[dB reading]],-1)</f>
        <v>0</v>
      </c>
      <c r="U120" s="127" t="str">
        <f>_xlfn.CONCAT(Table_Leaks2_Input[[#This Row],[Rounded dB Reading]],"psig ", Table_Leaks2_Input[[#This Row],[Rounded PSIG]],"db")</f>
        <v>0psig 0db</v>
      </c>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row>
    <row r="121" spans="1:46" x14ac:dyDescent="0.2">
      <c r="A121" s="75"/>
      <c r="B121" s="121">
        <v>317</v>
      </c>
      <c r="C121" s="128"/>
      <c r="D121" s="129"/>
      <c r="E121" s="130"/>
      <c r="F121" s="130"/>
      <c r="G121" s="130"/>
      <c r="H121" s="130"/>
      <c r="I121" s="131"/>
      <c r="J121" s="131"/>
      <c r="K121" s="122" t="str">
        <f>IFERROR(INDEX(TABLE_UE_dB[Leak Size (cfm)], MATCH(Table_Leaks2_Input[[#This Row],[Lookup Value]], TABLE_UE_dB[Lookup Value], 0)),"")</f>
        <v/>
      </c>
      <c r="L121" s="123" t="str">
        <f>IF(Table_Leaks2_Input[[#This Row],[Repaired (Y/N)]]="Yes", Value_LeakRepairIR, "")</f>
        <v/>
      </c>
      <c r="M121" s="124" t="str">
        <f>IFERROR(Table_Leaks2_Input[[#This Row],[Estimated leak size (cfm)]]*Value_WeightAvgCompEff*Value_SysAOH,"" )</f>
        <v/>
      </c>
      <c r="N121" s="125" t="str">
        <f>IFERROR(Table_Leaks2_Input[[#This Row],[Estimated leak size (cfm)]]*Value_WeightAvgCompEff,"" )</f>
        <v/>
      </c>
      <c r="O121" s="123" t="str">
        <f>IFERROR(Table_Leaks2_Input[[#This Row],[Energy savings (kWh)]]*Input_AvgkWhRate, "")</f>
        <v/>
      </c>
      <c r="P121" s="123" t="str">
        <f>IF(Table_Leaks2_Input[[#This Row],[Pressure at leak (psig)]]="", "",Table_Leaks2_Input[[#This Row],[Total equipment cost]]+Table_Leaks2_Input[[#This Row],[Total labor cost]])</f>
        <v/>
      </c>
      <c r="Q121" s="123" t="str">
        <f>IFERROR(Table_Leaks2_Input[[#This Row],[Gross measure cost]]-Table_Leaks2_Input[[#This Row],[Estimated incentive]], "")</f>
        <v/>
      </c>
      <c r="R121" s="124" t="str">
        <f t="shared" si="1"/>
        <v/>
      </c>
      <c r="S121" s="126">
        <f>IF(OR(Table_Leaks2_Input[[#This Row],[Pressure at leak (psig)]]=0, Table_Leaks2_Input[[#This Row],[Pressure at leak (psig)]]=""),0,IF(Table_Leaks2_Input[[#This Row],[Pressure at leak (psig)]]&lt;20, 10, MROUND(Table_Leaks2_Input[[#This Row],[Pressure at leak (psig)]], 25)))</f>
        <v>0</v>
      </c>
      <c r="T121" s="126">
        <f>ROUND(Table_Leaks2_Input[[#This Row],[dB reading]],-1)</f>
        <v>0</v>
      </c>
      <c r="U121" s="127" t="str">
        <f>_xlfn.CONCAT(Table_Leaks2_Input[[#This Row],[Rounded dB Reading]],"psig ", Table_Leaks2_Input[[#This Row],[Rounded PSIG]],"db")</f>
        <v>0psig 0db</v>
      </c>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row>
    <row r="122" spans="1:46" x14ac:dyDescent="0.2">
      <c r="A122" s="75"/>
      <c r="B122" s="121">
        <v>318</v>
      </c>
      <c r="C122" s="128"/>
      <c r="D122" s="129"/>
      <c r="E122" s="130"/>
      <c r="F122" s="130"/>
      <c r="G122" s="130"/>
      <c r="H122" s="130"/>
      <c r="I122" s="131"/>
      <c r="J122" s="131"/>
      <c r="K122" s="122" t="str">
        <f>IFERROR(INDEX(TABLE_UE_dB[Leak Size (cfm)], MATCH(Table_Leaks2_Input[[#This Row],[Lookup Value]], TABLE_UE_dB[Lookup Value], 0)),"")</f>
        <v/>
      </c>
      <c r="L122" s="123" t="str">
        <f>IF(Table_Leaks2_Input[[#This Row],[Repaired (Y/N)]]="Yes", Value_LeakRepairIR, "")</f>
        <v/>
      </c>
      <c r="M122" s="124" t="str">
        <f>IFERROR(Table_Leaks2_Input[[#This Row],[Estimated leak size (cfm)]]*Value_WeightAvgCompEff*Value_SysAOH,"" )</f>
        <v/>
      </c>
      <c r="N122" s="125" t="str">
        <f>IFERROR(Table_Leaks2_Input[[#This Row],[Estimated leak size (cfm)]]*Value_WeightAvgCompEff,"" )</f>
        <v/>
      </c>
      <c r="O122" s="123" t="str">
        <f>IFERROR(Table_Leaks2_Input[[#This Row],[Energy savings (kWh)]]*Input_AvgkWhRate, "")</f>
        <v/>
      </c>
      <c r="P122" s="123" t="str">
        <f>IF(Table_Leaks2_Input[[#This Row],[Pressure at leak (psig)]]="", "",Table_Leaks2_Input[[#This Row],[Total equipment cost]]+Table_Leaks2_Input[[#This Row],[Total labor cost]])</f>
        <v/>
      </c>
      <c r="Q122" s="123" t="str">
        <f>IFERROR(Table_Leaks2_Input[[#This Row],[Gross measure cost]]-Table_Leaks2_Input[[#This Row],[Estimated incentive]], "")</f>
        <v/>
      </c>
      <c r="R122" s="124" t="str">
        <f t="shared" si="1"/>
        <v/>
      </c>
      <c r="S122" s="126">
        <f>IF(OR(Table_Leaks2_Input[[#This Row],[Pressure at leak (psig)]]=0, Table_Leaks2_Input[[#This Row],[Pressure at leak (psig)]]=""),0,IF(Table_Leaks2_Input[[#This Row],[Pressure at leak (psig)]]&lt;20, 10, MROUND(Table_Leaks2_Input[[#This Row],[Pressure at leak (psig)]], 25)))</f>
        <v>0</v>
      </c>
      <c r="T122" s="126">
        <f>ROUND(Table_Leaks2_Input[[#This Row],[dB reading]],-1)</f>
        <v>0</v>
      </c>
      <c r="U122" s="127" t="str">
        <f>_xlfn.CONCAT(Table_Leaks2_Input[[#This Row],[Rounded dB Reading]],"psig ", Table_Leaks2_Input[[#This Row],[Rounded PSIG]],"db")</f>
        <v>0psig 0db</v>
      </c>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row>
    <row r="123" spans="1:46" x14ac:dyDescent="0.2">
      <c r="A123" s="75"/>
      <c r="B123" s="121">
        <v>319</v>
      </c>
      <c r="C123" s="128"/>
      <c r="D123" s="129"/>
      <c r="E123" s="130"/>
      <c r="F123" s="130"/>
      <c r="G123" s="130"/>
      <c r="H123" s="130"/>
      <c r="I123" s="131"/>
      <c r="J123" s="131"/>
      <c r="K123" s="122" t="str">
        <f>IFERROR(INDEX(TABLE_UE_dB[Leak Size (cfm)], MATCH(Table_Leaks2_Input[[#This Row],[Lookup Value]], TABLE_UE_dB[Lookup Value], 0)),"")</f>
        <v/>
      </c>
      <c r="L123" s="123" t="str">
        <f>IF(Table_Leaks2_Input[[#This Row],[Repaired (Y/N)]]="Yes", Value_LeakRepairIR, "")</f>
        <v/>
      </c>
      <c r="M123" s="124" t="str">
        <f>IFERROR(Table_Leaks2_Input[[#This Row],[Estimated leak size (cfm)]]*Value_WeightAvgCompEff*Value_SysAOH,"" )</f>
        <v/>
      </c>
      <c r="N123" s="125" t="str">
        <f>IFERROR(Table_Leaks2_Input[[#This Row],[Estimated leak size (cfm)]]*Value_WeightAvgCompEff,"" )</f>
        <v/>
      </c>
      <c r="O123" s="123" t="str">
        <f>IFERROR(Table_Leaks2_Input[[#This Row],[Energy savings (kWh)]]*Input_AvgkWhRate, "")</f>
        <v/>
      </c>
      <c r="P123" s="123" t="str">
        <f>IF(Table_Leaks2_Input[[#This Row],[Pressure at leak (psig)]]="", "",Table_Leaks2_Input[[#This Row],[Total equipment cost]]+Table_Leaks2_Input[[#This Row],[Total labor cost]])</f>
        <v/>
      </c>
      <c r="Q123" s="123" t="str">
        <f>IFERROR(Table_Leaks2_Input[[#This Row],[Gross measure cost]]-Table_Leaks2_Input[[#This Row],[Estimated incentive]], "")</f>
        <v/>
      </c>
      <c r="R123" s="124" t="str">
        <f t="shared" si="1"/>
        <v/>
      </c>
      <c r="S123" s="126">
        <f>IF(OR(Table_Leaks2_Input[[#This Row],[Pressure at leak (psig)]]=0, Table_Leaks2_Input[[#This Row],[Pressure at leak (psig)]]=""),0,IF(Table_Leaks2_Input[[#This Row],[Pressure at leak (psig)]]&lt;20, 10, MROUND(Table_Leaks2_Input[[#This Row],[Pressure at leak (psig)]], 25)))</f>
        <v>0</v>
      </c>
      <c r="T123" s="126">
        <f>ROUND(Table_Leaks2_Input[[#This Row],[dB reading]],-1)</f>
        <v>0</v>
      </c>
      <c r="U123" s="127" t="str">
        <f>_xlfn.CONCAT(Table_Leaks2_Input[[#This Row],[Rounded dB Reading]],"psig ", Table_Leaks2_Input[[#This Row],[Rounded PSIG]],"db")</f>
        <v>0psig 0db</v>
      </c>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row>
    <row r="124" spans="1:46" x14ac:dyDescent="0.2">
      <c r="A124" s="75"/>
      <c r="B124" s="121">
        <v>320</v>
      </c>
      <c r="C124" s="128"/>
      <c r="D124" s="129"/>
      <c r="E124" s="130"/>
      <c r="F124" s="130"/>
      <c r="G124" s="130"/>
      <c r="H124" s="130"/>
      <c r="I124" s="131"/>
      <c r="J124" s="131"/>
      <c r="K124" s="122" t="str">
        <f>IFERROR(INDEX(TABLE_UE_dB[Leak Size (cfm)], MATCH(Table_Leaks2_Input[[#This Row],[Lookup Value]], TABLE_UE_dB[Lookup Value], 0)),"")</f>
        <v/>
      </c>
      <c r="L124" s="123" t="str">
        <f>IF(Table_Leaks2_Input[[#This Row],[Repaired (Y/N)]]="Yes", Value_LeakRepairIR, "")</f>
        <v/>
      </c>
      <c r="M124" s="124" t="str">
        <f>IFERROR(Table_Leaks2_Input[[#This Row],[Estimated leak size (cfm)]]*Value_WeightAvgCompEff*Value_SysAOH,"" )</f>
        <v/>
      </c>
      <c r="N124" s="125" t="str">
        <f>IFERROR(Table_Leaks2_Input[[#This Row],[Estimated leak size (cfm)]]*Value_WeightAvgCompEff,"" )</f>
        <v/>
      </c>
      <c r="O124" s="123" t="str">
        <f>IFERROR(Table_Leaks2_Input[[#This Row],[Energy savings (kWh)]]*Input_AvgkWhRate, "")</f>
        <v/>
      </c>
      <c r="P124" s="123" t="str">
        <f>IF(Table_Leaks2_Input[[#This Row],[Pressure at leak (psig)]]="", "",Table_Leaks2_Input[[#This Row],[Total equipment cost]]+Table_Leaks2_Input[[#This Row],[Total labor cost]])</f>
        <v/>
      </c>
      <c r="Q124" s="123" t="str">
        <f>IFERROR(Table_Leaks2_Input[[#This Row],[Gross measure cost]]-Table_Leaks2_Input[[#This Row],[Estimated incentive]], "")</f>
        <v/>
      </c>
      <c r="R124" s="124" t="str">
        <f t="shared" si="1"/>
        <v/>
      </c>
      <c r="S124" s="126">
        <f>IF(OR(Table_Leaks2_Input[[#This Row],[Pressure at leak (psig)]]=0, Table_Leaks2_Input[[#This Row],[Pressure at leak (psig)]]=""),0,IF(Table_Leaks2_Input[[#This Row],[Pressure at leak (psig)]]&lt;20, 10, MROUND(Table_Leaks2_Input[[#This Row],[Pressure at leak (psig)]], 25)))</f>
        <v>0</v>
      </c>
      <c r="T124" s="126">
        <f>ROUND(Table_Leaks2_Input[[#This Row],[dB reading]],-1)</f>
        <v>0</v>
      </c>
      <c r="U124" s="127" t="str">
        <f>_xlfn.CONCAT(Table_Leaks2_Input[[#This Row],[Rounded dB Reading]],"psig ", Table_Leaks2_Input[[#This Row],[Rounded PSIG]],"db")</f>
        <v>0psig 0db</v>
      </c>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row>
    <row r="125" spans="1:46" x14ac:dyDescent="0.2">
      <c r="A125" s="75"/>
      <c r="B125" s="121">
        <v>321</v>
      </c>
      <c r="C125" s="128"/>
      <c r="D125" s="129"/>
      <c r="E125" s="130"/>
      <c r="F125" s="130"/>
      <c r="G125" s="130"/>
      <c r="H125" s="130"/>
      <c r="I125" s="131"/>
      <c r="J125" s="131"/>
      <c r="K125" s="122" t="str">
        <f>IFERROR(INDEX(TABLE_UE_dB[Leak Size (cfm)], MATCH(Table_Leaks2_Input[[#This Row],[Lookup Value]], TABLE_UE_dB[Lookup Value], 0)),"")</f>
        <v/>
      </c>
      <c r="L125" s="123" t="str">
        <f>IF(Table_Leaks2_Input[[#This Row],[Repaired (Y/N)]]="Yes", Value_LeakRepairIR, "")</f>
        <v/>
      </c>
      <c r="M125" s="124" t="str">
        <f>IFERROR(Table_Leaks2_Input[[#This Row],[Estimated leak size (cfm)]]*Value_WeightAvgCompEff*Value_SysAOH,"" )</f>
        <v/>
      </c>
      <c r="N125" s="125" t="str">
        <f>IFERROR(Table_Leaks2_Input[[#This Row],[Estimated leak size (cfm)]]*Value_WeightAvgCompEff,"" )</f>
        <v/>
      </c>
      <c r="O125" s="123" t="str">
        <f>IFERROR(Table_Leaks2_Input[[#This Row],[Energy savings (kWh)]]*Input_AvgkWhRate, "")</f>
        <v/>
      </c>
      <c r="P125" s="123" t="str">
        <f>IF(Table_Leaks2_Input[[#This Row],[Pressure at leak (psig)]]="", "",Table_Leaks2_Input[[#This Row],[Total equipment cost]]+Table_Leaks2_Input[[#This Row],[Total labor cost]])</f>
        <v/>
      </c>
      <c r="Q125" s="123" t="str">
        <f>IFERROR(Table_Leaks2_Input[[#This Row],[Gross measure cost]]-Table_Leaks2_Input[[#This Row],[Estimated incentive]], "")</f>
        <v/>
      </c>
      <c r="R125" s="124" t="str">
        <f t="shared" si="1"/>
        <v/>
      </c>
      <c r="S125" s="126">
        <f>IF(OR(Table_Leaks2_Input[[#This Row],[Pressure at leak (psig)]]=0, Table_Leaks2_Input[[#This Row],[Pressure at leak (psig)]]=""),0,IF(Table_Leaks2_Input[[#This Row],[Pressure at leak (psig)]]&lt;20, 10, MROUND(Table_Leaks2_Input[[#This Row],[Pressure at leak (psig)]], 25)))</f>
        <v>0</v>
      </c>
      <c r="T125" s="126">
        <f>ROUND(Table_Leaks2_Input[[#This Row],[dB reading]],-1)</f>
        <v>0</v>
      </c>
      <c r="U125" s="127" t="str">
        <f>_xlfn.CONCAT(Table_Leaks2_Input[[#This Row],[Rounded dB Reading]],"psig ", Table_Leaks2_Input[[#This Row],[Rounded PSIG]],"db")</f>
        <v>0psig 0db</v>
      </c>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row>
    <row r="126" spans="1:46" x14ac:dyDescent="0.2">
      <c r="A126" s="75"/>
      <c r="B126" s="121">
        <v>322</v>
      </c>
      <c r="C126" s="128"/>
      <c r="D126" s="129"/>
      <c r="E126" s="130"/>
      <c r="F126" s="130"/>
      <c r="G126" s="130"/>
      <c r="H126" s="130"/>
      <c r="I126" s="131"/>
      <c r="J126" s="131"/>
      <c r="K126" s="122" t="str">
        <f>IFERROR(INDEX(TABLE_UE_dB[Leak Size (cfm)], MATCH(Table_Leaks2_Input[[#This Row],[Lookup Value]], TABLE_UE_dB[Lookup Value], 0)),"")</f>
        <v/>
      </c>
      <c r="L126" s="123" t="str">
        <f>IF(Table_Leaks2_Input[[#This Row],[Repaired (Y/N)]]="Yes", Value_LeakRepairIR, "")</f>
        <v/>
      </c>
      <c r="M126" s="124" t="str">
        <f>IFERROR(Table_Leaks2_Input[[#This Row],[Estimated leak size (cfm)]]*Value_WeightAvgCompEff*Value_SysAOH,"" )</f>
        <v/>
      </c>
      <c r="N126" s="125" t="str">
        <f>IFERROR(Table_Leaks2_Input[[#This Row],[Estimated leak size (cfm)]]*Value_WeightAvgCompEff,"" )</f>
        <v/>
      </c>
      <c r="O126" s="123" t="str">
        <f>IFERROR(Table_Leaks2_Input[[#This Row],[Energy savings (kWh)]]*Input_AvgkWhRate, "")</f>
        <v/>
      </c>
      <c r="P126" s="123" t="str">
        <f>IF(Table_Leaks2_Input[[#This Row],[Pressure at leak (psig)]]="", "",Table_Leaks2_Input[[#This Row],[Total equipment cost]]+Table_Leaks2_Input[[#This Row],[Total labor cost]])</f>
        <v/>
      </c>
      <c r="Q126" s="123" t="str">
        <f>IFERROR(Table_Leaks2_Input[[#This Row],[Gross measure cost]]-Table_Leaks2_Input[[#This Row],[Estimated incentive]], "")</f>
        <v/>
      </c>
      <c r="R126" s="124" t="str">
        <f t="shared" si="1"/>
        <v/>
      </c>
      <c r="S126" s="126">
        <f>IF(OR(Table_Leaks2_Input[[#This Row],[Pressure at leak (psig)]]=0, Table_Leaks2_Input[[#This Row],[Pressure at leak (psig)]]=""),0,IF(Table_Leaks2_Input[[#This Row],[Pressure at leak (psig)]]&lt;20, 10, MROUND(Table_Leaks2_Input[[#This Row],[Pressure at leak (psig)]], 25)))</f>
        <v>0</v>
      </c>
      <c r="T126" s="126">
        <f>ROUND(Table_Leaks2_Input[[#This Row],[dB reading]],-1)</f>
        <v>0</v>
      </c>
      <c r="U126" s="127" t="str">
        <f>_xlfn.CONCAT(Table_Leaks2_Input[[#This Row],[Rounded dB Reading]],"psig ", Table_Leaks2_Input[[#This Row],[Rounded PSIG]],"db")</f>
        <v>0psig 0db</v>
      </c>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row>
    <row r="127" spans="1:46" x14ac:dyDescent="0.2">
      <c r="A127" s="75"/>
      <c r="B127" s="121">
        <v>323</v>
      </c>
      <c r="C127" s="128"/>
      <c r="D127" s="129"/>
      <c r="E127" s="130"/>
      <c r="F127" s="130"/>
      <c r="G127" s="130"/>
      <c r="H127" s="130"/>
      <c r="I127" s="131"/>
      <c r="J127" s="131"/>
      <c r="K127" s="122" t="str">
        <f>IFERROR(INDEX(TABLE_UE_dB[Leak Size (cfm)], MATCH(Table_Leaks2_Input[[#This Row],[Lookup Value]], TABLE_UE_dB[Lookup Value], 0)),"")</f>
        <v/>
      </c>
      <c r="L127" s="123" t="str">
        <f>IF(Table_Leaks2_Input[[#This Row],[Repaired (Y/N)]]="Yes", Value_LeakRepairIR, "")</f>
        <v/>
      </c>
      <c r="M127" s="124" t="str">
        <f>IFERROR(Table_Leaks2_Input[[#This Row],[Estimated leak size (cfm)]]*Value_WeightAvgCompEff*Value_SysAOH,"" )</f>
        <v/>
      </c>
      <c r="N127" s="125" t="str">
        <f>IFERROR(Table_Leaks2_Input[[#This Row],[Estimated leak size (cfm)]]*Value_WeightAvgCompEff,"" )</f>
        <v/>
      </c>
      <c r="O127" s="123" t="str">
        <f>IFERROR(Table_Leaks2_Input[[#This Row],[Energy savings (kWh)]]*Input_AvgkWhRate, "")</f>
        <v/>
      </c>
      <c r="P127" s="123" t="str">
        <f>IF(Table_Leaks2_Input[[#This Row],[Pressure at leak (psig)]]="", "",Table_Leaks2_Input[[#This Row],[Total equipment cost]]+Table_Leaks2_Input[[#This Row],[Total labor cost]])</f>
        <v/>
      </c>
      <c r="Q127" s="123" t="str">
        <f>IFERROR(Table_Leaks2_Input[[#This Row],[Gross measure cost]]-Table_Leaks2_Input[[#This Row],[Estimated incentive]], "")</f>
        <v/>
      </c>
      <c r="R127" s="124" t="str">
        <f t="shared" si="1"/>
        <v/>
      </c>
      <c r="S127" s="126">
        <f>IF(OR(Table_Leaks2_Input[[#This Row],[Pressure at leak (psig)]]=0, Table_Leaks2_Input[[#This Row],[Pressure at leak (psig)]]=""),0,IF(Table_Leaks2_Input[[#This Row],[Pressure at leak (psig)]]&lt;20, 10, MROUND(Table_Leaks2_Input[[#This Row],[Pressure at leak (psig)]], 25)))</f>
        <v>0</v>
      </c>
      <c r="T127" s="126">
        <f>ROUND(Table_Leaks2_Input[[#This Row],[dB reading]],-1)</f>
        <v>0</v>
      </c>
      <c r="U127" s="127" t="str">
        <f>_xlfn.CONCAT(Table_Leaks2_Input[[#This Row],[Rounded dB Reading]],"psig ", Table_Leaks2_Input[[#This Row],[Rounded PSIG]],"db")</f>
        <v>0psig 0db</v>
      </c>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row>
    <row r="128" spans="1:46" x14ac:dyDescent="0.2">
      <c r="A128" s="75"/>
      <c r="B128" s="121">
        <v>324</v>
      </c>
      <c r="C128" s="128"/>
      <c r="D128" s="129"/>
      <c r="E128" s="130"/>
      <c r="F128" s="130"/>
      <c r="G128" s="130"/>
      <c r="H128" s="130"/>
      <c r="I128" s="131"/>
      <c r="J128" s="131"/>
      <c r="K128" s="122" t="str">
        <f>IFERROR(INDEX(TABLE_UE_dB[Leak Size (cfm)], MATCH(Table_Leaks2_Input[[#This Row],[Lookup Value]], TABLE_UE_dB[Lookup Value], 0)),"")</f>
        <v/>
      </c>
      <c r="L128" s="123" t="str">
        <f>IF(Table_Leaks2_Input[[#This Row],[Repaired (Y/N)]]="Yes", Value_LeakRepairIR, "")</f>
        <v/>
      </c>
      <c r="M128" s="124" t="str">
        <f>IFERROR(Table_Leaks2_Input[[#This Row],[Estimated leak size (cfm)]]*Value_WeightAvgCompEff*Value_SysAOH,"" )</f>
        <v/>
      </c>
      <c r="N128" s="125" t="str">
        <f>IFERROR(Table_Leaks2_Input[[#This Row],[Estimated leak size (cfm)]]*Value_WeightAvgCompEff,"" )</f>
        <v/>
      </c>
      <c r="O128" s="123" t="str">
        <f>IFERROR(Table_Leaks2_Input[[#This Row],[Energy savings (kWh)]]*Input_AvgkWhRate, "")</f>
        <v/>
      </c>
      <c r="P128" s="123" t="str">
        <f>IF(Table_Leaks2_Input[[#This Row],[Pressure at leak (psig)]]="", "",Table_Leaks2_Input[[#This Row],[Total equipment cost]]+Table_Leaks2_Input[[#This Row],[Total labor cost]])</f>
        <v/>
      </c>
      <c r="Q128" s="123" t="str">
        <f>IFERROR(Table_Leaks2_Input[[#This Row],[Gross measure cost]]-Table_Leaks2_Input[[#This Row],[Estimated incentive]], "")</f>
        <v/>
      </c>
      <c r="R128" s="124" t="str">
        <f t="shared" si="1"/>
        <v/>
      </c>
      <c r="S128" s="126">
        <f>IF(OR(Table_Leaks2_Input[[#This Row],[Pressure at leak (psig)]]=0, Table_Leaks2_Input[[#This Row],[Pressure at leak (psig)]]=""),0,IF(Table_Leaks2_Input[[#This Row],[Pressure at leak (psig)]]&lt;20, 10, MROUND(Table_Leaks2_Input[[#This Row],[Pressure at leak (psig)]], 25)))</f>
        <v>0</v>
      </c>
      <c r="T128" s="126">
        <f>ROUND(Table_Leaks2_Input[[#This Row],[dB reading]],-1)</f>
        <v>0</v>
      </c>
      <c r="U128" s="127" t="str">
        <f>_xlfn.CONCAT(Table_Leaks2_Input[[#This Row],[Rounded dB Reading]],"psig ", Table_Leaks2_Input[[#This Row],[Rounded PSIG]],"db")</f>
        <v>0psig 0db</v>
      </c>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row>
    <row r="129" spans="1:46" x14ac:dyDescent="0.2">
      <c r="A129" s="75"/>
      <c r="B129" s="121">
        <v>325</v>
      </c>
      <c r="C129" s="128"/>
      <c r="D129" s="129"/>
      <c r="E129" s="130"/>
      <c r="F129" s="130"/>
      <c r="G129" s="130"/>
      <c r="H129" s="130"/>
      <c r="I129" s="131"/>
      <c r="J129" s="131"/>
      <c r="K129" s="122" t="str">
        <f>IFERROR(INDEX(TABLE_UE_dB[Leak Size (cfm)], MATCH(Table_Leaks2_Input[[#This Row],[Lookup Value]], TABLE_UE_dB[Lookup Value], 0)),"")</f>
        <v/>
      </c>
      <c r="L129" s="123" t="str">
        <f>IF(Table_Leaks2_Input[[#This Row],[Repaired (Y/N)]]="Yes", Value_LeakRepairIR, "")</f>
        <v/>
      </c>
      <c r="M129" s="124" t="str">
        <f>IFERROR(Table_Leaks2_Input[[#This Row],[Estimated leak size (cfm)]]*Value_WeightAvgCompEff*Value_SysAOH,"" )</f>
        <v/>
      </c>
      <c r="N129" s="125" t="str">
        <f>IFERROR(Table_Leaks2_Input[[#This Row],[Estimated leak size (cfm)]]*Value_WeightAvgCompEff,"" )</f>
        <v/>
      </c>
      <c r="O129" s="123" t="str">
        <f>IFERROR(Table_Leaks2_Input[[#This Row],[Energy savings (kWh)]]*Input_AvgkWhRate, "")</f>
        <v/>
      </c>
      <c r="P129" s="123" t="str">
        <f>IF(Table_Leaks2_Input[[#This Row],[Pressure at leak (psig)]]="", "",Table_Leaks2_Input[[#This Row],[Total equipment cost]]+Table_Leaks2_Input[[#This Row],[Total labor cost]])</f>
        <v/>
      </c>
      <c r="Q129" s="123" t="str">
        <f>IFERROR(Table_Leaks2_Input[[#This Row],[Gross measure cost]]-Table_Leaks2_Input[[#This Row],[Estimated incentive]], "")</f>
        <v/>
      </c>
      <c r="R129" s="124" t="str">
        <f t="shared" si="1"/>
        <v/>
      </c>
      <c r="S129" s="126">
        <f>IF(OR(Table_Leaks2_Input[[#This Row],[Pressure at leak (psig)]]=0, Table_Leaks2_Input[[#This Row],[Pressure at leak (psig)]]=""),0,IF(Table_Leaks2_Input[[#This Row],[Pressure at leak (psig)]]&lt;20, 10, MROUND(Table_Leaks2_Input[[#This Row],[Pressure at leak (psig)]], 25)))</f>
        <v>0</v>
      </c>
      <c r="T129" s="126">
        <f>ROUND(Table_Leaks2_Input[[#This Row],[dB reading]],-1)</f>
        <v>0</v>
      </c>
      <c r="U129" s="127" t="str">
        <f>_xlfn.CONCAT(Table_Leaks2_Input[[#This Row],[Rounded dB Reading]],"psig ", Table_Leaks2_Input[[#This Row],[Rounded PSIG]],"db")</f>
        <v>0psig 0db</v>
      </c>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row>
    <row r="130" spans="1:46" x14ac:dyDescent="0.2">
      <c r="B130" s="121">
        <v>326</v>
      </c>
      <c r="C130" s="128"/>
      <c r="D130" s="129"/>
      <c r="E130" s="130"/>
      <c r="F130" s="130"/>
      <c r="G130" s="130"/>
      <c r="H130" s="130"/>
      <c r="I130" s="131"/>
      <c r="J130" s="131"/>
      <c r="K130" s="122" t="str">
        <f>IFERROR(INDEX(TABLE_UE_dB[Leak Size (cfm)], MATCH(Table_Leaks2_Input[[#This Row],[Lookup Value]], TABLE_UE_dB[Lookup Value], 0)),"")</f>
        <v/>
      </c>
      <c r="L130" s="123" t="str">
        <f>IF(Table_Leaks2_Input[[#This Row],[Repaired (Y/N)]]="Yes", Value_LeakRepairIR, "")</f>
        <v/>
      </c>
      <c r="M130" s="124" t="str">
        <f>IFERROR(Table_Leaks2_Input[[#This Row],[Estimated leak size (cfm)]]*Value_WeightAvgCompEff*Value_SysAOH,"" )</f>
        <v/>
      </c>
      <c r="N130" s="125" t="str">
        <f>IFERROR(Table_Leaks2_Input[[#This Row],[Estimated leak size (cfm)]]*Value_WeightAvgCompEff,"" )</f>
        <v/>
      </c>
      <c r="O130" s="123" t="str">
        <f>IFERROR(Table_Leaks2_Input[[#This Row],[Energy savings (kWh)]]*Input_AvgkWhRate, "")</f>
        <v/>
      </c>
      <c r="P130" s="123" t="str">
        <f>IF(Table_Leaks2_Input[[#This Row],[Pressure at leak (psig)]]="", "",Table_Leaks2_Input[[#This Row],[Total equipment cost]]+Table_Leaks2_Input[[#This Row],[Total labor cost]])</f>
        <v/>
      </c>
      <c r="Q130" s="123" t="str">
        <f>IFERROR(Table_Leaks2_Input[[#This Row],[Gross measure cost]]-Table_Leaks2_Input[[#This Row],[Estimated incentive]], "")</f>
        <v/>
      </c>
      <c r="R130" s="124" t="str">
        <f t="shared" si="1"/>
        <v/>
      </c>
      <c r="S130" s="126">
        <f>IF(OR(Table_Leaks2_Input[[#This Row],[Pressure at leak (psig)]]=0, Table_Leaks2_Input[[#This Row],[Pressure at leak (psig)]]=""),0,IF(Table_Leaks2_Input[[#This Row],[Pressure at leak (psig)]]&lt;20, 10, MROUND(Table_Leaks2_Input[[#This Row],[Pressure at leak (psig)]], 25)))</f>
        <v>0</v>
      </c>
      <c r="T130" s="126">
        <f>ROUND(Table_Leaks2_Input[[#This Row],[dB reading]],-1)</f>
        <v>0</v>
      </c>
      <c r="U130" s="127" t="str">
        <f>_xlfn.CONCAT(Table_Leaks2_Input[[#This Row],[Rounded dB Reading]],"psig ", Table_Leaks2_Input[[#This Row],[Rounded PSIG]],"db")</f>
        <v>0psig 0db</v>
      </c>
    </row>
    <row r="131" spans="1:46" x14ac:dyDescent="0.2">
      <c r="B131" s="121">
        <v>327</v>
      </c>
      <c r="C131" s="128"/>
      <c r="D131" s="129"/>
      <c r="E131" s="130"/>
      <c r="F131" s="130"/>
      <c r="G131" s="130"/>
      <c r="H131" s="130"/>
      <c r="I131" s="131"/>
      <c r="J131" s="131"/>
      <c r="K131" s="122" t="str">
        <f>IFERROR(INDEX(TABLE_UE_dB[Leak Size (cfm)], MATCH(Table_Leaks2_Input[[#This Row],[Lookup Value]], TABLE_UE_dB[Lookup Value], 0)),"")</f>
        <v/>
      </c>
      <c r="L131" s="123" t="str">
        <f>IF(Table_Leaks2_Input[[#This Row],[Repaired (Y/N)]]="Yes", Value_LeakRepairIR, "")</f>
        <v/>
      </c>
      <c r="M131" s="124" t="str">
        <f>IFERROR(Table_Leaks2_Input[[#This Row],[Estimated leak size (cfm)]]*Value_WeightAvgCompEff*Value_SysAOH,"" )</f>
        <v/>
      </c>
      <c r="N131" s="125" t="str">
        <f>IFERROR(Table_Leaks2_Input[[#This Row],[Estimated leak size (cfm)]]*Value_WeightAvgCompEff,"" )</f>
        <v/>
      </c>
      <c r="O131" s="123" t="str">
        <f>IFERROR(Table_Leaks2_Input[[#This Row],[Energy savings (kWh)]]*Input_AvgkWhRate, "")</f>
        <v/>
      </c>
      <c r="P131" s="123" t="str">
        <f>IF(Table_Leaks2_Input[[#This Row],[Pressure at leak (psig)]]="", "",Table_Leaks2_Input[[#This Row],[Total equipment cost]]+Table_Leaks2_Input[[#This Row],[Total labor cost]])</f>
        <v/>
      </c>
      <c r="Q131" s="123" t="str">
        <f>IFERROR(Table_Leaks2_Input[[#This Row],[Gross measure cost]]-Table_Leaks2_Input[[#This Row],[Estimated incentive]], "")</f>
        <v/>
      </c>
      <c r="R131" s="124" t="str">
        <f t="shared" si="1"/>
        <v/>
      </c>
      <c r="S131" s="126">
        <f>IF(OR(Table_Leaks2_Input[[#This Row],[Pressure at leak (psig)]]=0, Table_Leaks2_Input[[#This Row],[Pressure at leak (psig)]]=""),0,IF(Table_Leaks2_Input[[#This Row],[Pressure at leak (psig)]]&lt;20, 10, MROUND(Table_Leaks2_Input[[#This Row],[Pressure at leak (psig)]], 25)))</f>
        <v>0</v>
      </c>
      <c r="T131" s="126">
        <f>ROUND(Table_Leaks2_Input[[#This Row],[dB reading]],-1)</f>
        <v>0</v>
      </c>
      <c r="U131" s="127" t="str">
        <f>_xlfn.CONCAT(Table_Leaks2_Input[[#This Row],[Rounded dB Reading]],"psig ", Table_Leaks2_Input[[#This Row],[Rounded PSIG]],"db")</f>
        <v>0psig 0db</v>
      </c>
    </row>
    <row r="132" spans="1:46" x14ac:dyDescent="0.2">
      <c r="B132" s="121">
        <v>328</v>
      </c>
      <c r="C132" s="128"/>
      <c r="D132" s="129"/>
      <c r="E132" s="130"/>
      <c r="F132" s="130"/>
      <c r="G132" s="130"/>
      <c r="H132" s="130"/>
      <c r="I132" s="131"/>
      <c r="J132" s="131"/>
      <c r="K132" s="122" t="str">
        <f>IFERROR(INDEX(TABLE_UE_dB[Leak Size (cfm)], MATCH(Table_Leaks2_Input[[#This Row],[Lookup Value]], TABLE_UE_dB[Lookup Value], 0)),"")</f>
        <v/>
      </c>
      <c r="L132" s="123" t="str">
        <f>IF(Table_Leaks2_Input[[#This Row],[Repaired (Y/N)]]="Yes", Value_LeakRepairIR, "")</f>
        <v/>
      </c>
      <c r="M132" s="124" t="str">
        <f>IFERROR(Table_Leaks2_Input[[#This Row],[Estimated leak size (cfm)]]*Value_WeightAvgCompEff*Value_SysAOH,"" )</f>
        <v/>
      </c>
      <c r="N132" s="125" t="str">
        <f>IFERROR(Table_Leaks2_Input[[#This Row],[Estimated leak size (cfm)]]*Value_WeightAvgCompEff,"" )</f>
        <v/>
      </c>
      <c r="O132" s="123" t="str">
        <f>IFERROR(Table_Leaks2_Input[[#This Row],[Energy savings (kWh)]]*Input_AvgkWhRate, "")</f>
        <v/>
      </c>
      <c r="P132" s="123" t="str">
        <f>IF(Table_Leaks2_Input[[#This Row],[Pressure at leak (psig)]]="", "",Table_Leaks2_Input[[#This Row],[Total equipment cost]]+Table_Leaks2_Input[[#This Row],[Total labor cost]])</f>
        <v/>
      </c>
      <c r="Q132" s="123" t="str">
        <f>IFERROR(Table_Leaks2_Input[[#This Row],[Gross measure cost]]-Table_Leaks2_Input[[#This Row],[Estimated incentive]], "")</f>
        <v/>
      </c>
      <c r="R132" s="124" t="str">
        <f t="shared" si="1"/>
        <v/>
      </c>
      <c r="S132" s="126">
        <f>IF(OR(Table_Leaks2_Input[[#This Row],[Pressure at leak (psig)]]=0, Table_Leaks2_Input[[#This Row],[Pressure at leak (psig)]]=""),0,IF(Table_Leaks2_Input[[#This Row],[Pressure at leak (psig)]]&lt;20, 10, MROUND(Table_Leaks2_Input[[#This Row],[Pressure at leak (psig)]], 25)))</f>
        <v>0</v>
      </c>
      <c r="T132" s="126">
        <f>ROUND(Table_Leaks2_Input[[#This Row],[dB reading]],-1)</f>
        <v>0</v>
      </c>
      <c r="U132" s="127" t="str">
        <f>_xlfn.CONCAT(Table_Leaks2_Input[[#This Row],[Rounded dB Reading]],"psig ", Table_Leaks2_Input[[#This Row],[Rounded PSIG]],"db")</f>
        <v>0psig 0db</v>
      </c>
    </row>
    <row r="133" spans="1:46" x14ac:dyDescent="0.2">
      <c r="B133" s="121">
        <v>329</v>
      </c>
      <c r="C133" s="128"/>
      <c r="D133" s="129"/>
      <c r="E133" s="130"/>
      <c r="F133" s="130"/>
      <c r="G133" s="130"/>
      <c r="H133" s="130"/>
      <c r="I133" s="131"/>
      <c r="J133" s="131"/>
      <c r="K133" s="122" t="str">
        <f>IFERROR(INDEX(TABLE_UE_dB[Leak Size (cfm)], MATCH(Table_Leaks2_Input[[#This Row],[Lookup Value]], TABLE_UE_dB[Lookup Value], 0)),"")</f>
        <v/>
      </c>
      <c r="L133" s="123" t="str">
        <f>IF(Table_Leaks2_Input[[#This Row],[Repaired (Y/N)]]="Yes", Value_LeakRepairIR, "")</f>
        <v/>
      </c>
      <c r="M133" s="124" t="str">
        <f>IFERROR(Table_Leaks2_Input[[#This Row],[Estimated leak size (cfm)]]*Value_WeightAvgCompEff*Value_SysAOH,"" )</f>
        <v/>
      </c>
      <c r="N133" s="125" t="str">
        <f>IFERROR(Table_Leaks2_Input[[#This Row],[Estimated leak size (cfm)]]*Value_WeightAvgCompEff,"" )</f>
        <v/>
      </c>
      <c r="O133" s="123" t="str">
        <f>IFERROR(Table_Leaks2_Input[[#This Row],[Energy savings (kWh)]]*Input_AvgkWhRate, "")</f>
        <v/>
      </c>
      <c r="P133" s="123" t="str">
        <f>IF(Table_Leaks2_Input[[#This Row],[Pressure at leak (psig)]]="", "",Table_Leaks2_Input[[#This Row],[Total equipment cost]]+Table_Leaks2_Input[[#This Row],[Total labor cost]])</f>
        <v/>
      </c>
      <c r="Q133" s="123" t="str">
        <f>IFERROR(Table_Leaks2_Input[[#This Row],[Gross measure cost]]-Table_Leaks2_Input[[#This Row],[Estimated incentive]], "")</f>
        <v/>
      </c>
      <c r="R133" s="124" t="str">
        <f t="shared" ref="R133:R196" si="2">IFERROR($Q133/$O133,"")</f>
        <v/>
      </c>
      <c r="S133" s="126">
        <f>IF(OR(Table_Leaks2_Input[[#This Row],[Pressure at leak (psig)]]=0, Table_Leaks2_Input[[#This Row],[Pressure at leak (psig)]]=""),0,IF(Table_Leaks2_Input[[#This Row],[Pressure at leak (psig)]]&lt;20, 10, MROUND(Table_Leaks2_Input[[#This Row],[Pressure at leak (psig)]], 25)))</f>
        <v>0</v>
      </c>
      <c r="T133" s="126">
        <f>ROUND(Table_Leaks2_Input[[#This Row],[dB reading]],-1)</f>
        <v>0</v>
      </c>
      <c r="U133" s="127" t="str">
        <f>_xlfn.CONCAT(Table_Leaks2_Input[[#This Row],[Rounded dB Reading]],"psig ", Table_Leaks2_Input[[#This Row],[Rounded PSIG]],"db")</f>
        <v>0psig 0db</v>
      </c>
    </row>
    <row r="134" spans="1:46" x14ac:dyDescent="0.2">
      <c r="B134" s="121">
        <v>330</v>
      </c>
      <c r="C134" s="128"/>
      <c r="D134" s="129"/>
      <c r="E134" s="130"/>
      <c r="F134" s="130"/>
      <c r="G134" s="130"/>
      <c r="H134" s="130"/>
      <c r="I134" s="131"/>
      <c r="J134" s="131"/>
      <c r="K134" s="122" t="str">
        <f>IFERROR(INDEX(TABLE_UE_dB[Leak Size (cfm)], MATCH(Table_Leaks2_Input[[#This Row],[Lookup Value]], TABLE_UE_dB[Lookup Value], 0)),"")</f>
        <v/>
      </c>
      <c r="L134" s="123" t="str">
        <f>IF(Table_Leaks2_Input[[#This Row],[Repaired (Y/N)]]="Yes", Value_LeakRepairIR, "")</f>
        <v/>
      </c>
      <c r="M134" s="124" t="str">
        <f>IFERROR(Table_Leaks2_Input[[#This Row],[Estimated leak size (cfm)]]*Value_WeightAvgCompEff*Value_SysAOH,"" )</f>
        <v/>
      </c>
      <c r="N134" s="125" t="str">
        <f>IFERROR(Table_Leaks2_Input[[#This Row],[Estimated leak size (cfm)]]*Value_WeightAvgCompEff,"" )</f>
        <v/>
      </c>
      <c r="O134" s="123" t="str">
        <f>IFERROR(Table_Leaks2_Input[[#This Row],[Energy savings (kWh)]]*Input_AvgkWhRate, "")</f>
        <v/>
      </c>
      <c r="P134" s="123" t="str">
        <f>IF(Table_Leaks2_Input[[#This Row],[Pressure at leak (psig)]]="", "",Table_Leaks2_Input[[#This Row],[Total equipment cost]]+Table_Leaks2_Input[[#This Row],[Total labor cost]])</f>
        <v/>
      </c>
      <c r="Q134" s="123" t="str">
        <f>IFERROR(Table_Leaks2_Input[[#This Row],[Gross measure cost]]-Table_Leaks2_Input[[#This Row],[Estimated incentive]], "")</f>
        <v/>
      </c>
      <c r="R134" s="124" t="str">
        <f t="shared" si="2"/>
        <v/>
      </c>
      <c r="S134" s="126">
        <f>IF(OR(Table_Leaks2_Input[[#This Row],[Pressure at leak (psig)]]=0, Table_Leaks2_Input[[#This Row],[Pressure at leak (psig)]]=""),0,IF(Table_Leaks2_Input[[#This Row],[Pressure at leak (psig)]]&lt;20, 10, MROUND(Table_Leaks2_Input[[#This Row],[Pressure at leak (psig)]], 25)))</f>
        <v>0</v>
      </c>
      <c r="T134" s="126">
        <f>ROUND(Table_Leaks2_Input[[#This Row],[dB reading]],-1)</f>
        <v>0</v>
      </c>
      <c r="U134" s="127" t="str">
        <f>_xlfn.CONCAT(Table_Leaks2_Input[[#This Row],[Rounded dB Reading]],"psig ", Table_Leaks2_Input[[#This Row],[Rounded PSIG]],"db")</f>
        <v>0psig 0db</v>
      </c>
    </row>
    <row r="135" spans="1:46" x14ac:dyDescent="0.2">
      <c r="B135" s="121">
        <v>331</v>
      </c>
      <c r="C135" s="128"/>
      <c r="D135" s="129"/>
      <c r="E135" s="130"/>
      <c r="F135" s="130"/>
      <c r="G135" s="130"/>
      <c r="H135" s="130"/>
      <c r="I135" s="131"/>
      <c r="J135" s="131"/>
      <c r="K135" s="122" t="str">
        <f>IFERROR(INDEX(TABLE_UE_dB[Leak Size (cfm)], MATCH(Table_Leaks2_Input[[#This Row],[Lookup Value]], TABLE_UE_dB[Lookup Value], 0)),"")</f>
        <v/>
      </c>
      <c r="L135" s="123" t="str">
        <f>IF(Table_Leaks2_Input[[#This Row],[Repaired (Y/N)]]="Yes", Value_LeakRepairIR, "")</f>
        <v/>
      </c>
      <c r="M135" s="124" t="str">
        <f>IFERROR(Table_Leaks2_Input[[#This Row],[Estimated leak size (cfm)]]*Value_WeightAvgCompEff*Value_SysAOH,"" )</f>
        <v/>
      </c>
      <c r="N135" s="125" t="str">
        <f>IFERROR(Table_Leaks2_Input[[#This Row],[Estimated leak size (cfm)]]*Value_WeightAvgCompEff,"" )</f>
        <v/>
      </c>
      <c r="O135" s="123" t="str">
        <f>IFERROR(Table_Leaks2_Input[[#This Row],[Energy savings (kWh)]]*Input_AvgkWhRate, "")</f>
        <v/>
      </c>
      <c r="P135" s="123" t="str">
        <f>IF(Table_Leaks2_Input[[#This Row],[Pressure at leak (psig)]]="", "",Table_Leaks2_Input[[#This Row],[Total equipment cost]]+Table_Leaks2_Input[[#This Row],[Total labor cost]])</f>
        <v/>
      </c>
      <c r="Q135" s="123" t="str">
        <f>IFERROR(Table_Leaks2_Input[[#This Row],[Gross measure cost]]-Table_Leaks2_Input[[#This Row],[Estimated incentive]], "")</f>
        <v/>
      </c>
      <c r="R135" s="124" t="str">
        <f t="shared" si="2"/>
        <v/>
      </c>
      <c r="S135" s="126">
        <f>IF(OR(Table_Leaks2_Input[[#This Row],[Pressure at leak (psig)]]=0, Table_Leaks2_Input[[#This Row],[Pressure at leak (psig)]]=""),0,IF(Table_Leaks2_Input[[#This Row],[Pressure at leak (psig)]]&lt;20, 10, MROUND(Table_Leaks2_Input[[#This Row],[Pressure at leak (psig)]], 25)))</f>
        <v>0</v>
      </c>
      <c r="T135" s="126">
        <f>ROUND(Table_Leaks2_Input[[#This Row],[dB reading]],-1)</f>
        <v>0</v>
      </c>
      <c r="U135" s="127" t="str">
        <f>_xlfn.CONCAT(Table_Leaks2_Input[[#This Row],[Rounded dB Reading]],"psig ", Table_Leaks2_Input[[#This Row],[Rounded PSIG]],"db")</f>
        <v>0psig 0db</v>
      </c>
    </row>
    <row r="136" spans="1:46" x14ac:dyDescent="0.2">
      <c r="B136" s="121">
        <v>332</v>
      </c>
      <c r="C136" s="128"/>
      <c r="D136" s="129"/>
      <c r="E136" s="130"/>
      <c r="F136" s="130"/>
      <c r="G136" s="130"/>
      <c r="H136" s="130"/>
      <c r="I136" s="131"/>
      <c r="J136" s="131"/>
      <c r="K136" s="122" t="str">
        <f>IFERROR(INDEX(TABLE_UE_dB[Leak Size (cfm)], MATCH(Table_Leaks2_Input[[#This Row],[Lookup Value]], TABLE_UE_dB[Lookup Value], 0)),"")</f>
        <v/>
      </c>
      <c r="L136" s="123" t="str">
        <f>IF(Table_Leaks2_Input[[#This Row],[Repaired (Y/N)]]="Yes", Value_LeakRepairIR, "")</f>
        <v/>
      </c>
      <c r="M136" s="124" t="str">
        <f>IFERROR(Table_Leaks2_Input[[#This Row],[Estimated leak size (cfm)]]*Value_WeightAvgCompEff*Value_SysAOH,"" )</f>
        <v/>
      </c>
      <c r="N136" s="125" t="str">
        <f>IFERROR(Table_Leaks2_Input[[#This Row],[Estimated leak size (cfm)]]*Value_WeightAvgCompEff,"" )</f>
        <v/>
      </c>
      <c r="O136" s="123" t="str">
        <f>IFERROR(Table_Leaks2_Input[[#This Row],[Energy savings (kWh)]]*Input_AvgkWhRate, "")</f>
        <v/>
      </c>
      <c r="P136" s="123" t="str">
        <f>IF(Table_Leaks2_Input[[#This Row],[Pressure at leak (psig)]]="", "",Table_Leaks2_Input[[#This Row],[Total equipment cost]]+Table_Leaks2_Input[[#This Row],[Total labor cost]])</f>
        <v/>
      </c>
      <c r="Q136" s="123" t="str">
        <f>IFERROR(Table_Leaks2_Input[[#This Row],[Gross measure cost]]-Table_Leaks2_Input[[#This Row],[Estimated incentive]], "")</f>
        <v/>
      </c>
      <c r="R136" s="124" t="str">
        <f t="shared" si="2"/>
        <v/>
      </c>
      <c r="S136" s="126">
        <f>IF(OR(Table_Leaks2_Input[[#This Row],[Pressure at leak (psig)]]=0, Table_Leaks2_Input[[#This Row],[Pressure at leak (psig)]]=""),0,IF(Table_Leaks2_Input[[#This Row],[Pressure at leak (psig)]]&lt;20, 10, MROUND(Table_Leaks2_Input[[#This Row],[Pressure at leak (psig)]], 25)))</f>
        <v>0</v>
      </c>
      <c r="T136" s="126">
        <f>ROUND(Table_Leaks2_Input[[#This Row],[dB reading]],-1)</f>
        <v>0</v>
      </c>
      <c r="U136" s="127" t="str">
        <f>_xlfn.CONCAT(Table_Leaks2_Input[[#This Row],[Rounded dB Reading]],"psig ", Table_Leaks2_Input[[#This Row],[Rounded PSIG]],"db")</f>
        <v>0psig 0db</v>
      </c>
    </row>
    <row r="137" spans="1:46" x14ac:dyDescent="0.2">
      <c r="B137" s="121">
        <v>333</v>
      </c>
      <c r="C137" s="128"/>
      <c r="D137" s="129"/>
      <c r="E137" s="130"/>
      <c r="F137" s="130"/>
      <c r="G137" s="130"/>
      <c r="H137" s="130"/>
      <c r="I137" s="131"/>
      <c r="J137" s="131"/>
      <c r="K137" s="122" t="str">
        <f>IFERROR(INDEX(TABLE_UE_dB[Leak Size (cfm)], MATCH(Table_Leaks2_Input[[#This Row],[Lookup Value]], TABLE_UE_dB[Lookup Value], 0)),"")</f>
        <v/>
      </c>
      <c r="L137" s="123" t="str">
        <f>IF(Table_Leaks2_Input[[#This Row],[Repaired (Y/N)]]="Yes", Value_LeakRepairIR, "")</f>
        <v/>
      </c>
      <c r="M137" s="124" t="str">
        <f>IFERROR(Table_Leaks2_Input[[#This Row],[Estimated leak size (cfm)]]*Value_WeightAvgCompEff*Value_SysAOH,"" )</f>
        <v/>
      </c>
      <c r="N137" s="125" t="str">
        <f>IFERROR(Table_Leaks2_Input[[#This Row],[Estimated leak size (cfm)]]*Value_WeightAvgCompEff,"" )</f>
        <v/>
      </c>
      <c r="O137" s="123" t="str">
        <f>IFERROR(Table_Leaks2_Input[[#This Row],[Energy savings (kWh)]]*Input_AvgkWhRate, "")</f>
        <v/>
      </c>
      <c r="P137" s="123" t="str">
        <f>IF(Table_Leaks2_Input[[#This Row],[Pressure at leak (psig)]]="", "",Table_Leaks2_Input[[#This Row],[Total equipment cost]]+Table_Leaks2_Input[[#This Row],[Total labor cost]])</f>
        <v/>
      </c>
      <c r="Q137" s="123" t="str">
        <f>IFERROR(Table_Leaks2_Input[[#This Row],[Gross measure cost]]-Table_Leaks2_Input[[#This Row],[Estimated incentive]], "")</f>
        <v/>
      </c>
      <c r="R137" s="124" t="str">
        <f t="shared" si="2"/>
        <v/>
      </c>
      <c r="S137" s="126">
        <f>IF(OR(Table_Leaks2_Input[[#This Row],[Pressure at leak (psig)]]=0, Table_Leaks2_Input[[#This Row],[Pressure at leak (psig)]]=""),0,IF(Table_Leaks2_Input[[#This Row],[Pressure at leak (psig)]]&lt;20, 10, MROUND(Table_Leaks2_Input[[#This Row],[Pressure at leak (psig)]], 25)))</f>
        <v>0</v>
      </c>
      <c r="T137" s="126">
        <f>ROUND(Table_Leaks2_Input[[#This Row],[dB reading]],-1)</f>
        <v>0</v>
      </c>
      <c r="U137" s="127" t="str">
        <f>_xlfn.CONCAT(Table_Leaks2_Input[[#This Row],[Rounded dB Reading]],"psig ", Table_Leaks2_Input[[#This Row],[Rounded PSIG]],"db")</f>
        <v>0psig 0db</v>
      </c>
    </row>
    <row r="138" spans="1:46" x14ac:dyDescent="0.2">
      <c r="B138" s="121">
        <v>334</v>
      </c>
      <c r="C138" s="128"/>
      <c r="D138" s="129"/>
      <c r="E138" s="130"/>
      <c r="F138" s="130"/>
      <c r="G138" s="130"/>
      <c r="H138" s="130"/>
      <c r="I138" s="131"/>
      <c r="J138" s="131"/>
      <c r="K138" s="122" t="str">
        <f>IFERROR(INDEX(TABLE_UE_dB[Leak Size (cfm)], MATCH(Table_Leaks2_Input[[#This Row],[Lookup Value]], TABLE_UE_dB[Lookup Value], 0)),"")</f>
        <v/>
      </c>
      <c r="L138" s="123" t="str">
        <f>IF(Table_Leaks2_Input[[#This Row],[Repaired (Y/N)]]="Yes", Value_LeakRepairIR, "")</f>
        <v/>
      </c>
      <c r="M138" s="124" t="str">
        <f>IFERROR(Table_Leaks2_Input[[#This Row],[Estimated leak size (cfm)]]*Value_WeightAvgCompEff*Value_SysAOH,"" )</f>
        <v/>
      </c>
      <c r="N138" s="125" t="str">
        <f>IFERROR(Table_Leaks2_Input[[#This Row],[Estimated leak size (cfm)]]*Value_WeightAvgCompEff,"" )</f>
        <v/>
      </c>
      <c r="O138" s="123" t="str">
        <f>IFERROR(Table_Leaks2_Input[[#This Row],[Energy savings (kWh)]]*Input_AvgkWhRate, "")</f>
        <v/>
      </c>
      <c r="P138" s="123" t="str">
        <f>IF(Table_Leaks2_Input[[#This Row],[Pressure at leak (psig)]]="", "",Table_Leaks2_Input[[#This Row],[Total equipment cost]]+Table_Leaks2_Input[[#This Row],[Total labor cost]])</f>
        <v/>
      </c>
      <c r="Q138" s="123" t="str">
        <f>IFERROR(Table_Leaks2_Input[[#This Row],[Gross measure cost]]-Table_Leaks2_Input[[#This Row],[Estimated incentive]], "")</f>
        <v/>
      </c>
      <c r="R138" s="124" t="str">
        <f t="shared" si="2"/>
        <v/>
      </c>
      <c r="S138" s="126">
        <f>IF(OR(Table_Leaks2_Input[[#This Row],[Pressure at leak (psig)]]=0, Table_Leaks2_Input[[#This Row],[Pressure at leak (psig)]]=""),0,IF(Table_Leaks2_Input[[#This Row],[Pressure at leak (psig)]]&lt;20, 10, MROUND(Table_Leaks2_Input[[#This Row],[Pressure at leak (psig)]], 25)))</f>
        <v>0</v>
      </c>
      <c r="T138" s="126">
        <f>ROUND(Table_Leaks2_Input[[#This Row],[dB reading]],-1)</f>
        <v>0</v>
      </c>
      <c r="U138" s="127" t="str">
        <f>_xlfn.CONCAT(Table_Leaks2_Input[[#This Row],[Rounded dB Reading]],"psig ", Table_Leaks2_Input[[#This Row],[Rounded PSIG]],"db")</f>
        <v>0psig 0db</v>
      </c>
    </row>
    <row r="139" spans="1:46" x14ac:dyDescent="0.2">
      <c r="B139" s="121">
        <v>335</v>
      </c>
      <c r="C139" s="128"/>
      <c r="D139" s="129"/>
      <c r="E139" s="130"/>
      <c r="F139" s="130"/>
      <c r="G139" s="130"/>
      <c r="H139" s="130"/>
      <c r="I139" s="131"/>
      <c r="J139" s="131"/>
      <c r="K139" s="122" t="str">
        <f>IFERROR(INDEX(TABLE_UE_dB[Leak Size (cfm)], MATCH(Table_Leaks2_Input[[#This Row],[Lookup Value]], TABLE_UE_dB[Lookup Value], 0)),"")</f>
        <v/>
      </c>
      <c r="L139" s="123" t="str">
        <f>IF(Table_Leaks2_Input[[#This Row],[Repaired (Y/N)]]="Yes", Value_LeakRepairIR, "")</f>
        <v/>
      </c>
      <c r="M139" s="124" t="str">
        <f>IFERROR(Table_Leaks2_Input[[#This Row],[Estimated leak size (cfm)]]*Value_WeightAvgCompEff*Value_SysAOH,"" )</f>
        <v/>
      </c>
      <c r="N139" s="125" t="str">
        <f>IFERROR(Table_Leaks2_Input[[#This Row],[Estimated leak size (cfm)]]*Value_WeightAvgCompEff,"" )</f>
        <v/>
      </c>
      <c r="O139" s="123" t="str">
        <f>IFERROR(Table_Leaks2_Input[[#This Row],[Energy savings (kWh)]]*Input_AvgkWhRate, "")</f>
        <v/>
      </c>
      <c r="P139" s="123" t="str">
        <f>IF(Table_Leaks2_Input[[#This Row],[Pressure at leak (psig)]]="", "",Table_Leaks2_Input[[#This Row],[Total equipment cost]]+Table_Leaks2_Input[[#This Row],[Total labor cost]])</f>
        <v/>
      </c>
      <c r="Q139" s="123" t="str">
        <f>IFERROR(Table_Leaks2_Input[[#This Row],[Gross measure cost]]-Table_Leaks2_Input[[#This Row],[Estimated incentive]], "")</f>
        <v/>
      </c>
      <c r="R139" s="124" t="str">
        <f t="shared" si="2"/>
        <v/>
      </c>
      <c r="S139" s="126">
        <f>IF(OR(Table_Leaks2_Input[[#This Row],[Pressure at leak (psig)]]=0, Table_Leaks2_Input[[#This Row],[Pressure at leak (psig)]]=""),0,IF(Table_Leaks2_Input[[#This Row],[Pressure at leak (psig)]]&lt;20, 10, MROUND(Table_Leaks2_Input[[#This Row],[Pressure at leak (psig)]], 25)))</f>
        <v>0</v>
      </c>
      <c r="T139" s="126">
        <f>ROUND(Table_Leaks2_Input[[#This Row],[dB reading]],-1)</f>
        <v>0</v>
      </c>
      <c r="U139" s="127" t="str">
        <f>_xlfn.CONCAT(Table_Leaks2_Input[[#This Row],[Rounded dB Reading]],"psig ", Table_Leaks2_Input[[#This Row],[Rounded PSIG]],"db")</f>
        <v>0psig 0db</v>
      </c>
    </row>
    <row r="140" spans="1:46" x14ac:dyDescent="0.2">
      <c r="B140" s="121">
        <v>336</v>
      </c>
      <c r="C140" s="128"/>
      <c r="D140" s="129"/>
      <c r="E140" s="130"/>
      <c r="F140" s="130"/>
      <c r="G140" s="130"/>
      <c r="H140" s="130"/>
      <c r="I140" s="131"/>
      <c r="J140" s="131"/>
      <c r="K140" s="122" t="str">
        <f>IFERROR(INDEX(TABLE_UE_dB[Leak Size (cfm)], MATCH(Table_Leaks2_Input[[#This Row],[Lookup Value]], TABLE_UE_dB[Lookup Value], 0)),"")</f>
        <v/>
      </c>
      <c r="L140" s="123" t="str">
        <f>IF(Table_Leaks2_Input[[#This Row],[Repaired (Y/N)]]="Yes", Value_LeakRepairIR, "")</f>
        <v/>
      </c>
      <c r="M140" s="124" t="str">
        <f>IFERROR(Table_Leaks2_Input[[#This Row],[Estimated leak size (cfm)]]*Value_WeightAvgCompEff*Value_SysAOH,"" )</f>
        <v/>
      </c>
      <c r="N140" s="125" t="str">
        <f>IFERROR(Table_Leaks2_Input[[#This Row],[Estimated leak size (cfm)]]*Value_WeightAvgCompEff,"" )</f>
        <v/>
      </c>
      <c r="O140" s="123" t="str">
        <f>IFERROR(Table_Leaks2_Input[[#This Row],[Energy savings (kWh)]]*Input_AvgkWhRate, "")</f>
        <v/>
      </c>
      <c r="P140" s="123" t="str">
        <f>IF(Table_Leaks2_Input[[#This Row],[Pressure at leak (psig)]]="", "",Table_Leaks2_Input[[#This Row],[Total equipment cost]]+Table_Leaks2_Input[[#This Row],[Total labor cost]])</f>
        <v/>
      </c>
      <c r="Q140" s="123" t="str">
        <f>IFERROR(Table_Leaks2_Input[[#This Row],[Gross measure cost]]-Table_Leaks2_Input[[#This Row],[Estimated incentive]], "")</f>
        <v/>
      </c>
      <c r="R140" s="124" t="str">
        <f t="shared" si="2"/>
        <v/>
      </c>
      <c r="S140" s="126">
        <f>IF(OR(Table_Leaks2_Input[[#This Row],[Pressure at leak (psig)]]=0, Table_Leaks2_Input[[#This Row],[Pressure at leak (psig)]]=""),0,IF(Table_Leaks2_Input[[#This Row],[Pressure at leak (psig)]]&lt;20, 10, MROUND(Table_Leaks2_Input[[#This Row],[Pressure at leak (psig)]], 25)))</f>
        <v>0</v>
      </c>
      <c r="T140" s="126">
        <f>ROUND(Table_Leaks2_Input[[#This Row],[dB reading]],-1)</f>
        <v>0</v>
      </c>
      <c r="U140" s="127" t="str">
        <f>_xlfn.CONCAT(Table_Leaks2_Input[[#This Row],[Rounded dB Reading]],"psig ", Table_Leaks2_Input[[#This Row],[Rounded PSIG]],"db")</f>
        <v>0psig 0db</v>
      </c>
    </row>
    <row r="141" spans="1:46" x14ac:dyDescent="0.2">
      <c r="B141" s="121">
        <v>337</v>
      </c>
      <c r="C141" s="128"/>
      <c r="D141" s="129"/>
      <c r="E141" s="130"/>
      <c r="F141" s="130"/>
      <c r="G141" s="130"/>
      <c r="H141" s="130"/>
      <c r="I141" s="131"/>
      <c r="J141" s="131"/>
      <c r="K141" s="122" t="str">
        <f>IFERROR(INDEX(TABLE_UE_dB[Leak Size (cfm)], MATCH(Table_Leaks2_Input[[#This Row],[Lookup Value]], TABLE_UE_dB[Lookup Value], 0)),"")</f>
        <v/>
      </c>
      <c r="L141" s="123" t="str">
        <f>IF(Table_Leaks2_Input[[#This Row],[Repaired (Y/N)]]="Yes", Value_LeakRepairIR, "")</f>
        <v/>
      </c>
      <c r="M141" s="124" t="str">
        <f>IFERROR(Table_Leaks2_Input[[#This Row],[Estimated leak size (cfm)]]*Value_WeightAvgCompEff*Value_SysAOH,"" )</f>
        <v/>
      </c>
      <c r="N141" s="125" t="str">
        <f>IFERROR(Table_Leaks2_Input[[#This Row],[Estimated leak size (cfm)]]*Value_WeightAvgCompEff,"" )</f>
        <v/>
      </c>
      <c r="O141" s="123" t="str">
        <f>IFERROR(Table_Leaks2_Input[[#This Row],[Energy savings (kWh)]]*Input_AvgkWhRate, "")</f>
        <v/>
      </c>
      <c r="P141" s="123" t="str">
        <f>IF(Table_Leaks2_Input[[#This Row],[Pressure at leak (psig)]]="", "",Table_Leaks2_Input[[#This Row],[Total equipment cost]]+Table_Leaks2_Input[[#This Row],[Total labor cost]])</f>
        <v/>
      </c>
      <c r="Q141" s="123" t="str">
        <f>IFERROR(Table_Leaks2_Input[[#This Row],[Gross measure cost]]-Table_Leaks2_Input[[#This Row],[Estimated incentive]], "")</f>
        <v/>
      </c>
      <c r="R141" s="124" t="str">
        <f t="shared" si="2"/>
        <v/>
      </c>
      <c r="S141" s="126">
        <f>IF(OR(Table_Leaks2_Input[[#This Row],[Pressure at leak (psig)]]=0, Table_Leaks2_Input[[#This Row],[Pressure at leak (psig)]]=""),0,IF(Table_Leaks2_Input[[#This Row],[Pressure at leak (psig)]]&lt;20, 10, MROUND(Table_Leaks2_Input[[#This Row],[Pressure at leak (psig)]], 25)))</f>
        <v>0</v>
      </c>
      <c r="T141" s="126">
        <f>ROUND(Table_Leaks2_Input[[#This Row],[dB reading]],-1)</f>
        <v>0</v>
      </c>
      <c r="U141" s="127" t="str">
        <f>_xlfn.CONCAT(Table_Leaks2_Input[[#This Row],[Rounded dB Reading]],"psig ", Table_Leaks2_Input[[#This Row],[Rounded PSIG]],"db")</f>
        <v>0psig 0db</v>
      </c>
    </row>
    <row r="142" spans="1:46" x14ac:dyDescent="0.2">
      <c r="B142" s="121">
        <v>338</v>
      </c>
      <c r="C142" s="128"/>
      <c r="D142" s="129"/>
      <c r="E142" s="130"/>
      <c r="F142" s="130"/>
      <c r="G142" s="130"/>
      <c r="H142" s="130"/>
      <c r="I142" s="131"/>
      <c r="J142" s="131"/>
      <c r="K142" s="122" t="str">
        <f>IFERROR(INDEX(TABLE_UE_dB[Leak Size (cfm)], MATCH(Table_Leaks2_Input[[#This Row],[Lookup Value]], TABLE_UE_dB[Lookup Value], 0)),"")</f>
        <v/>
      </c>
      <c r="L142" s="123" t="str">
        <f>IF(Table_Leaks2_Input[[#This Row],[Repaired (Y/N)]]="Yes", Value_LeakRepairIR, "")</f>
        <v/>
      </c>
      <c r="M142" s="124" t="str">
        <f>IFERROR(Table_Leaks2_Input[[#This Row],[Estimated leak size (cfm)]]*Value_WeightAvgCompEff*Value_SysAOH,"" )</f>
        <v/>
      </c>
      <c r="N142" s="125" t="str">
        <f>IFERROR(Table_Leaks2_Input[[#This Row],[Estimated leak size (cfm)]]*Value_WeightAvgCompEff,"" )</f>
        <v/>
      </c>
      <c r="O142" s="123" t="str">
        <f>IFERROR(Table_Leaks2_Input[[#This Row],[Energy savings (kWh)]]*Input_AvgkWhRate, "")</f>
        <v/>
      </c>
      <c r="P142" s="123" t="str">
        <f>IF(Table_Leaks2_Input[[#This Row],[Pressure at leak (psig)]]="", "",Table_Leaks2_Input[[#This Row],[Total equipment cost]]+Table_Leaks2_Input[[#This Row],[Total labor cost]])</f>
        <v/>
      </c>
      <c r="Q142" s="123" t="str">
        <f>IFERROR(Table_Leaks2_Input[[#This Row],[Gross measure cost]]-Table_Leaks2_Input[[#This Row],[Estimated incentive]], "")</f>
        <v/>
      </c>
      <c r="R142" s="124" t="str">
        <f t="shared" si="2"/>
        <v/>
      </c>
      <c r="S142" s="126">
        <f>IF(OR(Table_Leaks2_Input[[#This Row],[Pressure at leak (psig)]]=0, Table_Leaks2_Input[[#This Row],[Pressure at leak (psig)]]=""),0,IF(Table_Leaks2_Input[[#This Row],[Pressure at leak (psig)]]&lt;20, 10, MROUND(Table_Leaks2_Input[[#This Row],[Pressure at leak (psig)]], 25)))</f>
        <v>0</v>
      </c>
      <c r="T142" s="126">
        <f>ROUND(Table_Leaks2_Input[[#This Row],[dB reading]],-1)</f>
        <v>0</v>
      </c>
      <c r="U142" s="127" t="str">
        <f>_xlfn.CONCAT(Table_Leaks2_Input[[#This Row],[Rounded dB Reading]],"psig ", Table_Leaks2_Input[[#This Row],[Rounded PSIG]],"db")</f>
        <v>0psig 0db</v>
      </c>
    </row>
    <row r="143" spans="1:46" x14ac:dyDescent="0.2">
      <c r="B143" s="121">
        <v>339</v>
      </c>
      <c r="C143" s="128"/>
      <c r="D143" s="129"/>
      <c r="E143" s="130"/>
      <c r="F143" s="130"/>
      <c r="G143" s="130"/>
      <c r="H143" s="130"/>
      <c r="I143" s="131"/>
      <c r="J143" s="131"/>
      <c r="K143" s="122" t="str">
        <f>IFERROR(INDEX(TABLE_UE_dB[Leak Size (cfm)], MATCH(Table_Leaks2_Input[[#This Row],[Lookup Value]], TABLE_UE_dB[Lookup Value], 0)),"")</f>
        <v/>
      </c>
      <c r="L143" s="123" t="str">
        <f>IF(Table_Leaks2_Input[[#This Row],[Repaired (Y/N)]]="Yes", Value_LeakRepairIR, "")</f>
        <v/>
      </c>
      <c r="M143" s="124" t="str">
        <f>IFERROR(Table_Leaks2_Input[[#This Row],[Estimated leak size (cfm)]]*Value_WeightAvgCompEff*Value_SysAOH,"" )</f>
        <v/>
      </c>
      <c r="N143" s="125" t="str">
        <f>IFERROR(Table_Leaks2_Input[[#This Row],[Estimated leak size (cfm)]]*Value_WeightAvgCompEff,"" )</f>
        <v/>
      </c>
      <c r="O143" s="123" t="str">
        <f>IFERROR(Table_Leaks2_Input[[#This Row],[Energy savings (kWh)]]*Input_AvgkWhRate, "")</f>
        <v/>
      </c>
      <c r="P143" s="123" t="str">
        <f>IF(Table_Leaks2_Input[[#This Row],[Pressure at leak (psig)]]="", "",Table_Leaks2_Input[[#This Row],[Total equipment cost]]+Table_Leaks2_Input[[#This Row],[Total labor cost]])</f>
        <v/>
      </c>
      <c r="Q143" s="123" t="str">
        <f>IFERROR(Table_Leaks2_Input[[#This Row],[Gross measure cost]]-Table_Leaks2_Input[[#This Row],[Estimated incentive]], "")</f>
        <v/>
      </c>
      <c r="R143" s="124" t="str">
        <f t="shared" si="2"/>
        <v/>
      </c>
      <c r="S143" s="126">
        <f>IF(OR(Table_Leaks2_Input[[#This Row],[Pressure at leak (psig)]]=0, Table_Leaks2_Input[[#This Row],[Pressure at leak (psig)]]=""),0,IF(Table_Leaks2_Input[[#This Row],[Pressure at leak (psig)]]&lt;20, 10, MROUND(Table_Leaks2_Input[[#This Row],[Pressure at leak (psig)]], 25)))</f>
        <v>0</v>
      </c>
      <c r="T143" s="126">
        <f>ROUND(Table_Leaks2_Input[[#This Row],[dB reading]],-1)</f>
        <v>0</v>
      </c>
      <c r="U143" s="127" t="str">
        <f>_xlfn.CONCAT(Table_Leaks2_Input[[#This Row],[Rounded dB Reading]],"psig ", Table_Leaks2_Input[[#This Row],[Rounded PSIG]],"db")</f>
        <v>0psig 0db</v>
      </c>
    </row>
    <row r="144" spans="1:46" x14ac:dyDescent="0.2">
      <c r="B144" s="121">
        <v>340</v>
      </c>
      <c r="C144" s="128"/>
      <c r="D144" s="129"/>
      <c r="E144" s="130"/>
      <c r="F144" s="130"/>
      <c r="G144" s="130"/>
      <c r="H144" s="130"/>
      <c r="I144" s="131"/>
      <c r="J144" s="131"/>
      <c r="K144" s="122" t="str">
        <f>IFERROR(INDEX(TABLE_UE_dB[Leak Size (cfm)], MATCH(Table_Leaks2_Input[[#This Row],[Lookup Value]], TABLE_UE_dB[Lookup Value], 0)),"")</f>
        <v/>
      </c>
      <c r="L144" s="123" t="str">
        <f>IF(Table_Leaks2_Input[[#This Row],[Repaired (Y/N)]]="Yes", Value_LeakRepairIR, "")</f>
        <v/>
      </c>
      <c r="M144" s="124" t="str">
        <f>IFERROR(Table_Leaks2_Input[[#This Row],[Estimated leak size (cfm)]]*Value_WeightAvgCompEff*Value_SysAOH,"" )</f>
        <v/>
      </c>
      <c r="N144" s="125" t="str">
        <f>IFERROR(Table_Leaks2_Input[[#This Row],[Estimated leak size (cfm)]]*Value_WeightAvgCompEff,"" )</f>
        <v/>
      </c>
      <c r="O144" s="123" t="str">
        <f>IFERROR(Table_Leaks2_Input[[#This Row],[Energy savings (kWh)]]*Input_AvgkWhRate, "")</f>
        <v/>
      </c>
      <c r="P144" s="123" t="str">
        <f>IF(Table_Leaks2_Input[[#This Row],[Pressure at leak (psig)]]="", "",Table_Leaks2_Input[[#This Row],[Total equipment cost]]+Table_Leaks2_Input[[#This Row],[Total labor cost]])</f>
        <v/>
      </c>
      <c r="Q144" s="123" t="str">
        <f>IFERROR(Table_Leaks2_Input[[#This Row],[Gross measure cost]]-Table_Leaks2_Input[[#This Row],[Estimated incentive]], "")</f>
        <v/>
      </c>
      <c r="R144" s="124" t="str">
        <f t="shared" si="2"/>
        <v/>
      </c>
      <c r="S144" s="126">
        <f>IF(OR(Table_Leaks2_Input[[#This Row],[Pressure at leak (psig)]]=0, Table_Leaks2_Input[[#This Row],[Pressure at leak (psig)]]=""),0,IF(Table_Leaks2_Input[[#This Row],[Pressure at leak (psig)]]&lt;20, 10, MROUND(Table_Leaks2_Input[[#This Row],[Pressure at leak (psig)]], 25)))</f>
        <v>0</v>
      </c>
      <c r="T144" s="126">
        <f>ROUND(Table_Leaks2_Input[[#This Row],[dB reading]],-1)</f>
        <v>0</v>
      </c>
      <c r="U144" s="127" t="str">
        <f>_xlfn.CONCAT(Table_Leaks2_Input[[#This Row],[Rounded dB Reading]],"psig ", Table_Leaks2_Input[[#This Row],[Rounded PSIG]],"db")</f>
        <v>0psig 0db</v>
      </c>
    </row>
    <row r="145" spans="2:21" x14ac:dyDescent="0.2">
      <c r="B145" s="121">
        <v>341</v>
      </c>
      <c r="C145" s="128"/>
      <c r="D145" s="129"/>
      <c r="E145" s="130"/>
      <c r="F145" s="130"/>
      <c r="G145" s="130"/>
      <c r="H145" s="130"/>
      <c r="I145" s="131"/>
      <c r="J145" s="131"/>
      <c r="K145" s="122" t="str">
        <f>IFERROR(INDEX(TABLE_UE_dB[Leak Size (cfm)], MATCH(Table_Leaks2_Input[[#This Row],[Lookup Value]], TABLE_UE_dB[Lookup Value], 0)),"")</f>
        <v/>
      </c>
      <c r="L145" s="123" t="str">
        <f>IF(Table_Leaks2_Input[[#This Row],[Repaired (Y/N)]]="Yes", Value_LeakRepairIR, "")</f>
        <v/>
      </c>
      <c r="M145" s="124" t="str">
        <f>IFERROR(Table_Leaks2_Input[[#This Row],[Estimated leak size (cfm)]]*Value_WeightAvgCompEff*Value_SysAOH,"" )</f>
        <v/>
      </c>
      <c r="N145" s="125" t="str">
        <f>IFERROR(Table_Leaks2_Input[[#This Row],[Estimated leak size (cfm)]]*Value_WeightAvgCompEff,"" )</f>
        <v/>
      </c>
      <c r="O145" s="123" t="str">
        <f>IFERROR(Table_Leaks2_Input[[#This Row],[Energy savings (kWh)]]*Input_AvgkWhRate, "")</f>
        <v/>
      </c>
      <c r="P145" s="123" t="str">
        <f>IF(Table_Leaks2_Input[[#This Row],[Pressure at leak (psig)]]="", "",Table_Leaks2_Input[[#This Row],[Total equipment cost]]+Table_Leaks2_Input[[#This Row],[Total labor cost]])</f>
        <v/>
      </c>
      <c r="Q145" s="123" t="str">
        <f>IFERROR(Table_Leaks2_Input[[#This Row],[Gross measure cost]]-Table_Leaks2_Input[[#This Row],[Estimated incentive]], "")</f>
        <v/>
      </c>
      <c r="R145" s="124" t="str">
        <f t="shared" si="2"/>
        <v/>
      </c>
      <c r="S145" s="126">
        <f>IF(OR(Table_Leaks2_Input[[#This Row],[Pressure at leak (psig)]]=0, Table_Leaks2_Input[[#This Row],[Pressure at leak (psig)]]=""),0,IF(Table_Leaks2_Input[[#This Row],[Pressure at leak (psig)]]&lt;20, 10, MROUND(Table_Leaks2_Input[[#This Row],[Pressure at leak (psig)]], 25)))</f>
        <v>0</v>
      </c>
      <c r="T145" s="126">
        <f>ROUND(Table_Leaks2_Input[[#This Row],[dB reading]],-1)</f>
        <v>0</v>
      </c>
      <c r="U145" s="127" t="str">
        <f>_xlfn.CONCAT(Table_Leaks2_Input[[#This Row],[Rounded dB Reading]],"psig ", Table_Leaks2_Input[[#This Row],[Rounded PSIG]],"db")</f>
        <v>0psig 0db</v>
      </c>
    </row>
    <row r="146" spans="2:21" x14ac:dyDescent="0.2">
      <c r="B146" s="121">
        <v>342</v>
      </c>
      <c r="C146" s="128"/>
      <c r="D146" s="129"/>
      <c r="E146" s="130"/>
      <c r="F146" s="130"/>
      <c r="G146" s="130"/>
      <c r="H146" s="130"/>
      <c r="I146" s="131"/>
      <c r="J146" s="131"/>
      <c r="K146" s="122" t="str">
        <f>IFERROR(INDEX(TABLE_UE_dB[Leak Size (cfm)], MATCH(Table_Leaks2_Input[[#This Row],[Lookup Value]], TABLE_UE_dB[Lookup Value], 0)),"")</f>
        <v/>
      </c>
      <c r="L146" s="123" t="str">
        <f>IF(Table_Leaks2_Input[[#This Row],[Repaired (Y/N)]]="Yes", Value_LeakRepairIR, "")</f>
        <v/>
      </c>
      <c r="M146" s="124" t="str">
        <f>IFERROR(Table_Leaks2_Input[[#This Row],[Estimated leak size (cfm)]]*Value_WeightAvgCompEff*Value_SysAOH,"" )</f>
        <v/>
      </c>
      <c r="N146" s="125" t="str">
        <f>IFERROR(Table_Leaks2_Input[[#This Row],[Estimated leak size (cfm)]]*Value_WeightAvgCompEff,"" )</f>
        <v/>
      </c>
      <c r="O146" s="123" t="str">
        <f>IFERROR(Table_Leaks2_Input[[#This Row],[Energy savings (kWh)]]*Input_AvgkWhRate, "")</f>
        <v/>
      </c>
      <c r="P146" s="123" t="str">
        <f>IF(Table_Leaks2_Input[[#This Row],[Pressure at leak (psig)]]="", "",Table_Leaks2_Input[[#This Row],[Total equipment cost]]+Table_Leaks2_Input[[#This Row],[Total labor cost]])</f>
        <v/>
      </c>
      <c r="Q146" s="123" t="str">
        <f>IFERROR(Table_Leaks2_Input[[#This Row],[Gross measure cost]]-Table_Leaks2_Input[[#This Row],[Estimated incentive]], "")</f>
        <v/>
      </c>
      <c r="R146" s="124" t="str">
        <f t="shared" si="2"/>
        <v/>
      </c>
      <c r="S146" s="126">
        <f>IF(OR(Table_Leaks2_Input[[#This Row],[Pressure at leak (psig)]]=0, Table_Leaks2_Input[[#This Row],[Pressure at leak (psig)]]=""),0,IF(Table_Leaks2_Input[[#This Row],[Pressure at leak (psig)]]&lt;20, 10, MROUND(Table_Leaks2_Input[[#This Row],[Pressure at leak (psig)]], 25)))</f>
        <v>0</v>
      </c>
      <c r="T146" s="126">
        <f>ROUND(Table_Leaks2_Input[[#This Row],[dB reading]],-1)</f>
        <v>0</v>
      </c>
      <c r="U146" s="127" t="str">
        <f>_xlfn.CONCAT(Table_Leaks2_Input[[#This Row],[Rounded dB Reading]],"psig ", Table_Leaks2_Input[[#This Row],[Rounded PSIG]],"db")</f>
        <v>0psig 0db</v>
      </c>
    </row>
    <row r="147" spans="2:21" x14ac:dyDescent="0.2">
      <c r="B147" s="121">
        <v>343</v>
      </c>
      <c r="C147" s="128"/>
      <c r="D147" s="129"/>
      <c r="E147" s="130"/>
      <c r="F147" s="130"/>
      <c r="G147" s="130"/>
      <c r="H147" s="130"/>
      <c r="I147" s="131"/>
      <c r="J147" s="131"/>
      <c r="K147" s="122" t="str">
        <f>IFERROR(INDEX(TABLE_UE_dB[Leak Size (cfm)], MATCH(Table_Leaks2_Input[[#This Row],[Lookup Value]], TABLE_UE_dB[Lookup Value], 0)),"")</f>
        <v/>
      </c>
      <c r="L147" s="123" t="str">
        <f>IF(Table_Leaks2_Input[[#This Row],[Repaired (Y/N)]]="Yes", Value_LeakRepairIR, "")</f>
        <v/>
      </c>
      <c r="M147" s="124" t="str">
        <f>IFERROR(Table_Leaks2_Input[[#This Row],[Estimated leak size (cfm)]]*Value_WeightAvgCompEff*Value_SysAOH,"" )</f>
        <v/>
      </c>
      <c r="N147" s="125" t="str">
        <f>IFERROR(Table_Leaks2_Input[[#This Row],[Estimated leak size (cfm)]]*Value_WeightAvgCompEff,"" )</f>
        <v/>
      </c>
      <c r="O147" s="123" t="str">
        <f>IFERROR(Table_Leaks2_Input[[#This Row],[Energy savings (kWh)]]*Input_AvgkWhRate, "")</f>
        <v/>
      </c>
      <c r="P147" s="123" t="str">
        <f>IF(Table_Leaks2_Input[[#This Row],[Pressure at leak (psig)]]="", "",Table_Leaks2_Input[[#This Row],[Total equipment cost]]+Table_Leaks2_Input[[#This Row],[Total labor cost]])</f>
        <v/>
      </c>
      <c r="Q147" s="123" t="str">
        <f>IFERROR(Table_Leaks2_Input[[#This Row],[Gross measure cost]]-Table_Leaks2_Input[[#This Row],[Estimated incentive]], "")</f>
        <v/>
      </c>
      <c r="R147" s="124" t="str">
        <f t="shared" si="2"/>
        <v/>
      </c>
      <c r="S147" s="126">
        <f>IF(OR(Table_Leaks2_Input[[#This Row],[Pressure at leak (psig)]]=0, Table_Leaks2_Input[[#This Row],[Pressure at leak (psig)]]=""),0,IF(Table_Leaks2_Input[[#This Row],[Pressure at leak (psig)]]&lt;20, 10, MROUND(Table_Leaks2_Input[[#This Row],[Pressure at leak (psig)]], 25)))</f>
        <v>0</v>
      </c>
      <c r="T147" s="126">
        <f>ROUND(Table_Leaks2_Input[[#This Row],[dB reading]],-1)</f>
        <v>0</v>
      </c>
      <c r="U147" s="127" t="str">
        <f>_xlfn.CONCAT(Table_Leaks2_Input[[#This Row],[Rounded dB Reading]],"psig ", Table_Leaks2_Input[[#This Row],[Rounded PSIG]],"db")</f>
        <v>0psig 0db</v>
      </c>
    </row>
    <row r="148" spans="2:21" x14ac:dyDescent="0.2">
      <c r="B148" s="121">
        <v>344</v>
      </c>
      <c r="C148" s="128"/>
      <c r="D148" s="129"/>
      <c r="E148" s="130"/>
      <c r="F148" s="130"/>
      <c r="G148" s="130"/>
      <c r="H148" s="130"/>
      <c r="I148" s="131"/>
      <c r="J148" s="131"/>
      <c r="K148" s="122" t="str">
        <f>IFERROR(INDEX(TABLE_UE_dB[Leak Size (cfm)], MATCH(Table_Leaks2_Input[[#This Row],[Lookup Value]], TABLE_UE_dB[Lookup Value], 0)),"")</f>
        <v/>
      </c>
      <c r="L148" s="123" t="str">
        <f>IF(Table_Leaks2_Input[[#This Row],[Repaired (Y/N)]]="Yes", Value_LeakRepairIR, "")</f>
        <v/>
      </c>
      <c r="M148" s="124" t="str">
        <f>IFERROR(Table_Leaks2_Input[[#This Row],[Estimated leak size (cfm)]]*Value_WeightAvgCompEff*Value_SysAOH,"" )</f>
        <v/>
      </c>
      <c r="N148" s="125" t="str">
        <f>IFERROR(Table_Leaks2_Input[[#This Row],[Estimated leak size (cfm)]]*Value_WeightAvgCompEff,"" )</f>
        <v/>
      </c>
      <c r="O148" s="123" t="str">
        <f>IFERROR(Table_Leaks2_Input[[#This Row],[Energy savings (kWh)]]*Input_AvgkWhRate, "")</f>
        <v/>
      </c>
      <c r="P148" s="123" t="str">
        <f>IF(Table_Leaks2_Input[[#This Row],[Pressure at leak (psig)]]="", "",Table_Leaks2_Input[[#This Row],[Total equipment cost]]+Table_Leaks2_Input[[#This Row],[Total labor cost]])</f>
        <v/>
      </c>
      <c r="Q148" s="123" t="str">
        <f>IFERROR(Table_Leaks2_Input[[#This Row],[Gross measure cost]]-Table_Leaks2_Input[[#This Row],[Estimated incentive]], "")</f>
        <v/>
      </c>
      <c r="R148" s="124" t="str">
        <f t="shared" si="2"/>
        <v/>
      </c>
      <c r="S148" s="126">
        <f>IF(OR(Table_Leaks2_Input[[#This Row],[Pressure at leak (psig)]]=0, Table_Leaks2_Input[[#This Row],[Pressure at leak (psig)]]=""),0,IF(Table_Leaks2_Input[[#This Row],[Pressure at leak (psig)]]&lt;20, 10, MROUND(Table_Leaks2_Input[[#This Row],[Pressure at leak (psig)]], 25)))</f>
        <v>0</v>
      </c>
      <c r="T148" s="126">
        <f>ROUND(Table_Leaks2_Input[[#This Row],[dB reading]],-1)</f>
        <v>0</v>
      </c>
      <c r="U148" s="127" t="str">
        <f>_xlfn.CONCAT(Table_Leaks2_Input[[#This Row],[Rounded dB Reading]],"psig ", Table_Leaks2_Input[[#This Row],[Rounded PSIG]],"db")</f>
        <v>0psig 0db</v>
      </c>
    </row>
    <row r="149" spans="2:21" x14ac:dyDescent="0.2">
      <c r="B149" s="121">
        <v>345</v>
      </c>
      <c r="C149" s="128"/>
      <c r="D149" s="129"/>
      <c r="E149" s="130"/>
      <c r="F149" s="130"/>
      <c r="G149" s="130"/>
      <c r="H149" s="130"/>
      <c r="I149" s="131"/>
      <c r="J149" s="131"/>
      <c r="K149" s="122" t="str">
        <f>IFERROR(INDEX(TABLE_UE_dB[Leak Size (cfm)], MATCH(Table_Leaks2_Input[[#This Row],[Lookup Value]], TABLE_UE_dB[Lookup Value], 0)),"")</f>
        <v/>
      </c>
      <c r="L149" s="123" t="str">
        <f>IF(Table_Leaks2_Input[[#This Row],[Repaired (Y/N)]]="Yes", Value_LeakRepairIR, "")</f>
        <v/>
      </c>
      <c r="M149" s="124" t="str">
        <f>IFERROR(Table_Leaks2_Input[[#This Row],[Estimated leak size (cfm)]]*Value_WeightAvgCompEff*Value_SysAOH,"" )</f>
        <v/>
      </c>
      <c r="N149" s="125" t="str">
        <f>IFERROR(Table_Leaks2_Input[[#This Row],[Estimated leak size (cfm)]]*Value_WeightAvgCompEff,"" )</f>
        <v/>
      </c>
      <c r="O149" s="123" t="str">
        <f>IFERROR(Table_Leaks2_Input[[#This Row],[Energy savings (kWh)]]*Input_AvgkWhRate, "")</f>
        <v/>
      </c>
      <c r="P149" s="123" t="str">
        <f>IF(Table_Leaks2_Input[[#This Row],[Pressure at leak (psig)]]="", "",Table_Leaks2_Input[[#This Row],[Total equipment cost]]+Table_Leaks2_Input[[#This Row],[Total labor cost]])</f>
        <v/>
      </c>
      <c r="Q149" s="123" t="str">
        <f>IFERROR(Table_Leaks2_Input[[#This Row],[Gross measure cost]]-Table_Leaks2_Input[[#This Row],[Estimated incentive]], "")</f>
        <v/>
      </c>
      <c r="R149" s="124" t="str">
        <f t="shared" si="2"/>
        <v/>
      </c>
      <c r="S149" s="126">
        <f>IF(OR(Table_Leaks2_Input[[#This Row],[Pressure at leak (psig)]]=0, Table_Leaks2_Input[[#This Row],[Pressure at leak (psig)]]=""),0,IF(Table_Leaks2_Input[[#This Row],[Pressure at leak (psig)]]&lt;20, 10, MROUND(Table_Leaks2_Input[[#This Row],[Pressure at leak (psig)]], 25)))</f>
        <v>0</v>
      </c>
      <c r="T149" s="126">
        <f>ROUND(Table_Leaks2_Input[[#This Row],[dB reading]],-1)</f>
        <v>0</v>
      </c>
      <c r="U149" s="127" t="str">
        <f>_xlfn.CONCAT(Table_Leaks2_Input[[#This Row],[Rounded dB Reading]],"psig ", Table_Leaks2_Input[[#This Row],[Rounded PSIG]],"db")</f>
        <v>0psig 0db</v>
      </c>
    </row>
    <row r="150" spans="2:21" x14ac:dyDescent="0.2">
      <c r="B150" s="121">
        <v>346</v>
      </c>
      <c r="C150" s="128"/>
      <c r="D150" s="129"/>
      <c r="E150" s="130"/>
      <c r="F150" s="130"/>
      <c r="G150" s="130"/>
      <c r="H150" s="130"/>
      <c r="I150" s="131"/>
      <c r="J150" s="131"/>
      <c r="K150" s="122" t="str">
        <f>IFERROR(INDEX(TABLE_UE_dB[Leak Size (cfm)], MATCH(Table_Leaks2_Input[[#This Row],[Lookup Value]], TABLE_UE_dB[Lookup Value], 0)),"")</f>
        <v/>
      </c>
      <c r="L150" s="123" t="str">
        <f>IF(Table_Leaks2_Input[[#This Row],[Repaired (Y/N)]]="Yes", Value_LeakRepairIR, "")</f>
        <v/>
      </c>
      <c r="M150" s="124" t="str">
        <f>IFERROR(Table_Leaks2_Input[[#This Row],[Estimated leak size (cfm)]]*Value_WeightAvgCompEff*Value_SysAOH,"" )</f>
        <v/>
      </c>
      <c r="N150" s="125" t="str">
        <f>IFERROR(Table_Leaks2_Input[[#This Row],[Estimated leak size (cfm)]]*Value_WeightAvgCompEff,"" )</f>
        <v/>
      </c>
      <c r="O150" s="123" t="str">
        <f>IFERROR(Table_Leaks2_Input[[#This Row],[Energy savings (kWh)]]*Input_AvgkWhRate, "")</f>
        <v/>
      </c>
      <c r="P150" s="123" t="str">
        <f>IF(Table_Leaks2_Input[[#This Row],[Pressure at leak (psig)]]="", "",Table_Leaks2_Input[[#This Row],[Total equipment cost]]+Table_Leaks2_Input[[#This Row],[Total labor cost]])</f>
        <v/>
      </c>
      <c r="Q150" s="123" t="str">
        <f>IFERROR(Table_Leaks2_Input[[#This Row],[Gross measure cost]]-Table_Leaks2_Input[[#This Row],[Estimated incentive]], "")</f>
        <v/>
      </c>
      <c r="R150" s="124" t="str">
        <f t="shared" si="2"/>
        <v/>
      </c>
      <c r="S150" s="126">
        <f>IF(OR(Table_Leaks2_Input[[#This Row],[Pressure at leak (psig)]]=0, Table_Leaks2_Input[[#This Row],[Pressure at leak (psig)]]=""),0,IF(Table_Leaks2_Input[[#This Row],[Pressure at leak (psig)]]&lt;20, 10, MROUND(Table_Leaks2_Input[[#This Row],[Pressure at leak (psig)]], 25)))</f>
        <v>0</v>
      </c>
      <c r="T150" s="126">
        <f>ROUND(Table_Leaks2_Input[[#This Row],[dB reading]],-1)</f>
        <v>0</v>
      </c>
      <c r="U150" s="127" t="str">
        <f>_xlfn.CONCAT(Table_Leaks2_Input[[#This Row],[Rounded dB Reading]],"psig ", Table_Leaks2_Input[[#This Row],[Rounded PSIG]],"db")</f>
        <v>0psig 0db</v>
      </c>
    </row>
    <row r="151" spans="2:21" x14ac:dyDescent="0.2">
      <c r="B151" s="121">
        <v>347</v>
      </c>
      <c r="C151" s="128"/>
      <c r="D151" s="129"/>
      <c r="E151" s="130"/>
      <c r="F151" s="130"/>
      <c r="G151" s="130"/>
      <c r="H151" s="130"/>
      <c r="I151" s="131"/>
      <c r="J151" s="131"/>
      <c r="K151" s="122" t="str">
        <f>IFERROR(INDEX(TABLE_UE_dB[Leak Size (cfm)], MATCH(Table_Leaks2_Input[[#This Row],[Lookup Value]], TABLE_UE_dB[Lookup Value], 0)),"")</f>
        <v/>
      </c>
      <c r="L151" s="123" t="str">
        <f>IF(Table_Leaks2_Input[[#This Row],[Repaired (Y/N)]]="Yes", Value_LeakRepairIR, "")</f>
        <v/>
      </c>
      <c r="M151" s="124" t="str">
        <f>IFERROR(Table_Leaks2_Input[[#This Row],[Estimated leak size (cfm)]]*Value_WeightAvgCompEff*Value_SysAOH,"" )</f>
        <v/>
      </c>
      <c r="N151" s="125" t="str">
        <f>IFERROR(Table_Leaks2_Input[[#This Row],[Estimated leak size (cfm)]]*Value_WeightAvgCompEff,"" )</f>
        <v/>
      </c>
      <c r="O151" s="123" t="str">
        <f>IFERROR(Table_Leaks2_Input[[#This Row],[Energy savings (kWh)]]*Input_AvgkWhRate, "")</f>
        <v/>
      </c>
      <c r="P151" s="123" t="str">
        <f>IF(Table_Leaks2_Input[[#This Row],[Pressure at leak (psig)]]="", "",Table_Leaks2_Input[[#This Row],[Total equipment cost]]+Table_Leaks2_Input[[#This Row],[Total labor cost]])</f>
        <v/>
      </c>
      <c r="Q151" s="123" t="str">
        <f>IFERROR(Table_Leaks2_Input[[#This Row],[Gross measure cost]]-Table_Leaks2_Input[[#This Row],[Estimated incentive]], "")</f>
        <v/>
      </c>
      <c r="R151" s="124" t="str">
        <f t="shared" si="2"/>
        <v/>
      </c>
      <c r="S151" s="126">
        <f>IF(OR(Table_Leaks2_Input[[#This Row],[Pressure at leak (psig)]]=0, Table_Leaks2_Input[[#This Row],[Pressure at leak (psig)]]=""),0,IF(Table_Leaks2_Input[[#This Row],[Pressure at leak (psig)]]&lt;20, 10, MROUND(Table_Leaks2_Input[[#This Row],[Pressure at leak (psig)]], 25)))</f>
        <v>0</v>
      </c>
      <c r="T151" s="126">
        <f>ROUND(Table_Leaks2_Input[[#This Row],[dB reading]],-1)</f>
        <v>0</v>
      </c>
      <c r="U151" s="127" t="str">
        <f>_xlfn.CONCAT(Table_Leaks2_Input[[#This Row],[Rounded dB Reading]],"psig ", Table_Leaks2_Input[[#This Row],[Rounded PSIG]],"db")</f>
        <v>0psig 0db</v>
      </c>
    </row>
    <row r="152" spans="2:21" x14ac:dyDescent="0.2">
      <c r="B152" s="121">
        <v>348</v>
      </c>
      <c r="C152" s="128"/>
      <c r="D152" s="129"/>
      <c r="E152" s="130"/>
      <c r="F152" s="130"/>
      <c r="G152" s="130"/>
      <c r="H152" s="130"/>
      <c r="I152" s="131"/>
      <c r="J152" s="131"/>
      <c r="K152" s="122" t="str">
        <f>IFERROR(INDEX(TABLE_UE_dB[Leak Size (cfm)], MATCH(Table_Leaks2_Input[[#This Row],[Lookup Value]], TABLE_UE_dB[Lookup Value], 0)),"")</f>
        <v/>
      </c>
      <c r="L152" s="123" t="str">
        <f>IF(Table_Leaks2_Input[[#This Row],[Repaired (Y/N)]]="Yes", Value_LeakRepairIR, "")</f>
        <v/>
      </c>
      <c r="M152" s="124" t="str">
        <f>IFERROR(Table_Leaks2_Input[[#This Row],[Estimated leak size (cfm)]]*Value_WeightAvgCompEff*Value_SysAOH,"" )</f>
        <v/>
      </c>
      <c r="N152" s="125" t="str">
        <f>IFERROR(Table_Leaks2_Input[[#This Row],[Estimated leak size (cfm)]]*Value_WeightAvgCompEff,"" )</f>
        <v/>
      </c>
      <c r="O152" s="123" t="str">
        <f>IFERROR(Table_Leaks2_Input[[#This Row],[Energy savings (kWh)]]*Input_AvgkWhRate, "")</f>
        <v/>
      </c>
      <c r="P152" s="123" t="str">
        <f>IF(Table_Leaks2_Input[[#This Row],[Pressure at leak (psig)]]="", "",Table_Leaks2_Input[[#This Row],[Total equipment cost]]+Table_Leaks2_Input[[#This Row],[Total labor cost]])</f>
        <v/>
      </c>
      <c r="Q152" s="123" t="str">
        <f>IFERROR(Table_Leaks2_Input[[#This Row],[Gross measure cost]]-Table_Leaks2_Input[[#This Row],[Estimated incentive]], "")</f>
        <v/>
      </c>
      <c r="R152" s="124" t="str">
        <f t="shared" si="2"/>
        <v/>
      </c>
      <c r="S152" s="126">
        <f>IF(OR(Table_Leaks2_Input[[#This Row],[Pressure at leak (psig)]]=0, Table_Leaks2_Input[[#This Row],[Pressure at leak (psig)]]=""),0,IF(Table_Leaks2_Input[[#This Row],[Pressure at leak (psig)]]&lt;20, 10, MROUND(Table_Leaks2_Input[[#This Row],[Pressure at leak (psig)]], 25)))</f>
        <v>0</v>
      </c>
      <c r="T152" s="126">
        <f>ROUND(Table_Leaks2_Input[[#This Row],[dB reading]],-1)</f>
        <v>0</v>
      </c>
      <c r="U152" s="127" t="str">
        <f>_xlfn.CONCAT(Table_Leaks2_Input[[#This Row],[Rounded dB Reading]],"psig ", Table_Leaks2_Input[[#This Row],[Rounded PSIG]],"db")</f>
        <v>0psig 0db</v>
      </c>
    </row>
    <row r="153" spans="2:21" x14ac:dyDescent="0.2">
      <c r="B153" s="121">
        <v>349</v>
      </c>
      <c r="C153" s="128"/>
      <c r="D153" s="129"/>
      <c r="E153" s="130"/>
      <c r="F153" s="130"/>
      <c r="G153" s="130"/>
      <c r="H153" s="130"/>
      <c r="I153" s="131"/>
      <c r="J153" s="131"/>
      <c r="K153" s="122" t="str">
        <f>IFERROR(INDEX(TABLE_UE_dB[Leak Size (cfm)], MATCH(Table_Leaks2_Input[[#This Row],[Lookup Value]], TABLE_UE_dB[Lookup Value], 0)),"")</f>
        <v/>
      </c>
      <c r="L153" s="123" t="str">
        <f>IF(Table_Leaks2_Input[[#This Row],[Repaired (Y/N)]]="Yes", Value_LeakRepairIR, "")</f>
        <v/>
      </c>
      <c r="M153" s="124" t="str">
        <f>IFERROR(Table_Leaks2_Input[[#This Row],[Estimated leak size (cfm)]]*Value_WeightAvgCompEff*Value_SysAOH,"" )</f>
        <v/>
      </c>
      <c r="N153" s="125" t="str">
        <f>IFERROR(Table_Leaks2_Input[[#This Row],[Estimated leak size (cfm)]]*Value_WeightAvgCompEff,"" )</f>
        <v/>
      </c>
      <c r="O153" s="123" t="str">
        <f>IFERROR(Table_Leaks2_Input[[#This Row],[Energy savings (kWh)]]*Input_AvgkWhRate, "")</f>
        <v/>
      </c>
      <c r="P153" s="123" t="str">
        <f>IF(Table_Leaks2_Input[[#This Row],[Pressure at leak (psig)]]="", "",Table_Leaks2_Input[[#This Row],[Total equipment cost]]+Table_Leaks2_Input[[#This Row],[Total labor cost]])</f>
        <v/>
      </c>
      <c r="Q153" s="123" t="str">
        <f>IFERROR(Table_Leaks2_Input[[#This Row],[Gross measure cost]]-Table_Leaks2_Input[[#This Row],[Estimated incentive]], "")</f>
        <v/>
      </c>
      <c r="R153" s="124" t="str">
        <f t="shared" si="2"/>
        <v/>
      </c>
      <c r="S153" s="126">
        <f>IF(OR(Table_Leaks2_Input[[#This Row],[Pressure at leak (psig)]]=0, Table_Leaks2_Input[[#This Row],[Pressure at leak (psig)]]=""),0,IF(Table_Leaks2_Input[[#This Row],[Pressure at leak (psig)]]&lt;20, 10, MROUND(Table_Leaks2_Input[[#This Row],[Pressure at leak (psig)]], 25)))</f>
        <v>0</v>
      </c>
      <c r="T153" s="126">
        <f>ROUND(Table_Leaks2_Input[[#This Row],[dB reading]],-1)</f>
        <v>0</v>
      </c>
      <c r="U153" s="127" t="str">
        <f>_xlfn.CONCAT(Table_Leaks2_Input[[#This Row],[Rounded dB Reading]],"psig ", Table_Leaks2_Input[[#This Row],[Rounded PSIG]],"db")</f>
        <v>0psig 0db</v>
      </c>
    </row>
    <row r="154" spans="2:21" x14ac:dyDescent="0.2">
      <c r="B154" s="121">
        <v>350</v>
      </c>
      <c r="C154" s="128"/>
      <c r="D154" s="129"/>
      <c r="E154" s="130"/>
      <c r="F154" s="130"/>
      <c r="G154" s="130"/>
      <c r="H154" s="130"/>
      <c r="I154" s="131"/>
      <c r="J154" s="131"/>
      <c r="K154" s="122" t="str">
        <f>IFERROR(INDEX(TABLE_UE_dB[Leak Size (cfm)], MATCH(Table_Leaks2_Input[[#This Row],[Lookup Value]], TABLE_UE_dB[Lookup Value], 0)),"")</f>
        <v/>
      </c>
      <c r="L154" s="123" t="str">
        <f>IF(Table_Leaks2_Input[[#This Row],[Repaired (Y/N)]]="Yes", Value_LeakRepairIR, "")</f>
        <v/>
      </c>
      <c r="M154" s="124" t="str">
        <f>IFERROR(Table_Leaks2_Input[[#This Row],[Estimated leak size (cfm)]]*Value_WeightAvgCompEff*Value_SysAOH,"" )</f>
        <v/>
      </c>
      <c r="N154" s="125" t="str">
        <f>IFERROR(Table_Leaks2_Input[[#This Row],[Estimated leak size (cfm)]]*Value_WeightAvgCompEff,"" )</f>
        <v/>
      </c>
      <c r="O154" s="123" t="str">
        <f>IFERROR(Table_Leaks2_Input[[#This Row],[Energy savings (kWh)]]*Input_AvgkWhRate, "")</f>
        <v/>
      </c>
      <c r="P154" s="123" t="str">
        <f>IF(Table_Leaks2_Input[[#This Row],[Pressure at leak (psig)]]="", "",Table_Leaks2_Input[[#This Row],[Total equipment cost]]+Table_Leaks2_Input[[#This Row],[Total labor cost]])</f>
        <v/>
      </c>
      <c r="Q154" s="123" t="str">
        <f>IFERROR(Table_Leaks2_Input[[#This Row],[Gross measure cost]]-Table_Leaks2_Input[[#This Row],[Estimated incentive]], "")</f>
        <v/>
      </c>
      <c r="R154" s="124" t="str">
        <f t="shared" si="2"/>
        <v/>
      </c>
      <c r="S154" s="126">
        <f>IF(OR(Table_Leaks2_Input[[#This Row],[Pressure at leak (psig)]]=0, Table_Leaks2_Input[[#This Row],[Pressure at leak (psig)]]=""),0,IF(Table_Leaks2_Input[[#This Row],[Pressure at leak (psig)]]&lt;20, 10, MROUND(Table_Leaks2_Input[[#This Row],[Pressure at leak (psig)]], 25)))</f>
        <v>0</v>
      </c>
      <c r="T154" s="126">
        <f>ROUND(Table_Leaks2_Input[[#This Row],[dB reading]],-1)</f>
        <v>0</v>
      </c>
      <c r="U154" s="127" t="str">
        <f>_xlfn.CONCAT(Table_Leaks2_Input[[#This Row],[Rounded dB Reading]],"psig ", Table_Leaks2_Input[[#This Row],[Rounded PSIG]],"db")</f>
        <v>0psig 0db</v>
      </c>
    </row>
    <row r="155" spans="2:21" x14ac:dyDescent="0.2">
      <c r="B155" s="121">
        <v>351</v>
      </c>
      <c r="C155" s="128"/>
      <c r="D155" s="129"/>
      <c r="E155" s="130"/>
      <c r="F155" s="130"/>
      <c r="G155" s="130"/>
      <c r="H155" s="130"/>
      <c r="I155" s="131"/>
      <c r="J155" s="131"/>
      <c r="K155" s="122" t="str">
        <f>IFERROR(INDEX(TABLE_UE_dB[Leak Size (cfm)], MATCH(Table_Leaks2_Input[[#This Row],[Lookup Value]], TABLE_UE_dB[Lookup Value], 0)),"")</f>
        <v/>
      </c>
      <c r="L155" s="123" t="str">
        <f>IF(Table_Leaks2_Input[[#This Row],[Repaired (Y/N)]]="Yes", Value_LeakRepairIR, "")</f>
        <v/>
      </c>
      <c r="M155" s="124" t="str">
        <f>IFERROR(Table_Leaks2_Input[[#This Row],[Estimated leak size (cfm)]]*Value_WeightAvgCompEff*Value_SysAOH,"" )</f>
        <v/>
      </c>
      <c r="N155" s="125" t="str">
        <f>IFERROR(Table_Leaks2_Input[[#This Row],[Estimated leak size (cfm)]]*Value_WeightAvgCompEff,"" )</f>
        <v/>
      </c>
      <c r="O155" s="123" t="str">
        <f>IFERROR(Table_Leaks2_Input[[#This Row],[Energy savings (kWh)]]*Input_AvgkWhRate, "")</f>
        <v/>
      </c>
      <c r="P155" s="123" t="str">
        <f>IF(Table_Leaks2_Input[[#This Row],[Pressure at leak (psig)]]="", "",Table_Leaks2_Input[[#This Row],[Total equipment cost]]+Table_Leaks2_Input[[#This Row],[Total labor cost]])</f>
        <v/>
      </c>
      <c r="Q155" s="123" t="str">
        <f>IFERROR(Table_Leaks2_Input[[#This Row],[Gross measure cost]]-Table_Leaks2_Input[[#This Row],[Estimated incentive]], "")</f>
        <v/>
      </c>
      <c r="R155" s="124" t="str">
        <f t="shared" si="2"/>
        <v/>
      </c>
      <c r="S155" s="126">
        <f>IF(OR(Table_Leaks2_Input[[#This Row],[Pressure at leak (psig)]]=0, Table_Leaks2_Input[[#This Row],[Pressure at leak (psig)]]=""),0,IF(Table_Leaks2_Input[[#This Row],[Pressure at leak (psig)]]&lt;20, 10, MROUND(Table_Leaks2_Input[[#This Row],[Pressure at leak (psig)]], 25)))</f>
        <v>0</v>
      </c>
      <c r="T155" s="126">
        <f>ROUND(Table_Leaks2_Input[[#This Row],[dB reading]],-1)</f>
        <v>0</v>
      </c>
      <c r="U155" s="127" t="str">
        <f>_xlfn.CONCAT(Table_Leaks2_Input[[#This Row],[Rounded dB Reading]],"psig ", Table_Leaks2_Input[[#This Row],[Rounded PSIG]],"db")</f>
        <v>0psig 0db</v>
      </c>
    </row>
    <row r="156" spans="2:21" x14ac:dyDescent="0.2">
      <c r="B156" s="121">
        <v>352</v>
      </c>
      <c r="C156" s="128"/>
      <c r="D156" s="129"/>
      <c r="E156" s="130"/>
      <c r="F156" s="130"/>
      <c r="G156" s="130"/>
      <c r="H156" s="130"/>
      <c r="I156" s="131"/>
      <c r="J156" s="131"/>
      <c r="K156" s="122" t="str">
        <f>IFERROR(INDEX(TABLE_UE_dB[Leak Size (cfm)], MATCH(Table_Leaks2_Input[[#This Row],[Lookup Value]], TABLE_UE_dB[Lookup Value], 0)),"")</f>
        <v/>
      </c>
      <c r="L156" s="123" t="str">
        <f>IF(Table_Leaks2_Input[[#This Row],[Repaired (Y/N)]]="Yes", Value_LeakRepairIR, "")</f>
        <v/>
      </c>
      <c r="M156" s="124" t="str">
        <f>IFERROR(Table_Leaks2_Input[[#This Row],[Estimated leak size (cfm)]]*Value_WeightAvgCompEff*Value_SysAOH,"" )</f>
        <v/>
      </c>
      <c r="N156" s="125" t="str">
        <f>IFERROR(Table_Leaks2_Input[[#This Row],[Estimated leak size (cfm)]]*Value_WeightAvgCompEff,"" )</f>
        <v/>
      </c>
      <c r="O156" s="123" t="str">
        <f>IFERROR(Table_Leaks2_Input[[#This Row],[Energy savings (kWh)]]*Input_AvgkWhRate, "")</f>
        <v/>
      </c>
      <c r="P156" s="123" t="str">
        <f>IF(Table_Leaks2_Input[[#This Row],[Pressure at leak (psig)]]="", "",Table_Leaks2_Input[[#This Row],[Total equipment cost]]+Table_Leaks2_Input[[#This Row],[Total labor cost]])</f>
        <v/>
      </c>
      <c r="Q156" s="123" t="str">
        <f>IFERROR(Table_Leaks2_Input[[#This Row],[Gross measure cost]]-Table_Leaks2_Input[[#This Row],[Estimated incentive]], "")</f>
        <v/>
      </c>
      <c r="R156" s="124" t="str">
        <f t="shared" si="2"/>
        <v/>
      </c>
      <c r="S156" s="126">
        <f>IF(OR(Table_Leaks2_Input[[#This Row],[Pressure at leak (psig)]]=0, Table_Leaks2_Input[[#This Row],[Pressure at leak (psig)]]=""),0,IF(Table_Leaks2_Input[[#This Row],[Pressure at leak (psig)]]&lt;20, 10, MROUND(Table_Leaks2_Input[[#This Row],[Pressure at leak (psig)]], 25)))</f>
        <v>0</v>
      </c>
      <c r="T156" s="126">
        <f>ROUND(Table_Leaks2_Input[[#This Row],[dB reading]],-1)</f>
        <v>0</v>
      </c>
      <c r="U156" s="127" t="str">
        <f>_xlfn.CONCAT(Table_Leaks2_Input[[#This Row],[Rounded dB Reading]],"psig ", Table_Leaks2_Input[[#This Row],[Rounded PSIG]],"db")</f>
        <v>0psig 0db</v>
      </c>
    </row>
    <row r="157" spans="2:21" x14ac:dyDescent="0.2">
      <c r="B157" s="121">
        <v>353</v>
      </c>
      <c r="C157" s="128"/>
      <c r="D157" s="129"/>
      <c r="E157" s="130"/>
      <c r="F157" s="130"/>
      <c r="G157" s="130"/>
      <c r="H157" s="130"/>
      <c r="I157" s="131"/>
      <c r="J157" s="131"/>
      <c r="K157" s="122" t="str">
        <f>IFERROR(INDEX(TABLE_UE_dB[Leak Size (cfm)], MATCH(Table_Leaks2_Input[[#This Row],[Lookup Value]], TABLE_UE_dB[Lookup Value], 0)),"")</f>
        <v/>
      </c>
      <c r="L157" s="123" t="str">
        <f>IF(Table_Leaks2_Input[[#This Row],[Repaired (Y/N)]]="Yes", Value_LeakRepairIR, "")</f>
        <v/>
      </c>
      <c r="M157" s="124" t="str">
        <f>IFERROR(Table_Leaks2_Input[[#This Row],[Estimated leak size (cfm)]]*Value_WeightAvgCompEff*Value_SysAOH,"" )</f>
        <v/>
      </c>
      <c r="N157" s="125" t="str">
        <f>IFERROR(Table_Leaks2_Input[[#This Row],[Estimated leak size (cfm)]]*Value_WeightAvgCompEff,"" )</f>
        <v/>
      </c>
      <c r="O157" s="123" t="str">
        <f>IFERROR(Table_Leaks2_Input[[#This Row],[Energy savings (kWh)]]*Input_AvgkWhRate, "")</f>
        <v/>
      </c>
      <c r="P157" s="123" t="str">
        <f>IF(Table_Leaks2_Input[[#This Row],[Pressure at leak (psig)]]="", "",Table_Leaks2_Input[[#This Row],[Total equipment cost]]+Table_Leaks2_Input[[#This Row],[Total labor cost]])</f>
        <v/>
      </c>
      <c r="Q157" s="123" t="str">
        <f>IFERROR(Table_Leaks2_Input[[#This Row],[Gross measure cost]]-Table_Leaks2_Input[[#This Row],[Estimated incentive]], "")</f>
        <v/>
      </c>
      <c r="R157" s="124" t="str">
        <f t="shared" si="2"/>
        <v/>
      </c>
      <c r="S157" s="126">
        <f>IF(OR(Table_Leaks2_Input[[#This Row],[Pressure at leak (psig)]]=0, Table_Leaks2_Input[[#This Row],[Pressure at leak (psig)]]=""),0,IF(Table_Leaks2_Input[[#This Row],[Pressure at leak (psig)]]&lt;20, 10, MROUND(Table_Leaks2_Input[[#This Row],[Pressure at leak (psig)]], 25)))</f>
        <v>0</v>
      </c>
      <c r="T157" s="126">
        <f>ROUND(Table_Leaks2_Input[[#This Row],[dB reading]],-1)</f>
        <v>0</v>
      </c>
      <c r="U157" s="127" t="str">
        <f>_xlfn.CONCAT(Table_Leaks2_Input[[#This Row],[Rounded dB Reading]],"psig ", Table_Leaks2_Input[[#This Row],[Rounded PSIG]],"db")</f>
        <v>0psig 0db</v>
      </c>
    </row>
    <row r="158" spans="2:21" x14ac:dyDescent="0.2">
      <c r="B158" s="121">
        <v>354</v>
      </c>
      <c r="C158" s="128"/>
      <c r="D158" s="129"/>
      <c r="E158" s="130"/>
      <c r="F158" s="130"/>
      <c r="G158" s="130"/>
      <c r="H158" s="130"/>
      <c r="I158" s="131"/>
      <c r="J158" s="131"/>
      <c r="K158" s="122" t="str">
        <f>IFERROR(INDEX(TABLE_UE_dB[Leak Size (cfm)], MATCH(Table_Leaks2_Input[[#This Row],[Lookup Value]], TABLE_UE_dB[Lookup Value], 0)),"")</f>
        <v/>
      </c>
      <c r="L158" s="123" t="str">
        <f>IF(Table_Leaks2_Input[[#This Row],[Repaired (Y/N)]]="Yes", Value_LeakRepairIR, "")</f>
        <v/>
      </c>
      <c r="M158" s="124" t="str">
        <f>IFERROR(Table_Leaks2_Input[[#This Row],[Estimated leak size (cfm)]]*Value_WeightAvgCompEff*Value_SysAOH,"" )</f>
        <v/>
      </c>
      <c r="N158" s="125" t="str">
        <f>IFERROR(Table_Leaks2_Input[[#This Row],[Estimated leak size (cfm)]]*Value_WeightAvgCompEff,"" )</f>
        <v/>
      </c>
      <c r="O158" s="123" t="str">
        <f>IFERROR(Table_Leaks2_Input[[#This Row],[Energy savings (kWh)]]*Input_AvgkWhRate, "")</f>
        <v/>
      </c>
      <c r="P158" s="123" t="str">
        <f>IF(Table_Leaks2_Input[[#This Row],[Pressure at leak (psig)]]="", "",Table_Leaks2_Input[[#This Row],[Total equipment cost]]+Table_Leaks2_Input[[#This Row],[Total labor cost]])</f>
        <v/>
      </c>
      <c r="Q158" s="123" t="str">
        <f>IFERROR(Table_Leaks2_Input[[#This Row],[Gross measure cost]]-Table_Leaks2_Input[[#This Row],[Estimated incentive]], "")</f>
        <v/>
      </c>
      <c r="R158" s="124" t="str">
        <f t="shared" si="2"/>
        <v/>
      </c>
      <c r="S158" s="126">
        <f>IF(OR(Table_Leaks2_Input[[#This Row],[Pressure at leak (psig)]]=0, Table_Leaks2_Input[[#This Row],[Pressure at leak (psig)]]=""),0,IF(Table_Leaks2_Input[[#This Row],[Pressure at leak (psig)]]&lt;20, 10, MROUND(Table_Leaks2_Input[[#This Row],[Pressure at leak (psig)]], 25)))</f>
        <v>0</v>
      </c>
      <c r="T158" s="126">
        <f>ROUND(Table_Leaks2_Input[[#This Row],[dB reading]],-1)</f>
        <v>0</v>
      </c>
      <c r="U158" s="127" t="str">
        <f>_xlfn.CONCAT(Table_Leaks2_Input[[#This Row],[Rounded dB Reading]],"psig ", Table_Leaks2_Input[[#This Row],[Rounded PSIG]],"db")</f>
        <v>0psig 0db</v>
      </c>
    </row>
    <row r="159" spans="2:21" x14ac:dyDescent="0.2">
      <c r="B159" s="121">
        <v>355</v>
      </c>
      <c r="C159" s="128"/>
      <c r="D159" s="129"/>
      <c r="E159" s="130"/>
      <c r="F159" s="130"/>
      <c r="G159" s="130"/>
      <c r="H159" s="130"/>
      <c r="I159" s="131"/>
      <c r="J159" s="131"/>
      <c r="K159" s="122" t="str">
        <f>IFERROR(INDEX(TABLE_UE_dB[Leak Size (cfm)], MATCH(Table_Leaks2_Input[[#This Row],[Lookup Value]], TABLE_UE_dB[Lookup Value], 0)),"")</f>
        <v/>
      </c>
      <c r="L159" s="123" t="str">
        <f>IF(Table_Leaks2_Input[[#This Row],[Repaired (Y/N)]]="Yes", Value_LeakRepairIR, "")</f>
        <v/>
      </c>
      <c r="M159" s="124" t="str">
        <f>IFERROR(Table_Leaks2_Input[[#This Row],[Estimated leak size (cfm)]]*Value_WeightAvgCompEff*Value_SysAOH,"" )</f>
        <v/>
      </c>
      <c r="N159" s="125" t="str">
        <f>IFERROR(Table_Leaks2_Input[[#This Row],[Estimated leak size (cfm)]]*Value_WeightAvgCompEff,"" )</f>
        <v/>
      </c>
      <c r="O159" s="123" t="str">
        <f>IFERROR(Table_Leaks2_Input[[#This Row],[Energy savings (kWh)]]*Input_AvgkWhRate, "")</f>
        <v/>
      </c>
      <c r="P159" s="123" t="str">
        <f>IF(Table_Leaks2_Input[[#This Row],[Pressure at leak (psig)]]="", "",Table_Leaks2_Input[[#This Row],[Total equipment cost]]+Table_Leaks2_Input[[#This Row],[Total labor cost]])</f>
        <v/>
      </c>
      <c r="Q159" s="123" t="str">
        <f>IFERROR(Table_Leaks2_Input[[#This Row],[Gross measure cost]]-Table_Leaks2_Input[[#This Row],[Estimated incentive]], "")</f>
        <v/>
      </c>
      <c r="R159" s="124" t="str">
        <f t="shared" si="2"/>
        <v/>
      </c>
      <c r="S159" s="126">
        <f>IF(OR(Table_Leaks2_Input[[#This Row],[Pressure at leak (psig)]]=0, Table_Leaks2_Input[[#This Row],[Pressure at leak (psig)]]=""),0,IF(Table_Leaks2_Input[[#This Row],[Pressure at leak (psig)]]&lt;20, 10, MROUND(Table_Leaks2_Input[[#This Row],[Pressure at leak (psig)]], 25)))</f>
        <v>0</v>
      </c>
      <c r="T159" s="126">
        <f>ROUND(Table_Leaks2_Input[[#This Row],[dB reading]],-1)</f>
        <v>0</v>
      </c>
      <c r="U159" s="127" t="str">
        <f>_xlfn.CONCAT(Table_Leaks2_Input[[#This Row],[Rounded dB Reading]],"psig ", Table_Leaks2_Input[[#This Row],[Rounded PSIG]],"db")</f>
        <v>0psig 0db</v>
      </c>
    </row>
    <row r="160" spans="2:21" x14ac:dyDescent="0.2">
      <c r="B160" s="121">
        <v>356</v>
      </c>
      <c r="C160" s="128"/>
      <c r="D160" s="129"/>
      <c r="E160" s="130"/>
      <c r="F160" s="130"/>
      <c r="G160" s="130"/>
      <c r="H160" s="130"/>
      <c r="I160" s="131"/>
      <c r="J160" s="131"/>
      <c r="K160" s="122" t="str">
        <f>IFERROR(INDEX(TABLE_UE_dB[Leak Size (cfm)], MATCH(Table_Leaks2_Input[[#This Row],[Lookup Value]], TABLE_UE_dB[Lookup Value], 0)),"")</f>
        <v/>
      </c>
      <c r="L160" s="123" t="str">
        <f>IF(Table_Leaks2_Input[[#This Row],[Repaired (Y/N)]]="Yes", Value_LeakRepairIR, "")</f>
        <v/>
      </c>
      <c r="M160" s="124" t="str">
        <f>IFERROR(Table_Leaks2_Input[[#This Row],[Estimated leak size (cfm)]]*Value_WeightAvgCompEff*Value_SysAOH,"" )</f>
        <v/>
      </c>
      <c r="N160" s="125" t="str">
        <f>IFERROR(Table_Leaks2_Input[[#This Row],[Estimated leak size (cfm)]]*Value_WeightAvgCompEff,"" )</f>
        <v/>
      </c>
      <c r="O160" s="123" t="str">
        <f>IFERROR(Table_Leaks2_Input[[#This Row],[Energy savings (kWh)]]*Input_AvgkWhRate, "")</f>
        <v/>
      </c>
      <c r="P160" s="123" t="str">
        <f>IF(Table_Leaks2_Input[[#This Row],[Pressure at leak (psig)]]="", "",Table_Leaks2_Input[[#This Row],[Total equipment cost]]+Table_Leaks2_Input[[#This Row],[Total labor cost]])</f>
        <v/>
      </c>
      <c r="Q160" s="123" t="str">
        <f>IFERROR(Table_Leaks2_Input[[#This Row],[Gross measure cost]]-Table_Leaks2_Input[[#This Row],[Estimated incentive]], "")</f>
        <v/>
      </c>
      <c r="R160" s="124" t="str">
        <f t="shared" si="2"/>
        <v/>
      </c>
      <c r="S160" s="126">
        <f>IF(OR(Table_Leaks2_Input[[#This Row],[Pressure at leak (psig)]]=0, Table_Leaks2_Input[[#This Row],[Pressure at leak (psig)]]=""),0,IF(Table_Leaks2_Input[[#This Row],[Pressure at leak (psig)]]&lt;20, 10, MROUND(Table_Leaks2_Input[[#This Row],[Pressure at leak (psig)]], 25)))</f>
        <v>0</v>
      </c>
      <c r="T160" s="126">
        <f>ROUND(Table_Leaks2_Input[[#This Row],[dB reading]],-1)</f>
        <v>0</v>
      </c>
      <c r="U160" s="127" t="str">
        <f>_xlfn.CONCAT(Table_Leaks2_Input[[#This Row],[Rounded dB Reading]],"psig ", Table_Leaks2_Input[[#This Row],[Rounded PSIG]],"db")</f>
        <v>0psig 0db</v>
      </c>
    </row>
    <row r="161" spans="2:21" x14ac:dyDescent="0.2">
      <c r="B161" s="121">
        <v>357</v>
      </c>
      <c r="C161" s="128"/>
      <c r="D161" s="129"/>
      <c r="E161" s="130"/>
      <c r="F161" s="130"/>
      <c r="G161" s="130"/>
      <c r="H161" s="130"/>
      <c r="I161" s="131"/>
      <c r="J161" s="131"/>
      <c r="K161" s="122" t="str">
        <f>IFERROR(INDEX(TABLE_UE_dB[Leak Size (cfm)], MATCH(Table_Leaks2_Input[[#This Row],[Lookup Value]], TABLE_UE_dB[Lookup Value], 0)),"")</f>
        <v/>
      </c>
      <c r="L161" s="123" t="str">
        <f>IF(Table_Leaks2_Input[[#This Row],[Repaired (Y/N)]]="Yes", Value_LeakRepairIR, "")</f>
        <v/>
      </c>
      <c r="M161" s="124" t="str">
        <f>IFERROR(Table_Leaks2_Input[[#This Row],[Estimated leak size (cfm)]]*Value_WeightAvgCompEff*Value_SysAOH,"" )</f>
        <v/>
      </c>
      <c r="N161" s="125" t="str">
        <f>IFERROR(Table_Leaks2_Input[[#This Row],[Estimated leak size (cfm)]]*Value_WeightAvgCompEff,"" )</f>
        <v/>
      </c>
      <c r="O161" s="123" t="str">
        <f>IFERROR(Table_Leaks2_Input[[#This Row],[Energy savings (kWh)]]*Input_AvgkWhRate, "")</f>
        <v/>
      </c>
      <c r="P161" s="123" t="str">
        <f>IF(Table_Leaks2_Input[[#This Row],[Pressure at leak (psig)]]="", "",Table_Leaks2_Input[[#This Row],[Total equipment cost]]+Table_Leaks2_Input[[#This Row],[Total labor cost]])</f>
        <v/>
      </c>
      <c r="Q161" s="123" t="str">
        <f>IFERROR(Table_Leaks2_Input[[#This Row],[Gross measure cost]]-Table_Leaks2_Input[[#This Row],[Estimated incentive]], "")</f>
        <v/>
      </c>
      <c r="R161" s="124" t="str">
        <f t="shared" si="2"/>
        <v/>
      </c>
      <c r="S161" s="126">
        <f>IF(OR(Table_Leaks2_Input[[#This Row],[Pressure at leak (psig)]]=0, Table_Leaks2_Input[[#This Row],[Pressure at leak (psig)]]=""),0,IF(Table_Leaks2_Input[[#This Row],[Pressure at leak (psig)]]&lt;20, 10, MROUND(Table_Leaks2_Input[[#This Row],[Pressure at leak (psig)]], 25)))</f>
        <v>0</v>
      </c>
      <c r="T161" s="126">
        <f>ROUND(Table_Leaks2_Input[[#This Row],[dB reading]],-1)</f>
        <v>0</v>
      </c>
      <c r="U161" s="127" t="str">
        <f>_xlfn.CONCAT(Table_Leaks2_Input[[#This Row],[Rounded dB Reading]],"psig ", Table_Leaks2_Input[[#This Row],[Rounded PSIG]],"db")</f>
        <v>0psig 0db</v>
      </c>
    </row>
    <row r="162" spans="2:21" x14ac:dyDescent="0.2">
      <c r="B162" s="121">
        <v>358</v>
      </c>
      <c r="C162" s="128"/>
      <c r="D162" s="129"/>
      <c r="E162" s="130"/>
      <c r="F162" s="130"/>
      <c r="G162" s="130"/>
      <c r="H162" s="130"/>
      <c r="I162" s="131"/>
      <c r="J162" s="131"/>
      <c r="K162" s="122" t="str">
        <f>IFERROR(INDEX(TABLE_UE_dB[Leak Size (cfm)], MATCH(Table_Leaks2_Input[[#This Row],[Lookup Value]], TABLE_UE_dB[Lookup Value], 0)),"")</f>
        <v/>
      </c>
      <c r="L162" s="123" t="str">
        <f>IF(Table_Leaks2_Input[[#This Row],[Repaired (Y/N)]]="Yes", Value_LeakRepairIR, "")</f>
        <v/>
      </c>
      <c r="M162" s="124" t="str">
        <f>IFERROR(Table_Leaks2_Input[[#This Row],[Estimated leak size (cfm)]]*Value_WeightAvgCompEff*Value_SysAOH,"" )</f>
        <v/>
      </c>
      <c r="N162" s="125" t="str">
        <f>IFERROR(Table_Leaks2_Input[[#This Row],[Estimated leak size (cfm)]]*Value_WeightAvgCompEff,"" )</f>
        <v/>
      </c>
      <c r="O162" s="123" t="str">
        <f>IFERROR(Table_Leaks2_Input[[#This Row],[Energy savings (kWh)]]*Input_AvgkWhRate, "")</f>
        <v/>
      </c>
      <c r="P162" s="123" t="str">
        <f>IF(Table_Leaks2_Input[[#This Row],[Pressure at leak (psig)]]="", "",Table_Leaks2_Input[[#This Row],[Total equipment cost]]+Table_Leaks2_Input[[#This Row],[Total labor cost]])</f>
        <v/>
      </c>
      <c r="Q162" s="123" t="str">
        <f>IFERROR(Table_Leaks2_Input[[#This Row],[Gross measure cost]]-Table_Leaks2_Input[[#This Row],[Estimated incentive]], "")</f>
        <v/>
      </c>
      <c r="R162" s="124" t="str">
        <f t="shared" si="2"/>
        <v/>
      </c>
      <c r="S162" s="126">
        <f>IF(OR(Table_Leaks2_Input[[#This Row],[Pressure at leak (psig)]]=0, Table_Leaks2_Input[[#This Row],[Pressure at leak (psig)]]=""),0,IF(Table_Leaks2_Input[[#This Row],[Pressure at leak (psig)]]&lt;20, 10, MROUND(Table_Leaks2_Input[[#This Row],[Pressure at leak (psig)]], 25)))</f>
        <v>0</v>
      </c>
      <c r="T162" s="126">
        <f>ROUND(Table_Leaks2_Input[[#This Row],[dB reading]],-1)</f>
        <v>0</v>
      </c>
      <c r="U162" s="127" t="str">
        <f>_xlfn.CONCAT(Table_Leaks2_Input[[#This Row],[Rounded dB Reading]],"psig ", Table_Leaks2_Input[[#This Row],[Rounded PSIG]],"db")</f>
        <v>0psig 0db</v>
      </c>
    </row>
    <row r="163" spans="2:21" x14ac:dyDescent="0.2">
      <c r="B163" s="121">
        <v>359</v>
      </c>
      <c r="C163" s="128"/>
      <c r="D163" s="129"/>
      <c r="E163" s="130"/>
      <c r="F163" s="130"/>
      <c r="G163" s="130"/>
      <c r="H163" s="130"/>
      <c r="I163" s="131"/>
      <c r="J163" s="131"/>
      <c r="K163" s="122" t="str">
        <f>IFERROR(INDEX(TABLE_UE_dB[Leak Size (cfm)], MATCH(Table_Leaks2_Input[[#This Row],[Lookup Value]], TABLE_UE_dB[Lookup Value], 0)),"")</f>
        <v/>
      </c>
      <c r="L163" s="123" t="str">
        <f>IF(Table_Leaks2_Input[[#This Row],[Repaired (Y/N)]]="Yes", Value_LeakRepairIR, "")</f>
        <v/>
      </c>
      <c r="M163" s="124" t="str">
        <f>IFERROR(Table_Leaks2_Input[[#This Row],[Estimated leak size (cfm)]]*Value_WeightAvgCompEff*Value_SysAOH,"" )</f>
        <v/>
      </c>
      <c r="N163" s="125" t="str">
        <f>IFERROR(Table_Leaks2_Input[[#This Row],[Estimated leak size (cfm)]]*Value_WeightAvgCompEff,"" )</f>
        <v/>
      </c>
      <c r="O163" s="123" t="str">
        <f>IFERROR(Table_Leaks2_Input[[#This Row],[Energy savings (kWh)]]*Input_AvgkWhRate, "")</f>
        <v/>
      </c>
      <c r="P163" s="123" t="str">
        <f>IF(Table_Leaks2_Input[[#This Row],[Pressure at leak (psig)]]="", "",Table_Leaks2_Input[[#This Row],[Total equipment cost]]+Table_Leaks2_Input[[#This Row],[Total labor cost]])</f>
        <v/>
      </c>
      <c r="Q163" s="123" t="str">
        <f>IFERROR(Table_Leaks2_Input[[#This Row],[Gross measure cost]]-Table_Leaks2_Input[[#This Row],[Estimated incentive]], "")</f>
        <v/>
      </c>
      <c r="R163" s="124" t="str">
        <f t="shared" si="2"/>
        <v/>
      </c>
      <c r="S163" s="126">
        <f>IF(OR(Table_Leaks2_Input[[#This Row],[Pressure at leak (psig)]]=0, Table_Leaks2_Input[[#This Row],[Pressure at leak (psig)]]=""),0,IF(Table_Leaks2_Input[[#This Row],[Pressure at leak (psig)]]&lt;20, 10, MROUND(Table_Leaks2_Input[[#This Row],[Pressure at leak (psig)]], 25)))</f>
        <v>0</v>
      </c>
      <c r="T163" s="126">
        <f>ROUND(Table_Leaks2_Input[[#This Row],[dB reading]],-1)</f>
        <v>0</v>
      </c>
      <c r="U163" s="127" t="str">
        <f>_xlfn.CONCAT(Table_Leaks2_Input[[#This Row],[Rounded dB Reading]],"psig ", Table_Leaks2_Input[[#This Row],[Rounded PSIG]],"db")</f>
        <v>0psig 0db</v>
      </c>
    </row>
    <row r="164" spans="2:21" x14ac:dyDescent="0.2">
      <c r="B164" s="121">
        <v>360</v>
      </c>
      <c r="C164" s="128"/>
      <c r="D164" s="129"/>
      <c r="E164" s="130"/>
      <c r="F164" s="130"/>
      <c r="G164" s="130"/>
      <c r="H164" s="130"/>
      <c r="I164" s="131"/>
      <c r="J164" s="131"/>
      <c r="K164" s="122" t="str">
        <f>IFERROR(INDEX(TABLE_UE_dB[Leak Size (cfm)], MATCH(Table_Leaks2_Input[[#This Row],[Lookup Value]], TABLE_UE_dB[Lookup Value], 0)),"")</f>
        <v/>
      </c>
      <c r="L164" s="123" t="str">
        <f>IF(Table_Leaks2_Input[[#This Row],[Repaired (Y/N)]]="Yes", Value_LeakRepairIR, "")</f>
        <v/>
      </c>
      <c r="M164" s="124" t="str">
        <f>IFERROR(Table_Leaks2_Input[[#This Row],[Estimated leak size (cfm)]]*Value_WeightAvgCompEff*Value_SysAOH,"" )</f>
        <v/>
      </c>
      <c r="N164" s="125" t="str">
        <f>IFERROR(Table_Leaks2_Input[[#This Row],[Estimated leak size (cfm)]]*Value_WeightAvgCompEff,"" )</f>
        <v/>
      </c>
      <c r="O164" s="123" t="str">
        <f>IFERROR(Table_Leaks2_Input[[#This Row],[Energy savings (kWh)]]*Input_AvgkWhRate, "")</f>
        <v/>
      </c>
      <c r="P164" s="123" t="str">
        <f>IF(Table_Leaks2_Input[[#This Row],[Pressure at leak (psig)]]="", "",Table_Leaks2_Input[[#This Row],[Total equipment cost]]+Table_Leaks2_Input[[#This Row],[Total labor cost]])</f>
        <v/>
      </c>
      <c r="Q164" s="123" t="str">
        <f>IFERROR(Table_Leaks2_Input[[#This Row],[Gross measure cost]]-Table_Leaks2_Input[[#This Row],[Estimated incentive]], "")</f>
        <v/>
      </c>
      <c r="R164" s="124" t="str">
        <f t="shared" si="2"/>
        <v/>
      </c>
      <c r="S164" s="126">
        <f>IF(OR(Table_Leaks2_Input[[#This Row],[Pressure at leak (psig)]]=0, Table_Leaks2_Input[[#This Row],[Pressure at leak (psig)]]=""),0,IF(Table_Leaks2_Input[[#This Row],[Pressure at leak (psig)]]&lt;20, 10, MROUND(Table_Leaks2_Input[[#This Row],[Pressure at leak (psig)]], 25)))</f>
        <v>0</v>
      </c>
      <c r="T164" s="126">
        <f>ROUND(Table_Leaks2_Input[[#This Row],[dB reading]],-1)</f>
        <v>0</v>
      </c>
      <c r="U164" s="127" t="str">
        <f>_xlfn.CONCAT(Table_Leaks2_Input[[#This Row],[Rounded dB Reading]],"psig ", Table_Leaks2_Input[[#This Row],[Rounded PSIG]],"db")</f>
        <v>0psig 0db</v>
      </c>
    </row>
    <row r="165" spans="2:21" x14ac:dyDescent="0.2">
      <c r="B165" s="121">
        <v>361</v>
      </c>
      <c r="C165" s="128"/>
      <c r="D165" s="129"/>
      <c r="E165" s="130"/>
      <c r="F165" s="130"/>
      <c r="G165" s="130"/>
      <c r="H165" s="130"/>
      <c r="I165" s="131"/>
      <c r="J165" s="131"/>
      <c r="K165" s="122" t="str">
        <f>IFERROR(INDEX(TABLE_UE_dB[Leak Size (cfm)], MATCH(Table_Leaks2_Input[[#This Row],[Lookup Value]], TABLE_UE_dB[Lookup Value], 0)),"")</f>
        <v/>
      </c>
      <c r="L165" s="123" t="str">
        <f>IF(Table_Leaks2_Input[[#This Row],[Repaired (Y/N)]]="Yes", Value_LeakRepairIR, "")</f>
        <v/>
      </c>
      <c r="M165" s="124" t="str">
        <f>IFERROR(Table_Leaks2_Input[[#This Row],[Estimated leak size (cfm)]]*Value_WeightAvgCompEff*Value_SysAOH,"" )</f>
        <v/>
      </c>
      <c r="N165" s="125" t="str">
        <f>IFERROR(Table_Leaks2_Input[[#This Row],[Estimated leak size (cfm)]]*Value_WeightAvgCompEff,"" )</f>
        <v/>
      </c>
      <c r="O165" s="123" t="str">
        <f>IFERROR(Table_Leaks2_Input[[#This Row],[Energy savings (kWh)]]*Input_AvgkWhRate, "")</f>
        <v/>
      </c>
      <c r="P165" s="123" t="str">
        <f>IF(Table_Leaks2_Input[[#This Row],[Pressure at leak (psig)]]="", "",Table_Leaks2_Input[[#This Row],[Total equipment cost]]+Table_Leaks2_Input[[#This Row],[Total labor cost]])</f>
        <v/>
      </c>
      <c r="Q165" s="123" t="str">
        <f>IFERROR(Table_Leaks2_Input[[#This Row],[Gross measure cost]]-Table_Leaks2_Input[[#This Row],[Estimated incentive]], "")</f>
        <v/>
      </c>
      <c r="R165" s="124" t="str">
        <f t="shared" si="2"/>
        <v/>
      </c>
      <c r="S165" s="126">
        <f>IF(OR(Table_Leaks2_Input[[#This Row],[Pressure at leak (psig)]]=0, Table_Leaks2_Input[[#This Row],[Pressure at leak (psig)]]=""),0,IF(Table_Leaks2_Input[[#This Row],[Pressure at leak (psig)]]&lt;20, 10, MROUND(Table_Leaks2_Input[[#This Row],[Pressure at leak (psig)]], 25)))</f>
        <v>0</v>
      </c>
      <c r="T165" s="126">
        <f>ROUND(Table_Leaks2_Input[[#This Row],[dB reading]],-1)</f>
        <v>0</v>
      </c>
      <c r="U165" s="127" t="str">
        <f>_xlfn.CONCAT(Table_Leaks2_Input[[#This Row],[Rounded dB Reading]],"psig ", Table_Leaks2_Input[[#This Row],[Rounded PSIG]],"db")</f>
        <v>0psig 0db</v>
      </c>
    </row>
    <row r="166" spans="2:21" x14ac:dyDescent="0.2">
      <c r="B166" s="121">
        <v>362</v>
      </c>
      <c r="C166" s="128"/>
      <c r="D166" s="129"/>
      <c r="E166" s="130"/>
      <c r="F166" s="130"/>
      <c r="G166" s="130"/>
      <c r="H166" s="130"/>
      <c r="I166" s="131"/>
      <c r="J166" s="131"/>
      <c r="K166" s="122" t="str">
        <f>IFERROR(INDEX(TABLE_UE_dB[Leak Size (cfm)], MATCH(Table_Leaks2_Input[[#This Row],[Lookup Value]], TABLE_UE_dB[Lookup Value], 0)),"")</f>
        <v/>
      </c>
      <c r="L166" s="123" t="str">
        <f>IF(Table_Leaks2_Input[[#This Row],[Repaired (Y/N)]]="Yes", Value_LeakRepairIR, "")</f>
        <v/>
      </c>
      <c r="M166" s="124" t="str">
        <f>IFERROR(Table_Leaks2_Input[[#This Row],[Estimated leak size (cfm)]]*Value_WeightAvgCompEff*Value_SysAOH,"" )</f>
        <v/>
      </c>
      <c r="N166" s="125" t="str">
        <f>IFERROR(Table_Leaks2_Input[[#This Row],[Estimated leak size (cfm)]]*Value_WeightAvgCompEff,"" )</f>
        <v/>
      </c>
      <c r="O166" s="123" t="str">
        <f>IFERROR(Table_Leaks2_Input[[#This Row],[Energy savings (kWh)]]*Input_AvgkWhRate, "")</f>
        <v/>
      </c>
      <c r="P166" s="123" t="str">
        <f>IF(Table_Leaks2_Input[[#This Row],[Pressure at leak (psig)]]="", "",Table_Leaks2_Input[[#This Row],[Total equipment cost]]+Table_Leaks2_Input[[#This Row],[Total labor cost]])</f>
        <v/>
      </c>
      <c r="Q166" s="123" t="str">
        <f>IFERROR(Table_Leaks2_Input[[#This Row],[Gross measure cost]]-Table_Leaks2_Input[[#This Row],[Estimated incentive]], "")</f>
        <v/>
      </c>
      <c r="R166" s="124" t="str">
        <f t="shared" si="2"/>
        <v/>
      </c>
      <c r="S166" s="126">
        <f>IF(OR(Table_Leaks2_Input[[#This Row],[Pressure at leak (psig)]]=0, Table_Leaks2_Input[[#This Row],[Pressure at leak (psig)]]=""),0,IF(Table_Leaks2_Input[[#This Row],[Pressure at leak (psig)]]&lt;20, 10, MROUND(Table_Leaks2_Input[[#This Row],[Pressure at leak (psig)]], 25)))</f>
        <v>0</v>
      </c>
      <c r="T166" s="126">
        <f>ROUND(Table_Leaks2_Input[[#This Row],[dB reading]],-1)</f>
        <v>0</v>
      </c>
      <c r="U166" s="127" t="str">
        <f>_xlfn.CONCAT(Table_Leaks2_Input[[#This Row],[Rounded dB Reading]],"psig ", Table_Leaks2_Input[[#This Row],[Rounded PSIG]],"db")</f>
        <v>0psig 0db</v>
      </c>
    </row>
    <row r="167" spans="2:21" x14ac:dyDescent="0.2">
      <c r="B167" s="121">
        <v>363</v>
      </c>
      <c r="C167" s="128"/>
      <c r="D167" s="129"/>
      <c r="E167" s="130"/>
      <c r="F167" s="130"/>
      <c r="G167" s="130"/>
      <c r="H167" s="130"/>
      <c r="I167" s="131"/>
      <c r="J167" s="131"/>
      <c r="K167" s="122" t="str">
        <f>IFERROR(INDEX(TABLE_UE_dB[Leak Size (cfm)], MATCH(Table_Leaks2_Input[[#This Row],[Lookup Value]], TABLE_UE_dB[Lookup Value], 0)),"")</f>
        <v/>
      </c>
      <c r="L167" s="123" t="str">
        <f>IF(Table_Leaks2_Input[[#This Row],[Repaired (Y/N)]]="Yes", Value_LeakRepairIR, "")</f>
        <v/>
      </c>
      <c r="M167" s="124" t="str">
        <f>IFERROR(Table_Leaks2_Input[[#This Row],[Estimated leak size (cfm)]]*Value_WeightAvgCompEff*Value_SysAOH,"" )</f>
        <v/>
      </c>
      <c r="N167" s="125" t="str">
        <f>IFERROR(Table_Leaks2_Input[[#This Row],[Estimated leak size (cfm)]]*Value_WeightAvgCompEff,"" )</f>
        <v/>
      </c>
      <c r="O167" s="123" t="str">
        <f>IFERROR(Table_Leaks2_Input[[#This Row],[Energy savings (kWh)]]*Input_AvgkWhRate, "")</f>
        <v/>
      </c>
      <c r="P167" s="123" t="str">
        <f>IF(Table_Leaks2_Input[[#This Row],[Pressure at leak (psig)]]="", "",Table_Leaks2_Input[[#This Row],[Total equipment cost]]+Table_Leaks2_Input[[#This Row],[Total labor cost]])</f>
        <v/>
      </c>
      <c r="Q167" s="123" t="str">
        <f>IFERROR(Table_Leaks2_Input[[#This Row],[Gross measure cost]]-Table_Leaks2_Input[[#This Row],[Estimated incentive]], "")</f>
        <v/>
      </c>
      <c r="R167" s="124" t="str">
        <f t="shared" si="2"/>
        <v/>
      </c>
      <c r="S167" s="126">
        <f>IF(OR(Table_Leaks2_Input[[#This Row],[Pressure at leak (psig)]]=0, Table_Leaks2_Input[[#This Row],[Pressure at leak (psig)]]=""),0,IF(Table_Leaks2_Input[[#This Row],[Pressure at leak (psig)]]&lt;20, 10, MROUND(Table_Leaks2_Input[[#This Row],[Pressure at leak (psig)]], 25)))</f>
        <v>0</v>
      </c>
      <c r="T167" s="126">
        <f>ROUND(Table_Leaks2_Input[[#This Row],[dB reading]],-1)</f>
        <v>0</v>
      </c>
      <c r="U167" s="127" t="str">
        <f>_xlfn.CONCAT(Table_Leaks2_Input[[#This Row],[Rounded dB Reading]],"psig ", Table_Leaks2_Input[[#This Row],[Rounded PSIG]],"db")</f>
        <v>0psig 0db</v>
      </c>
    </row>
    <row r="168" spans="2:21" x14ac:dyDescent="0.2">
      <c r="B168" s="121">
        <v>364</v>
      </c>
      <c r="C168" s="128"/>
      <c r="D168" s="129"/>
      <c r="E168" s="130"/>
      <c r="F168" s="130"/>
      <c r="G168" s="130"/>
      <c r="H168" s="130"/>
      <c r="I168" s="131"/>
      <c r="J168" s="131"/>
      <c r="K168" s="122" t="str">
        <f>IFERROR(INDEX(TABLE_UE_dB[Leak Size (cfm)], MATCH(Table_Leaks2_Input[[#This Row],[Lookup Value]], TABLE_UE_dB[Lookup Value], 0)),"")</f>
        <v/>
      </c>
      <c r="L168" s="123" t="str">
        <f>IF(Table_Leaks2_Input[[#This Row],[Repaired (Y/N)]]="Yes", Value_LeakRepairIR, "")</f>
        <v/>
      </c>
      <c r="M168" s="124" t="str">
        <f>IFERROR(Table_Leaks2_Input[[#This Row],[Estimated leak size (cfm)]]*Value_WeightAvgCompEff*Value_SysAOH,"" )</f>
        <v/>
      </c>
      <c r="N168" s="125" t="str">
        <f>IFERROR(Table_Leaks2_Input[[#This Row],[Estimated leak size (cfm)]]*Value_WeightAvgCompEff,"" )</f>
        <v/>
      </c>
      <c r="O168" s="123" t="str">
        <f>IFERROR(Table_Leaks2_Input[[#This Row],[Energy savings (kWh)]]*Input_AvgkWhRate, "")</f>
        <v/>
      </c>
      <c r="P168" s="123" t="str">
        <f>IF(Table_Leaks2_Input[[#This Row],[Pressure at leak (psig)]]="", "",Table_Leaks2_Input[[#This Row],[Total equipment cost]]+Table_Leaks2_Input[[#This Row],[Total labor cost]])</f>
        <v/>
      </c>
      <c r="Q168" s="123" t="str">
        <f>IFERROR(Table_Leaks2_Input[[#This Row],[Gross measure cost]]-Table_Leaks2_Input[[#This Row],[Estimated incentive]], "")</f>
        <v/>
      </c>
      <c r="R168" s="124" t="str">
        <f t="shared" si="2"/>
        <v/>
      </c>
      <c r="S168" s="126">
        <f>IF(OR(Table_Leaks2_Input[[#This Row],[Pressure at leak (psig)]]=0, Table_Leaks2_Input[[#This Row],[Pressure at leak (psig)]]=""),0,IF(Table_Leaks2_Input[[#This Row],[Pressure at leak (psig)]]&lt;20, 10, MROUND(Table_Leaks2_Input[[#This Row],[Pressure at leak (psig)]], 25)))</f>
        <v>0</v>
      </c>
      <c r="T168" s="126">
        <f>ROUND(Table_Leaks2_Input[[#This Row],[dB reading]],-1)</f>
        <v>0</v>
      </c>
      <c r="U168" s="127" t="str">
        <f>_xlfn.CONCAT(Table_Leaks2_Input[[#This Row],[Rounded dB Reading]],"psig ", Table_Leaks2_Input[[#This Row],[Rounded PSIG]],"db")</f>
        <v>0psig 0db</v>
      </c>
    </row>
    <row r="169" spans="2:21" x14ac:dyDescent="0.2">
      <c r="B169" s="121">
        <v>365</v>
      </c>
      <c r="C169" s="128"/>
      <c r="D169" s="129"/>
      <c r="E169" s="130"/>
      <c r="F169" s="130"/>
      <c r="G169" s="130"/>
      <c r="H169" s="130"/>
      <c r="I169" s="131"/>
      <c r="J169" s="131"/>
      <c r="K169" s="122" t="str">
        <f>IFERROR(INDEX(TABLE_UE_dB[Leak Size (cfm)], MATCH(Table_Leaks2_Input[[#This Row],[Lookup Value]], TABLE_UE_dB[Lookup Value], 0)),"")</f>
        <v/>
      </c>
      <c r="L169" s="123" t="str">
        <f>IF(Table_Leaks2_Input[[#This Row],[Repaired (Y/N)]]="Yes", Value_LeakRepairIR, "")</f>
        <v/>
      </c>
      <c r="M169" s="124" t="str">
        <f>IFERROR(Table_Leaks2_Input[[#This Row],[Estimated leak size (cfm)]]*Value_WeightAvgCompEff*Value_SysAOH,"" )</f>
        <v/>
      </c>
      <c r="N169" s="125" t="str">
        <f>IFERROR(Table_Leaks2_Input[[#This Row],[Estimated leak size (cfm)]]*Value_WeightAvgCompEff,"" )</f>
        <v/>
      </c>
      <c r="O169" s="123" t="str">
        <f>IFERROR(Table_Leaks2_Input[[#This Row],[Energy savings (kWh)]]*Input_AvgkWhRate, "")</f>
        <v/>
      </c>
      <c r="P169" s="123" t="str">
        <f>IF(Table_Leaks2_Input[[#This Row],[Pressure at leak (psig)]]="", "",Table_Leaks2_Input[[#This Row],[Total equipment cost]]+Table_Leaks2_Input[[#This Row],[Total labor cost]])</f>
        <v/>
      </c>
      <c r="Q169" s="123" t="str">
        <f>IFERROR(Table_Leaks2_Input[[#This Row],[Gross measure cost]]-Table_Leaks2_Input[[#This Row],[Estimated incentive]], "")</f>
        <v/>
      </c>
      <c r="R169" s="124" t="str">
        <f t="shared" si="2"/>
        <v/>
      </c>
      <c r="S169" s="126">
        <f>IF(OR(Table_Leaks2_Input[[#This Row],[Pressure at leak (psig)]]=0, Table_Leaks2_Input[[#This Row],[Pressure at leak (psig)]]=""),0,IF(Table_Leaks2_Input[[#This Row],[Pressure at leak (psig)]]&lt;20, 10, MROUND(Table_Leaks2_Input[[#This Row],[Pressure at leak (psig)]], 25)))</f>
        <v>0</v>
      </c>
      <c r="T169" s="126">
        <f>ROUND(Table_Leaks2_Input[[#This Row],[dB reading]],-1)</f>
        <v>0</v>
      </c>
      <c r="U169" s="127" t="str">
        <f>_xlfn.CONCAT(Table_Leaks2_Input[[#This Row],[Rounded dB Reading]],"psig ", Table_Leaks2_Input[[#This Row],[Rounded PSIG]],"db")</f>
        <v>0psig 0db</v>
      </c>
    </row>
    <row r="170" spans="2:21" x14ac:dyDescent="0.2">
      <c r="B170" s="121">
        <v>366</v>
      </c>
      <c r="C170" s="128"/>
      <c r="D170" s="129"/>
      <c r="E170" s="130"/>
      <c r="F170" s="130"/>
      <c r="G170" s="130"/>
      <c r="H170" s="130"/>
      <c r="I170" s="131"/>
      <c r="J170" s="131"/>
      <c r="K170" s="122" t="str">
        <f>IFERROR(INDEX(TABLE_UE_dB[Leak Size (cfm)], MATCH(Table_Leaks2_Input[[#This Row],[Lookup Value]], TABLE_UE_dB[Lookup Value], 0)),"")</f>
        <v/>
      </c>
      <c r="L170" s="123" t="str">
        <f>IF(Table_Leaks2_Input[[#This Row],[Repaired (Y/N)]]="Yes", Value_LeakRepairIR, "")</f>
        <v/>
      </c>
      <c r="M170" s="124" t="str">
        <f>IFERROR(Table_Leaks2_Input[[#This Row],[Estimated leak size (cfm)]]*Value_WeightAvgCompEff*Value_SysAOH,"" )</f>
        <v/>
      </c>
      <c r="N170" s="125" t="str">
        <f>IFERROR(Table_Leaks2_Input[[#This Row],[Estimated leak size (cfm)]]*Value_WeightAvgCompEff,"" )</f>
        <v/>
      </c>
      <c r="O170" s="123" t="str">
        <f>IFERROR(Table_Leaks2_Input[[#This Row],[Energy savings (kWh)]]*Input_AvgkWhRate, "")</f>
        <v/>
      </c>
      <c r="P170" s="123" t="str">
        <f>IF(Table_Leaks2_Input[[#This Row],[Pressure at leak (psig)]]="", "",Table_Leaks2_Input[[#This Row],[Total equipment cost]]+Table_Leaks2_Input[[#This Row],[Total labor cost]])</f>
        <v/>
      </c>
      <c r="Q170" s="123" t="str">
        <f>IFERROR(Table_Leaks2_Input[[#This Row],[Gross measure cost]]-Table_Leaks2_Input[[#This Row],[Estimated incentive]], "")</f>
        <v/>
      </c>
      <c r="R170" s="124" t="str">
        <f t="shared" si="2"/>
        <v/>
      </c>
      <c r="S170" s="126">
        <f>IF(OR(Table_Leaks2_Input[[#This Row],[Pressure at leak (psig)]]=0, Table_Leaks2_Input[[#This Row],[Pressure at leak (psig)]]=""),0,IF(Table_Leaks2_Input[[#This Row],[Pressure at leak (psig)]]&lt;20, 10, MROUND(Table_Leaks2_Input[[#This Row],[Pressure at leak (psig)]], 25)))</f>
        <v>0</v>
      </c>
      <c r="T170" s="126">
        <f>ROUND(Table_Leaks2_Input[[#This Row],[dB reading]],-1)</f>
        <v>0</v>
      </c>
      <c r="U170" s="127" t="str">
        <f>_xlfn.CONCAT(Table_Leaks2_Input[[#This Row],[Rounded dB Reading]],"psig ", Table_Leaks2_Input[[#This Row],[Rounded PSIG]],"db")</f>
        <v>0psig 0db</v>
      </c>
    </row>
    <row r="171" spans="2:21" x14ac:dyDescent="0.2">
      <c r="B171" s="121">
        <v>367</v>
      </c>
      <c r="C171" s="128"/>
      <c r="D171" s="129"/>
      <c r="E171" s="130"/>
      <c r="F171" s="130"/>
      <c r="G171" s="130"/>
      <c r="H171" s="130"/>
      <c r="I171" s="131"/>
      <c r="J171" s="131"/>
      <c r="K171" s="122" t="str">
        <f>IFERROR(INDEX(TABLE_UE_dB[Leak Size (cfm)], MATCH(Table_Leaks2_Input[[#This Row],[Lookup Value]], TABLE_UE_dB[Lookup Value], 0)),"")</f>
        <v/>
      </c>
      <c r="L171" s="123" t="str">
        <f>IF(Table_Leaks2_Input[[#This Row],[Repaired (Y/N)]]="Yes", Value_LeakRepairIR, "")</f>
        <v/>
      </c>
      <c r="M171" s="124" t="str">
        <f>IFERROR(Table_Leaks2_Input[[#This Row],[Estimated leak size (cfm)]]*Value_WeightAvgCompEff*Value_SysAOH,"" )</f>
        <v/>
      </c>
      <c r="N171" s="125" t="str">
        <f>IFERROR(Table_Leaks2_Input[[#This Row],[Estimated leak size (cfm)]]*Value_WeightAvgCompEff,"" )</f>
        <v/>
      </c>
      <c r="O171" s="123" t="str">
        <f>IFERROR(Table_Leaks2_Input[[#This Row],[Energy savings (kWh)]]*Input_AvgkWhRate, "")</f>
        <v/>
      </c>
      <c r="P171" s="123" t="str">
        <f>IF(Table_Leaks2_Input[[#This Row],[Pressure at leak (psig)]]="", "",Table_Leaks2_Input[[#This Row],[Total equipment cost]]+Table_Leaks2_Input[[#This Row],[Total labor cost]])</f>
        <v/>
      </c>
      <c r="Q171" s="123" t="str">
        <f>IFERROR(Table_Leaks2_Input[[#This Row],[Gross measure cost]]-Table_Leaks2_Input[[#This Row],[Estimated incentive]], "")</f>
        <v/>
      </c>
      <c r="R171" s="124" t="str">
        <f t="shared" si="2"/>
        <v/>
      </c>
      <c r="S171" s="126">
        <f>IF(OR(Table_Leaks2_Input[[#This Row],[Pressure at leak (psig)]]=0, Table_Leaks2_Input[[#This Row],[Pressure at leak (psig)]]=""),0,IF(Table_Leaks2_Input[[#This Row],[Pressure at leak (psig)]]&lt;20, 10, MROUND(Table_Leaks2_Input[[#This Row],[Pressure at leak (psig)]], 25)))</f>
        <v>0</v>
      </c>
      <c r="T171" s="126">
        <f>ROUND(Table_Leaks2_Input[[#This Row],[dB reading]],-1)</f>
        <v>0</v>
      </c>
      <c r="U171" s="127" t="str">
        <f>_xlfn.CONCAT(Table_Leaks2_Input[[#This Row],[Rounded dB Reading]],"psig ", Table_Leaks2_Input[[#This Row],[Rounded PSIG]],"db")</f>
        <v>0psig 0db</v>
      </c>
    </row>
    <row r="172" spans="2:21" x14ac:dyDescent="0.2">
      <c r="B172" s="121">
        <v>368</v>
      </c>
      <c r="C172" s="128"/>
      <c r="D172" s="129"/>
      <c r="E172" s="130"/>
      <c r="F172" s="130"/>
      <c r="G172" s="130"/>
      <c r="H172" s="130"/>
      <c r="I172" s="131"/>
      <c r="J172" s="131"/>
      <c r="K172" s="122" t="str">
        <f>IFERROR(INDEX(TABLE_UE_dB[Leak Size (cfm)], MATCH(Table_Leaks2_Input[[#This Row],[Lookup Value]], TABLE_UE_dB[Lookup Value], 0)),"")</f>
        <v/>
      </c>
      <c r="L172" s="123" t="str">
        <f>IF(Table_Leaks2_Input[[#This Row],[Repaired (Y/N)]]="Yes", Value_LeakRepairIR, "")</f>
        <v/>
      </c>
      <c r="M172" s="124" t="str">
        <f>IFERROR(Table_Leaks2_Input[[#This Row],[Estimated leak size (cfm)]]*Value_WeightAvgCompEff*Value_SysAOH,"" )</f>
        <v/>
      </c>
      <c r="N172" s="125" t="str">
        <f>IFERROR(Table_Leaks2_Input[[#This Row],[Estimated leak size (cfm)]]*Value_WeightAvgCompEff,"" )</f>
        <v/>
      </c>
      <c r="O172" s="123" t="str">
        <f>IFERROR(Table_Leaks2_Input[[#This Row],[Energy savings (kWh)]]*Input_AvgkWhRate, "")</f>
        <v/>
      </c>
      <c r="P172" s="123" t="str">
        <f>IF(Table_Leaks2_Input[[#This Row],[Pressure at leak (psig)]]="", "",Table_Leaks2_Input[[#This Row],[Total equipment cost]]+Table_Leaks2_Input[[#This Row],[Total labor cost]])</f>
        <v/>
      </c>
      <c r="Q172" s="123" t="str">
        <f>IFERROR(Table_Leaks2_Input[[#This Row],[Gross measure cost]]-Table_Leaks2_Input[[#This Row],[Estimated incentive]], "")</f>
        <v/>
      </c>
      <c r="R172" s="124" t="str">
        <f t="shared" si="2"/>
        <v/>
      </c>
      <c r="S172" s="126">
        <f>IF(OR(Table_Leaks2_Input[[#This Row],[Pressure at leak (psig)]]=0, Table_Leaks2_Input[[#This Row],[Pressure at leak (psig)]]=""),0,IF(Table_Leaks2_Input[[#This Row],[Pressure at leak (psig)]]&lt;20, 10, MROUND(Table_Leaks2_Input[[#This Row],[Pressure at leak (psig)]], 25)))</f>
        <v>0</v>
      </c>
      <c r="T172" s="126">
        <f>ROUND(Table_Leaks2_Input[[#This Row],[dB reading]],-1)</f>
        <v>0</v>
      </c>
      <c r="U172" s="127" t="str">
        <f>_xlfn.CONCAT(Table_Leaks2_Input[[#This Row],[Rounded dB Reading]],"psig ", Table_Leaks2_Input[[#This Row],[Rounded PSIG]],"db")</f>
        <v>0psig 0db</v>
      </c>
    </row>
    <row r="173" spans="2:21" x14ac:dyDescent="0.2">
      <c r="B173" s="121">
        <v>369</v>
      </c>
      <c r="C173" s="128"/>
      <c r="D173" s="129"/>
      <c r="E173" s="130"/>
      <c r="F173" s="130"/>
      <c r="G173" s="130"/>
      <c r="H173" s="130"/>
      <c r="I173" s="131"/>
      <c r="J173" s="131"/>
      <c r="K173" s="122" t="str">
        <f>IFERROR(INDEX(TABLE_UE_dB[Leak Size (cfm)], MATCH(Table_Leaks2_Input[[#This Row],[Lookup Value]], TABLE_UE_dB[Lookup Value], 0)),"")</f>
        <v/>
      </c>
      <c r="L173" s="123" t="str">
        <f>IF(Table_Leaks2_Input[[#This Row],[Repaired (Y/N)]]="Yes", Value_LeakRepairIR, "")</f>
        <v/>
      </c>
      <c r="M173" s="124" t="str">
        <f>IFERROR(Table_Leaks2_Input[[#This Row],[Estimated leak size (cfm)]]*Value_WeightAvgCompEff*Value_SysAOH,"" )</f>
        <v/>
      </c>
      <c r="N173" s="125" t="str">
        <f>IFERROR(Table_Leaks2_Input[[#This Row],[Estimated leak size (cfm)]]*Value_WeightAvgCompEff,"" )</f>
        <v/>
      </c>
      <c r="O173" s="123" t="str">
        <f>IFERROR(Table_Leaks2_Input[[#This Row],[Energy savings (kWh)]]*Input_AvgkWhRate, "")</f>
        <v/>
      </c>
      <c r="P173" s="123" t="str">
        <f>IF(Table_Leaks2_Input[[#This Row],[Pressure at leak (psig)]]="", "",Table_Leaks2_Input[[#This Row],[Total equipment cost]]+Table_Leaks2_Input[[#This Row],[Total labor cost]])</f>
        <v/>
      </c>
      <c r="Q173" s="123" t="str">
        <f>IFERROR(Table_Leaks2_Input[[#This Row],[Gross measure cost]]-Table_Leaks2_Input[[#This Row],[Estimated incentive]], "")</f>
        <v/>
      </c>
      <c r="R173" s="124" t="str">
        <f t="shared" si="2"/>
        <v/>
      </c>
      <c r="S173" s="126">
        <f>IF(OR(Table_Leaks2_Input[[#This Row],[Pressure at leak (psig)]]=0, Table_Leaks2_Input[[#This Row],[Pressure at leak (psig)]]=""),0,IF(Table_Leaks2_Input[[#This Row],[Pressure at leak (psig)]]&lt;20, 10, MROUND(Table_Leaks2_Input[[#This Row],[Pressure at leak (psig)]], 25)))</f>
        <v>0</v>
      </c>
      <c r="T173" s="126">
        <f>ROUND(Table_Leaks2_Input[[#This Row],[dB reading]],-1)</f>
        <v>0</v>
      </c>
      <c r="U173" s="127" t="str">
        <f>_xlfn.CONCAT(Table_Leaks2_Input[[#This Row],[Rounded dB Reading]],"psig ", Table_Leaks2_Input[[#This Row],[Rounded PSIG]],"db")</f>
        <v>0psig 0db</v>
      </c>
    </row>
    <row r="174" spans="2:21" x14ac:dyDescent="0.2">
      <c r="B174" s="121">
        <v>370</v>
      </c>
      <c r="C174" s="128"/>
      <c r="D174" s="129"/>
      <c r="E174" s="130"/>
      <c r="F174" s="130"/>
      <c r="G174" s="130"/>
      <c r="H174" s="130"/>
      <c r="I174" s="131"/>
      <c r="J174" s="131"/>
      <c r="K174" s="122" t="str">
        <f>IFERROR(INDEX(TABLE_UE_dB[Leak Size (cfm)], MATCH(Table_Leaks2_Input[[#This Row],[Lookup Value]], TABLE_UE_dB[Lookup Value], 0)),"")</f>
        <v/>
      </c>
      <c r="L174" s="123" t="str">
        <f>IF(Table_Leaks2_Input[[#This Row],[Repaired (Y/N)]]="Yes", Value_LeakRepairIR, "")</f>
        <v/>
      </c>
      <c r="M174" s="124" t="str">
        <f>IFERROR(Table_Leaks2_Input[[#This Row],[Estimated leak size (cfm)]]*Value_WeightAvgCompEff*Value_SysAOH,"" )</f>
        <v/>
      </c>
      <c r="N174" s="125" t="str">
        <f>IFERROR(Table_Leaks2_Input[[#This Row],[Estimated leak size (cfm)]]*Value_WeightAvgCompEff,"" )</f>
        <v/>
      </c>
      <c r="O174" s="123" t="str">
        <f>IFERROR(Table_Leaks2_Input[[#This Row],[Energy savings (kWh)]]*Input_AvgkWhRate, "")</f>
        <v/>
      </c>
      <c r="P174" s="123" t="str">
        <f>IF(Table_Leaks2_Input[[#This Row],[Pressure at leak (psig)]]="", "",Table_Leaks2_Input[[#This Row],[Total equipment cost]]+Table_Leaks2_Input[[#This Row],[Total labor cost]])</f>
        <v/>
      </c>
      <c r="Q174" s="123" t="str">
        <f>IFERROR(Table_Leaks2_Input[[#This Row],[Gross measure cost]]-Table_Leaks2_Input[[#This Row],[Estimated incentive]], "")</f>
        <v/>
      </c>
      <c r="R174" s="124" t="str">
        <f t="shared" si="2"/>
        <v/>
      </c>
      <c r="S174" s="126">
        <f>IF(OR(Table_Leaks2_Input[[#This Row],[Pressure at leak (psig)]]=0, Table_Leaks2_Input[[#This Row],[Pressure at leak (psig)]]=""),0,IF(Table_Leaks2_Input[[#This Row],[Pressure at leak (psig)]]&lt;20, 10, MROUND(Table_Leaks2_Input[[#This Row],[Pressure at leak (psig)]], 25)))</f>
        <v>0</v>
      </c>
      <c r="T174" s="126">
        <f>ROUND(Table_Leaks2_Input[[#This Row],[dB reading]],-1)</f>
        <v>0</v>
      </c>
      <c r="U174" s="127" t="str">
        <f>_xlfn.CONCAT(Table_Leaks2_Input[[#This Row],[Rounded dB Reading]],"psig ", Table_Leaks2_Input[[#This Row],[Rounded PSIG]],"db")</f>
        <v>0psig 0db</v>
      </c>
    </row>
    <row r="175" spans="2:21" x14ac:dyDescent="0.2">
      <c r="B175" s="121">
        <v>371</v>
      </c>
      <c r="C175" s="128"/>
      <c r="D175" s="129"/>
      <c r="E175" s="130"/>
      <c r="F175" s="130"/>
      <c r="G175" s="130"/>
      <c r="H175" s="130"/>
      <c r="I175" s="131"/>
      <c r="J175" s="131"/>
      <c r="K175" s="122" t="str">
        <f>IFERROR(INDEX(TABLE_UE_dB[Leak Size (cfm)], MATCH(Table_Leaks2_Input[[#This Row],[Lookup Value]], TABLE_UE_dB[Lookup Value], 0)),"")</f>
        <v/>
      </c>
      <c r="L175" s="123" t="str">
        <f>IF(Table_Leaks2_Input[[#This Row],[Repaired (Y/N)]]="Yes", Value_LeakRepairIR, "")</f>
        <v/>
      </c>
      <c r="M175" s="124" t="str">
        <f>IFERROR(Table_Leaks2_Input[[#This Row],[Estimated leak size (cfm)]]*Value_WeightAvgCompEff*Value_SysAOH,"" )</f>
        <v/>
      </c>
      <c r="N175" s="125" t="str">
        <f>IFERROR(Table_Leaks2_Input[[#This Row],[Estimated leak size (cfm)]]*Value_WeightAvgCompEff,"" )</f>
        <v/>
      </c>
      <c r="O175" s="123" t="str">
        <f>IFERROR(Table_Leaks2_Input[[#This Row],[Energy savings (kWh)]]*Input_AvgkWhRate, "")</f>
        <v/>
      </c>
      <c r="P175" s="123" t="str">
        <f>IF(Table_Leaks2_Input[[#This Row],[Pressure at leak (psig)]]="", "",Table_Leaks2_Input[[#This Row],[Total equipment cost]]+Table_Leaks2_Input[[#This Row],[Total labor cost]])</f>
        <v/>
      </c>
      <c r="Q175" s="123" t="str">
        <f>IFERROR(Table_Leaks2_Input[[#This Row],[Gross measure cost]]-Table_Leaks2_Input[[#This Row],[Estimated incentive]], "")</f>
        <v/>
      </c>
      <c r="R175" s="124" t="str">
        <f t="shared" si="2"/>
        <v/>
      </c>
      <c r="S175" s="126">
        <f>IF(OR(Table_Leaks2_Input[[#This Row],[Pressure at leak (psig)]]=0, Table_Leaks2_Input[[#This Row],[Pressure at leak (psig)]]=""),0,IF(Table_Leaks2_Input[[#This Row],[Pressure at leak (psig)]]&lt;20, 10, MROUND(Table_Leaks2_Input[[#This Row],[Pressure at leak (psig)]], 25)))</f>
        <v>0</v>
      </c>
      <c r="T175" s="126">
        <f>ROUND(Table_Leaks2_Input[[#This Row],[dB reading]],-1)</f>
        <v>0</v>
      </c>
      <c r="U175" s="127" t="str">
        <f>_xlfn.CONCAT(Table_Leaks2_Input[[#This Row],[Rounded dB Reading]],"psig ", Table_Leaks2_Input[[#This Row],[Rounded PSIG]],"db")</f>
        <v>0psig 0db</v>
      </c>
    </row>
    <row r="176" spans="2:21" x14ac:dyDescent="0.2">
      <c r="B176" s="121">
        <v>372</v>
      </c>
      <c r="C176" s="128"/>
      <c r="D176" s="129"/>
      <c r="E176" s="130"/>
      <c r="F176" s="130"/>
      <c r="G176" s="130"/>
      <c r="H176" s="130"/>
      <c r="I176" s="131"/>
      <c r="J176" s="131"/>
      <c r="K176" s="122" t="str">
        <f>IFERROR(INDEX(TABLE_UE_dB[Leak Size (cfm)], MATCH(Table_Leaks2_Input[[#This Row],[Lookup Value]], TABLE_UE_dB[Lookup Value], 0)),"")</f>
        <v/>
      </c>
      <c r="L176" s="123" t="str">
        <f>IF(Table_Leaks2_Input[[#This Row],[Repaired (Y/N)]]="Yes", Value_LeakRepairIR, "")</f>
        <v/>
      </c>
      <c r="M176" s="124" t="str">
        <f>IFERROR(Table_Leaks2_Input[[#This Row],[Estimated leak size (cfm)]]*Value_WeightAvgCompEff*Value_SysAOH,"" )</f>
        <v/>
      </c>
      <c r="N176" s="125" t="str">
        <f>IFERROR(Table_Leaks2_Input[[#This Row],[Estimated leak size (cfm)]]*Value_WeightAvgCompEff,"" )</f>
        <v/>
      </c>
      <c r="O176" s="123" t="str">
        <f>IFERROR(Table_Leaks2_Input[[#This Row],[Energy savings (kWh)]]*Input_AvgkWhRate, "")</f>
        <v/>
      </c>
      <c r="P176" s="123" t="str">
        <f>IF(Table_Leaks2_Input[[#This Row],[Pressure at leak (psig)]]="", "",Table_Leaks2_Input[[#This Row],[Total equipment cost]]+Table_Leaks2_Input[[#This Row],[Total labor cost]])</f>
        <v/>
      </c>
      <c r="Q176" s="123" t="str">
        <f>IFERROR(Table_Leaks2_Input[[#This Row],[Gross measure cost]]-Table_Leaks2_Input[[#This Row],[Estimated incentive]], "")</f>
        <v/>
      </c>
      <c r="R176" s="124" t="str">
        <f t="shared" si="2"/>
        <v/>
      </c>
      <c r="S176" s="126">
        <f>IF(OR(Table_Leaks2_Input[[#This Row],[Pressure at leak (psig)]]=0, Table_Leaks2_Input[[#This Row],[Pressure at leak (psig)]]=""),0,IF(Table_Leaks2_Input[[#This Row],[Pressure at leak (psig)]]&lt;20, 10, MROUND(Table_Leaks2_Input[[#This Row],[Pressure at leak (psig)]], 25)))</f>
        <v>0</v>
      </c>
      <c r="T176" s="126">
        <f>ROUND(Table_Leaks2_Input[[#This Row],[dB reading]],-1)</f>
        <v>0</v>
      </c>
      <c r="U176" s="127" t="str">
        <f>_xlfn.CONCAT(Table_Leaks2_Input[[#This Row],[Rounded dB Reading]],"psig ", Table_Leaks2_Input[[#This Row],[Rounded PSIG]],"db")</f>
        <v>0psig 0db</v>
      </c>
    </row>
    <row r="177" spans="2:21" x14ac:dyDescent="0.2">
      <c r="B177" s="121">
        <v>373</v>
      </c>
      <c r="C177" s="128"/>
      <c r="D177" s="129"/>
      <c r="E177" s="130"/>
      <c r="F177" s="130"/>
      <c r="G177" s="130"/>
      <c r="H177" s="130"/>
      <c r="I177" s="131"/>
      <c r="J177" s="131"/>
      <c r="K177" s="122" t="str">
        <f>IFERROR(INDEX(TABLE_UE_dB[Leak Size (cfm)], MATCH(Table_Leaks2_Input[[#This Row],[Lookup Value]], TABLE_UE_dB[Lookup Value], 0)),"")</f>
        <v/>
      </c>
      <c r="L177" s="123" t="str">
        <f>IF(Table_Leaks2_Input[[#This Row],[Repaired (Y/N)]]="Yes", Value_LeakRepairIR, "")</f>
        <v/>
      </c>
      <c r="M177" s="124" t="str">
        <f>IFERROR(Table_Leaks2_Input[[#This Row],[Estimated leak size (cfm)]]*Value_WeightAvgCompEff*Value_SysAOH,"" )</f>
        <v/>
      </c>
      <c r="N177" s="125" t="str">
        <f>IFERROR(Table_Leaks2_Input[[#This Row],[Estimated leak size (cfm)]]*Value_WeightAvgCompEff,"" )</f>
        <v/>
      </c>
      <c r="O177" s="123" t="str">
        <f>IFERROR(Table_Leaks2_Input[[#This Row],[Energy savings (kWh)]]*Input_AvgkWhRate, "")</f>
        <v/>
      </c>
      <c r="P177" s="123" t="str">
        <f>IF(Table_Leaks2_Input[[#This Row],[Pressure at leak (psig)]]="", "",Table_Leaks2_Input[[#This Row],[Total equipment cost]]+Table_Leaks2_Input[[#This Row],[Total labor cost]])</f>
        <v/>
      </c>
      <c r="Q177" s="123" t="str">
        <f>IFERROR(Table_Leaks2_Input[[#This Row],[Gross measure cost]]-Table_Leaks2_Input[[#This Row],[Estimated incentive]], "")</f>
        <v/>
      </c>
      <c r="R177" s="124" t="str">
        <f t="shared" si="2"/>
        <v/>
      </c>
      <c r="S177" s="126">
        <f>IF(OR(Table_Leaks2_Input[[#This Row],[Pressure at leak (psig)]]=0, Table_Leaks2_Input[[#This Row],[Pressure at leak (psig)]]=""),0,IF(Table_Leaks2_Input[[#This Row],[Pressure at leak (psig)]]&lt;20, 10, MROUND(Table_Leaks2_Input[[#This Row],[Pressure at leak (psig)]], 25)))</f>
        <v>0</v>
      </c>
      <c r="T177" s="126">
        <f>ROUND(Table_Leaks2_Input[[#This Row],[dB reading]],-1)</f>
        <v>0</v>
      </c>
      <c r="U177" s="127" t="str">
        <f>_xlfn.CONCAT(Table_Leaks2_Input[[#This Row],[Rounded dB Reading]],"psig ", Table_Leaks2_Input[[#This Row],[Rounded PSIG]],"db")</f>
        <v>0psig 0db</v>
      </c>
    </row>
    <row r="178" spans="2:21" x14ac:dyDescent="0.2">
      <c r="B178" s="121">
        <v>374</v>
      </c>
      <c r="C178" s="128"/>
      <c r="D178" s="129"/>
      <c r="E178" s="130"/>
      <c r="F178" s="130"/>
      <c r="G178" s="130"/>
      <c r="H178" s="130"/>
      <c r="I178" s="131"/>
      <c r="J178" s="131"/>
      <c r="K178" s="122" t="str">
        <f>IFERROR(INDEX(TABLE_UE_dB[Leak Size (cfm)], MATCH(Table_Leaks2_Input[[#This Row],[Lookup Value]], TABLE_UE_dB[Lookup Value], 0)),"")</f>
        <v/>
      </c>
      <c r="L178" s="123" t="str">
        <f>IF(Table_Leaks2_Input[[#This Row],[Repaired (Y/N)]]="Yes", Value_LeakRepairIR, "")</f>
        <v/>
      </c>
      <c r="M178" s="124" t="str">
        <f>IFERROR(Table_Leaks2_Input[[#This Row],[Estimated leak size (cfm)]]*Value_WeightAvgCompEff*Value_SysAOH,"" )</f>
        <v/>
      </c>
      <c r="N178" s="125" t="str">
        <f>IFERROR(Table_Leaks2_Input[[#This Row],[Estimated leak size (cfm)]]*Value_WeightAvgCompEff,"" )</f>
        <v/>
      </c>
      <c r="O178" s="123" t="str">
        <f>IFERROR(Table_Leaks2_Input[[#This Row],[Energy savings (kWh)]]*Input_AvgkWhRate, "")</f>
        <v/>
      </c>
      <c r="P178" s="123" t="str">
        <f>IF(Table_Leaks2_Input[[#This Row],[Pressure at leak (psig)]]="", "",Table_Leaks2_Input[[#This Row],[Total equipment cost]]+Table_Leaks2_Input[[#This Row],[Total labor cost]])</f>
        <v/>
      </c>
      <c r="Q178" s="123" t="str">
        <f>IFERROR(Table_Leaks2_Input[[#This Row],[Gross measure cost]]-Table_Leaks2_Input[[#This Row],[Estimated incentive]], "")</f>
        <v/>
      </c>
      <c r="R178" s="124" t="str">
        <f t="shared" si="2"/>
        <v/>
      </c>
      <c r="S178" s="126">
        <f>IF(OR(Table_Leaks2_Input[[#This Row],[Pressure at leak (psig)]]=0, Table_Leaks2_Input[[#This Row],[Pressure at leak (psig)]]=""),0,IF(Table_Leaks2_Input[[#This Row],[Pressure at leak (psig)]]&lt;20, 10, MROUND(Table_Leaks2_Input[[#This Row],[Pressure at leak (psig)]], 25)))</f>
        <v>0</v>
      </c>
      <c r="T178" s="126">
        <f>ROUND(Table_Leaks2_Input[[#This Row],[dB reading]],-1)</f>
        <v>0</v>
      </c>
      <c r="U178" s="127" t="str">
        <f>_xlfn.CONCAT(Table_Leaks2_Input[[#This Row],[Rounded dB Reading]],"psig ", Table_Leaks2_Input[[#This Row],[Rounded PSIG]],"db")</f>
        <v>0psig 0db</v>
      </c>
    </row>
    <row r="179" spans="2:21" x14ac:dyDescent="0.2">
      <c r="B179" s="121">
        <v>375</v>
      </c>
      <c r="C179" s="128"/>
      <c r="D179" s="129"/>
      <c r="E179" s="130"/>
      <c r="F179" s="130"/>
      <c r="G179" s="130"/>
      <c r="H179" s="130"/>
      <c r="I179" s="131"/>
      <c r="J179" s="131"/>
      <c r="K179" s="122" t="str">
        <f>IFERROR(INDEX(TABLE_UE_dB[Leak Size (cfm)], MATCH(Table_Leaks2_Input[[#This Row],[Lookup Value]], TABLE_UE_dB[Lookup Value], 0)),"")</f>
        <v/>
      </c>
      <c r="L179" s="123" t="str">
        <f>IF(Table_Leaks2_Input[[#This Row],[Repaired (Y/N)]]="Yes", Value_LeakRepairIR, "")</f>
        <v/>
      </c>
      <c r="M179" s="124" t="str">
        <f>IFERROR(Table_Leaks2_Input[[#This Row],[Estimated leak size (cfm)]]*Value_WeightAvgCompEff*Value_SysAOH,"" )</f>
        <v/>
      </c>
      <c r="N179" s="125" t="str">
        <f>IFERROR(Table_Leaks2_Input[[#This Row],[Estimated leak size (cfm)]]*Value_WeightAvgCompEff,"" )</f>
        <v/>
      </c>
      <c r="O179" s="123" t="str">
        <f>IFERROR(Table_Leaks2_Input[[#This Row],[Energy savings (kWh)]]*Input_AvgkWhRate, "")</f>
        <v/>
      </c>
      <c r="P179" s="123" t="str">
        <f>IF(Table_Leaks2_Input[[#This Row],[Pressure at leak (psig)]]="", "",Table_Leaks2_Input[[#This Row],[Total equipment cost]]+Table_Leaks2_Input[[#This Row],[Total labor cost]])</f>
        <v/>
      </c>
      <c r="Q179" s="123" t="str">
        <f>IFERROR(Table_Leaks2_Input[[#This Row],[Gross measure cost]]-Table_Leaks2_Input[[#This Row],[Estimated incentive]], "")</f>
        <v/>
      </c>
      <c r="R179" s="124" t="str">
        <f t="shared" si="2"/>
        <v/>
      </c>
      <c r="S179" s="126">
        <f>IF(OR(Table_Leaks2_Input[[#This Row],[Pressure at leak (psig)]]=0, Table_Leaks2_Input[[#This Row],[Pressure at leak (psig)]]=""),0,IF(Table_Leaks2_Input[[#This Row],[Pressure at leak (psig)]]&lt;20, 10, MROUND(Table_Leaks2_Input[[#This Row],[Pressure at leak (psig)]], 25)))</f>
        <v>0</v>
      </c>
      <c r="T179" s="126">
        <f>ROUND(Table_Leaks2_Input[[#This Row],[dB reading]],-1)</f>
        <v>0</v>
      </c>
      <c r="U179" s="127" t="str">
        <f>_xlfn.CONCAT(Table_Leaks2_Input[[#This Row],[Rounded dB Reading]],"psig ", Table_Leaks2_Input[[#This Row],[Rounded PSIG]],"db")</f>
        <v>0psig 0db</v>
      </c>
    </row>
    <row r="180" spans="2:21" x14ac:dyDescent="0.2">
      <c r="B180" s="121">
        <v>376</v>
      </c>
      <c r="C180" s="128"/>
      <c r="D180" s="129"/>
      <c r="E180" s="130"/>
      <c r="F180" s="130"/>
      <c r="G180" s="130"/>
      <c r="H180" s="130"/>
      <c r="I180" s="131"/>
      <c r="J180" s="131"/>
      <c r="K180" s="122" t="str">
        <f>IFERROR(INDEX(TABLE_UE_dB[Leak Size (cfm)], MATCH(Table_Leaks2_Input[[#This Row],[Lookup Value]], TABLE_UE_dB[Lookup Value], 0)),"")</f>
        <v/>
      </c>
      <c r="L180" s="123" t="str">
        <f>IF(Table_Leaks2_Input[[#This Row],[Repaired (Y/N)]]="Yes", Value_LeakRepairIR, "")</f>
        <v/>
      </c>
      <c r="M180" s="124" t="str">
        <f>IFERROR(Table_Leaks2_Input[[#This Row],[Estimated leak size (cfm)]]*Value_WeightAvgCompEff*Value_SysAOH,"" )</f>
        <v/>
      </c>
      <c r="N180" s="125" t="str">
        <f>IFERROR(Table_Leaks2_Input[[#This Row],[Estimated leak size (cfm)]]*Value_WeightAvgCompEff,"" )</f>
        <v/>
      </c>
      <c r="O180" s="123" t="str">
        <f>IFERROR(Table_Leaks2_Input[[#This Row],[Energy savings (kWh)]]*Input_AvgkWhRate, "")</f>
        <v/>
      </c>
      <c r="P180" s="123" t="str">
        <f>IF(Table_Leaks2_Input[[#This Row],[Pressure at leak (psig)]]="", "",Table_Leaks2_Input[[#This Row],[Total equipment cost]]+Table_Leaks2_Input[[#This Row],[Total labor cost]])</f>
        <v/>
      </c>
      <c r="Q180" s="123" t="str">
        <f>IFERROR(Table_Leaks2_Input[[#This Row],[Gross measure cost]]-Table_Leaks2_Input[[#This Row],[Estimated incentive]], "")</f>
        <v/>
      </c>
      <c r="R180" s="124" t="str">
        <f t="shared" si="2"/>
        <v/>
      </c>
      <c r="S180" s="126">
        <f>IF(OR(Table_Leaks2_Input[[#This Row],[Pressure at leak (psig)]]=0, Table_Leaks2_Input[[#This Row],[Pressure at leak (psig)]]=""),0,IF(Table_Leaks2_Input[[#This Row],[Pressure at leak (psig)]]&lt;20, 10, MROUND(Table_Leaks2_Input[[#This Row],[Pressure at leak (psig)]], 25)))</f>
        <v>0</v>
      </c>
      <c r="T180" s="126">
        <f>ROUND(Table_Leaks2_Input[[#This Row],[dB reading]],-1)</f>
        <v>0</v>
      </c>
      <c r="U180" s="127" t="str">
        <f>_xlfn.CONCAT(Table_Leaks2_Input[[#This Row],[Rounded dB Reading]],"psig ", Table_Leaks2_Input[[#This Row],[Rounded PSIG]],"db")</f>
        <v>0psig 0db</v>
      </c>
    </row>
    <row r="181" spans="2:21" x14ac:dyDescent="0.2">
      <c r="B181" s="121">
        <v>377</v>
      </c>
      <c r="C181" s="128"/>
      <c r="D181" s="129"/>
      <c r="E181" s="130"/>
      <c r="F181" s="130"/>
      <c r="G181" s="130"/>
      <c r="H181" s="130"/>
      <c r="I181" s="131"/>
      <c r="J181" s="131"/>
      <c r="K181" s="122" t="str">
        <f>IFERROR(INDEX(TABLE_UE_dB[Leak Size (cfm)], MATCH(Table_Leaks2_Input[[#This Row],[Lookup Value]], TABLE_UE_dB[Lookup Value], 0)),"")</f>
        <v/>
      </c>
      <c r="L181" s="123" t="str">
        <f>IF(Table_Leaks2_Input[[#This Row],[Repaired (Y/N)]]="Yes", Value_LeakRepairIR, "")</f>
        <v/>
      </c>
      <c r="M181" s="124" t="str">
        <f>IFERROR(Table_Leaks2_Input[[#This Row],[Estimated leak size (cfm)]]*Value_WeightAvgCompEff*Value_SysAOH,"" )</f>
        <v/>
      </c>
      <c r="N181" s="125" t="str">
        <f>IFERROR(Table_Leaks2_Input[[#This Row],[Estimated leak size (cfm)]]*Value_WeightAvgCompEff,"" )</f>
        <v/>
      </c>
      <c r="O181" s="123" t="str">
        <f>IFERROR(Table_Leaks2_Input[[#This Row],[Energy savings (kWh)]]*Input_AvgkWhRate, "")</f>
        <v/>
      </c>
      <c r="P181" s="123" t="str">
        <f>IF(Table_Leaks2_Input[[#This Row],[Pressure at leak (psig)]]="", "",Table_Leaks2_Input[[#This Row],[Total equipment cost]]+Table_Leaks2_Input[[#This Row],[Total labor cost]])</f>
        <v/>
      </c>
      <c r="Q181" s="123" t="str">
        <f>IFERROR(Table_Leaks2_Input[[#This Row],[Gross measure cost]]-Table_Leaks2_Input[[#This Row],[Estimated incentive]], "")</f>
        <v/>
      </c>
      <c r="R181" s="124" t="str">
        <f t="shared" si="2"/>
        <v/>
      </c>
      <c r="S181" s="126">
        <f>IF(OR(Table_Leaks2_Input[[#This Row],[Pressure at leak (psig)]]=0, Table_Leaks2_Input[[#This Row],[Pressure at leak (psig)]]=""),0,IF(Table_Leaks2_Input[[#This Row],[Pressure at leak (psig)]]&lt;20, 10, MROUND(Table_Leaks2_Input[[#This Row],[Pressure at leak (psig)]], 25)))</f>
        <v>0</v>
      </c>
      <c r="T181" s="126">
        <f>ROUND(Table_Leaks2_Input[[#This Row],[dB reading]],-1)</f>
        <v>0</v>
      </c>
      <c r="U181" s="127" t="str">
        <f>_xlfn.CONCAT(Table_Leaks2_Input[[#This Row],[Rounded dB Reading]],"psig ", Table_Leaks2_Input[[#This Row],[Rounded PSIG]],"db")</f>
        <v>0psig 0db</v>
      </c>
    </row>
    <row r="182" spans="2:21" x14ac:dyDescent="0.2">
      <c r="B182" s="121">
        <v>378</v>
      </c>
      <c r="C182" s="128"/>
      <c r="D182" s="129"/>
      <c r="E182" s="130"/>
      <c r="F182" s="130"/>
      <c r="G182" s="130"/>
      <c r="H182" s="130"/>
      <c r="I182" s="131"/>
      <c r="J182" s="131"/>
      <c r="K182" s="122" t="str">
        <f>IFERROR(INDEX(TABLE_UE_dB[Leak Size (cfm)], MATCH(Table_Leaks2_Input[[#This Row],[Lookup Value]], TABLE_UE_dB[Lookup Value], 0)),"")</f>
        <v/>
      </c>
      <c r="L182" s="123" t="str">
        <f>IF(Table_Leaks2_Input[[#This Row],[Repaired (Y/N)]]="Yes", Value_LeakRepairIR, "")</f>
        <v/>
      </c>
      <c r="M182" s="124" t="str">
        <f>IFERROR(Table_Leaks2_Input[[#This Row],[Estimated leak size (cfm)]]*Value_WeightAvgCompEff*Value_SysAOH,"" )</f>
        <v/>
      </c>
      <c r="N182" s="125" t="str">
        <f>IFERROR(Table_Leaks2_Input[[#This Row],[Estimated leak size (cfm)]]*Value_WeightAvgCompEff,"" )</f>
        <v/>
      </c>
      <c r="O182" s="123" t="str">
        <f>IFERROR(Table_Leaks2_Input[[#This Row],[Energy savings (kWh)]]*Input_AvgkWhRate, "")</f>
        <v/>
      </c>
      <c r="P182" s="123" t="str">
        <f>IF(Table_Leaks2_Input[[#This Row],[Pressure at leak (psig)]]="", "",Table_Leaks2_Input[[#This Row],[Total equipment cost]]+Table_Leaks2_Input[[#This Row],[Total labor cost]])</f>
        <v/>
      </c>
      <c r="Q182" s="123" t="str">
        <f>IFERROR(Table_Leaks2_Input[[#This Row],[Gross measure cost]]-Table_Leaks2_Input[[#This Row],[Estimated incentive]], "")</f>
        <v/>
      </c>
      <c r="R182" s="124" t="str">
        <f t="shared" si="2"/>
        <v/>
      </c>
      <c r="S182" s="126">
        <f>IF(OR(Table_Leaks2_Input[[#This Row],[Pressure at leak (psig)]]=0, Table_Leaks2_Input[[#This Row],[Pressure at leak (psig)]]=""),0,IF(Table_Leaks2_Input[[#This Row],[Pressure at leak (psig)]]&lt;20, 10, MROUND(Table_Leaks2_Input[[#This Row],[Pressure at leak (psig)]], 25)))</f>
        <v>0</v>
      </c>
      <c r="T182" s="126">
        <f>ROUND(Table_Leaks2_Input[[#This Row],[dB reading]],-1)</f>
        <v>0</v>
      </c>
      <c r="U182" s="127" t="str">
        <f>_xlfn.CONCAT(Table_Leaks2_Input[[#This Row],[Rounded dB Reading]],"psig ", Table_Leaks2_Input[[#This Row],[Rounded PSIG]],"db")</f>
        <v>0psig 0db</v>
      </c>
    </row>
    <row r="183" spans="2:21" x14ac:dyDescent="0.2">
      <c r="B183" s="121">
        <v>379</v>
      </c>
      <c r="C183" s="128"/>
      <c r="D183" s="129"/>
      <c r="E183" s="130"/>
      <c r="F183" s="130"/>
      <c r="G183" s="130"/>
      <c r="H183" s="130"/>
      <c r="I183" s="131"/>
      <c r="J183" s="131"/>
      <c r="K183" s="122" t="str">
        <f>IFERROR(INDEX(TABLE_UE_dB[Leak Size (cfm)], MATCH(Table_Leaks2_Input[[#This Row],[Lookup Value]], TABLE_UE_dB[Lookup Value], 0)),"")</f>
        <v/>
      </c>
      <c r="L183" s="123" t="str">
        <f>IF(Table_Leaks2_Input[[#This Row],[Repaired (Y/N)]]="Yes", Value_LeakRepairIR, "")</f>
        <v/>
      </c>
      <c r="M183" s="124" t="str">
        <f>IFERROR(Table_Leaks2_Input[[#This Row],[Estimated leak size (cfm)]]*Value_WeightAvgCompEff*Value_SysAOH,"" )</f>
        <v/>
      </c>
      <c r="N183" s="125" t="str">
        <f>IFERROR(Table_Leaks2_Input[[#This Row],[Estimated leak size (cfm)]]*Value_WeightAvgCompEff,"" )</f>
        <v/>
      </c>
      <c r="O183" s="123" t="str">
        <f>IFERROR(Table_Leaks2_Input[[#This Row],[Energy savings (kWh)]]*Input_AvgkWhRate, "")</f>
        <v/>
      </c>
      <c r="P183" s="123" t="str">
        <f>IF(Table_Leaks2_Input[[#This Row],[Pressure at leak (psig)]]="", "",Table_Leaks2_Input[[#This Row],[Total equipment cost]]+Table_Leaks2_Input[[#This Row],[Total labor cost]])</f>
        <v/>
      </c>
      <c r="Q183" s="123" t="str">
        <f>IFERROR(Table_Leaks2_Input[[#This Row],[Gross measure cost]]-Table_Leaks2_Input[[#This Row],[Estimated incentive]], "")</f>
        <v/>
      </c>
      <c r="R183" s="124" t="str">
        <f t="shared" si="2"/>
        <v/>
      </c>
      <c r="S183" s="126">
        <f>IF(OR(Table_Leaks2_Input[[#This Row],[Pressure at leak (psig)]]=0, Table_Leaks2_Input[[#This Row],[Pressure at leak (psig)]]=""),0,IF(Table_Leaks2_Input[[#This Row],[Pressure at leak (psig)]]&lt;20, 10, MROUND(Table_Leaks2_Input[[#This Row],[Pressure at leak (psig)]], 25)))</f>
        <v>0</v>
      </c>
      <c r="T183" s="126">
        <f>ROUND(Table_Leaks2_Input[[#This Row],[dB reading]],-1)</f>
        <v>0</v>
      </c>
      <c r="U183" s="127" t="str">
        <f>_xlfn.CONCAT(Table_Leaks2_Input[[#This Row],[Rounded dB Reading]],"psig ", Table_Leaks2_Input[[#This Row],[Rounded PSIG]],"db")</f>
        <v>0psig 0db</v>
      </c>
    </row>
    <row r="184" spans="2:21" x14ac:dyDescent="0.2">
      <c r="B184" s="121">
        <v>380</v>
      </c>
      <c r="C184" s="128"/>
      <c r="D184" s="129"/>
      <c r="E184" s="130"/>
      <c r="F184" s="130"/>
      <c r="G184" s="130"/>
      <c r="H184" s="130"/>
      <c r="I184" s="131"/>
      <c r="J184" s="131"/>
      <c r="K184" s="122" t="str">
        <f>IFERROR(INDEX(TABLE_UE_dB[Leak Size (cfm)], MATCH(Table_Leaks2_Input[[#This Row],[Lookup Value]], TABLE_UE_dB[Lookup Value], 0)),"")</f>
        <v/>
      </c>
      <c r="L184" s="123" t="str">
        <f>IF(Table_Leaks2_Input[[#This Row],[Repaired (Y/N)]]="Yes", Value_LeakRepairIR, "")</f>
        <v/>
      </c>
      <c r="M184" s="124" t="str">
        <f>IFERROR(Table_Leaks2_Input[[#This Row],[Estimated leak size (cfm)]]*Value_WeightAvgCompEff*Value_SysAOH,"" )</f>
        <v/>
      </c>
      <c r="N184" s="125" t="str">
        <f>IFERROR(Table_Leaks2_Input[[#This Row],[Estimated leak size (cfm)]]*Value_WeightAvgCompEff,"" )</f>
        <v/>
      </c>
      <c r="O184" s="123" t="str">
        <f>IFERROR(Table_Leaks2_Input[[#This Row],[Energy savings (kWh)]]*Input_AvgkWhRate, "")</f>
        <v/>
      </c>
      <c r="P184" s="123" t="str">
        <f>IF(Table_Leaks2_Input[[#This Row],[Pressure at leak (psig)]]="", "",Table_Leaks2_Input[[#This Row],[Total equipment cost]]+Table_Leaks2_Input[[#This Row],[Total labor cost]])</f>
        <v/>
      </c>
      <c r="Q184" s="123" t="str">
        <f>IFERROR(Table_Leaks2_Input[[#This Row],[Gross measure cost]]-Table_Leaks2_Input[[#This Row],[Estimated incentive]], "")</f>
        <v/>
      </c>
      <c r="R184" s="124" t="str">
        <f t="shared" si="2"/>
        <v/>
      </c>
      <c r="S184" s="126">
        <f>IF(OR(Table_Leaks2_Input[[#This Row],[Pressure at leak (psig)]]=0, Table_Leaks2_Input[[#This Row],[Pressure at leak (psig)]]=""),0,IF(Table_Leaks2_Input[[#This Row],[Pressure at leak (psig)]]&lt;20, 10, MROUND(Table_Leaks2_Input[[#This Row],[Pressure at leak (psig)]], 25)))</f>
        <v>0</v>
      </c>
      <c r="T184" s="126">
        <f>ROUND(Table_Leaks2_Input[[#This Row],[dB reading]],-1)</f>
        <v>0</v>
      </c>
      <c r="U184" s="127" t="str">
        <f>_xlfn.CONCAT(Table_Leaks2_Input[[#This Row],[Rounded dB Reading]],"psig ", Table_Leaks2_Input[[#This Row],[Rounded PSIG]],"db")</f>
        <v>0psig 0db</v>
      </c>
    </row>
    <row r="185" spans="2:21" x14ac:dyDescent="0.2">
      <c r="B185" s="121">
        <v>381</v>
      </c>
      <c r="C185" s="128"/>
      <c r="D185" s="129"/>
      <c r="E185" s="130"/>
      <c r="F185" s="130"/>
      <c r="G185" s="130"/>
      <c r="H185" s="130"/>
      <c r="I185" s="131"/>
      <c r="J185" s="131"/>
      <c r="K185" s="122" t="str">
        <f>IFERROR(INDEX(TABLE_UE_dB[Leak Size (cfm)], MATCH(Table_Leaks2_Input[[#This Row],[Lookup Value]], TABLE_UE_dB[Lookup Value], 0)),"")</f>
        <v/>
      </c>
      <c r="L185" s="123" t="str">
        <f>IF(Table_Leaks2_Input[[#This Row],[Repaired (Y/N)]]="Yes", Value_LeakRepairIR, "")</f>
        <v/>
      </c>
      <c r="M185" s="124" t="str">
        <f>IFERROR(Table_Leaks2_Input[[#This Row],[Estimated leak size (cfm)]]*Value_WeightAvgCompEff*Value_SysAOH,"" )</f>
        <v/>
      </c>
      <c r="N185" s="125" t="str">
        <f>IFERROR(Table_Leaks2_Input[[#This Row],[Estimated leak size (cfm)]]*Value_WeightAvgCompEff,"" )</f>
        <v/>
      </c>
      <c r="O185" s="123" t="str">
        <f>IFERROR(Table_Leaks2_Input[[#This Row],[Energy savings (kWh)]]*Input_AvgkWhRate, "")</f>
        <v/>
      </c>
      <c r="P185" s="123" t="str">
        <f>IF(Table_Leaks2_Input[[#This Row],[Pressure at leak (psig)]]="", "",Table_Leaks2_Input[[#This Row],[Total equipment cost]]+Table_Leaks2_Input[[#This Row],[Total labor cost]])</f>
        <v/>
      </c>
      <c r="Q185" s="123" t="str">
        <f>IFERROR(Table_Leaks2_Input[[#This Row],[Gross measure cost]]-Table_Leaks2_Input[[#This Row],[Estimated incentive]], "")</f>
        <v/>
      </c>
      <c r="R185" s="124" t="str">
        <f t="shared" si="2"/>
        <v/>
      </c>
      <c r="S185" s="126">
        <f>IF(OR(Table_Leaks2_Input[[#This Row],[Pressure at leak (psig)]]=0, Table_Leaks2_Input[[#This Row],[Pressure at leak (psig)]]=""),0,IF(Table_Leaks2_Input[[#This Row],[Pressure at leak (psig)]]&lt;20, 10, MROUND(Table_Leaks2_Input[[#This Row],[Pressure at leak (psig)]], 25)))</f>
        <v>0</v>
      </c>
      <c r="T185" s="126">
        <f>ROUND(Table_Leaks2_Input[[#This Row],[dB reading]],-1)</f>
        <v>0</v>
      </c>
      <c r="U185" s="127" t="str">
        <f>_xlfn.CONCAT(Table_Leaks2_Input[[#This Row],[Rounded dB Reading]],"psig ", Table_Leaks2_Input[[#This Row],[Rounded PSIG]],"db")</f>
        <v>0psig 0db</v>
      </c>
    </row>
    <row r="186" spans="2:21" x14ac:dyDescent="0.2">
      <c r="B186" s="121">
        <v>382</v>
      </c>
      <c r="C186" s="128"/>
      <c r="D186" s="129"/>
      <c r="E186" s="130"/>
      <c r="F186" s="130"/>
      <c r="G186" s="130"/>
      <c r="H186" s="130"/>
      <c r="I186" s="131"/>
      <c r="J186" s="131"/>
      <c r="K186" s="122" t="str">
        <f>IFERROR(INDEX(TABLE_UE_dB[Leak Size (cfm)], MATCH(Table_Leaks2_Input[[#This Row],[Lookup Value]], TABLE_UE_dB[Lookup Value], 0)),"")</f>
        <v/>
      </c>
      <c r="L186" s="123" t="str">
        <f>IF(Table_Leaks2_Input[[#This Row],[Repaired (Y/N)]]="Yes", Value_LeakRepairIR, "")</f>
        <v/>
      </c>
      <c r="M186" s="124" t="str">
        <f>IFERROR(Table_Leaks2_Input[[#This Row],[Estimated leak size (cfm)]]*Value_WeightAvgCompEff*Value_SysAOH,"" )</f>
        <v/>
      </c>
      <c r="N186" s="125" t="str">
        <f>IFERROR(Table_Leaks2_Input[[#This Row],[Estimated leak size (cfm)]]*Value_WeightAvgCompEff,"" )</f>
        <v/>
      </c>
      <c r="O186" s="123" t="str">
        <f>IFERROR(Table_Leaks2_Input[[#This Row],[Energy savings (kWh)]]*Input_AvgkWhRate, "")</f>
        <v/>
      </c>
      <c r="P186" s="123" t="str">
        <f>IF(Table_Leaks2_Input[[#This Row],[Pressure at leak (psig)]]="", "",Table_Leaks2_Input[[#This Row],[Total equipment cost]]+Table_Leaks2_Input[[#This Row],[Total labor cost]])</f>
        <v/>
      </c>
      <c r="Q186" s="123" t="str">
        <f>IFERROR(Table_Leaks2_Input[[#This Row],[Gross measure cost]]-Table_Leaks2_Input[[#This Row],[Estimated incentive]], "")</f>
        <v/>
      </c>
      <c r="R186" s="124" t="str">
        <f t="shared" si="2"/>
        <v/>
      </c>
      <c r="S186" s="126">
        <f>IF(OR(Table_Leaks2_Input[[#This Row],[Pressure at leak (psig)]]=0, Table_Leaks2_Input[[#This Row],[Pressure at leak (psig)]]=""),0,IF(Table_Leaks2_Input[[#This Row],[Pressure at leak (psig)]]&lt;20, 10, MROUND(Table_Leaks2_Input[[#This Row],[Pressure at leak (psig)]], 25)))</f>
        <v>0</v>
      </c>
      <c r="T186" s="126">
        <f>ROUND(Table_Leaks2_Input[[#This Row],[dB reading]],-1)</f>
        <v>0</v>
      </c>
      <c r="U186" s="127" t="str">
        <f>_xlfn.CONCAT(Table_Leaks2_Input[[#This Row],[Rounded dB Reading]],"psig ", Table_Leaks2_Input[[#This Row],[Rounded PSIG]],"db")</f>
        <v>0psig 0db</v>
      </c>
    </row>
    <row r="187" spans="2:21" x14ac:dyDescent="0.2">
      <c r="B187" s="121">
        <v>383</v>
      </c>
      <c r="C187" s="128"/>
      <c r="D187" s="129"/>
      <c r="E187" s="130"/>
      <c r="F187" s="130"/>
      <c r="G187" s="130"/>
      <c r="H187" s="130"/>
      <c r="I187" s="131"/>
      <c r="J187" s="131"/>
      <c r="K187" s="122" t="str">
        <f>IFERROR(INDEX(TABLE_UE_dB[Leak Size (cfm)], MATCH(Table_Leaks2_Input[[#This Row],[Lookup Value]], TABLE_UE_dB[Lookup Value], 0)),"")</f>
        <v/>
      </c>
      <c r="L187" s="123" t="str">
        <f>IF(Table_Leaks2_Input[[#This Row],[Repaired (Y/N)]]="Yes", Value_LeakRepairIR, "")</f>
        <v/>
      </c>
      <c r="M187" s="124" t="str">
        <f>IFERROR(Table_Leaks2_Input[[#This Row],[Estimated leak size (cfm)]]*Value_WeightAvgCompEff*Value_SysAOH,"" )</f>
        <v/>
      </c>
      <c r="N187" s="125" t="str">
        <f>IFERROR(Table_Leaks2_Input[[#This Row],[Estimated leak size (cfm)]]*Value_WeightAvgCompEff,"" )</f>
        <v/>
      </c>
      <c r="O187" s="123" t="str">
        <f>IFERROR(Table_Leaks2_Input[[#This Row],[Energy savings (kWh)]]*Input_AvgkWhRate, "")</f>
        <v/>
      </c>
      <c r="P187" s="123" t="str">
        <f>IF(Table_Leaks2_Input[[#This Row],[Pressure at leak (psig)]]="", "",Table_Leaks2_Input[[#This Row],[Total equipment cost]]+Table_Leaks2_Input[[#This Row],[Total labor cost]])</f>
        <v/>
      </c>
      <c r="Q187" s="123" t="str">
        <f>IFERROR(Table_Leaks2_Input[[#This Row],[Gross measure cost]]-Table_Leaks2_Input[[#This Row],[Estimated incentive]], "")</f>
        <v/>
      </c>
      <c r="R187" s="124" t="str">
        <f t="shared" si="2"/>
        <v/>
      </c>
      <c r="S187" s="126">
        <f>IF(OR(Table_Leaks2_Input[[#This Row],[Pressure at leak (psig)]]=0, Table_Leaks2_Input[[#This Row],[Pressure at leak (psig)]]=""),0,IF(Table_Leaks2_Input[[#This Row],[Pressure at leak (psig)]]&lt;20, 10, MROUND(Table_Leaks2_Input[[#This Row],[Pressure at leak (psig)]], 25)))</f>
        <v>0</v>
      </c>
      <c r="T187" s="126">
        <f>ROUND(Table_Leaks2_Input[[#This Row],[dB reading]],-1)</f>
        <v>0</v>
      </c>
      <c r="U187" s="127" t="str">
        <f>_xlfn.CONCAT(Table_Leaks2_Input[[#This Row],[Rounded dB Reading]],"psig ", Table_Leaks2_Input[[#This Row],[Rounded PSIG]],"db")</f>
        <v>0psig 0db</v>
      </c>
    </row>
    <row r="188" spans="2:21" x14ac:dyDescent="0.2">
      <c r="B188" s="121">
        <v>384</v>
      </c>
      <c r="C188" s="128"/>
      <c r="D188" s="129"/>
      <c r="E188" s="130"/>
      <c r="F188" s="130"/>
      <c r="G188" s="130"/>
      <c r="H188" s="130"/>
      <c r="I188" s="131"/>
      <c r="J188" s="131"/>
      <c r="K188" s="122" t="str">
        <f>IFERROR(INDEX(TABLE_UE_dB[Leak Size (cfm)], MATCH(Table_Leaks2_Input[[#This Row],[Lookup Value]], TABLE_UE_dB[Lookup Value], 0)),"")</f>
        <v/>
      </c>
      <c r="L188" s="123" t="str">
        <f>IF(Table_Leaks2_Input[[#This Row],[Repaired (Y/N)]]="Yes", Value_LeakRepairIR, "")</f>
        <v/>
      </c>
      <c r="M188" s="124" t="str">
        <f>IFERROR(Table_Leaks2_Input[[#This Row],[Estimated leak size (cfm)]]*Value_WeightAvgCompEff*Value_SysAOH,"" )</f>
        <v/>
      </c>
      <c r="N188" s="125" t="str">
        <f>IFERROR(Table_Leaks2_Input[[#This Row],[Estimated leak size (cfm)]]*Value_WeightAvgCompEff,"" )</f>
        <v/>
      </c>
      <c r="O188" s="123" t="str">
        <f>IFERROR(Table_Leaks2_Input[[#This Row],[Energy savings (kWh)]]*Input_AvgkWhRate, "")</f>
        <v/>
      </c>
      <c r="P188" s="123" t="str">
        <f>IF(Table_Leaks2_Input[[#This Row],[Pressure at leak (psig)]]="", "",Table_Leaks2_Input[[#This Row],[Total equipment cost]]+Table_Leaks2_Input[[#This Row],[Total labor cost]])</f>
        <v/>
      </c>
      <c r="Q188" s="123" t="str">
        <f>IFERROR(Table_Leaks2_Input[[#This Row],[Gross measure cost]]-Table_Leaks2_Input[[#This Row],[Estimated incentive]], "")</f>
        <v/>
      </c>
      <c r="R188" s="124" t="str">
        <f t="shared" si="2"/>
        <v/>
      </c>
      <c r="S188" s="126">
        <f>IF(OR(Table_Leaks2_Input[[#This Row],[Pressure at leak (psig)]]=0, Table_Leaks2_Input[[#This Row],[Pressure at leak (psig)]]=""),0,IF(Table_Leaks2_Input[[#This Row],[Pressure at leak (psig)]]&lt;20, 10, MROUND(Table_Leaks2_Input[[#This Row],[Pressure at leak (psig)]], 25)))</f>
        <v>0</v>
      </c>
      <c r="T188" s="126">
        <f>ROUND(Table_Leaks2_Input[[#This Row],[dB reading]],-1)</f>
        <v>0</v>
      </c>
      <c r="U188" s="127" t="str">
        <f>_xlfn.CONCAT(Table_Leaks2_Input[[#This Row],[Rounded dB Reading]],"psig ", Table_Leaks2_Input[[#This Row],[Rounded PSIG]],"db")</f>
        <v>0psig 0db</v>
      </c>
    </row>
    <row r="189" spans="2:21" x14ac:dyDescent="0.2">
      <c r="B189" s="121">
        <v>385</v>
      </c>
      <c r="C189" s="128"/>
      <c r="D189" s="129"/>
      <c r="E189" s="130"/>
      <c r="F189" s="130"/>
      <c r="G189" s="130"/>
      <c r="H189" s="130"/>
      <c r="I189" s="131"/>
      <c r="J189" s="131"/>
      <c r="K189" s="122" t="str">
        <f>IFERROR(INDEX(TABLE_UE_dB[Leak Size (cfm)], MATCH(Table_Leaks2_Input[[#This Row],[Lookup Value]], TABLE_UE_dB[Lookup Value], 0)),"")</f>
        <v/>
      </c>
      <c r="L189" s="123" t="str">
        <f>IF(Table_Leaks2_Input[[#This Row],[Repaired (Y/N)]]="Yes", Value_LeakRepairIR, "")</f>
        <v/>
      </c>
      <c r="M189" s="124" t="str">
        <f>IFERROR(Table_Leaks2_Input[[#This Row],[Estimated leak size (cfm)]]*Value_WeightAvgCompEff*Value_SysAOH,"" )</f>
        <v/>
      </c>
      <c r="N189" s="125" t="str">
        <f>IFERROR(Table_Leaks2_Input[[#This Row],[Estimated leak size (cfm)]]*Value_WeightAvgCompEff,"" )</f>
        <v/>
      </c>
      <c r="O189" s="123" t="str">
        <f>IFERROR(Table_Leaks2_Input[[#This Row],[Energy savings (kWh)]]*Input_AvgkWhRate, "")</f>
        <v/>
      </c>
      <c r="P189" s="123" t="str">
        <f>IF(Table_Leaks2_Input[[#This Row],[Pressure at leak (psig)]]="", "",Table_Leaks2_Input[[#This Row],[Total equipment cost]]+Table_Leaks2_Input[[#This Row],[Total labor cost]])</f>
        <v/>
      </c>
      <c r="Q189" s="123" t="str">
        <f>IFERROR(Table_Leaks2_Input[[#This Row],[Gross measure cost]]-Table_Leaks2_Input[[#This Row],[Estimated incentive]], "")</f>
        <v/>
      </c>
      <c r="R189" s="124" t="str">
        <f t="shared" si="2"/>
        <v/>
      </c>
      <c r="S189" s="126">
        <f>IF(OR(Table_Leaks2_Input[[#This Row],[Pressure at leak (psig)]]=0, Table_Leaks2_Input[[#This Row],[Pressure at leak (psig)]]=""),0,IF(Table_Leaks2_Input[[#This Row],[Pressure at leak (psig)]]&lt;20, 10, MROUND(Table_Leaks2_Input[[#This Row],[Pressure at leak (psig)]], 25)))</f>
        <v>0</v>
      </c>
      <c r="T189" s="126">
        <f>ROUND(Table_Leaks2_Input[[#This Row],[dB reading]],-1)</f>
        <v>0</v>
      </c>
      <c r="U189" s="127" t="str">
        <f>_xlfn.CONCAT(Table_Leaks2_Input[[#This Row],[Rounded dB Reading]],"psig ", Table_Leaks2_Input[[#This Row],[Rounded PSIG]],"db")</f>
        <v>0psig 0db</v>
      </c>
    </row>
    <row r="190" spans="2:21" x14ac:dyDescent="0.2">
      <c r="B190" s="121">
        <v>386</v>
      </c>
      <c r="C190" s="128"/>
      <c r="D190" s="129"/>
      <c r="E190" s="130"/>
      <c r="F190" s="130"/>
      <c r="G190" s="130"/>
      <c r="H190" s="130"/>
      <c r="I190" s="131"/>
      <c r="J190" s="131"/>
      <c r="K190" s="122" t="str">
        <f>IFERROR(INDEX(TABLE_UE_dB[Leak Size (cfm)], MATCH(Table_Leaks2_Input[[#This Row],[Lookup Value]], TABLE_UE_dB[Lookup Value], 0)),"")</f>
        <v/>
      </c>
      <c r="L190" s="123" t="str">
        <f>IF(Table_Leaks2_Input[[#This Row],[Repaired (Y/N)]]="Yes", Value_LeakRepairIR, "")</f>
        <v/>
      </c>
      <c r="M190" s="124" t="str">
        <f>IFERROR(Table_Leaks2_Input[[#This Row],[Estimated leak size (cfm)]]*Value_WeightAvgCompEff*Value_SysAOH,"" )</f>
        <v/>
      </c>
      <c r="N190" s="125" t="str">
        <f>IFERROR(Table_Leaks2_Input[[#This Row],[Estimated leak size (cfm)]]*Value_WeightAvgCompEff,"" )</f>
        <v/>
      </c>
      <c r="O190" s="123" t="str">
        <f>IFERROR(Table_Leaks2_Input[[#This Row],[Energy savings (kWh)]]*Input_AvgkWhRate, "")</f>
        <v/>
      </c>
      <c r="P190" s="123" t="str">
        <f>IF(Table_Leaks2_Input[[#This Row],[Pressure at leak (psig)]]="", "",Table_Leaks2_Input[[#This Row],[Total equipment cost]]+Table_Leaks2_Input[[#This Row],[Total labor cost]])</f>
        <v/>
      </c>
      <c r="Q190" s="123" t="str">
        <f>IFERROR(Table_Leaks2_Input[[#This Row],[Gross measure cost]]-Table_Leaks2_Input[[#This Row],[Estimated incentive]], "")</f>
        <v/>
      </c>
      <c r="R190" s="124" t="str">
        <f t="shared" si="2"/>
        <v/>
      </c>
      <c r="S190" s="126">
        <f>IF(OR(Table_Leaks2_Input[[#This Row],[Pressure at leak (psig)]]=0, Table_Leaks2_Input[[#This Row],[Pressure at leak (psig)]]=""),0,IF(Table_Leaks2_Input[[#This Row],[Pressure at leak (psig)]]&lt;20, 10, MROUND(Table_Leaks2_Input[[#This Row],[Pressure at leak (psig)]], 25)))</f>
        <v>0</v>
      </c>
      <c r="T190" s="126">
        <f>ROUND(Table_Leaks2_Input[[#This Row],[dB reading]],-1)</f>
        <v>0</v>
      </c>
      <c r="U190" s="127" t="str">
        <f>_xlfn.CONCAT(Table_Leaks2_Input[[#This Row],[Rounded dB Reading]],"psig ", Table_Leaks2_Input[[#This Row],[Rounded PSIG]],"db")</f>
        <v>0psig 0db</v>
      </c>
    </row>
    <row r="191" spans="2:21" x14ac:dyDescent="0.2">
      <c r="B191" s="121">
        <v>387</v>
      </c>
      <c r="C191" s="128"/>
      <c r="D191" s="129"/>
      <c r="E191" s="130"/>
      <c r="F191" s="130"/>
      <c r="G191" s="130"/>
      <c r="H191" s="130"/>
      <c r="I191" s="131"/>
      <c r="J191" s="131"/>
      <c r="K191" s="122" t="str">
        <f>IFERROR(INDEX(TABLE_UE_dB[Leak Size (cfm)], MATCH(Table_Leaks2_Input[[#This Row],[Lookup Value]], TABLE_UE_dB[Lookup Value], 0)),"")</f>
        <v/>
      </c>
      <c r="L191" s="123" t="str">
        <f>IF(Table_Leaks2_Input[[#This Row],[Repaired (Y/N)]]="Yes", Value_LeakRepairIR, "")</f>
        <v/>
      </c>
      <c r="M191" s="124" t="str">
        <f>IFERROR(Table_Leaks2_Input[[#This Row],[Estimated leak size (cfm)]]*Value_WeightAvgCompEff*Value_SysAOH,"" )</f>
        <v/>
      </c>
      <c r="N191" s="125" t="str">
        <f>IFERROR(Table_Leaks2_Input[[#This Row],[Estimated leak size (cfm)]]*Value_WeightAvgCompEff,"" )</f>
        <v/>
      </c>
      <c r="O191" s="123" t="str">
        <f>IFERROR(Table_Leaks2_Input[[#This Row],[Energy savings (kWh)]]*Input_AvgkWhRate, "")</f>
        <v/>
      </c>
      <c r="P191" s="123" t="str">
        <f>IF(Table_Leaks2_Input[[#This Row],[Pressure at leak (psig)]]="", "",Table_Leaks2_Input[[#This Row],[Total equipment cost]]+Table_Leaks2_Input[[#This Row],[Total labor cost]])</f>
        <v/>
      </c>
      <c r="Q191" s="123" t="str">
        <f>IFERROR(Table_Leaks2_Input[[#This Row],[Gross measure cost]]-Table_Leaks2_Input[[#This Row],[Estimated incentive]], "")</f>
        <v/>
      </c>
      <c r="R191" s="124" t="str">
        <f t="shared" si="2"/>
        <v/>
      </c>
      <c r="S191" s="126">
        <f>IF(OR(Table_Leaks2_Input[[#This Row],[Pressure at leak (psig)]]=0, Table_Leaks2_Input[[#This Row],[Pressure at leak (psig)]]=""),0,IF(Table_Leaks2_Input[[#This Row],[Pressure at leak (psig)]]&lt;20, 10, MROUND(Table_Leaks2_Input[[#This Row],[Pressure at leak (psig)]], 25)))</f>
        <v>0</v>
      </c>
      <c r="T191" s="126">
        <f>ROUND(Table_Leaks2_Input[[#This Row],[dB reading]],-1)</f>
        <v>0</v>
      </c>
      <c r="U191" s="127" t="str">
        <f>_xlfn.CONCAT(Table_Leaks2_Input[[#This Row],[Rounded dB Reading]],"psig ", Table_Leaks2_Input[[#This Row],[Rounded PSIG]],"db")</f>
        <v>0psig 0db</v>
      </c>
    </row>
    <row r="192" spans="2:21" x14ac:dyDescent="0.2">
      <c r="B192" s="121">
        <v>388</v>
      </c>
      <c r="C192" s="128"/>
      <c r="D192" s="129"/>
      <c r="E192" s="130"/>
      <c r="F192" s="130"/>
      <c r="G192" s="130"/>
      <c r="H192" s="130"/>
      <c r="I192" s="131"/>
      <c r="J192" s="131"/>
      <c r="K192" s="122" t="str">
        <f>IFERROR(INDEX(TABLE_UE_dB[Leak Size (cfm)], MATCH(Table_Leaks2_Input[[#This Row],[Lookup Value]], TABLE_UE_dB[Lookup Value], 0)),"")</f>
        <v/>
      </c>
      <c r="L192" s="123" t="str">
        <f>IF(Table_Leaks2_Input[[#This Row],[Repaired (Y/N)]]="Yes", Value_LeakRepairIR, "")</f>
        <v/>
      </c>
      <c r="M192" s="124" t="str">
        <f>IFERROR(Table_Leaks2_Input[[#This Row],[Estimated leak size (cfm)]]*Value_WeightAvgCompEff*Value_SysAOH,"" )</f>
        <v/>
      </c>
      <c r="N192" s="125" t="str">
        <f>IFERROR(Table_Leaks2_Input[[#This Row],[Estimated leak size (cfm)]]*Value_WeightAvgCompEff,"" )</f>
        <v/>
      </c>
      <c r="O192" s="123" t="str">
        <f>IFERROR(Table_Leaks2_Input[[#This Row],[Energy savings (kWh)]]*Input_AvgkWhRate, "")</f>
        <v/>
      </c>
      <c r="P192" s="123" t="str">
        <f>IF(Table_Leaks2_Input[[#This Row],[Pressure at leak (psig)]]="", "",Table_Leaks2_Input[[#This Row],[Total equipment cost]]+Table_Leaks2_Input[[#This Row],[Total labor cost]])</f>
        <v/>
      </c>
      <c r="Q192" s="123" t="str">
        <f>IFERROR(Table_Leaks2_Input[[#This Row],[Gross measure cost]]-Table_Leaks2_Input[[#This Row],[Estimated incentive]], "")</f>
        <v/>
      </c>
      <c r="R192" s="124" t="str">
        <f t="shared" si="2"/>
        <v/>
      </c>
      <c r="S192" s="126">
        <f>IF(OR(Table_Leaks2_Input[[#This Row],[Pressure at leak (psig)]]=0, Table_Leaks2_Input[[#This Row],[Pressure at leak (psig)]]=""),0,IF(Table_Leaks2_Input[[#This Row],[Pressure at leak (psig)]]&lt;20, 10, MROUND(Table_Leaks2_Input[[#This Row],[Pressure at leak (psig)]], 25)))</f>
        <v>0</v>
      </c>
      <c r="T192" s="126">
        <f>ROUND(Table_Leaks2_Input[[#This Row],[dB reading]],-1)</f>
        <v>0</v>
      </c>
      <c r="U192" s="127" t="str">
        <f>_xlfn.CONCAT(Table_Leaks2_Input[[#This Row],[Rounded dB Reading]],"psig ", Table_Leaks2_Input[[#This Row],[Rounded PSIG]],"db")</f>
        <v>0psig 0db</v>
      </c>
    </row>
    <row r="193" spans="2:21" x14ac:dyDescent="0.2">
      <c r="B193" s="121">
        <v>389</v>
      </c>
      <c r="C193" s="128"/>
      <c r="D193" s="129"/>
      <c r="E193" s="130"/>
      <c r="F193" s="130"/>
      <c r="G193" s="130"/>
      <c r="H193" s="130"/>
      <c r="I193" s="131"/>
      <c r="J193" s="131"/>
      <c r="K193" s="122" t="str">
        <f>IFERROR(INDEX(TABLE_UE_dB[Leak Size (cfm)], MATCH(Table_Leaks2_Input[[#This Row],[Lookup Value]], TABLE_UE_dB[Lookup Value], 0)),"")</f>
        <v/>
      </c>
      <c r="L193" s="123" t="str">
        <f>IF(Table_Leaks2_Input[[#This Row],[Repaired (Y/N)]]="Yes", Value_LeakRepairIR, "")</f>
        <v/>
      </c>
      <c r="M193" s="124" t="str">
        <f>IFERROR(Table_Leaks2_Input[[#This Row],[Estimated leak size (cfm)]]*Value_WeightAvgCompEff*Value_SysAOH,"" )</f>
        <v/>
      </c>
      <c r="N193" s="125" t="str">
        <f>IFERROR(Table_Leaks2_Input[[#This Row],[Estimated leak size (cfm)]]*Value_WeightAvgCompEff,"" )</f>
        <v/>
      </c>
      <c r="O193" s="123" t="str">
        <f>IFERROR(Table_Leaks2_Input[[#This Row],[Energy savings (kWh)]]*Input_AvgkWhRate, "")</f>
        <v/>
      </c>
      <c r="P193" s="123" t="str">
        <f>IF(Table_Leaks2_Input[[#This Row],[Pressure at leak (psig)]]="", "",Table_Leaks2_Input[[#This Row],[Total equipment cost]]+Table_Leaks2_Input[[#This Row],[Total labor cost]])</f>
        <v/>
      </c>
      <c r="Q193" s="123" t="str">
        <f>IFERROR(Table_Leaks2_Input[[#This Row],[Gross measure cost]]-Table_Leaks2_Input[[#This Row],[Estimated incentive]], "")</f>
        <v/>
      </c>
      <c r="R193" s="124" t="str">
        <f t="shared" si="2"/>
        <v/>
      </c>
      <c r="S193" s="126">
        <f>IF(OR(Table_Leaks2_Input[[#This Row],[Pressure at leak (psig)]]=0, Table_Leaks2_Input[[#This Row],[Pressure at leak (psig)]]=""),0,IF(Table_Leaks2_Input[[#This Row],[Pressure at leak (psig)]]&lt;20, 10, MROUND(Table_Leaks2_Input[[#This Row],[Pressure at leak (psig)]], 25)))</f>
        <v>0</v>
      </c>
      <c r="T193" s="126">
        <f>ROUND(Table_Leaks2_Input[[#This Row],[dB reading]],-1)</f>
        <v>0</v>
      </c>
      <c r="U193" s="127" t="str">
        <f>_xlfn.CONCAT(Table_Leaks2_Input[[#This Row],[Rounded dB Reading]],"psig ", Table_Leaks2_Input[[#This Row],[Rounded PSIG]],"db")</f>
        <v>0psig 0db</v>
      </c>
    </row>
    <row r="194" spans="2:21" x14ac:dyDescent="0.2">
      <c r="B194" s="121">
        <v>390</v>
      </c>
      <c r="C194" s="128"/>
      <c r="D194" s="129"/>
      <c r="E194" s="130"/>
      <c r="F194" s="130"/>
      <c r="G194" s="130"/>
      <c r="H194" s="130"/>
      <c r="I194" s="131"/>
      <c r="J194" s="131"/>
      <c r="K194" s="122" t="str">
        <f>IFERROR(INDEX(TABLE_UE_dB[Leak Size (cfm)], MATCH(Table_Leaks2_Input[[#This Row],[Lookup Value]], TABLE_UE_dB[Lookup Value], 0)),"")</f>
        <v/>
      </c>
      <c r="L194" s="123" t="str">
        <f>IF(Table_Leaks2_Input[[#This Row],[Repaired (Y/N)]]="Yes", Value_LeakRepairIR, "")</f>
        <v/>
      </c>
      <c r="M194" s="124" t="str">
        <f>IFERROR(Table_Leaks2_Input[[#This Row],[Estimated leak size (cfm)]]*Value_WeightAvgCompEff*Value_SysAOH,"" )</f>
        <v/>
      </c>
      <c r="N194" s="125" t="str">
        <f>IFERROR(Table_Leaks2_Input[[#This Row],[Estimated leak size (cfm)]]*Value_WeightAvgCompEff,"" )</f>
        <v/>
      </c>
      <c r="O194" s="123" t="str">
        <f>IFERROR(Table_Leaks2_Input[[#This Row],[Energy savings (kWh)]]*Input_AvgkWhRate, "")</f>
        <v/>
      </c>
      <c r="P194" s="123" t="str">
        <f>IF(Table_Leaks2_Input[[#This Row],[Pressure at leak (psig)]]="", "",Table_Leaks2_Input[[#This Row],[Total equipment cost]]+Table_Leaks2_Input[[#This Row],[Total labor cost]])</f>
        <v/>
      </c>
      <c r="Q194" s="123" t="str">
        <f>IFERROR(Table_Leaks2_Input[[#This Row],[Gross measure cost]]-Table_Leaks2_Input[[#This Row],[Estimated incentive]], "")</f>
        <v/>
      </c>
      <c r="R194" s="124" t="str">
        <f t="shared" si="2"/>
        <v/>
      </c>
      <c r="S194" s="126">
        <f>IF(OR(Table_Leaks2_Input[[#This Row],[Pressure at leak (psig)]]=0, Table_Leaks2_Input[[#This Row],[Pressure at leak (psig)]]=""),0,IF(Table_Leaks2_Input[[#This Row],[Pressure at leak (psig)]]&lt;20, 10, MROUND(Table_Leaks2_Input[[#This Row],[Pressure at leak (psig)]], 25)))</f>
        <v>0</v>
      </c>
      <c r="T194" s="126">
        <f>ROUND(Table_Leaks2_Input[[#This Row],[dB reading]],-1)</f>
        <v>0</v>
      </c>
      <c r="U194" s="127" t="str">
        <f>_xlfn.CONCAT(Table_Leaks2_Input[[#This Row],[Rounded dB Reading]],"psig ", Table_Leaks2_Input[[#This Row],[Rounded PSIG]],"db")</f>
        <v>0psig 0db</v>
      </c>
    </row>
    <row r="195" spans="2:21" x14ac:dyDescent="0.2">
      <c r="B195" s="121">
        <v>391</v>
      </c>
      <c r="C195" s="128"/>
      <c r="D195" s="129"/>
      <c r="E195" s="130"/>
      <c r="F195" s="130"/>
      <c r="G195" s="130"/>
      <c r="H195" s="130"/>
      <c r="I195" s="131"/>
      <c r="J195" s="131"/>
      <c r="K195" s="122" t="str">
        <f>IFERROR(INDEX(TABLE_UE_dB[Leak Size (cfm)], MATCH(Table_Leaks2_Input[[#This Row],[Lookup Value]], TABLE_UE_dB[Lookup Value], 0)),"")</f>
        <v/>
      </c>
      <c r="L195" s="123" t="str">
        <f>IF(Table_Leaks2_Input[[#This Row],[Repaired (Y/N)]]="Yes", Value_LeakRepairIR, "")</f>
        <v/>
      </c>
      <c r="M195" s="124" t="str">
        <f>IFERROR(Table_Leaks2_Input[[#This Row],[Estimated leak size (cfm)]]*Value_WeightAvgCompEff*Value_SysAOH,"" )</f>
        <v/>
      </c>
      <c r="N195" s="125" t="str">
        <f>IFERROR(Table_Leaks2_Input[[#This Row],[Estimated leak size (cfm)]]*Value_WeightAvgCompEff,"" )</f>
        <v/>
      </c>
      <c r="O195" s="123" t="str">
        <f>IFERROR(Table_Leaks2_Input[[#This Row],[Energy savings (kWh)]]*Input_AvgkWhRate, "")</f>
        <v/>
      </c>
      <c r="P195" s="123" t="str">
        <f>IF(Table_Leaks2_Input[[#This Row],[Pressure at leak (psig)]]="", "",Table_Leaks2_Input[[#This Row],[Total equipment cost]]+Table_Leaks2_Input[[#This Row],[Total labor cost]])</f>
        <v/>
      </c>
      <c r="Q195" s="123" t="str">
        <f>IFERROR(Table_Leaks2_Input[[#This Row],[Gross measure cost]]-Table_Leaks2_Input[[#This Row],[Estimated incentive]], "")</f>
        <v/>
      </c>
      <c r="R195" s="124" t="str">
        <f t="shared" si="2"/>
        <v/>
      </c>
      <c r="S195" s="126">
        <f>IF(OR(Table_Leaks2_Input[[#This Row],[Pressure at leak (psig)]]=0, Table_Leaks2_Input[[#This Row],[Pressure at leak (psig)]]=""),0,IF(Table_Leaks2_Input[[#This Row],[Pressure at leak (psig)]]&lt;20, 10, MROUND(Table_Leaks2_Input[[#This Row],[Pressure at leak (psig)]], 25)))</f>
        <v>0</v>
      </c>
      <c r="T195" s="126">
        <f>ROUND(Table_Leaks2_Input[[#This Row],[dB reading]],-1)</f>
        <v>0</v>
      </c>
      <c r="U195" s="127" t="str">
        <f>_xlfn.CONCAT(Table_Leaks2_Input[[#This Row],[Rounded dB Reading]],"psig ", Table_Leaks2_Input[[#This Row],[Rounded PSIG]],"db")</f>
        <v>0psig 0db</v>
      </c>
    </row>
    <row r="196" spans="2:21" x14ac:dyDescent="0.2">
      <c r="B196" s="121">
        <v>392</v>
      </c>
      <c r="C196" s="128"/>
      <c r="D196" s="129"/>
      <c r="E196" s="130"/>
      <c r="F196" s="130"/>
      <c r="G196" s="130"/>
      <c r="H196" s="130"/>
      <c r="I196" s="131"/>
      <c r="J196" s="131"/>
      <c r="K196" s="122" t="str">
        <f>IFERROR(INDEX(TABLE_UE_dB[Leak Size (cfm)], MATCH(Table_Leaks2_Input[[#This Row],[Lookup Value]], TABLE_UE_dB[Lookup Value], 0)),"")</f>
        <v/>
      </c>
      <c r="L196" s="123" t="str">
        <f>IF(Table_Leaks2_Input[[#This Row],[Repaired (Y/N)]]="Yes", Value_LeakRepairIR, "")</f>
        <v/>
      </c>
      <c r="M196" s="124" t="str">
        <f>IFERROR(Table_Leaks2_Input[[#This Row],[Estimated leak size (cfm)]]*Value_WeightAvgCompEff*Value_SysAOH,"" )</f>
        <v/>
      </c>
      <c r="N196" s="125" t="str">
        <f>IFERROR(Table_Leaks2_Input[[#This Row],[Estimated leak size (cfm)]]*Value_WeightAvgCompEff,"" )</f>
        <v/>
      </c>
      <c r="O196" s="123" t="str">
        <f>IFERROR(Table_Leaks2_Input[[#This Row],[Energy savings (kWh)]]*Input_AvgkWhRate, "")</f>
        <v/>
      </c>
      <c r="P196" s="123" t="str">
        <f>IF(Table_Leaks2_Input[[#This Row],[Pressure at leak (psig)]]="", "",Table_Leaks2_Input[[#This Row],[Total equipment cost]]+Table_Leaks2_Input[[#This Row],[Total labor cost]])</f>
        <v/>
      </c>
      <c r="Q196" s="123" t="str">
        <f>IFERROR(Table_Leaks2_Input[[#This Row],[Gross measure cost]]-Table_Leaks2_Input[[#This Row],[Estimated incentive]], "")</f>
        <v/>
      </c>
      <c r="R196" s="124" t="str">
        <f t="shared" si="2"/>
        <v/>
      </c>
      <c r="S196" s="126">
        <f>IF(OR(Table_Leaks2_Input[[#This Row],[Pressure at leak (psig)]]=0, Table_Leaks2_Input[[#This Row],[Pressure at leak (psig)]]=""),0,IF(Table_Leaks2_Input[[#This Row],[Pressure at leak (psig)]]&lt;20, 10, MROUND(Table_Leaks2_Input[[#This Row],[Pressure at leak (psig)]], 25)))</f>
        <v>0</v>
      </c>
      <c r="T196" s="126">
        <f>ROUND(Table_Leaks2_Input[[#This Row],[dB reading]],-1)</f>
        <v>0</v>
      </c>
      <c r="U196" s="127" t="str">
        <f>_xlfn.CONCAT(Table_Leaks2_Input[[#This Row],[Rounded dB Reading]],"psig ", Table_Leaks2_Input[[#This Row],[Rounded PSIG]],"db")</f>
        <v>0psig 0db</v>
      </c>
    </row>
    <row r="197" spans="2:21" x14ac:dyDescent="0.2">
      <c r="B197" s="121">
        <v>393</v>
      </c>
      <c r="C197" s="128"/>
      <c r="D197" s="129"/>
      <c r="E197" s="130"/>
      <c r="F197" s="130"/>
      <c r="G197" s="130"/>
      <c r="H197" s="130"/>
      <c r="I197" s="131"/>
      <c r="J197" s="131"/>
      <c r="K197" s="122" t="str">
        <f>IFERROR(INDEX(TABLE_UE_dB[Leak Size (cfm)], MATCH(Table_Leaks2_Input[[#This Row],[Lookup Value]], TABLE_UE_dB[Lookup Value], 0)),"")</f>
        <v/>
      </c>
      <c r="L197" s="123" t="str">
        <f>IF(Table_Leaks2_Input[[#This Row],[Repaired (Y/N)]]="Yes", Value_LeakRepairIR, "")</f>
        <v/>
      </c>
      <c r="M197" s="124" t="str">
        <f>IFERROR(Table_Leaks2_Input[[#This Row],[Estimated leak size (cfm)]]*Value_WeightAvgCompEff*Value_SysAOH,"" )</f>
        <v/>
      </c>
      <c r="N197" s="125" t="str">
        <f>IFERROR(Table_Leaks2_Input[[#This Row],[Estimated leak size (cfm)]]*Value_WeightAvgCompEff,"" )</f>
        <v/>
      </c>
      <c r="O197" s="123" t="str">
        <f>IFERROR(Table_Leaks2_Input[[#This Row],[Energy savings (kWh)]]*Input_AvgkWhRate, "")</f>
        <v/>
      </c>
      <c r="P197" s="123" t="str">
        <f>IF(Table_Leaks2_Input[[#This Row],[Pressure at leak (psig)]]="", "",Table_Leaks2_Input[[#This Row],[Total equipment cost]]+Table_Leaks2_Input[[#This Row],[Total labor cost]])</f>
        <v/>
      </c>
      <c r="Q197" s="123" t="str">
        <f>IFERROR(Table_Leaks2_Input[[#This Row],[Gross measure cost]]-Table_Leaks2_Input[[#This Row],[Estimated incentive]], "")</f>
        <v/>
      </c>
      <c r="R197" s="124" t="str">
        <f t="shared" ref="R197:R204" si="3">IFERROR($Q197/$O197,"")</f>
        <v/>
      </c>
      <c r="S197" s="126">
        <f>IF(OR(Table_Leaks2_Input[[#This Row],[Pressure at leak (psig)]]=0, Table_Leaks2_Input[[#This Row],[Pressure at leak (psig)]]=""),0,IF(Table_Leaks2_Input[[#This Row],[Pressure at leak (psig)]]&lt;20, 10, MROUND(Table_Leaks2_Input[[#This Row],[Pressure at leak (psig)]], 25)))</f>
        <v>0</v>
      </c>
      <c r="T197" s="126">
        <f>ROUND(Table_Leaks2_Input[[#This Row],[dB reading]],-1)</f>
        <v>0</v>
      </c>
      <c r="U197" s="127" t="str">
        <f>_xlfn.CONCAT(Table_Leaks2_Input[[#This Row],[Rounded dB Reading]],"psig ", Table_Leaks2_Input[[#This Row],[Rounded PSIG]],"db")</f>
        <v>0psig 0db</v>
      </c>
    </row>
    <row r="198" spans="2:21" x14ac:dyDescent="0.2">
      <c r="B198" s="121">
        <v>394</v>
      </c>
      <c r="C198" s="128"/>
      <c r="D198" s="129"/>
      <c r="E198" s="130"/>
      <c r="F198" s="130"/>
      <c r="G198" s="130"/>
      <c r="H198" s="130"/>
      <c r="I198" s="131"/>
      <c r="J198" s="131"/>
      <c r="K198" s="122" t="str">
        <f>IFERROR(INDEX(TABLE_UE_dB[Leak Size (cfm)], MATCH(Table_Leaks2_Input[[#This Row],[Lookup Value]], TABLE_UE_dB[Lookup Value], 0)),"")</f>
        <v/>
      </c>
      <c r="L198" s="123" t="str">
        <f>IF(Table_Leaks2_Input[[#This Row],[Repaired (Y/N)]]="Yes", Value_LeakRepairIR, "")</f>
        <v/>
      </c>
      <c r="M198" s="124" t="str">
        <f>IFERROR(Table_Leaks2_Input[[#This Row],[Estimated leak size (cfm)]]*Value_WeightAvgCompEff*Value_SysAOH,"" )</f>
        <v/>
      </c>
      <c r="N198" s="125" t="str">
        <f>IFERROR(Table_Leaks2_Input[[#This Row],[Estimated leak size (cfm)]]*Value_WeightAvgCompEff,"" )</f>
        <v/>
      </c>
      <c r="O198" s="123" t="str">
        <f>IFERROR(Table_Leaks2_Input[[#This Row],[Energy savings (kWh)]]*Input_AvgkWhRate, "")</f>
        <v/>
      </c>
      <c r="P198" s="123" t="str">
        <f>IF(Table_Leaks2_Input[[#This Row],[Pressure at leak (psig)]]="", "",Table_Leaks2_Input[[#This Row],[Total equipment cost]]+Table_Leaks2_Input[[#This Row],[Total labor cost]])</f>
        <v/>
      </c>
      <c r="Q198" s="123" t="str">
        <f>IFERROR(Table_Leaks2_Input[[#This Row],[Gross measure cost]]-Table_Leaks2_Input[[#This Row],[Estimated incentive]], "")</f>
        <v/>
      </c>
      <c r="R198" s="124" t="str">
        <f t="shared" si="3"/>
        <v/>
      </c>
      <c r="S198" s="126">
        <f>IF(OR(Table_Leaks2_Input[[#This Row],[Pressure at leak (psig)]]=0, Table_Leaks2_Input[[#This Row],[Pressure at leak (psig)]]=""),0,IF(Table_Leaks2_Input[[#This Row],[Pressure at leak (psig)]]&lt;20, 10, MROUND(Table_Leaks2_Input[[#This Row],[Pressure at leak (psig)]], 25)))</f>
        <v>0</v>
      </c>
      <c r="T198" s="126">
        <f>ROUND(Table_Leaks2_Input[[#This Row],[dB reading]],-1)</f>
        <v>0</v>
      </c>
      <c r="U198" s="127" t="str">
        <f>_xlfn.CONCAT(Table_Leaks2_Input[[#This Row],[Rounded dB Reading]],"psig ", Table_Leaks2_Input[[#This Row],[Rounded PSIG]],"db")</f>
        <v>0psig 0db</v>
      </c>
    </row>
    <row r="199" spans="2:21" x14ac:dyDescent="0.2">
      <c r="B199" s="121">
        <v>395</v>
      </c>
      <c r="C199" s="128"/>
      <c r="D199" s="129"/>
      <c r="E199" s="130"/>
      <c r="F199" s="130"/>
      <c r="G199" s="130"/>
      <c r="H199" s="130"/>
      <c r="I199" s="131"/>
      <c r="J199" s="131"/>
      <c r="K199" s="122" t="str">
        <f>IFERROR(INDEX(TABLE_UE_dB[Leak Size (cfm)], MATCH(Table_Leaks2_Input[[#This Row],[Lookup Value]], TABLE_UE_dB[Lookup Value], 0)),"")</f>
        <v/>
      </c>
      <c r="L199" s="123" t="str">
        <f>IF(Table_Leaks2_Input[[#This Row],[Repaired (Y/N)]]="Yes", Value_LeakRepairIR, "")</f>
        <v/>
      </c>
      <c r="M199" s="124" t="str">
        <f>IFERROR(Table_Leaks2_Input[[#This Row],[Estimated leak size (cfm)]]*Value_WeightAvgCompEff*Value_SysAOH,"" )</f>
        <v/>
      </c>
      <c r="N199" s="125" t="str">
        <f>IFERROR(Table_Leaks2_Input[[#This Row],[Estimated leak size (cfm)]]*Value_WeightAvgCompEff,"" )</f>
        <v/>
      </c>
      <c r="O199" s="123" t="str">
        <f>IFERROR(Table_Leaks2_Input[[#This Row],[Energy savings (kWh)]]*Input_AvgkWhRate, "")</f>
        <v/>
      </c>
      <c r="P199" s="123" t="str">
        <f>IF(Table_Leaks2_Input[[#This Row],[Pressure at leak (psig)]]="", "",Table_Leaks2_Input[[#This Row],[Total equipment cost]]+Table_Leaks2_Input[[#This Row],[Total labor cost]])</f>
        <v/>
      </c>
      <c r="Q199" s="123" t="str">
        <f>IFERROR(Table_Leaks2_Input[[#This Row],[Gross measure cost]]-Table_Leaks2_Input[[#This Row],[Estimated incentive]], "")</f>
        <v/>
      </c>
      <c r="R199" s="124" t="str">
        <f t="shared" si="3"/>
        <v/>
      </c>
      <c r="S199" s="126">
        <f>IF(OR(Table_Leaks2_Input[[#This Row],[Pressure at leak (psig)]]=0, Table_Leaks2_Input[[#This Row],[Pressure at leak (psig)]]=""),0,IF(Table_Leaks2_Input[[#This Row],[Pressure at leak (psig)]]&lt;20, 10, MROUND(Table_Leaks2_Input[[#This Row],[Pressure at leak (psig)]], 25)))</f>
        <v>0</v>
      </c>
      <c r="T199" s="126">
        <f>ROUND(Table_Leaks2_Input[[#This Row],[dB reading]],-1)</f>
        <v>0</v>
      </c>
      <c r="U199" s="127" t="str">
        <f>_xlfn.CONCAT(Table_Leaks2_Input[[#This Row],[Rounded dB Reading]],"psig ", Table_Leaks2_Input[[#This Row],[Rounded PSIG]],"db")</f>
        <v>0psig 0db</v>
      </c>
    </row>
    <row r="200" spans="2:21" x14ac:dyDescent="0.2">
      <c r="B200" s="121">
        <v>396</v>
      </c>
      <c r="C200" s="128"/>
      <c r="D200" s="129"/>
      <c r="E200" s="130"/>
      <c r="F200" s="130"/>
      <c r="G200" s="130"/>
      <c r="H200" s="130"/>
      <c r="I200" s="131"/>
      <c r="J200" s="131"/>
      <c r="K200" s="122" t="str">
        <f>IFERROR(INDEX(TABLE_UE_dB[Leak Size (cfm)], MATCH(Table_Leaks2_Input[[#This Row],[Lookup Value]], TABLE_UE_dB[Lookup Value], 0)),"")</f>
        <v/>
      </c>
      <c r="L200" s="123" t="str">
        <f>IF(Table_Leaks2_Input[[#This Row],[Repaired (Y/N)]]="Yes", Value_LeakRepairIR, "")</f>
        <v/>
      </c>
      <c r="M200" s="124" t="str">
        <f>IFERROR(Table_Leaks2_Input[[#This Row],[Estimated leak size (cfm)]]*Value_WeightAvgCompEff*Value_SysAOH,"" )</f>
        <v/>
      </c>
      <c r="N200" s="125" t="str">
        <f>IFERROR(Table_Leaks2_Input[[#This Row],[Estimated leak size (cfm)]]*Value_WeightAvgCompEff,"" )</f>
        <v/>
      </c>
      <c r="O200" s="123" t="str">
        <f>IFERROR(Table_Leaks2_Input[[#This Row],[Energy savings (kWh)]]*Input_AvgkWhRate, "")</f>
        <v/>
      </c>
      <c r="P200" s="123" t="str">
        <f>IF(Table_Leaks2_Input[[#This Row],[Pressure at leak (psig)]]="", "",Table_Leaks2_Input[[#This Row],[Total equipment cost]]+Table_Leaks2_Input[[#This Row],[Total labor cost]])</f>
        <v/>
      </c>
      <c r="Q200" s="123" t="str">
        <f>IFERROR(Table_Leaks2_Input[[#This Row],[Gross measure cost]]-Table_Leaks2_Input[[#This Row],[Estimated incentive]], "")</f>
        <v/>
      </c>
      <c r="R200" s="124" t="str">
        <f t="shared" si="3"/>
        <v/>
      </c>
      <c r="S200" s="126">
        <f>IF(OR(Table_Leaks2_Input[[#This Row],[Pressure at leak (psig)]]=0, Table_Leaks2_Input[[#This Row],[Pressure at leak (psig)]]=""),0,IF(Table_Leaks2_Input[[#This Row],[Pressure at leak (psig)]]&lt;20, 10, MROUND(Table_Leaks2_Input[[#This Row],[Pressure at leak (psig)]], 25)))</f>
        <v>0</v>
      </c>
      <c r="T200" s="126">
        <f>ROUND(Table_Leaks2_Input[[#This Row],[dB reading]],-1)</f>
        <v>0</v>
      </c>
      <c r="U200" s="127" t="str">
        <f>_xlfn.CONCAT(Table_Leaks2_Input[[#This Row],[Rounded dB Reading]],"psig ", Table_Leaks2_Input[[#This Row],[Rounded PSIG]],"db")</f>
        <v>0psig 0db</v>
      </c>
    </row>
    <row r="201" spans="2:21" x14ac:dyDescent="0.2">
      <c r="B201" s="121">
        <v>397</v>
      </c>
      <c r="C201" s="128"/>
      <c r="D201" s="129"/>
      <c r="E201" s="130"/>
      <c r="F201" s="130"/>
      <c r="G201" s="130"/>
      <c r="H201" s="130"/>
      <c r="I201" s="131"/>
      <c r="J201" s="131"/>
      <c r="K201" s="122" t="str">
        <f>IFERROR(INDEX(TABLE_UE_dB[Leak Size (cfm)], MATCH(Table_Leaks2_Input[[#This Row],[Lookup Value]], TABLE_UE_dB[Lookup Value], 0)),"")</f>
        <v/>
      </c>
      <c r="L201" s="123" t="str">
        <f>IF(Table_Leaks2_Input[[#This Row],[Repaired (Y/N)]]="Yes", Value_LeakRepairIR, "")</f>
        <v/>
      </c>
      <c r="M201" s="124" t="str">
        <f>IFERROR(Table_Leaks2_Input[[#This Row],[Estimated leak size (cfm)]]*Value_WeightAvgCompEff*Value_SysAOH,"" )</f>
        <v/>
      </c>
      <c r="N201" s="125" t="str">
        <f>IFERROR(Table_Leaks2_Input[[#This Row],[Estimated leak size (cfm)]]*Value_WeightAvgCompEff,"" )</f>
        <v/>
      </c>
      <c r="O201" s="123" t="str">
        <f>IFERROR(Table_Leaks2_Input[[#This Row],[Energy savings (kWh)]]*Input_AvgkWhRate, "")</f>
        <v/>
      </c>
      <c r="P201" s="123" t="str">
        <f>IF(Table_Leaks2_Input[[#This Row],[Pressure at leak (psig)]]="", "",Table_Leaks2_Input[[#This Row],[Total equipment cost]]+Table_Leaks2_Input[[#This Row],[Total labor cost]])</f>
        <v/>
      </c>
      <c r="Q201" s="123" t="str">
        <f>IFERROR(Table_Leaks2_Input[[#This Row],[Gross measure cost]]-Table_Leaks2_Input[[#This Row],[Estimated incentive]], "")</f>
        <v/>
      </c>
      <c r="R201" s="124" t="str">
        <f t="shared" si="3"/>
        <v/>
      </c>
      <c r="S201" s="126">
        <f>IF(OR(Table_Leaks2_Input[[#This Row],[Pressure at leak (psig)]]=0, Table_Leaks2_Input[[#This Row],[Pressure at leak (psig)]]=""),0,IF(Table_Leaks2_Input[[#This Row],[Pressure at leak (psig)]]&lt;20, 10, MROUND(Table_Leaks2_Input[[#This Row],[Pressure at leak (psig)]], 25)))</f>
        <v>0</v>
      </c>
      <c r="T201" s="126">
        <f>ROUND(Table_Leaks2_Input[[#This Row],[dB reading]],-1)</f>
        <v>0</v>
      </c>
      <c r="U201" s="127" t="str">
        <f>_xlfn.CONCAT(Table_Leaks2_Input[[#This Row],[Rounded dB Reading]],"psig ", Table_Leaks2_Input[[#This Row],[Rounded PSIG]],"db")</f>
        <v>0psig 0db</v>
      </c>
    </row>
    <row r="202" spans="2:21" x14ac:dyDescent="0.2">
      <c r="B202" s="121">
        <v>398</v>
      </c>
      <c r="C202" s="128"/>
      <c r="D202" s="129"/>
      <c r="E202" s="130"/>
      <c r="F202" s="130"/>
      <c r="G202" s="130"/>
      <c r="H202" s="130"/>
      <c r="I202" s="131"/>
      <c r="J202" s="131"/>
      <c r="K202" s="122" t="str">
        <f>IFERROR(INDEX(TABLE_UE_dB[Leak Size (cfm)], MATCH(Table_Leaks2_Input[[#This Row],[Lookup Value]], TABLE_UE_dB[Lookup Value], 0)),"")</f>
        <v/>
      </c>
      <c r="L202" s="123" t="str">
        <f>IF(Table_Leaks2_Input[[#This Row],[Repaired (Y/N)]]="Yes", Value_LeakRepairIR, "")</f>
        <v/>
      </c>
      <c r="M202" s="124" t="str">
        <f>IFERROR(Table_Leaks2_Input[[#This Row],[Estimated leak size (cfm)]]*Value_WeightAvgCompEff*Value_SysAOH,"" )</f>
        <v/>
      </c>
      <c r="N202" s="125" t="str">
        <f>IFERROR(Table_Leaks2_Input[[#This Row],[Estimated leak size (cfm)]]*Value_WeightAvgCompEff,"" )</f>
        <v/>
      </c>
      <c r="O202" s="123" t="str">
        <f>IFERROR(Table_Leaks2_Input[[#This Row],[Energy savings (kWh)]]*Input_AvgkWhRate, "")</f>
        <v/>
      </c>
      <c r="P202" s="123" t="str">
        <f>IF(Table_Leaks2_Input[[#This Row],[Pressure at leak (psig)]]="", "",Table_Leaks2_Input[[#This Row],[Total equipment cost]]+Table_Leaks2_Input[[#This Row],[Total labor cost]])</f>
        <v/>
      </c>
      <c r="Q202" s="123" t="str">
        <f>IFERROR(Table_Leaks2_Input[[#This Row],[Gross measure cost]]-Table_Leaks2_Input[[#This Row],[Estimated incentive]], "")</f>
        <v/>
      </c>
      <c r="R202" s="124" t="str">
        <f t="shared" si="3"/>
        <v/>
      </c>
      <c r="S202" s="126">
        <f>IF(OR(Table_Leaks2_Input[[#This Row],[Pressure at leak (psig)]]=0, Table_Leaks2_Input[[#This Row],[Pressure at leak (psig)]]=""),0,IF(Table_Leaks2_Input[[#This Row],[Pressure at leak (psig)]]&lt;20, 10, MROUND(Table_Leaks2_Input[[#This Row],[Pressure at leak (psig)]], 25)))</f>
        <v>0</v>
      </c>
      <c r="T202" s="126">
        <f>ROUND(Table_Leaks2_Input[[#This Row],[dB reading]],-1)</f>
        <v>0</v>
      </c>
      <c r="U202" s="127" t="str">
        <f>_xlfn.CONCAT(Table_Leaks2_Input[[#This Row],[Rounded dB Reading]],"psig ", Table_Leaks2_Input[[#This Row],[Rounded PSIG]],"db")</f>
        <v>0psig 0db</v>
      </c>
    </row>
    <row r="203" spans="2:21" x14ac:dyDescent="0.2">
      <c r="B203" s="121">
        <v>399</v>
      </c>
      <c r="C203" s="128"/>
      <c r="D203" s="129"/>
      <c r="E203" s="130"/>
      <c r="F203" s="130"/>
      <c r="G203" s="130"/>
      <c r="H203" s="130"/>
      <c r="I203" s="131"/>
      <c r="J203" s="131"/>
      <c r="K203" s="122" t="str">
        <f>IFERROR(INDEX(TABLE_UE_dB[Leak Size (cfm)], MATCH(Table_Leaks2_Input[[#This Row],[Lookup Value]], TABLE_UE_dB[Lookup Value], 0)),"")</f>
        <v/>
      </c>
      <c r="L203" s="123" t="str">
        <f>IF(Table_Leaks2_Input[[#This Row],[Repaired (Y/N)]]="Yes", Value_LeakRepairIR, "")</f>
        <v/>
      </c>
      <c r="M203" s="124" t="str">
        <f>IFERROR(Table_Leaks2_Input[[#This Row],[Estimated leak size (cfm)]]*Value_WeightAvgCompEff*Value_SysAOH,"" )</f>
        <v/>
      </c>
      <c r="N203" s="125" t="str">
        <f>IFERROR(Table_Leaks2_Input[[#This Row],[Estimated leak size (cfm)]]*Value_WeightAvgCompEff,"" )</f>
        <v/>
      </c>
      <c r="O203" s="123" t="str">
        <f>IFERROR(Table_Leaks2_Input[[#This Row],[Energy savings (kWh)]]*Input_AvgkWhRate, "")</f>
        <v/>
      </c>
      <c r="P203" s="123" t="str">
        <f>IF(Table_Leaks2_Input[[#This Row],[Pressure at leak (psig)]]="", "",Table_Leaks2_Input[[#This Row],[Total equipment cost]]+Table_Leaks2_Input[[#This Row],[Total labor cost]])</f>
        <v/>
      </c>
      <c r="Q203" s="123" t="str">
        <f>IFERROR(Table_Leaks2_Input[[#This Row],[Gross measure cost]]-Table_Leaks2_Input[[#This Row],[Estimated incentive]], "")</f>
        <v/>
      </c>
      <c r="R203" s="124" t="str">
        <f t="shared" si="3"/>
        <v/>
      </c>
      <c r="S203" s="126">
        <f>IF(OR(Table_Leaks2_Input[[#This Row],[Pressure at leak (psig)]]=0, Table_Leaks2_Input[[#This Row],[Pressure at leak (psig)]]=""),0,IF(Table_Leaks2_Input[[#This Row],[Pressure at leak (psig)]]&lt;20, 10, MROUND(Table_Leaks2_Input[[#This Row],[Pressure at leak (psig)]], 25)))</f>
        <v>0</v>
      </c>
      <c r="T203" s="126">
        <f>ROUND(Table_Leaks2_Input[[#This Row],[dB reading]],-1)</f>
        <v>0</v>
      </c>
      <c r="U203" s="127" t="str">
        <f>_xlfn.CONCAT(Table_Leaks2_Input[[#This Row],[Rounded dB Reading]],"psig ", Table_Leaks2_Input[[#This Row],[Rounded PSIG]],"db")</f>
        <v>0psig 0db</v>
      </c>
    </row>
    <row r="204" spans="2:21" x14ac:dyDescent="0.2">
      <c r="B204" s="121">
        <v>400</v>
      </c>
      <c r="C204" s="128"/>
      <c r="D204" s="129"/>
      <c r="E204" s="130"/>
      <c r="F204" s="130"/>
      <c r="G204" s="130"/>
      <c r="H204" s="130"/>
      <c r="I204" s="131"/>
      <c r="J204" s="131"/>
      <c r="K204" s="122" t="str">
        <f>IFERROR(INDEX(TABLE_UE_dB[Leak Size (cfm)], MATCH(Table_Leaks2_Input[[#This Row],[Lookup Value]], TABLE_UE_dB[Lookup Value], 0)),"")</f>
        <v/>
      </c>
      <c r="L204" s="123" t="str">
        <f>IF(Table_Leaks2_Input[[#This Row],[Repaired (Y/N)]]="Yes", Value_LeakRepairIR, "")</f>
        <v/>
      </c>
      <c r="M204" s="124" t="str">
        <f>IFERROR(Table_Leaks2_Input[[#This Row],[Estimated leak size (cfm)]]*Value_WeightAvgCompEff*Value_SysAOH,"" )</f>
        <v/>
      </c>
      <c r="N204" s="125" t="str">
        <f>IFERROR(Table_Leaks2_Input[[#This Row],[Estimated leak size (cfm)]]*Value_WeightAvgCompEff,"" )</f>
        <v/>
      </c>
      <c r="O204" s="123" t="str">
        <f>IFERROR(Table_Leaks2_Input[[#This Row],[Energy savings (kWh)]]*Input_AvgkWhRate, "")</f>
        <v/>
      </c>
      <c r="P204" s="123" t="str">
        <f>IF(Table_Leaks2_Input[[#This Row],[Pressure at leak (psig)]]="", "",Table_Leaks2_Input[[#This Row],[Total equipment cost]]+Table_Leaks2_Input[[#This Row],[Total labor cost]])</f>
        <v/>
      </c>
      <c r="Q204" s="123" t="str">
        <f>IFERROR(Table_Leaks2_Input[[#This Row],[Gross measure cost]]-Table_Leaks2_Input[[#This Row],[Estimated incentive]], "")</f>
        <v/>
      </c>
      <c r="R204" s="124" t="str">
        <f t="shared" si="3"/>
        <v/>
      </c>
      <c r="S204" s="126">
        <f>IF(OR(Table_Leaks2_Input[[#This Row],[Pressure at leak (psig)]]=0, Table_Leaks2_Input[[#This Row],[Pressure at leak (psig)]]=""),0,IF(Table_Leaks2_Input[[#This Row],[Pressure at leak (psig)]]&lt;20, 10, MROUND(Table_Leaks2_Input[[#This Row],[Pressure at leak (psig)]], 25)))</f>
        <v>0</v>
      </c>
      <c r="T204" s="126">
        <f>ROUND(Table_Leaks2_Input[[#This Row],[dB reading]],-1)</f>
        <v>0</v>
      </c>
      <c r="U204" s="127" t="str">
        <f>_xlfn.CONCAT(Table_Leaks2_Input[[#This Row],[Rounded dB Reading]],"psig ", Table_Leaks2_Input[[#This Row],[Rounded PSIG]],"db")</f>
        <v>0psig 0db</v>
      </c>
    </row>
    <row r="205" spans="2:21" x14ac:dyDescent="0.2"/>
    <row r="206" spans="2:21" x14ac:dyDescent="0.2">
      <c r="B206" s="72" t="s">
        <v>36</v>
      </c>
    </row>
    <row r="207" spans="2:21" x14ac:dyDescent="0.2">
      <c r="B207" s="72" t="str">
        <f>Value_Application_Version</f>
        <v>Version 1.3 PY14</v>
      </c>
    </row>
    <row r="208" spans="2:21" x14ac:dyDescent="0.2"/>
    <row r="209" spans="1:46" x14ac:dyDescent="0.2">
      <c r="A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row>
    <row r="210" spans="1:46" x14ac:dyDescent="0.2">
      <c r="A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row>
    <row r="211" spans="1:46" x14ac:dyDescent="0.2">
      <c r="A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row>
    <row r="212" spans="1:46" x14ac:dyDescent="0.2">
      <c r="A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row>
    <row r="213" spans="1:46" x14ac:dyDescent="0.2">
      <c r="A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row>
    <row r="214" spans="1:46" x14ac:dyDescent="0.2">
      <c r="A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row>
    <row r="215" spans="1:46" x14ac:dyDescent="0.2">
      <c r="A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row>
    <row r="216" spans="1:46" x14ac:dyDescent="0.2">
      <c r="A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row>
    <row r="217" spans="1:46" x14ac:dyDescent="0.2">
      <c r="A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row>
    <row r="218" spans="1:46" x14ac:dyDescent="0.2">
      <c r="A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row>
    <row r="219" spans="1:46" x14ac:dyDescent="0.2">
      <c r="A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row>
    <row r="220" spans="1:46" x14ac:dyDescent="0.2">
      <c r="A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row>
    <row r="221" spans="1:46" x14ac:dyDescent="0.2">
      <c r="A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row>
    <row r="222" spans="1:46" x14ac:dyDescent="0.2">
      <c r="A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row>
    <row r="223" spans="1:46" x14ac:dyDescent="0.2">
      <c r="A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row>
    <row r="224" spans="1:46" x14ac:dyDescent="0.2">
      <c r="A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row>
    <row r="225" spans="1:46" x14ac:dyDescent="0.2">
      <c r="A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row>
    <row r="226" spans="1:46" x14ac:dyDescent="0.2">
      <c r="A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row>
    <row r="227" spans="1:46" x14ac:dyDescent="0.2">
      <c r="A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row>
    <row r="228" spans="1:46" x14ac:dyDescent="0.2">
      <c r="A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row>
    <row r="229" spans="1:46" x14ac:dyDescent="0.2">
      <c r="A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row>
    <row r="230" spans="1:46" x14ac:dyDescent="0.2">
      <c r="A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row>
    <row r="231" spans="1:46" x14ac:dyDescent="0.2">
      <c r="A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row>
    <row r="232" spans="1:46" x14ac:dyDescent="0.2">
      <c r="A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row>
    <row r="233" spans="1:46" x14ac:dyDescent="0.2">
      <c r="A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row>
    <row r="234" spans="1:46" x14ac:dyDescent="0.2">
      <c r="A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row>
    <row r="235" spans="1:46" x14ac:dyDescent="0.2">
      <c r="A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row>
    <row r="236" spans="1:46" x14ac:dyDescent="0.2">
      <c r="A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row>
    <row r="237" spans="1:46" x14ac:dyDescent="0.2">
      <c r="A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row>
    <row r="238" spans="1:46" x14ac:dyDescent="0.2">
      <c r="A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row>
    <row r="239" spans="1:46" x14ac:dyDescent="0.2">
      <c r="A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row>
    <row r="240" spans="1:46" x14ac:dyDescent="0.2">
      <c r="A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row>
    <row r="241" spans="1:46" x14ac:dyDescent="0.2">
      <c r="A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row>
    <row r="242" spans="1:46" x14ac:dyDescent="0.2">
      <c r="A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row>
    <row r="243" spans="1:46" x14ac:dyDescent="0.2">
      <c r="A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row>
    <row r="244" spans="1:46" x14ac:dyDescent="0.2">
      <c r="A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row>
    <row r="245" spans="1:46" x14ac:dyDescent="0.2">
      <c r="A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row>
    <row r="246" spans="1:46" x14ac:dyDescent="0.2">
      <c r="A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row>
    <row r="247" spans="1:46" x14ac:dyDescent="0.2">
      <c r="A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row>
    <row r="248" spans="1:46" x14ac:dyDescent="0.2">
      <c r="A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row>
    <row r="249" spans="1:46" x14ac:dyDescent="0.2">
      <c r="A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row>
    <row r="250" spans="1:46" x14ac:dyDescent="0.2">
      <c r="A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row>
    <row r="251" spans="1:46" x14ac:dyDescent="0.2">
      <c r="A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row>
    <row r="252" spans="1:46" x14ac:dyDescent="0.2">
      <c r="A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row>
    <row r="253" spans="1:46" x14ac:dyDescent="0.2">
      <c r="A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row>
    <row r="254" spans="1:46" x14ac:dyDescent="0.2">
      <c r="A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row>
    <row r="255" spans="1:46" x14ac:dyDescent="0.2">
      <c r="A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row>
    <row r="256" spans="1:46" x14ac:dyDescent="0.2">
      <c r="A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row>
    <row r="257" spans="1:46" x14ac:dyDescent="0.2">
      <c r="A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row>
    <row r="258" spans="1:46" x14ac:dyDescent="0.2">
      <c r="A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row>
    <row r="259" spans="1:46" x14ac:dyDescent="0.2">
      <c r="A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row>
    <row r="260" spans="1:46" x14ac:dyDescent="0.2">
      <c r="A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row>
    <row r="261" spans="1:46" x14ac:dyDescent="0.2">
      <c r="A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row>
    <row r="262" spans="1:46" x14ac:dyDescent="0.2">
      <c r="A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row>
    <row r="263" spans="1:46" x14ac:dyDescent="0.2">
      <c r="A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row>
    <row r="264" spans="1:46" x14ac:dyDescent="0.2">
      <c r="A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row>
    <row r="265" spans="1:46" x14ac:dyDescent="0.2">
      <c r="A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row>
    <row r="266" spans="1:46" x14ac:dyDescent="0.2">
      <c r="A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row>
    <row r="267" spans="1:46" x14ac:dyDescent="0.2">
      <c r="A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row>
    <row r="268" spans="1:46" x14ac:dyDescent="0.2">
      <c r="A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row>
    <row r="269" spans="1:46" x14ac:dyDescent="0.2">
      <c r="A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row>
    <row r="270" spans="1:46" x14ac:dyDescent="0.2">
      <c r="A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row>
    <row r="271" spans="1:46" x14ac:dyDescent="0.2">
      <c r="A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row>
    <row r="272" spans="1:46" x14ac:dyDescent="0.2">
      <c r="A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row>
    <row r="273" spans="1:46" x14ac:dyDescent="0.2">
      <c r="A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row>
    <row r="274" spans="1:46" x14ac:dyDescent="0.2">
      <c r="A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row>
    <row r="275" spans="1:46" x14ac:dyDescent="0.2">
      <c r="A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row>
    <row r="276" spans="1:46" x14ac:dyDescent="0.2">
      <c r="A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row>
    <row r="277" spans="1:46" x14ac:dyDescent="0.2">
      <c r="A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row>
    <row r="278" spans="1:46" x14ac:dyDescent="0.2">
      <c r="A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row>
    <row r="279" spans="1:46" x14ac:dyDescent="0.2">
      <c r="A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row>
    <row r="280" spans="1:46" x14ac:dyDescent="0.2">
      <c r="A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row>
    <row r="281" spans="1:46" x14ac:dyDescent="0.2">
      <c r="A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row>
    <row r="282" spans="1:46" x14ac:dyDescent="0.2">
      <c r="A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row>
    <row r="283" spans="1:46" x14ac:dyDescent="0.2">
      <c r="A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row>
    <row r="284" spans="1:46" x14ac:dyDescent="0.2">
      <c r="A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row>
    <row r="285" spans="1:46" x14ac:dyDescent="0.2">
      <c r="A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row>
    <row r="286" spans="1:46" x14ac:dyDescent="0.2">
      <c r="A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row>
    <row r="287" spans="1:46" x14ac:dyDescent="0.2">
      <c r="A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row>
    <row r="288" spans="1:46" x14ac:dyDescent="0.2">
      <c r="A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row>
    <row r="289" spans="1:46" x14ac:dyDescent="0.2">
      <c r="A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row>
    <row r="290" spans="1:46" x14ac:dyDescent="0.2">
      <c r="A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row>
    <row r="291" spans="1:46" x14ac:dyDescent="0.2">
      <c r="A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row>
    <row r="292" spans="1:46" x14ac:dyDescent="0.2">
      <c r="A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row>
    <row r="293" spans="1:46" x14ac:dyDescent="0.2">
      <c r="A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row>
    <row r="294" spans="1:46" x14ac:dyDescent="0.2">
      <c r="A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row>
    <row r="295" spans="1:46" x14ac:dyDescent="0.2">
      <c r="A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row>
    <row r="296" spans="1:46" x14ac:dyDescent="0.2">
      <c r="A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row>
    <row r="297" spans="1:46" x14ac:dyDescent="0.2">
      <c r="A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row>
    <row r="298" spans="1:46" x14ac:dyDescent="0.2">
      <c r="A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row>
    <row r="299" spans="1:46" x14ac:dyDescent="0.2">
      <c r="A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row>
    <row r="300" spans="1:46" x14ac:dyDescent="0.2">
      <c r="A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row>
    <row r="301" spans="1:46" x14ac:dyDescent="0.2">
      <c r="A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row>
    <row r="302" spans="1:46" x14ac:dyDescent="0.2">
      <c r="A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row>
    <row r="303" spans="1:46" x14ac:dyDescent="0.2">
      <c r="A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row>
    <row r="304" spans="1:46" x14ac:dyDescent="0.2">
      <c r="A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row>
    <row r="305" spans="1:46" x14ac:dyDescent="0.2">
      <c r="A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row>
    <row r="306" spans="1:46" x14ac:dyDescent="0.2">
      <c r="A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row>
    <row r="307" spans="1:46" x14ac:dyDescent="0.2">
      <c r="A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row>
    <row r="308" spans="1:46" x14ac:dyDescent="0.2">
      <c r="A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row>
    <row r="309" spans="1:46" x14ac:dyDescent="0.2">
      <c r="A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row>
    <row r="310" spans="1:46" x14ac:dyDescent="0.2">
      <c r="A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row>
    <row r="311" spans="1:46" x14ac:dyDescent="0.2">
      <c r="A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row>
    <row r="312" spans="1:46" x14ac:dyDescent="0.2">
      <c r="A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row>
    <row r="313" spans="1:46" x14ac:dyDescent="0.2">
      <c r="A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row>
    <row r="314" spans="1:46" x14ac:dyDescent="0.2">
      <c r="A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row>
    <row r="315" spans="1:46" x14ac:dyDescent="0.2">
      <c r="A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row>
    <row r="316" spans="1:46" x14ac:dyDescent="0.2">
      <c r="A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row>
    <row r="317" spans="1:46" x14ac:dyDescent="0.2">
      <c r="A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row>
    <row r="318" spans="1:46" x14ac:dyDescent="0.2">
      <c r="A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row>
    <row r="319" spans="1:46" x14ac:dyDescent="0.2">
      <c r="A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row>
    <row r="320" spans="1:46" x14ac:dyDescent="0.2">
      <c r="A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row>
    <row r="321" spans="1:46" x14ac:dyDescent="0.2">
      <c r="A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row>
    <row r="322" spans="1:46" x14ac:dyDescent="0.2">
      <c r="A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row>
    <row r="323" spans="1:46" x14ac:dyDescent="0.2">
      <c r="A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row>
    <row r="324" spans="1:46" x14ac:dyDescent="0.2">
      <c r="A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row>
    <row r="325" spans="1:46" x14ac:dyDescent="0.2">
      <c r="A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row>
    <row r="326" spans="1:46" x14ac:dyDescent="0.2">
      <c r="A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row>
    <row r="327" spans="1:46" x14ac:dyDescent="0.2">
      <c r="A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row>
    <row r="328" spans="1:46" x14ac:dyDescent="0.2">
      <c r="A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row>
    <row r="329" spans="1:46" x14ac:dyDescent="0.2">
      <c r="A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row>
    <row r="330" spans="1:46" x14ac:dyDescent="0.2">
      <c r="A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row>
    <row r="331" spans="1:46" x14ac:dyDescent="0.2">
      <c r="A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row>
    <row r="332" spans="1:46" x14ac:dyDescent="0.2">
      <c r="A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row>
    <row r="333" spans="1:46" x14ac:dyDescent="0.2">
      <c r="A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row>
    <row r="334" spans="1:46" x14ac:dyDescent="0.2">
      <c r="A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row>
    <row r="335" spans="1:46" x14ac:dyDescent="0.2">
      <c r="A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row>
    <row r="336" spans="1:46" x14ac:dyDescent="0.2">
      <c r="A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row>
    <row r="337" spans="1:46" x14ac:dyDescent="0.2">
      <c r="A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row>
    <row r="338" spans="1:46" x14ac:dyDescent="0.2">
      <c r="A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row>
    <row r="339" spans="1:46" x14ac:dyDescent="0.2">
      <c r="A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row>
    <row r="340" spans="1:46" x14ac:dyDescent="0.2">
      <c r="A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row>
    <row r="341" spans="1:46" x14ac:dyDescent="0.2">
      <c r="A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row>
    <row r="342" spans="1:46" x14ac:dyDescent="0.2">
      <c r="A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row>
    <row r="343" spans="1:46" x14ac:dyDescent="0.2">
      <c r="A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row>
    <row r="344" spans="1:46" x14ac:dyDescent="0.2">
      <c r="A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row>
    <row r="345" spans="1:46" x14ac:dyDescent="0.2">
      <c r="A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row>
    <row r="346" spans="1:46" x14ac:dyDescent="0.2">
      <c r="A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row>
    <row r="347" spans="1:46" x14ac:dyDescent="0.2">
      <c r="A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row>
    <row r="348" spans="1:46" x14ac:dyDescent="0.2">
      <c r="A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row>
    <row r="349" spans="1:46" x14ac:dyDescent="0.2">
      <c r="A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row>
    <row r="350" spans="1:46" x14ac:dyDescent="0.2">
      <c r="A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row>
    <row r="351" spans="1:46" x14ac:dyDescent="0.2">
      <c r="A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row>
    <row r="352" spans="1:46" x14ac:dyDescent="0.2">
      <c r="A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row>
    <row r="353" spans="1:46" x14ac:dyDescent="0.2">
      <c r="A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row>
  </sheetData>
  <sheetProtection algorithmName="SHA-512" hashValue="T09di4svRMOIWyJfgFUpN+DX78M/f2KAECRmEaBqRjhqSjj2pAlN7AJiKSxycGW190GXHWccIQcSWLpW4WThKQ==" saltValue="Dhjlsf8YU6/k60f+k4kJpA==" spinCount="100000" sheet="1" selectLockedCells="1"/>
  <mergeCells count="2">
    <mergeCell ref="B2:O2"/>
    <mergeCell ref="I3:R3"/>
  </mergeCells>
  <conditionalFormatting sqref="I5:J204">
    <cfRule type="expression" dxfId="118" priority="1">
      <formula>OR($E5="", #REF!=0)</formula>
    </cfRule>
  </conditionalFormatting>
  <dataValidations count="1">
    <dataValidation type="list" allowBlank="1" showInputMessage="1" showErrorMessage="1" sqref="H5:H204" xr:uid="{C38AD90A-A1F1-4379-8452-919342D67833}">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26"/>
  <sheetViews>
    <sheetView showGridLines="0" showRowColHeaders="0" workbookViewId="0">
      <selection activeCell="B3" sqref="B3:G4"/>
    </sheetView>
  </sheetViews>
  <sheetFormatPr defaultColWidth="9.140625" defaultRowHeight="12.75" x14ac:dyDescent="0.2"/>
  <cols>
    <col min="1" max="1" width="1.7109375" style="76" customWidth="1"/>
    <col min="2" max="2" width="29.28515625" style="76" customWidth="1"/>
    <col min="3" max="7" width="17.85546875" style="76" customWidth="1"/>
    <col min="8" max="8" width="14.7109375" style="76" customWidth="1"/>
    <col min="9" max="16384" width="9.140625" style="76"/>
  </cols>
  <sheetData>
    <row r="1" spans="2:7" ht="58.15" customHeight="1" x14ac:dyDescent="0.2"/>
    <row r="2" spans="2:7" s="95" customFormat="1" ht="21" customHeight="1" x14ac:dyDescent="0.2">
      <c r="B2" s="209" t="s">
        <v>155</v>
      </c>
      <c r="C2" s="209"/>
      <c r="D2" s="209"/>
      <c r="E2" s="209"/>
      <c r="F2" s="94"/>
      <c r="G2" s="94"/>
    </row>
    <row r="3" spans="2:7" ht="21.6" customHeight="1" x14ac:dyDescent="0.2">
      <c r="B3" s="232" t="s">
        <v>156</v>
      </c>
      <c r="C3" s="232"/>
      <c r="D3" s="232"/>
      <c r="E3" s="232"/>
      <c r="F3" s="232"/>
      <c r="G3" s="232"/>
    </row>
    <row r="4" spans="2:7" ht="21.6" customHeight="1" x14ac:dyDescent="0.2">
      <c r="B4" s="232"/>
      <c r="C4" s="232"/>
      <c r="D4" s="232"/>
      <c r="E4" s="232"/>
      <c r="F4" s="232"/>
      <c r="G4" s="232"/>
    </row>
    <row r="5" spans="2:7" ht="16.899999999999999" customHeight="1" x14ac:dyDescent="0.2"/>
    <row r="6" spans="2:7" ht="32.450000000000003" customHeight="1" x14ac:dyDescent="0.2">
      <c r="B6" s="231" t="s">
        <v>157</v>
      </c>
      <c r="C6" s="159" t="s">
        <v>158</v>
      </c>
      <c r="D6" s="159" t="s">
        <v>159</v>
      </c>
      <c r="E6" s="159" t="s">
        <v>160</v>
      </c>
      <c r="F6" s="159" t="s">
        <v>161</v>
      </c>
    </row>
    <row r="7" spans="2:7" ht="21.6" customHeight="1" x14ac:dyDescent="0.2">
      <c r="B7" s="231"/>
      <c r="C7" s="139">
        <f>Table_Summary_FinDetails[[#Totals],[Gross project cost]]</f>
        <v>0</v>
      </c>
      <c r="D7" s="139" t="e">
        <f>Table_Summary_FinDetails[[#Totals],[Estimated incentive]]</f>
        <v>#DIV/0!</v>
      </c>
      <c r="E7" s="139" t="e">
        <f>Table_Summary_FinDetails[[#Totals],[Net project cost]]</f>
        <v>#DIV/0!</v>
      </c>
      <c r="F7" s="140" cm="1">
        <f t="array" ref="F7">Table_Summary_EnergySav[Energy savings (kWh)]</f>
        <v>0</v>
      </c>
    </row>
    <row r="9" spans="2:7" ht="15.75" x14ac:dyDescent="0.25">
      <c r="B9" s="203" t="s">
        <v>162</v>
      </c>
      <c r="C9" s="204"/>
      <c r="D9" s="204"/>
    </row>
    <row r="10" spans="2:7" ht="12.75" customHeight="1" x14ac:dyDescent="0.2">
      <c r="B10" s="99" t="s">
        <v>163</v>
      </c>
      <c r="C10" s="234" t="str">
        <f>_xlfn.CONCAT('Fill in the Application'!C$5, ", ",'Fill in the Application'!$C$4)</f>
        <v xml:space="preserve">, </v>
      </c>
      <c r="D10" s="234"/>
    </row>
    <row r="11" spans="2:7" ht="25.5" customHeight="1" x14ac:dyDescent="0.2">
      <c r="B11" s="99" t="s">
        <v>164</v>
      </c>
      <c r="C11" s="234" t="str">
        <f>_xlfn.CONCAT('Fill in the Application'!$C$17, ", ",'Fill in the Application'!$C$16)</f>
        <v xml:space="preserve">, </v>
      </c>
      <c r="D11" s="234"/>
    </row>
    <row r="12" spans="2:7" ht="12.75" customHeight="1" x14ac:dyDescent="0.2">
      <c r="B12" s="99" t="s">
        <v>165</v>
      </c>
      <c r="C12" s="234" t="str">
        <f>_xlfn.CONCAT('Fill in the Application'!$C$27, ", ",'Fill in the Application'!$C$26)</f>
        <v xml:space="preserve">, </v>
      </c>
      <c r="D12" s="234"/>
    </row>
    <row r="14" spans="2:7" ht="15.75" x14ac:dyDescent="0.25">
      <c r="B14" s="203" t="s">
        <v>166</v>
      </c>
      <c r="C14" s="204"/>
      <c r="D14" s="204"/>
    </row>
    <row r="15" spans="2:7" ht="25.5" x14ac:dyDescent="0.2">
      <c r="B15" s="160" t="s">
        <v>167</v>
      </c>
      <c r="C15" s="160" t="s">
        <v>154</v>
      </c>
      <c r="D15" s="160" t="s">
        <v>168</v>
      </c>
    </row>
    <row r="16" spans="2:7" x14ac:dyDescent="0.2">
      <c r="B16" s="141" t="str">
        <f>Caps!B3</f>
        <v>Prescriptive</v>
      </c>
      <c r="C16" s="140">
        <f>Caps!D3</f>
        <v>0</v>
      </c>
      <c r="D16" s="142">
        <f>Caps!E3</f>
        <v>0</v>
      </c>
    </row>
    <row r="18" spans="2:7" ht="15.75" x14ac:dyDescent="0.25">
      <c r="B18" s="233" t="s">
        <v>169</v>
      </c>
      <c r="C18" s="233"/>
      <c r="D18" s="233"/>
      <c r="E18" s="233"/>
      <c r="F18" s="233"/>
      <c r="G18" s="233"/>
    </row>
    <row r="19" spans="2:7" ht="25.5" x14ac:dyDescent="0.2">
      <c r="B19" s="160" t="s">
        <v>167</v>
      </c>
      <c r="C19" s="160" t="s">
        <v>144</v>
      </c>
      <c r="D19" s="160" t="s">
        <v>170</v>
      </c>
      <c r="E19" s="160" t="s">
        <v>142</v>
      </c>
      <c r="F19" s="160" t="s">
        <v>160</v>
      </c>
      <c r="G19" s="160" t="s">
        <v>147</v>
      </c>
    </row>
    <row r="20" spans="2:7" x14ac:dyDescent="0.2">
      <c r="B20" s="141" t="str">
        <f>Caps!B3</f>
        <v>Prescriptive</v>
      </c>
      <c r="C20" s="143">
        <f>INDEX(Table_Measure_Caps[Cost Savings Total], MATCH(Table_Summary_FinDetails[[#This Row],[Incentive type]],Table_Measure_Caps[Measure Type], 0))</f>
        <v>0</v>
      </c>
      <c r="D20" s="143">
        <f>INDEX(Table_Measure_Caps[Gross Measure Cost Total], MATCH(Table_Summary_FinDetails[[#This Row],[Incentive type]],Table_Measure_Caps[Measure Type], 0))</f>
        <v>0</v>
      </c>
      <c r="E20" s="143" t="e">
        <f>Caps!J3</f>
        <v>#DIV/0!</v>
      </c>
      <c r="F20" s="143" t="e">
        <f>Table_Summary_FinDetails[[#This Row],[Gross project cost]]-Table_Summary_FinDetails[[#This Row],[Estimated incentive]]</f>
        <v>#DIV/0!</v>
      </c>
      <c r="G20" s="144" t="str">
        <f>IFERROR(Table_Summary_FinDetails[[#This Row],[Net project cost]]/Table_Summary_FinDetails[[#This Row],[Cost savings]],"")</f>
        <v/>
      </c>
    </row>
    <row r="22" spans="2:7" ht="12.75" customHeight="1" x14ac:dyDescent="0.2">
      <c r="B22" s="141"/>
      <c r="C22" s="141"/>
      <c r="D22" s="141"/>
      <c r="E22" s="141"/>
      <c r="F22" s="141"/>
      <c r="G22" s="141"/>
    </row>
    <row r="23" spans="2:7" x14ac:dyDescent="0.2">
      <c r="B23" s="145" t="s">
        <v>171</v>
      </c>
      <c r="C23" s="146">
        <f>SUBTOTAL(109,Table_Summary_FinDetails[Cost savings])</f>
        <v>0</v>
      </c>
      <c r="D23" s="146">
        <f>SUBTOTAL(109,Table_Summary_FinDetails[Gross project cost])</f>
        <v>0</v>
      </c>
      <c r="E23" s="146" t="e">
        <f>SUBTOTAL(109,Table_Summary_FinDetails[Estimated incentive])</f>
        <v>#DIV/0!</v>
      </c>
      <c r="F23" s="146" t="e">
        <f>SUBTOTAL(109,Table_Summary_FinDetails[Net project cost])</f>
        <v>#DIV/0!</v>
      </c>
      <c r="G23" s="147" t="e">
        <f>Table_Summary_FinDetails[[#Totals],[Net project cost]]/Table_Summary_FinDetails[[#Totals],[Cost savings]]</f>
        <v>#DIV/0!</v>
      </c>
    </row>
    <row r="25" spans="2:7" x14ac:dyDescent="0.2">
      <c r="B25" s="76" t="s">
        <v>36</v>
      </c>
    </row>
    <row r="26" spans="2:7" x14ac:dyDescent="0.2">
      <c r="B26" s="76" t="str">
        <f>Value_Application_Version</f>
        <v>Version 1.3 PY14</v>
      </c>
    </row>
  </sheetData>
  <sheetProtection algorithmName="SHA-512" hashValue="0PpKH15uDoHBvy5cZIlfMHWKtlk8HVnpXl3IhIbFz/7KH/BcI5+VuPxQX+USE6WvSs+ZHCR8EKDwsSU3TkZOLg==" saltValue="sJQp/dOim0bR0Q3GqD4mkw==" spinCount="100000" sheet="1" objects="1" scenarios="1"/>
  <mergeCells count="9">
    <mergeCell ref="B9:D9"/>
    <mergeCell ref="B6:B7"/>
    <mergeCell ref="B3:G4"/>
    <mergeCell ref="B18:G18"/>
    <mergeCell ref="B2:E2"/>
    <mergeCell ref="B14:D14"/>
    <mergeCell ref="C10:D10"/>
    <mergeCell ref="C11:D11"/>
    <mergeCell ref="C12:D12"/>
  </mergeCells>
  <pageMargins left="0.25" right="0.25" top="0.75" bottom="0.75" header="0.3" footer="0.3"/>
  <pageSetup orientation="portrait" r:id="rId1"/>
  <ignoredErrors>
    <ignoredError sqref="C21:E21" calculatedColumn="1"/>
  </ignoredErrors>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006E51"/>
  </sheetPr>
  <dimension ref="B1:G52"/>
  <sheetViews>
    <sheetView showGridLines="0" showRowColHeaders="0" workbookViewId="0">
      <selection activeCell="D29" sqref="D29:D30"/>
    </sheetView>
  </sheetViews>
  <sheetFormatPr defaultColWidth="9.140625" defaultRowHeight="12.75" x14ac:dyDescent="0.2"/>
  <cols>
    <col min="1" max="1" width="1.7109375" style="76" customWidth="1"/>
    <col min="2" max="2" width="18.85546875" style="76" customWidth="1"/>
    <col min="3" max="7" width="17.85546875" style="76" customWidth="1"/>
    <col min="8" max="8" width="14.7109375" style="76" customWidth="1"/>
    <col min="9" max="16384" width="9.140625" style="76"/>
  </cols>
  <sheetData>
    <row r="1" spans="2:7" ht="64.900000000000006" customHeight="1" x14ac:dyDescent="0.2"/>
    <row r="2" spans="2:7" s="95" customFormat="1" ht="34.5" customHeight="1" x14ac:dyDescent="0.2">
      <c r="B2" s="209" t="s">
        <v>177</v>
      </c>
      <c r="C2" s="209"/>
      <c r="D2" s="209"/>
      <c r="E2" s="209"/>
      <c r="F2" s="94"/>
      <c r="G2" s="94"/>
    </row>
    <row r="3" spans="2:7" ht="34.9" customHeight="1" x14ac:dyDescent="0.2">
      <c r="B3" s="241" t="s">
        <v>434</v>
      </c>
      <c r="C3" s="241"/>
      <c r="D3" s="241"/>
      <c r="E3" s="241"/>
      <c r="F3" s="241"/>
      <c r="G3" s="241"/>
    </row>
    <row r="4" spans="2:7" ht="32.25" customHeight="1" x14ac:dyDescent="0.2">
      <c r="B4" s="244" t="s">
        <v>435</v>
      </c>
      <c r="C4" s="244"/>
      <c r="D4" s="244"/>
      <c r="E4" s="244"/>
      <c r="F4" s="244"/>
      <c r="G4" s="244"/>
    </row>
    <row r="5" spans="2:7" ht="21" customHeight="1" x14ac:dyDescent="0.2"/>
    <row r="6" spans="2:7" ht="28.5" customHeight="1" x14ac:dyDescent="0.2">
      <c r="B6" s="242" t="s">
        <v>157</v>
      </c>
      <c r="C6" s="96" t="s">
        <v>158</v>
      </c>
      <c r="D6" s="96" t="s">
        <v>159</v>
      </c>
      <c r="E6" s="96" t="s">
        <v>160</v>
      </c>
      <c r="F6" s="96" t="s">
        <v>161</v>
      </c>
    </row>
    <row r="7" spans="2:7" ht="19.5" customHeight="1" x14ac:dyDescent="0.2">
      <c r="B7" s="242"/>
      <c r="C7" s="139">
        <f>Gross_Proj_Cost</f>
        <v>0</v>
      </c>
      <c r="D7" s="139" t="e">
        <f>Total_Incentive</f>
        <v>#DIV/0!</v>
      </c>
      <c r="E7" s="139" t="e">
        <f>Net_Project_Cost</f>
        <v>#DIV/0!</v>
      </c>
      <c r="F7" s="151">
        <f>Project_Energy_Savings</f>
        <v>0</v>
      </c>
    </row>
    <row r="9" spans="2:7" ht="15.75" x14ac:dyDescent="0.25">
      <c r="B9" s="243" t="str">
        <f>'Fill in the Application'!B3</f>
        <v>Entergy New Orleans customer information</v>
      </c>
      <c r="C9" s="243"/>
      <c r="D9" s="243"/>
      <c r="E9" s="243"/>
      <c r="F9" s="243"/>
    </row>
    <row r="10" spans="2:7" x14ac:dyDescent="0.2">
      <c r="B10" s="237" t="s">
        <v>66</v>
      </c>
      <c r="C10" s="237"/>
      <c r="D10" s="234">
        <f>'Fill in the Application'!C4</f>
        <v>0</v>
      </c>
      <c r="E10" s="234"/>
      <c r="F10" s="234"/>
    </row>
    <row r="11" spans="2:7" x14ac:dyDescent="0.2">
      <c r="B11" s="237" t="s">
        <v>68</v>
      </c>
      <c r="C11" s="237"/>
      <c r="D11" s="234">
        <f>'Fill in the Application'!C5</f>
        <v>0</v>
      </c>
      <c r="E11" s="234"/>
      <c r="F11" s="234"/>
    </row>
    <row r="12" spans="2:7" ht="12.75" customHeight="1" x14ac:dyDescent="0.2">
      <c r="B12" s="237" t="s">
        <v>89</v>
      </c>
      <c r="C12" s="237"/>
      <c r="D12" s="234" t="str">
        <f>_xlfn.CONCAT('Fill in the Application'!C6,", ",'Fill in the Application'!C7,", ",'Fill in the Application'!C8,", ",'Fill in the Application'!C9)</f>
        <v xml:space="preserve">, , , </v>
      </c>
      <c r="E12" s="234"/>
      <c r="F12" s="234"/>
    </row>
    <row r="13" spans="2:7" x14ac:dyDescent="0.2">
      <c r="B13" s="237" t="s">
        <v>79</v>
      </c>
      <c r="C13" s="237"/>
      <c r="D13" s="234">
        <f>'Fill in the Application'!C12</f>
        <v>0</v>
      </c>
      <c r="E13" s="234"/>
      <c r="F13" s="234"/>
    </row>
    <row r="15" spans="2:7" ht="15.75" customHeight="1" x14ac:dyDescent="0.2">
      <c r="B15" s="238" t="s">
        <v>84</v>
      </c>
      <c r="C15" s="238"/>
      <c r="D15" s="238"/>
      <c r="E15" s="238"/>
      <c r="F15" s="238"/>
    </row>
    <row r="16" spans="2:7" x14ac:dyDescent="0.2">
      <c r="B16" s="237" t="s">
        <v>86</v>
      </c>
      <c r="C16" s="237"/>
      <c r="D16" s="234">
        <f>'Fill in the Application'!C16</f>
        <v>0</v>
      </c>
      <c r="E16" s="234"/>
      <c r="F16" s="234"/>
    </row>
    <row r="17" spans="2:7" x14ac:dyDescent="0.2">
      <c r="B17" s="237" t="s">
        <v>88</v>
      </c>
      <c r="C17" s="237"/>
      <c r="D17" s="234">
        <f>'Fill in the Application'!C17</f>
        <v>0</v>
      </c>
      <c r="E17" s="234"/>
      <c r="F17" s="234"/>
    </row>
    <row r="18" spans="2:7" ht="12.75" customHeight="1" x14ac:dyDescent="0.2">
      <c r="B18" s="237" t="s">
        <v>89</v>
      </c>
      <c r="C18" s="237"/>
      <c r="D18" s="234" t="str">
        <f>_xlfn.CONCAT('Fill in the Application'!C18,", ",'Fill in the Application'!C19,", ",'Fill in the Application'!C20,", ",'Fill in the Application'!C21)</f>
        <v xml:space="preserve">, , , </v>
      </c>
      <c r="E18" s="234"/>
      <c r="F18" s="234"/>
    </row>
    <row r="19" spans="2:7" x14ac:dyDescent="0.2">
      <c r="B19" s="237" t="s">
        <v>94</v>
      </c>
      <c r="C19" s="237"/>
      <c r="D19" s="234">
        <f>'Fill in the Application'!C24</f>
        <v>0</v>
      </c>
      <c r="E19" s="234"/>
      <c r="F19" s="234"/>
    </row>
    <row r="21" spans="2:7" ht="15.75" customHeight="1" x14ac:dyDescent="0.2">
      <c r="B21" s="238" t="s">
        <v>102</v>
      </c>
      <c r="C21" s="238"/>
      <c r="D21" s="238"/>
      <c r="E21" s="238"/>
      <c r="F21" s="238"/>
    </row>
    <row r="22" spans="2:7" x14ac:dyDescent="0.2">
      <c r="B22" s="237" t="s">
        <v>178</v>
      </c>
      <c r="C22" s="237"/>
      <c r="D22" s="234">
        <f>'Fill in the Application'!F32</f>
        <v>0</v>
      </c>
      <c r="E22" s="234"/>
      <c r="F22" s="234"/>
    </row>
    <row r="23" spans="2:7" x14ac:dyDescent="0.2">
      <c r="B23" s="237" t="s">
        <v>436</v>
      </c>
      <c r="C23" s="237"/>
      <c r="D23" s="234">
        <f>'Fill in the Application'!F33</f>
        <v>0</v>
      </c>
      <c r="E23" s="234"/>
      <c r="F23" s="234"/>
    </row>
    <row r="24" spans="2:7" x14ac:dyDescent="0.2">
      <c r="B24" s="237" t="s">
        <v>89</v>
      </c>
      <c r="C24" s="237"/>
      <c r="D24" s="234" t="str">
        <f>IF(D22="Customer",D12,IF(D22="Trade Ally/Contractor",D18,IF(D22="Additional Contact",_xlfn.CONCAT('Fill in the Application'!C28,", ",'Fill in the Application'!C29,", ",'Fill in the Application'!C30,", ",'Fill in the Application'!C31),IF(D22="Job Site",_xlfn.CONCAT('Fill in the Application'!F16,", ",'Fill in the Application'!F17,", ",'Fill in the Application'!F18,", ",'Fill in the Application'!F19),""))))</f>
        <v/>
      </c>
      <c r="E24" s="234"/>
      <c r="F24" s="234"/>
    </row>
    <row r="25" spans="2:7" x14ac:dyDescent="0.2">
      <c r="B25" s="237" t="s">
        <v>106</v>
      </c>
      <c r="C25" s="237"/>
      <c r="D25" s="234">
        <f>'Fill in the Application'!F34</f>
        <v>0</v>
      </c>
      <c r="E25" s="234"/>
      <c r="F25" s="234"/>
    </row>
    <row r="26" spans="2:7" x14ac:dyDescent="0.2">
      <c r="B26" s="237" t="s">
        <v>108</v>
      </c>
      <c r="C26" s="237"/>
      <c r="D26" s="234">
        <f>'Fill in the Application'!F35</f>
        <v>0</v>
      </c>
      <c r="E26" s="234"/>
      <c r="F26" s="234"/>
    </row>
    <row r="27" spans="2:7" x14ac:dyDescent="0.2">
      <c r="B27" s="237" t="s">
        <v>110</v>
      </c>
      <c r="C27" s="237"/>
      <c r="D27" s="234">
        <f>'Fill in the Application'!F36</f>
        <v>0</v>
      </c>
      <c r="E27" s="234"/>
      <c r="F27" s="234"/>
    </row>
    <row r="29" spans="2:7" ht="12.75" customHeight="1" x14ac:dyDescent="0.2">
      <c r="B29" s="235" t="s">
        <v>179</v>
      </c>
      <c r="C29" s="235"/>
      <c r="D29" s="236"/>
    </row>
    <row r="30" spans="2:7" x14ac:dyDescent="0.2">
      <c r="B30" s="235"/>
      <c r="C30" s="235"/>
      <c r="D30" s="236"/>
    </row>
    <row r="32" spans="2:7" ht="11.25" customHeight="1" x14ac:dyDescent="0.2">
      <c r="B32" s="240" t="s">
        <v>437</v>
      </c>
      <c r="C32" s="240"/>
      <c r="D32" s="240"/>
      <c r="E32" s="240"/>
      <c r="F32" s="240"/>
      <c r="G32" s="240"/>
    </row>
    <row r="33" spans="2:7" x14ac:dyDescent="0.2">
      <c r="B33" s="240"/>
      <c r="C33" s="240"/>
      <c r="D33" s="240"/>
      <c r="E33" s="240"/>
      <c r="F33" s="240"/>
      <c r="G33" s="240"/>
    </row>
    <row r="34" spans="2:7" x14ac:dyDescent="0.2">
      <c r="B34" s="240"/>
      <c r="C34" s="240"/>
      <c r="D34" s="240"/>
      <c r="E34" s="240"/>
      <c r="F34" s="240"/>
      <c r="G34" s="240"/>
    </row>
    <row r="35" spans="2:7" x14ac:dyDescent="0.2">
      <c r="B35" s="240"/>
      <c r="C35" s="240"/>
      <c r="D35" s="240"/>
      <c r="E35" s="240"/>
      <c r="F35" s="240"/>
      <c r="G35" s="240"/>
    </row>
    <row r="36" spans="2:7" x14ac:dyDescent="0.2">
      <c r="B36" s="240"/>
      <c r="C36" s="240"/>
      <c r="D36" s="240"/>
      <c r="E36" s="240"/>
      <c r="F36" s="240"/>
      <c r="G36" s="240"/>
    </row>
    <row r="37" spans="2:7" x14ac:dyDescent="0.2">
      <c r="B37" s="152" t="s">
        <v>175</v>
      </c>
      <c r="C37" s="152"/>
      <c r="F37" s="152" t="s">
        <v>176</v>
      </c>
      <c r="G37" s="102"/>
    </row>
    <row r="38" spans="2:7" x14ac:dyDescent="0.2">
      <c r="B38" s="239"/>
      <c r="C38" s="239"/>
      <c r="D38" s="239"/>
      <c r="F38" s="100"/>
      <c r="G38" s="102"/>
    </row>
    <row r="39" spans="2:7" x14ac:dyDescent="0.2">
      <c r="B39" s="102"/>
      <c r="C39" s="102"/>
      <c r="D39" s="102"/>
      <c r="E39" s="102"/>
      <c r="F39" s="102"/>
      <c r="G39" s="102"/>
    </row>
    <row r="40" spans="2:7" x14ac:dyDescent="0.2">
      <c r="B40" s="76" t="s">
        <v>36</v>
      </c>
    </row>
    <row r="41" spans="2:7" x14ac:dyDescent="0.2">
      <c r="B41" s="76" t="str">
        <f>Value_Application_Version</f>
        <v>Version 1.3 PY14</v>
      </c>
    </row>
    <row r="43" spans="2:7" x14ac:dyDescent="0.2">
      <c r="C43" s="153"/>
    </row>
    <row r="45" spans="2:7" x14ac:dyDescent="0.2">
      <c r="C45" s="154"/>
    </row>
    <row r="48" spans="2:7" x14ac:dyDescent="0.2">
      <c r="D48" s="153"/>
      <c r="E48" s="153"/>
    </row>
    <row r="51" spans="4:4" x14ac:dyDescent="0.2">
      <c r="D51" s="153"/>
    </row>
    <row r="52" spans="4:4" x14ac:dyDescent="0.2">
      <c r="D52" s="153"/>
    </row>
  </sheetData>
  <sheetProtection algorithmName="SHA-512" hashValue="A91PNpEWgy8WKmaS5oAaK1p8JTDWe00Cdbdf+qiPe38VoYINzZQ0bz0QbOFDsNaKSInvzNaxLpmT51uFLytt7g==" saltValue="4WJs3l/CYxsj/AkRYqRcrA==" spinCount="100000" sheet="1" objects="1" scenarios="1"/>
  <mergeCells count="39">
    <mergeCell ref="B2:E2"/>
    <mergeCell ref="B3:G3"/>
    <mergeCell ref="B6:B7"/>
    <mergeCell ref="B9:F9"/>
    <mergeCell ref="B4:G4"/>
    <mergeCell ref="B15:F15"/>
    <mergeCell ref="B13:C13"/>
    <mergeCell ref="B10:C10"/>
    <mergeCell ref="B11:C11"/>
    <mergeCell ref="B12:C12"/>
    <mergeCell ref="B16:C16"/>
    <mergeCell ref="B17:C17"/>
    <mergeCell ref="B18:C18"/>
    <mergeCell ref="D18:F18"/>
    <mergeCell ref="D19:F19"/>
    <mergeCell ref="B21:F21"/>
    <mergeCell ref="D23:F23"/>
    <mergeCell ref="B38:D38"/>
    <mergeCell ref="D10:F10"/>
    <mergeCell ref="D11:F11"/>
    <mergeCell ref="D12:F12"/>
    <mergeCell ref="D13:F13"/>
    <mergeCell ref="D16:F16"/>
    <mergeCell ref="D17:F17"/>
    <mergeCell ref="B25:C25"/>
    <mergeCell ref="B26:C26"/>
    <mergeCell ref="B27:C27"/>
    <mergeCell ref="B32:G36"/>
    <mergeCell ref="B22:C22"/>
    <mergeCell ref="B24:C24"/>
    <mergeCell ref="B19:C19"/>
    <mergeCell ref="B29:C30"/>
    <mergeCell ref="D29:D30"/>
    <mergeCell ref="D22:F22"/>
    <mergeCell ref="D24:F24"/>
    <mergeCell ref="D25:F25"/>
    <mergeCell ref="D26:F26"/>
    <mergeCell ref="D27:F27"/>
    <mergeCell ref="B23:C23"/>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Application'!$F$11="Pre-Retrofit"</xm:f>
            <x14:dxf>
              <fill>
                <patternFill>
                  <bgColor theme="2"/>
                </patternFill>
              </fill>
            </x14:dxf>
          </x14:cfRule>
          <xm:sqref>D29:D30 B38:D38 F38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2:AM53"/>
  <sheetViews>
    <sheetView workbookViewId="0">
      <selection activeCell="B8" sqref="B8"/>
    </sheetView>
  </sheetViews>
  <sheetFormatPr defaultRowHeight="12.75" x14ac:dyDescent="0.2"/>
  <cols>
    <col min="1" max="1" width="25.28515625" customWidth="1"/>
    <col min="2" max="2" width="14.28515625" bestFit="1" customWidth="1"/>
    <col min="3" max="3" width="2.85546875" customWidth="1"/>
    <col min="4" max="4" width="25.28515625" customWidth="1"/>
    <col min="5" max="5" width="12.42578125" customWidth="1"/>
    <col min="6" max="6" width="7.85546875" customWidth="1"/>
    <col min="7" max="8" width="33.7109375" style="61" customWidth="1"/>
    <col min="9" max="9" width="6.85546875" style="61" bestFit="1" customWidth="1"/>
    <col min="10" max="10" width="20.7109375" style="61" bestFit="1" customWidth="1"/>
    <col min="11" max="11" width="27.140625" style="61" bestFit="1" customWidth="1"/>
    <col min="12" max="12" width="17.7109375" style="61" bestFit="1" customWidth="1"/>
    <col min="13" max="13" width="8.7109375" style="61"/>
    <col min="14" max="14" width="43.42578125" style="61" bestFit="1" customWidth="1"/>
    <col min="15" max="15" width="17.140625" style="61" customWidth="1"/>
    <col min="16" max="16" width="8.7109375" style="61"/>
    <col min="17" max="17" width="23.140625" style="61" customWidth="1"/>
    <col min="18" max="18" width="13.140625" style="61" customWidth="1"/>
    <col min="19" max="19" width="8.7109375" style="61"/>
    <col min="20" max="20" width="11" style="61" customWidth="1"/>
    <col min="21" max="21" width="9.7109375" style="61" customWidth="1"/>
    <col min="22" max="22" width="12.7109375" style="61" customWidth="1"/>
    <col min="23" max="23" width="13.42578125" style="61" customWidth="1"/>
    <col min="25" max="25" width="25.7109375" bestFit="1" customWidth="1"/>
    <col min="26" max="26" width="25.7109375" customWidth="1"/>
    <col min="27" max="27" width="9.7109375" bestFit="1" customWidth="1"/>
    <col min="28" max="28" width="7.7109375" bestFit="1" customWidth="1"/>
    <col min="29" max="29" width="46.28515625" bestFit="1" customWidth="1"/>
    <col min="30" max="30" width="46.28515625" customWidth="1"/>
    <col min="31" max="31" width="15.42578125" bestFit="1" customWidth="1"/>
    <col min="32" max="32" width="15.140625" bestFit="1" customWidth="1"/>
    <col min="33" max="33" width="13.28515625" bestFit="1" customWidth="1"/>
    <col min="34" max="34" width="36.42578125" bestFit="1" customWidth="1"/>
    <col min="35" max="35" width="26.85546875" bestFit="1" customWidth="1"/>
    <col min="36" max="36" width="16.5703125" bestFit="1" customWidth="1"/>
    <col min="37" max="37" width="30.140625" bestFit="1" customWidth="1"/>
    <col min="38" max="38" width="15" bestFit="1" customWidth="1"/>
  </cols>
  <sheetData>
    <row r="2" spans="1:39" s="4" customFormat="1" ht="15.75" x14ac:dyDescent="0.2">
      <c r="A2" s="245" t="s">
        <v>180</v>
      </c>
      <c r="B2" s="246"/>
      <c r="D2" s="245" t="s">
        <v>181</v>
      </c>
      <c r="E2" s="246"/>
      <c r="G2" s="64" t="s">
        <v>182</v>
      </c>
      <c r="H2" s="64"/>
      <c r="I2" s="65"/>
      <c r="J2" s="65"/>
      <c r="K2" s="65"/>
      <c r="L2" s="65"/>
      <c r="M2" s="65"/>
      <c r="N2" s="64" t="s">
        <v>183</v>
      </c>
      <c r="O2" s="65"/>
      <c r="P2" s="65"/>
      <c r="Q2" s="64" t="s">
        <v>184</v>
      </c>
      <c r="R2" s="65"/>
      <c r="S2" s="65"/>
      <c r="T2" s="64" t="s">
        <v>185</v>
      </c>
      <c r="U2" s="65"/>
      <c r="V2" s="65"/>
      <c r="W2" s="65"/>
    </row>
    <row r="3" spans="1:39" s="7" customFormat="1" x14ac:dyDescent="0.2">
      <c r="A3" s="36" t="s">
        <v>186</v>
      </c>
      <c r="B3" s="40">
        <v>200000</v>
      </c>
      <c r="D3" s="36" t="s">
        <v>187</v>
      </c>
      <c r="E3" s="66" t="e">
        <f>INDEX(Table_Shift_Hours[Incentive per Leak], MATCH(Value_CASysAOH, Table_Shift_Hours[List_Comp_ShiftType],0))</f>
        <v>#N/A</v>
      </c>
      <c r="G3" s="36" t="s">
        <v>188</v>
      </c>
      <c r="H3" s="36" t="s">
        <v>189</v>
      </c>
      <c r="I3" s="61" t="s">
        <v>190</v>
      </c>
      <c r="J3" s="61" t="s">
        <v>191</v>
      </c>
      <c r="K3" s="61" t="s">
        <v>192</v>
      </c>
      <c r="L3" s="61" t="s">
        <v>193</v>
      </c>
      <c r="M3" s="61"/>
      <c r="N3" s="36" t="s">
        <v>194</v>
      </c>
      <c r="O3" s="61" t="s">
        <v>195</v>
      </c>
      <c r="P3" s="61"/>
      <c r="Q3" s="36" t="s">
        <v>196</v>
      </c>
      <c r="R3" s="61" t="s">
        <v>129</v>
      </c>
      <c r="S3" s="61"/>
      <c r="T3" s="61" t="s">
        <v>197</v>
      </c>
      <c r="U3" s="61" t="s">
        <v>198</v>
      </c>
      <c r="V3" s="61" t="s">
        <v>150</v>
      </c>
      <c r="W3" s="61" t="s">
        <v>199</v>
      </c>
      <c r="X3"/>
      <c r="Y3" s="37" t="s">
        <v>200</v>
      </c>
      <c r="Z3" s="37" t="s">
        <v>201</v>
      </c>
      <c r="AA3" s="37" t="s">
        <v>202</v>
      </c>
      <c r="AB3" s="37" t="s">
        <v>203</v>
      </c>
      <c r="AC3" s="37" t="s">
        <v>204</v>
      </c>
      <c r="AD3" s="37" t="s">
        <v>205</v>
      </c>
      <c r="AE3" s="37" t="s">
        <v>206</v>
      </c>
      <c r="AF3" s="37" t="s">
        <v>207</v>
      </c>
      <c r="AG3" s="37" t="s">
        <v>208</v>
      </c>
      <c r="AH3" s="37" t="s">
        <v>209</v>
      </c>
      <c r="AI3" s="37" t="s">
        <v>210</v>
      </c>
      <c r="AJ3" s="37" t="s">
        <v>211</v>
      </c>
      <c r="AK3" s="37" t="s">
        <v>212</v>
      </c>
      <c r="AL3" s="37" t="s">
        <v>213</v>
      </c>
      <c r="AM3"/>
    </row>
    <row r="4" spans="1:39" x14ac:dyDescent="0.2">
      <c r="A4" s="36" t="s">
        <v>214</v>
      </c>
      <c r="B4" s="40">
        <v>200000</v>
      </c>
      <c r="D4" s="36" t="s">
        <v>215</v>
      </c>
      <c r="E4" t="e">
        <f>INDEX(Table_Shift_Hours[AOH], MATCH(Value_CASysAOH, Table_Shift_Hours[List_Sys_ShiftType], 0))</f>
        <v>#N/A</v>
      </c>
      <c r="G4" s="38" t="s">
        <v>216</v>
      </c>
      <c r="H4" s="38" t="s">
        <v>216</v>
      </c>
      <c r="I4" s="61">
        <v>1976</v>
      </c>
      <c r="J4" s="63">
        <v>0.1</v>
      </c>
      <c r="K4" s="63">
        <v>14</v>
      </c>
      <c r="L4" s="63">
        <v>30</v>
      </c>
      <c r="N4" s="38" t="s">
        <v>217</v>
      </c>
      <c r="O4" s="61">
        <v>0.184</v>
      </c>
      <c r="Q4" s="38" t="s">
        <v>218</v>
      </c>
      <c r="R4" s="62">
        <v>0.9</v>
      </c>
      <c r="T4" s="61">
        <v>100</v>
      </c>
      <c r="U4" s="61">
        <v>10</v>
      </c>
      <c r="V4" s="61" t="str">
        <f t="shared" ref="V4:V35" si="0">_xlfn.CONCAT(T4,"psig ",U4, "dB")</f>
        <v>100psig 10dB</v>
      </c>
      <c r="W4" s="61">
        <v>0.5</v>
      </c>
      <c r="Y4" t="s">
        <v>219</v>
      </c>
      <c r="Z4" t="s">
        <v>220</v>
      </c>
      <c r="AA4" t="s">
        <v>221</v>
      </c>
      <c r="AB4" t="s">
        <v>221</v>
      </c>
      <c r="AC4" t="s">
        <v>222</v>
      </c>
      <c r="AD4" t="s">
        <v>223</v>
      </c>
      <c r="AE4" t="s">
        <v>224</v>
      </c>
      <c r="AF4" t="s">
        <v>225</v>
      </c>
      <c r="AG4" t="s">
        <v>226</v>
      </c>
      <c r="AH4" t="s">
        <v>227</v>
      </c>
      <c r="AI4" t="s">
        <v>228</v>
      </c>
      <c r="AJ4" t="s">
        <v>229</v>
      </c>
      <c r="AK4" t="s">
        <v>163</v>
      </c>
      <c r="AL4" t="s">
        <v>230</v>
      </c>
    </row>
    <row r="5" spans="1:39" x14ac:dyDescent="0.2">
      <c r="A5" s="36" t="s">
        <v>231</v>
      </c>
      <c r="B5" s="40">
        <v>5000</v>
      </c>
      <c r="D5" s="36" t="s">
        <v>232</v>
      </c>
      <c r="E5" s="38" t="e">
        <f>SUMPRODUCT(Table_CompData_Input[Compressor Efficiency],Table_CompData_Input[TCFM])/SUM(Table_CompData_Input[TCFM])</f>
        <v>#DIV/0!</v>
      </c>
      <c r="G5" s="38" t="s">
        <v>233</v>
      </c>
      <c r="H5" s="38" t="s">
        <v>233</v>
      </c>
      <c r="I5" s="61">
        <v>3952</v>
      </c>
      <c r="J5" s="63">
        <v>0.1</v>
      </c>
      <c r="K5" s="63">
        <v>27</v>
      </c>
      <c r="L5" s="63">
        <v>60</v>
      </c>
      <c r="N5" s="38" t="s">
        <v>234</v>
      </c>
      <c r="O5" s="61">
        <v>0.13600000000000001</v>
      </c>
      <c r="Q5" s="38" t="s">
        <v>235</v>
      </c>
      <c r="R5" s="62">
        <v>0.5</v>
      </c>
      <c r="T5" s="61">
        <v>100</v>
      </c>
      <c r="U5" s="61">
        <v>20</v>
      </c>
      <c r="V5" s="61" t="str">
        <f t="shared" si="0"/>
        <v>100psig 20dB</v>
      </c>
      <c r="W5" s="61">
        <v>0.8</v>
      </c>
      <c r="Y5" t="s">
        <v>236</v>
      </c>
      <c r="Z5" t="s">
        <v>237</v>
      </c>
      <c r="AA5" t="s">
        <v>222</v>
      </c>
      <c r="AB5" t="s">
        <v>222</v>
      </c>
      <c r="AC5" t="s">
        <v>238</v>
      </c>
      <c r="AD5" t="s">
        <v>239</v>
      </c>
      <c r="AE5" t="s">
        <v>240</v>
      </c>
      <c r="AF5" t="s">
        <v>241</v>
      </c>
      <c r="AG5" t="s">
        <v>242</v>
      </c>
      <c r="AH5" t="s">
        <v>243</v>
      </c>
      <c r="AI5" t="s">
        <v>244</v>
      </c>
      <c r="AJ5" t="s">
        <v>245</v>
      </c>
      <c r="AK5" t="s">
        <v>246</v>
      </c>
      <c r="AL5" t="s">
        <v>247</v>
      </c>
    </row>
    <row r="6" spans="1:39" x14ac:dyDescent="0.2">
      <c r="A6" s="36" t="s">
        <v>248</v>
      </c>
      <c r="B6" s="44">
        <v>1</v>
      </c>
      <c r="D6" s="36" t="s">
        <v>249</v>
      </c>
      <c r="E6" s="66" t="e">
        <f>INDEX(Table_Shift_Hours[Max Incentive Per HP], MATCH(Value_CASysAOH, Table_Shift_Hours[List_Sys_ShiftType], 0))</f>
        <v>#N/A</v>
      </c>
      <c r="G6" s="38" t="s">
        <v>250</v>
      </c>
      <c r="H6" s="38" t="s">
        <v>250</v>
      </c>
      <c r="I6" s="61">
        <v>5928</v>
      </c>
      <c r="J6" s="63">
        <v>0.09</v>
      </c>
      <c r="K6" s="63">
        <v>37</v>
      </c>
      <c r="L6" s="63">
        <v>85</v>
      </c>
      <c r="N6" s="38" t="s">
        <v>251</v>
      </c>
      <c r="O6" s="61">
        <v>0.152</v>
      </c>
      <c r="Q6" s="38" t="s">
        <v>252</v>
      </c>
      <c r="R6" s="62">
        <v>0.5</v>
      </c>
      <c r="T6" s="61">
        <v>100</v>
      </c>
      <c r="U6" s="61">
        <v>30</v>
      </c>
      <c r="V6" s="61" t="str">
        <f t="shared" si="0"/>
        <v>100psig 30dB</v>
      </c>
      <c r="W6" s="61">
        <v>1.4</v>
      </c>
      <c r="Y6" t="s">
        <v>253</v>
      </c>
      <c r="Z6" t="s">
        <v>254</v>
      </c>
      <c r="AA6" t="s">
        <v>238</v>
      </c>
      <c r="AC6" t="s">
        <v>255</v>
      </c>
      <c r="AF6" t="s">
        <v>256</v>
      </c>
      <c r="AH6" t="s">
        <v>257</v>
      </c>
      <c r="AI6" t="s">
        <v>258</v>
      </c>
      <c r="AJ6" t="s">
        <v>259</v>
      </c>
      <c r="AK6" t="s">
        <v>260</v>
      </c>
      <c r="AL6" t="s">
        <v>261</v>
      </c>
    </row>
    <row r="7" spans="1:39" x14ac:dyDescent="0.2">
      <c r="A7" s="36" t="s">
        <v>262</v>
      </c>
      <c r="B7" s="53" t="s">
        <v>439</v>
      </c>
      <c r="D7" s="36" t="s">
        <v>263</v>
      </c>
      <c r="E7" s="40" t="e">
        <f>SUM(Table_CompData_Input[Max Eligible Incentive])</f>
        <v>#N/A</v>
      </c>
      <c r="G7" s="38" t="s">
        <v>264</v>
      </c>
      <c r="H7" s="38" t="s">
        <v>264</v>
      </c>
      <c r="I7" s="61">
        <v>8320</v>
      </c>
      <c r="J7" s="63">
        <v>7.0000000000000007E-2</v>
      </c>
      <c r="K7" s="63">
        <v>40</v>
      </c>
      <c r="L7" s="63">
        <v>90</v>
      </c>
      <c r="N7" s="38" t="s">
        <v>265</v>
      </c>
      <c r="O7" s="61">
        <v>5.5E-2</v>
      </c>
      <c r="Q7" s="38" t="s">
        <v>266</v>
      </c>
      <c r="R7" s="62">
        <v>0.5</v>
      </c>
      <c r="T7" s="61">
        <v>100</v>
      </c>
      <c r="U7" s="61">
        <v>40</v>
      </c>
      <c r="V7" s="61" t="str">
        <f t="shared" si="0"/>
        <v>100psig 40dB</v>
      </c>
      <c r="W7" s="61">
        <v>1.7</v>
      </c>
      <c r="Y7" t="s">
        <v>267</v>
      </c>
      <c r="Z7" t="s">
        <v>267</v>
      </c>
      <c r="AC7" t="s">
        <v>268</v>
      </c>
      <c r="AF7" t="s">
        <v>269</v>
      </c>
      <c r="AH7" t="s">
        <v>270</v>
      </c>
      <c r="AI7" t="s">
        <v>271</v>
      </c>
      <c r="AJ7" t="s">
        <v>272</v>
      </c>
      <c r="AK7" t="s">
        <v>273</v>
      </c>
      <c r="AL7" t="s">
        <v>274</v>
      </c>
    </row>
    <row r="8" spans="1:39" x14ac:dyDescent="0.2">
      <c r="A8" s="36" t="s">
        <v>275</v>
      </c>
      <c r="B8" s="54"/>
      <c r="G8" s="38" t="s">
        <v>276</v>
      </c>
      <c r="I8" s="61">
        <v>0</v>
      </c>
      <c r="J8" s="63">
        <v>0</v>
      </c>
      <c r="K8" s="63"/>
      <c r="L8" s="63"/>
      <c r="N8" s="38" t="s">
        <v>277</v>
      </c>
      <c r="O8" s="61">
        <v>5.5E-2</v>
      </c>
      <c r="Q8" s="38" t="s">
        <v>278</v>
      </c>
      <c r="R8" s="62">
        <v>0.7</v>
      </c>
      <c r="T8" s="61">
        <v>100</v>
      </c>
      <c r="U8" s="61">
        <v>50</v>
      </c>
      <c r="V8" s="61" t="str">
        <f t="shared" si="0"/>
        <v>100psig 50dB</v>
      </c>
      <c r="W8" s="61">
        <v>2</v>
      </c>
      <c r="Y8" t="s">
        <v>279</v>
      </c>
      <c r="Z8" t="s">
        <v>280</v>
      </c>
      <c r="AC8" t="s">
        <v>281</v>
      </c>
      <c r="AH8" t="s">
        <v>282</v>
      </c>
      <c r="AI8" t="s">
        <v>283</v>
      </c>
      <c r="AJ8" t="s">
        <v>284</v>
      </c>
      <c r="AL8" t="s">
        <v>285</v>
      </c>
    </row>
    <row r="9" spans="1:39" x14ac:dyDescent="0.2">
      <c r="A9" s="36" t="s">
        <v>286</v>
      </c>
      <c r="B9" s="38" t="str">
        <f>IFERROR(INDEX(Table_Shift_Hours[Incentive Rate ($/kW)], MATCH(Value_CASysAOH, Table_Shift_Hours[List_Comp_ShiftType], 0)), "")</f>
        <v/>
      </c>
      <c r="N9" s="38" t="s">
        <v>287</v>
      </c>
      <c r="O9" s="61">
        <v>0.153</v>
      </c>
      <c r="Q9" s="38" t="s">
        <v>288</v>
      </c>
      <c r="R9" s="62">
        <v>0</v>
      </c>
      <c r="T9" s="61">
        <v>100</v>
      </c>
      <c r="U9" s="61">
        <v>60</v>
      </c>
      <c r="V9" s="61" t="str">
        <f t="shared" si="0"/>
        <v>100psig 60dB</v>
      </c>
      <c r="W9" s="61">
        <v>3.6</v>
      </c>
      <c r="Y9" t="s">
        <v>289</v>
      </c>
      <c r="Z9" t="s">
        <v>290</v>
      </c>
      <c r="AC9" t="s">
        <v>291</v>
      </c>
      <c r="AH9" t="s">
        <v>292</v>
      </c>
      <c r="AI9" t="s">
        <v>293</v>
      </c>
      <c r="AJ9" t="s">
        <v>269</v>
      </c>
      <c r="AL9" t="s">
        <v>294</v>
      </c>
    </row>
    <row r="10" spans="1:39" x14ac:dyDescent="0.2">
      <c r="A10" s="36" t="s">
        <v>295</v>
      </c>
      <c r="B10" s="38">
        <v>0.107</v>
      </c>
      <c r="N10" s="38" t="s">
        <v>296</v>
      </c>
      <c r="O10" s="61">
        <v>0.17799999999999999</v>
      </c>
      <c r="T10" s="61">
        <v>100</v>
      </c>
      <c r="U10" s="61">
        <v>70</v>
      </c>
      <c r="V10" s="61" t="str">
        <f t="shared" si="0"/>
        <v>100psig 70dB</v>
      </c>
      <c r="W10" s="61">
        <v>5.2</v>
      </c>
      <c r="Y10" t="s">
        <v>269</v>
      </c>
      <c r="AC10" t="s">
        <v>297</v>
      </c>
      <c r="AH10" t="s">
        <v>298</v>
      </c>
      <c r="AI10" t="s">
        <v>299</v>
      </c>
      <c r="AJ10" t="s">
        <v>300</v>
      </c>
      <c r="AL10" t="s">
        <v>301</v>
      </c>
    </row>
    <row r="11" spans="1:39" x14ac:dyDescent="0.2">
      <c r="A11" s="36" t="s">
        <v>302</v>
      </c>
      <c r="B11" s="44">
        <v>0.25</v>
      </c>
      <c r="T11" s="61">
        <v>100</v>
      </c>
      <c r="U11" s="61">
        <v>80</v>
      </c>
      <c r="V11" s="61" t="str">
        <f t="shared" si="0"/>
        <v>100psig 80dB</v>
      </c>
      <c r="W11" s="61">
        <v>7.7</v>
      </c>
      <c r="AC11" t="s">
        <v>303</v>
      </c>
      <c r="AH11" t="s">
        <v>304</v>
      </c>
      <c r="AL11" t="s">
        <v>305</v>
      </c>
    </row>
    <row r="12" spans="1:39" x14ac:dyDescent="0.2">
      <c r="A12" s="36" t="s">
        <v>306</v>
      </c>
      <c r="B12" s="44">
        <v>0.1</v>
      </c>
      <c r="T12" s="61">
        <v>100</v>
      </c>
      <c r="U12" s="61">
        <v>90</v>
      </c>
      <c r="V12" s="61" t="str">
        <f t="shared" si="0"/>
        <v>100psig 90dB</v>
      </c>
      <c r="W12" s="61">
        <v>8.4</v>
      </c>
      <c r="AC12" t="s">
        <v>307</v>
      </c>
      <c r="AH12" t="s">
        <v>308</v>
      </c>
      <c r="AL12" t="s">
        <v>309</v>
      </c>
    </row>
    <row r="13" spans="1:39" x14ac:dyDescent="0.2">
      <c r="T13" s="61">
        <v>100</v>
      </c>
      <c r="U13" s="61">
        <v>100</v>
      </c>
      <c r="V13" s="61" t="str">
        <f t="shared" si="0"/>
        <v>100psig 100dB</v>
      </c>
      <c r="W13" s="61">
        <v>10.6</v>
      </c>
      <c r="AC13" t="s">
        <v>310</v>
      </c>
      <c r="AH13" t="s">
        <v>311</v>
      </c>
      <c r="AL13" t="s">
        <v>269</v>
      </c>
    </row>
    <row r="14" spans="1:39" x14ac:dyDescent="0.2">
      <c r="T14" s="61">
        <v>75</v>
      </c>
      <c r="U14" s="61">
        <v>10</v>
      </c>
      <c r="V14" s="61" t="str">
        <f t="shared" si="0"/>
        <v>75psig 10dB</v>
      </c>
      <c r="W14" s="61">
        <v>0.3</v>
      </c>
      <c r="AC14" t="s">
        <v>312</v>
      </c>
      <c r="AH14" t="s">
        <v>313</v>
      </c>
    </row>
    <row r="15" spans="1:39" x14ac:dyDescent="0.2">
      <c r="T15" s="61">
        <v>75</v>
      </c>
      <c r="U15" s="61">
        <v>20</v>
      </c>
      <c r="V15" s="61" t="str">
        <f t="shared" si="0"/>
        <v>75psig 20dB</v>
      </c>
      <c r="W15" s="61">
        <v>0.9</v>
      </c>
      <c r="AH15" t="s">
        <v>314</v>
      </c>
    </row>
    <row r="16" spans="1:39" x14ac:dyDescent="0.2">
      <c r="T16" s="61">
        <v>75</v>
      </c>
      <c r="U16" s="61">
        <v>30</v>
      </c>
      <c r="V16" s="61" t="str">
        <f t="shared" si="0"/>
        <v>75psig 30dB</v>
      </c>
      <c r="W16" s="61">
        <v>1.1000000000000001</v>
      </c>
      <c r="AH16" t="s">
        <v>315</v>
      </c>
    </row>
    <row r="17" spans="20:34" x14ac:dyDescent="0.2">
      <c r="T17" s="61">
        <v>75</v>
      </c>
      <c r="U17" s="61">
        <v>40</v>
      </c>
      <c r="V17" s="61" t="str">
        <f t="shared" si="0"/>
        <v>75psig 40dB</v>
      </c>
      <c r="W17" s="61">
        <v>1.4</v>
      </c>
      <c r="AH17" t="s">
        <v>316</v>
      </c>
    </row>
    <row r="18" spans="20:34" x14ac:dyDescent="0.2">
      <c r="T18" s="61">
        <v>75</v>
      </c>
      <c r="U18" s="61">
        <v>50</v>
      </c>
      <c r="V18" s="61" t="str">
        <f t="shared" si="0"/>
        <v>75psig 50dB</v>
      </c>
      <c r="W18" s="61">
        <v>2.8</v>
      </c>
      <c r="AH18" t="s">
        <v>317</v>
      </c>
    </row>
    <row r="19" spans="20:34" x14ac:dyDescent="0.2">
      <c r="T19" s="61">
        <v>75</v>
      </c>
      <c r="U19" s="61">
        <v>60</v>
      </c>
      <c r="V19" s="61" t="str">
        <f t="shared" si="0"/>
        <v>75psig 60dB</v>
      </c>
      <c r="W19" s="61">
        <v>3</v>
      </c>
      <c r="AH19" t="s">
        <v>318</v>
      </c>
    </row>
    <row r="20" spans="20:34" x14ac:dyDescent="0.2">
      <c r="T20" s="61">
        <v>75</v>
      </c>
      <c r="U20" s="61">
        <v>70</v>
      </c>
      <c r="V20" s="61" t="str">
        <f t="shared" si="0"/>
        <v>75psig 70dB</v>
      </c>
      <c r="W20" s="61">
        <v>4.9000000000000004</v>
      </c>
      <c r="AH20" t="s">
        <v>319</v>
      </c>
    </row>
    <row r="21" spans="20:34" x14ac:dyDescent="0.2">
      <c r="T21" s="61">
        <v>75</v>
      </c>
      <c r="U21" s="61">
        <v>80</v>
      </c>
      <c r="V21" s="61" t="str">
        <f t="shared" si="0"/>
        <v>75psig 80dB</v>
      </c>
      <c r="W21" s="61">
        <v>6.8</v>
      </c>
      <c r="AH21" t="s">
        <v>320</v>
      </c>
    </row>
    <row r="22" spans="20:34" x14ac:dyDescent="0.2">
      <c r="T22" s="61">
        <v>75</v>
      </c>
      <c r="U22" s="61">
        <v>90</v>
      </c>
      <c r="V22" s="61" t="str">
        <f t="shared" si="0"/>
        <v>75psig 90dB</v>
      </c>
      <c r="W22" s="61">
        <v>7.7</v>
      </c>
      <c r="AH22" t="s">
        <v>321</v>
      </c>
    </row>
    <row r="23" spans="20:34" x14ac:dyDescent="0.2">
      <c r="T23" s="61">
        <v>75</v>
      </c>
      <c r="U23" s="61">
        <v>100</v>
      </c>
      <c r="V23" s="61" t="str">
        <f t="shared" si="0"/>
        <v>75psig 100dB</v>
      </c>
      <c r="W23" s="61">
        <v>10</v>
      </c>
      <c r="AH23" t="s">
        <v>322</v>
      </c>
    </row>
    <row r="24" spans="20:34" x14ac:dyDescent="0.2">
      <c r="T24" s="61">
        <v>50</v>
      </c>
      <c r="U24" s="61">
        <v>10</v>
      </c>
      <c r="V24" s="61" t="str">
        <f t="shared" si="0"/>
        <v>50psig 10dB</v>
      </c>
      <c r="W24" s="61">
        <v>0.2</v>
      </c>
      <c r="AH24" t="s">
        <v>323</v>
      </c>
    </row>
    <row r="25" spans="20:34" x14ac:dyDescent="0.2">
      <c r="T25" s="61">
        <v>50</v>
      </c>
      <c r="U25" s="61">
        <v>20</v>
      </c>
      <c r="V25" s="61" t="str">
        <f t="shared" si="0"/>
        <v>50psig 20dB</v>
      </c>
      <c r="W25" s="61">
        <v>0.5</v>
      </c>
      <c r="AH25" t="s">
        <v>324</v>
      </c>
    </row>
    <row r="26" spans="20:34" x14ac:dyDescent="0.2">
      <c r="T26" s="61">
        <v>50</v>
      </c>
      <c r="U26" s="61">
        <v>30</v>
      </c>
      <c r="V26" s="61" t="str">
        <f t="shared" si="0"/>
        <v>50psig 30dB</v>
      </c>
      <c r="W26" s="61">
        <v>0.8</v>
      </c>
      <c r="AH26" t="s">
        <v>325</v>
      </c>
    </row>
    <row r="27" spans="20:34" x14ac:dyDescent="0.2">
      <c r="T27" s="61">
        <v>50</v>
      </c>
      <c r="U27" s="61">
        <v>40</v>
      </c>
      <c r="V27" s="61" t="str">
        <f t="shared" si="0"/>
        <v>50psig 40dB</v>
      </c>
      <c r="W27" s="61">
        <v>1.1000000000000001</v>
      </c>
      <c r="AH27" t="s">
        <v>326</v>
      </c>
    </row>
    <row r="28" spans="20:34" x14ac:dyDescent="0.2">
      <c r="T28" s="61">
        <v>50</v>
      </c>
      <c r="U28" s="61">
        <v>50</v>
      </c>
      <c r="V28" s="61" t="str">
        <f t="shared" si="0"/>
        <v>50psig 50dB</v>
      </c>
      <c r="W28" s="61">
        <v>2.2000000000000002</v>
      </c>
      <c r="AH28" t="s">
        <v>327</v>
      </c>
    </row>
    <row r="29" spans="20:34" x14ac:dyDescent="0.2">
      <c r="T29" s="61">
        <v>50</v>
      </c>
      <c r="U29" s="61">
        <v>60</v>
      </c>
      <c r="V29" s="61" t="str">
        <f t="shared" si="0"/>
        <v>50psig 60dB</v>
      </c>
      <c r="W29" s="61">
        <v>2.8</v>
      </c>
      <c r="AH29" t="s">
        <v>328</v>
      </c>
    </row>
    <row r="30" spans="20:34" x14ac:dyDescent="0.2">
      <c r="T30" s="61">
        <v>50</v>
      </c>
      <c r="U30" s="61">
        <v>70</v>
      </c>
      <c r="V30" s="61" t="str">
        <f t="shared" si="0"/>
        <v>50psig 70dB</v>
      </c>
      <c r="W30" s="61">
        <v>3.9</v>
      </c>
      <c r="AH30" t="s">
        <v>329</v>
      </c>
    </row>
    <row r="31" spans="20:34" x14ac:dyDescent="0.2">
      <c r="T31" s="61">
        <v>50</v>
      </c>
      <c r="U31" s="61">
        <v>80</v>
      </c>
      <c r="V31" s="61" t="str">
        <f t="shared" si="0"/>
        <v>50psig 80dB</v>
      </c>
      <c r="W31" s="61">
        <v>5.6</v>
      </c>
      <c r="AH31" t="s">
        <v>330</v>
      </c>
    </row>
    <row r="32" spans="20:34" x14ac:dyDescent="0.2">
      <c r="T32" s="61">
        <v>50</v>
      </c>
      <c r="U32" s="61">
        <v>90</v>
      </c>
      <c r="V32" s="61" t="str">
        <f t="shared" si="0"/>
        <v>50psig 90dB</v>
      </c>
      <c r="W32" s="61">
        <v>7.1</v>
      </c>
      <c r="AH32" t="s">
        <v>331</v>
      </c>
    </row>
    <row r="33" spans="20:34" x14ac:dyDescent="0.2">
      <c r="T33" s="61">
        <v>50</v>
      </c>
      <c r="U33" s="61">
        <v>100</v>
      </c>
      <c r="V33" s="61" t="str">
        <f t="shared" si="0"/>
        <v>50psig 100dB</v>
      </c>
      <c r="W33" s="61">
        <v>9.6</v>
      </c>
      <c r="AH33" t="s">
        <v>332</v>
      </c>
    </row>
    <row r="34" spans="20:34" x14ac:dyDescent="0.2">
      <c r="T34" s="61">
        <v>25</v>
      </c>
      <c r="U34" s="61">
        <v>10</v>
      </c>
      <c r="V34" s="61" t="str">
        <f t="shared" si="0"/>
        <v>25psig 10dB</v>
      </c>
      <c r="W34" s="61">
        <v>0.1</v>
      </c>
      <c r="AH34" t="s">
        <v>333</v>
      </c>
    </row>
    <row r="35" spans="20:34" x14ac:dyDescent="0.2">
      <c r="T35" s="61">
        <v>25</v>
      </c>
      <c r="U35" s="61">
        <v>20</v>
      </c>
      <c r="V35" s="61" t="str">
        <f t="shared" si="0"/>
        <v>25psig 20dB</v>
      </c>
      <c r="W35" s="61">
        <v>0.3</v>
      </c>
      <c r="AH35" t="s">
        <v>334</v>
      </c>
    </row>
    <row r="36" spans="20:34" x14ac:dyDescent="0.2">
      <c r="T36" s="61">
        <v>25</v>
      </c>
      <c r="U36" s="61">
        <v>30</v>
      </c>
      <c r="V36" s="61" t="str">
        <f t="shared" ref="V36:V53" si="1">_xlfn.CONCAT(T36,"psig ",U36, "dB")</f>
        <v>25psig 30dB</v>
      </c>
      <c r="W36" s="61">
        <v>0.5</v>
      </c>
      <c r="AH36" t="s">
        <v>335</v>
      </c>
    </row>
    <row r="37" spans="20:34" x14ac:dyDescent="0.2">
      <c r="T37" s="61">
        <v>25</v>
      </c>
      <c r="U37" s="61">
        <v>40</v>
      </c>
      <c r="V37" s="61" t="str">
        <f t="shared" si="1"/>
        <v>25psig 40dB</v>
      </c>
      <c r="W37" s="61">
        <v>0.8</v>
      </c>
    </row>
    <row r="38" spans="20:34" x14ac:dyDescent="0.2">
      <c r="T38" s="61">
        <v>25</v>
      </c>
      <c r="U38" s="61">
        <v>50</v>
      </c>
      <c r="V38" s="61" t="str">
        <f t="shared" si="1"/>
        <v>25psig 50dB</v>
      </c>
      <c r="W38" s="61">
        <v>2</v>
      </c>
    </row>
    <row r="39" spans="20:34" x14ac:dyDescent="0.2">
      <c r="T39" s="61">
        <v>25</v>
      </c>
      <c r="U39" s="61">
        <v>60</v>
      </c>
      <c r="V39" s="61" t="str">
        <f t="shared" si="1"/>
        <v>25psig 60dB</v>
      </c>
      <c r="W39" s="61">
        <v>2.6</v>
      </c>
    </row>
    <row r="40" spans="20:34" x14ac:dyDescent="0.2">
      <c r="T40" s="61">
        <v>25</v>
      </c>
      <c r="U40" s="61">
        <v>70</v>
      </c>
      <c r="V40" s="61" t="str">
        <f t="shared" si="1"/>
        <v>25psig 70dB</v>
      </c>
      <c r="W40" s="61">
        <v>3.4</v>
      </c>
    </row>
    <row r="41" spans="20:34" x14ac:dyDescent="0.2">
      <c r="T41" s="61">
        <v>25</v>
      </c>
      <c r="U41" s="61">
        <v>80</v>
      </c>
      <c r="V41" s="61" t="str">
        <f t="shared" si="1"/>
        <v>25psig 80dB</v>
      </c>
      <c r="W41" s="61">
        <v>5.0999999999999996</v>
      </c>
    </row>
    <row r="42" spans="20:34" x14ac:dyDescent="0.2">
      <c r="T42" s="61">
        <v>25</v>
      </c>
      <c r="U42" s="61">
        <v>90</v>
      </c>
      <c r="V42" s="61" t="str">
        <f t="shared" si="1"/>
        <v>25psig 90dB</v>
      </c>
      <c r="W42" s="61">
        <v>6.8</v>
      </c>
    </row>
    <row r="43" spans="20:34" x14ac:dyDescent="0.2">
      <c r="T43" s="61">
        <v>25</v>
      </c>
      <c r="U43" s="61">
        <v>100</v>
      </c>
      <c r="V43" s="61" t="str">
        <f t="shared" si="1"/>
        <v>25psig 100dB</v>
      </c>
      <c r="W43" s="61">
        <v>7.3</v>
      </c>
    </row>
    <row r="44" spans="20:34" x14ac:dyDescent="0.2">
      <c r="T44" s="61">
        <v>10</v>
      </c>
      <c r="U44" s="61">
        <v>10</v>
      </c>
      <c r="V44" s="61" t="str">
        <f t="shared" si="1"/>
        <v>10psig 10dB</v>
      </c>
      <c r="W44" s="61">
        <v>0.05</v>
      </c>
    </row>
    <row r="45" spans="20:34" x14ac:dyDescent="0.2">
      <c r="T45" s="61">
        <v>10</v>
      </c>
      <c r="U45" s="61">
        <v>20</v>
      </c>
      <c r="V45" s="61" t="str">
        <f t="shared" si="1"/>
        <v>10psig 20dB</v>
      </c>
      <c r="W45" s="61">
        <v>0.15</v>
      </c>
    </row>
    <row r="46" spans="20:34" x14ac:dyDescent="0.2">
      <c r="T46" s="61">
        <v>10</v>
      </c>
      <c r="U46" s="61">
        <v>30</v>
      </c>
      <c r="V46" s="61" t="str">
        <f t="shared" si="1"/>
        <v>10psig 30dB</v>
      </c>
      <c r="W46" s="61">
        <v>0.4</v>
      </c>
    </row>
    <row r="47" spans="20:34" x14ac:dyDescent="0.2">
      <c r="T47" s="61">
        <v>10</v>
      </c>
      <c r="U47" s="61">
        <v>40</v>
      </c>
      <c r="V47" s="61" t="str">
        <f t="shared" si="1"/>
        <v>10psig 40dB</v>
      </c>
      <c r="W47" s="61">
        <v>0.5</v>
      </c>
    </row>
    <row r="48" spans="20:34" x14ac:dyDescent="0.2">
      <c r="T48" s="61">
        <v>10</v>
      </c>
      <c r="U48" s="61">
        <v>50</v>
      </c>
      <c r="V48" s="61" t="str">
        <f t="shared" si="1"/>
        <v>10psig 50dB</v>
      </c>
      <c r="W48" s="61">
        <v>1.9</v>
      </c>
    </row>
    <row r="49" spans="20:23" x14ac:dyDescent="0.2">
      <c r="T49" s="61">
        <v>10</v>
      </c>
      <c r="U49" s="61">
        <v>60</v>
      </c>
      <c r="V49" s="61" t="str">
        <f t="shared" si="1"/>
        <v>10psig 60dB</v>
      </c>
      <c r="W49" s="61">
        <v>2.2999999999999998</v>
      </c>
    </row>
    <row r="50" spans="20:23" x14ac:dyDescent="0.2">
      <c r="T50" s="61">
        <v>10</v>
      </c>
      <c r="U50" s="61">
        <v>70</v>
      </c>
      <c r="V50" s="61" t="str">
        <f t="shared" si="1"/>
        <v>10psig 70dB</v>
      </c>
      <c r="W50" s="61">
        <v>3</v>
      </c>
    </row>
    <row r="51" spans="20:23" x14ac:dyDescent="0.2">
      <c r="T51" s="61">
        <v>10</v>
      </c>
      <c r="U51" s="61">
        <v>80</v>
      </c>
      <c r="V51" s="61" t="str">
        <f t="shared" si="1"/>
        <v>10psig 80dB</v>
      </c>
      <c r="W51" s="61">
        <v>3.6</v>
      </c>
    </row>
    <row r="52" spans="20:23" x14ac:dyDescent="0.2">
      <c r="T52" s="61">
        <v>10</v>
      </c>
      <c r="U52" s="61">
        <v>90</v>
      </c>
      <c r="V52" s="61" t="str">
        <f t="shared" si="1"/>
        <v>10psig 90dB</v>
      </c>
      <c r="W52" s="61">
        <v>5.3</v>
      </c>
    </row>
    <row r="53" spans="20:23" x14ac:dyDescent="0.2">
      <c r="T53" s="61">
        <v>10</v>
      </c>
      <c r="U53" s="61">
        <v>100</v>
      </c>
      <c r="V53" s="61" t="str">
        <f t="shared" si="1"/>
        <v>10psig 100dB</v>
      </c>
      <c r="W53" s="61">
        <v>6</v>
      </c>
    </row>
  </sheetData>
  <mergeCells count="2">
    <mergeCell ref="A2:B2"/>
    <mergeCell ref="D2:E2"/>
  </mergeCells>
  <phoneticPr fontId="7"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P11"/>
  <sheetViews>
    <sheetView workbookViewId="0">
      <selection activeCell="M3" sqref="M3"/>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3" max="13" width="12" bestFit="1" customWidth="1"/>
    <col min="14" max="14" width="18.5703125" bestFit="1" customWidth="1"/>
    <col min="15" max="15" width="16.28515625" bestFit="1" customWidth="1"/>
    <col min="16" max="16" width="12" bestFit="1" customWidth="1"/>
  </cols>
  <sheetData>
    <row r="1" spans="1:16" ht="14.25" thickTop="1" thickBot="1" x14ac:dyDescent="0.25">
      <c r="A1" s="247" t="s">
        <v>336</v>
      </c>
      <c r="B1" s="247"/>
      <c r="M1" s="247" t="s">
        <v>337</v>
      </c>
      <c r="N1" s="247"/>
    </row>
    <row r="2" spans="1:16" s="7" customFormat="1" ht="26.25" thickTop="1" x14ac:dyDescent="0.2">
      <c r="A2" s="41" t="s">
        <v>338</v>
      </c>
      <c r="B2" s="41" t="s">
        <v>339</v>
      </c>
      <c r="C2" s="41" t="s">
        <v>340</v>
      </c>
      <c r="D2" s="41" t="s">
        <v>341</v>
      </c>
      <c r="E2" s="41" t="s">
        <v>342</v>
      </c>
      <c r="F2" s="41" t="s">
        <v>343</v>
      </c>
      <c r="G2" s="41" t="s">
        <v>344</v>
      </c>
      <c r="H2" s="41" t="s">
        <v>345</v>
      </c>
      <c r="I2" s="41" t="s">
        <v>346</v>
      </c>
      <c r="J2" s="41" t="s">
        <v>347</v>
      </c>
      <c r="K2" s="41"/>
      <c r="M2" t="s">
        <v>348</v>
      </c>
      <c r="N2" t="s">
        <v>349</v>
      </c>
      <c r="O2" t="s">
        <v>350</v>
      </c>
      <c r="P2" t="s">
        <v>351</v>
      </c>
    </row>
    <row r="3" spans="1:16" x14ac:dyDescent="0.2">
      <c r="A3" t="s">
        <v>352</v>
      </c>
      <c r="B3" t="s">
        <v>353</v>
      </c>
      <c r="C3" s="59">
        <f>'Input Leak Survey Details (1)'!L4</f>
        <v>0</v>
      </c>
      <c r="D3" s="57">
        <f>'Input Leak Survey Details (1)'!M4</f>
        <v>0</v>
      </c>
      <c r="E3" s="58">
        <f>'Input Leak Survey Details (1)'!N4</f>
        <v>0</v>
      </c>
      <c r="F3" s="59">
        <f>'Input Leak Survey Details (1)'!O4</f>
        <v>0</v>
      </c>
      <c r="G3" s="59">
        <f>'Input Leak Survey Details (1)'!P4</f>
        <v>0</v>
      </c>
      <c r="H3" s="59">
        <f>'Input Leak Survey Details (1)'!Q4</f>
        <v>0</v>
      </c>
      <c r="I3" s="43" t="e">
        <f>Table_Measure_Caps[[#This Row],[Estimated Raw Incentive Total]]/Table_Measure_Caps[[#This Row],[Gross Measure Cost Total]]</f>
        <v>#DIV/0!</v>
      </c>
      <c r="J3" s="42" t="e">
        <f>MIN(Value_SysMaxIncent,Table_Measure_Caps[[#This Row],[Estimated Raw Incentive Total]]*MIN(
Table_Measure_Caps[[#Totals],[Estimated Raw Incentive Total]],
Table_Measure_Caps[[#Totals],[Gross Measure Cost Total]],
Value_Project_CAP)
/Table_Measure_Caps[[#Totals],[Estimated Raw Incentive Total]])</f>
        <v>#DIV/0!</v>
      </c>
      <c r="K3" s="42"/>
      <c r="L3" s="42"/>
      <c r="M3" s="52">
        <f>Input_Bonus</f>
        <v>0</v>
      </c>
      <c r="N3" s="25" t="e">
        <f>Table_Measure_Caps[[#Totals],[Capped Incentive]]</f>
        <v>#DIV/0!</v>
      </c>
      <c r="O3" s="25" t="e">
        <f>Table_Bonus_Caps[[#This Row],[Bonus Rate]]*N3</f>
        <v>#DIV/0!</v>
      </c>
      <c r="P3" s="25" t="e">
        <f>MIN(Table_Bonus_Caps[[#This Row],[Uncapped Bonus]], Table_Measure_Caps[[#Totals],[Gross Measure Cost Total]]-Table_Measure_Caps[[#Totals],[Capped Incentive]])</f>
        <v>#DIV/0!</v>
      </c>
    </row>
    <row r="4" spans="1:16" x14ac:dyDescent="0.2">
      <c r="A4" t="s">
        <v>171</v>
      </c>
      <c r="C4" s="59">
        <f>SUBTOTAL(109,Table_Measure_Caps[Estimated Raw Incentive Total])</f>
        <v>0</v>
      </c>
      <c r="D4" s="57">
        <f>SUBTOTAL(109,Table_Measure_Caps[Energy Savings Total (kWh)])</f>
        <v>0</v>
      </c>
      <c r="E4" s="58">
        <f>SUBTOTAL(109,Table_Measure_Caps[Demand Reduction Total (kW)])</f>
        <v>0</v>
      </c>
      <c r="F4" s="59">
        <f>SUBTOTAL(109,Table_Measure_Caps[Cost Savings Total])</f>
        <v>0</v>
      </c>
      <c r="G4" s="59">
        <f>SUBTOTAL(109,Table_Measure_Caps[Gross Measure Cost Total])</f>
        <v>0</v>
      </c>
      <c r="H4" s="59">
        <f>SUBTOTAL(109,Table_Measure_Caps[Net Measure Cost Total])</f>
        <v>0</v>
      </c>
      <c r="I4" s="60" t="e">
        <f>Table_Measure_Caps[[#Totals],[Estimated Raw Incentive Total]]/Table_Measure_Caps[[#Totals],[Gross Measure Cost Total]]</f>
        <v>#DIV/0!</v>
      </c>
      <c r="J4" s="42" t="e">
        <f>SUBTOTAL(109,Table_Measure_Caps[Capped Incentive])</f>
        <v>#DIV/0!</v>
      </c>
      <c r="K4" s="42"/>
    </row>
    <row r="8" spans="1:16" x14ac:dyDescent="0.2">
      <c r="G8" s="25"/>
      <c r="H8" s="25"/>
    </row>
    <row r="11" spans="1:16" x14ac:dyDescent="0.2">
      <c r="E11" s="25"/>
    </row>
  </sheetData>
  <mergeCells count="2">
    <mergeCell ref="A1:B1"/>
    <mergeCell ref="M1:N1"/>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G27"/>
  <sheetViews>
    <sheetView workbookViewId="0">
      <selection activeCell="F17" sqref="F17"/>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32.85546875" customWidth="1"/>
  </cols>
  <sheetData>
    <row r="1" spans="1:5" ht="15" x14ac:dyDescent="0.25">
      <c r="A1" s="6" t="s">
        <v>354</v>
      </c>
      <c r="B1" s="12"/>
      <c r="E1" s="11" t="s">
        <v>355</v>
      </c>
    </row>
    <row r="2" spans="1:5" ht="15" x14ac:dyDescent="0.25">
      <c r="A2" s="6" t="s">
        <v>356</v>
      </c>
      <c r="B2" s="13"/>
      <c r="E2" s="11"/>
    </row>
    <row r="3" spans="1:5" ht="15" x14ac:dyDescent="0.25">
      <c r="A3" s="6" t="s">
        <v>357</v>
      </c>
      <c r="B3" s="14" t="str">
        <f>IFERROR('Review the Summary'!#REF!/Input_Usage,"")</f>
        <v/>
      </c>
      <c r="E3" s="11"/>
    </row>
    <row r="5" spans="1:5" x14ac:dyDescent="0.2">
      <c r="A5" t="s">
        <v>358</v>
      </c>
      <c r="B5" s="2" t="s">
        <v>359</v>
      </c>
      <c r="C5" s="2" t="s">
        <v>360</v>
      </c>
    </row>
    <row r="6" spans="1:5" x14ac:dyDescent="0.2">
      <c r="A6" s="16" t="s">
        <v>361</v>
      </c>
      <c r="B6" s="10"/>
      <c r="C6" s="10"/>
    </row>
    <row r="7" spans="1:5" x14ac:dyDescent="0.2">
      <c r="A7" s="16" t="s">
        <v>362</v>
      </c>
      <c r="B7" s="10"/>
      <c r="C7" s="10"/>
    </row>
    <row r="8" spans="1:5" x14ac:dyDescent="0.2">
      <c r="A8" s="16" t="s">
        <v>363</v>
      </c>
      <c r="B8" s="10"/>
      <c r="C8" s="10"/>
    </row>
    <row r="9" spans="1:5" x14ac:dyDescent="0.2">
      <c r="A9" s="16" t="s">
        <v>364</v>
      </c>
      <c r="B9" s="15"/>
      <c r="C9" s="15"/>
    </row>
    <row r="10" spans="1:5" x14ac:dyDescent="0.2">
      <c r="A10" s="16" t="s">
        <v>365</v>
      </c>
      <c r="B10" s="15"/>
      <c r="C10" s="15"/>
    </row>
    <row r="11" spans="1:5" x14ac:dyDescent="0.2">
      <c r="A11" s="16" t="s">
        <v>366</v>
      </c>
      <c r="B11" s="15"/>
      <c r="C11" s="15"/>
    </row>
    <row r="12" spans="1:5" x14ac:dyDescent="0.2">
      <c r="A12" s="16" t="s">
        <v>367</v>
      </c>
      <c r="B12" s="15"/>
      <c r="C12" s="15"/>
    </row>
    <row r="13" spans="1:5" x14ac:dyDescent="0.2">
      <c r="A13" s="16" t="s">
        <v>368</v>
      </c>
      <c r="B13" s="15"/>
      <c r="C13" s="15"/>
    </row>
    <row r="14" spans="1:5" x14ac:dyDescent="0.2">
      <c r="A14" s="16" t="s">
        <v>369</v>
      </c>
      <c r="B14" s="15"/>
      <c r="C14" s="15"/>
    </row>
    <row r="15" spans="1:5" x14ac:dyDescent="0.2">
      <c r="A15" s="16" t="s">
        <v>370</v>
      </c>
      <c r="B15" s="15"/>
      <c r="C15" s="15"/>
    </row>
    <row r="16" spans="1:5" ht="13.5" thickBot="1" x14ac:dyDescent="0.25">
      <c r="A16" s="3"/>
      <c r="B16" s="19"/>
      <c r="C16" s="19"/>
    </row>
    <row r="17" spans="1:7" ht="15" x14ac:dyDescent="0.2">
      <c r="A17" s="20" t="s">
        <v>371</v>
      </c>
      <c r="B17" s="20" t="s">
        <v>353</v>
      </c>
      <c r="C17" s="21" t="s">
        <v>372</v>
      </c>
      <c r="D17" s="21" t="s">
        <v>171</v>
      </c>
      <c r="F17" s="68" t="s">
        <v>373</v>
      </c>
      <c r="G17" s="69" t="s">
        <v>374</v>
      </c>
    </row>
    <row r="18" spans="1:7" ht="13.5" thickBot="1" x14ac:dyDescent="0.25">
      <c r="A18" s="18" t="s">
        <v>45</v>
      </c>
      <c r="B18" s="22">
        <f>SUM('Input Leak Survey Details (1)'!$L$4)</f>
        <v>0</v>
      </c>
      <c r="C18" s="22"/>
      <c r="D18" s="22">
        <f>SUM(B18:C18)</f>
        <v>0</v>
      </c>
      <c r="F18" s="70">
        <f>Value_Bonus_Rate</f>
        <v>0</v>
      </c>
      <c r="G18" s="71"/>
    </row>
    <row r="19" spans="1:7" x14ac:dyDescent="0.2">
      <c r="A19" s="18" t="s">
        <v>375</v>
      </c>
      <c r="B19" s="22">
        <f>SUM('Input Leak Survey Details (1)'!$I$4,'Input Leak Survey Details (1)'!$J$4)</f>
        <v>0</v>
      </c>
      <c r="C19" s="22"/>
      <c r="D19" s="22">
        <f>SUM(B19:C19)</f>
        <v>0</v>
      </c>
    </row>
    <row r="20" spans="1:7" x14ac:dyDescent="0.2">
      <c r="A20" s="5" t="s">
        <v>376</v>
      </c>
      <c r="B20" s="17">
        <f>B$18/Value_Project_CAP</f>
        <v>0</v>
      </c>
      <c r="C20" s="17"/>
      <c r="D20" s="17">
        <f>D$18/Value_Project_CAP</f>
        <v>0</v>
      </c>
    </row>
    <row r="21" spans="1:7" x14ac:dyDescent="0.2">
      <c r="A21" s="18" t="s">
        <v>377</v>
      </c>
      <c r="B21" s="17" t="e">
        <f>B$18/B$19</f>
        <v>#DIV/0!</v>
      </c>
      <c r="C21" s="17"/>
      <c r="D21" s="17" t="e">
        <f>D$18/D$19</f>
        <v>#DIV/0!</v>
      </c>
    </row>
    <row r="23" spans="1:7" ht="15" x14ac:dyDescent="0.2">
      <c r="A23" s="20" t="s">
        <v>378</v>
      </c>
      <c r="B23" s="20" t="s">
        <v>353</v>
      </c>
    </row>
    <row r="24" spans="1:7" x14ac:dyDescent="0.2">
      <c r="A24" s="18" t="s">
        <v>379</v>
      </c>
      <c r="B24" s="22" t="b">
        <f>Project_Energy_Savings=SUM('APTracks Export Data'!G:G)</f>
        <v>1</v>
      </c>
    </row>
    <row r="25" spans="1:7" x14ac:dyDescent="0.2">
      <c r="A25" s="18" t="s">
        <v>380</v>
      </c>
      <c r="B25" s="22" t="e">
        <f>Total_Incentive=SUM('APTracks Export Data'!N:N)</f>
        <v>#DIV/0!</v>
      </c>
    </row>
    <row r="26" spans="1:7" x14ac:dyDescent="0.2">
      <c r="A26" s="5" t="s">
        <v>381</v>
      </c>
      <c r="B26" s="17" t="b">
        <f>Gross_Proj_Cost=SUM('APTracks Export Data'!J:K)</f>
        <v>1</v>
      </c>
    </row>
    <row r="27" spans="1:7" x14ac:dyDescent="0.2">
      <c r="A27" s="5" t="s">
        <v>382</v>
      </c>
      <c r="B27" s="1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36" t="s">
        <v>383</v>
      </c>
    </row>
    <row r="3" spans="1:18" ht="13.5" thickTop="1" x14ac:dyDescent="0.2">
      <c r="A3" t="s">
        <v>384</v>
      </c>
      <c r="B3" t="s">
        <v>385</v>
      </c>
      <c r="C3" t="s">
        <v>386</v>
      </c>
      <c r="D3" t="s">
        <v>387</v>
      </c>
      <c r="E3" t="s">
        <v>70</v>
      </c>
      <c r="F3" t="s">
        <v>71</v>
      </c>
      <c r="G3" t="s">
        <v>388</v>
      </c>
      <c r="H3" t="s">
        <v>389</v>
      </c>
      <c r="I3" t="s">
        <v>390</v>
      </c>
      <c r="J3" t="s">
        <v>391</v>
      </c>
      <c r="K3" t="s">
        <v>392</v>
      </c>
      <c r="L3" t="s">
        <v>393</v>
      </c>
      <c r="M3" t="s">
        <v>394</v>
      </c>
      <c r="N3" t="s">
        <v>395</v>
      </c>
      <c r="O3" t="s">
        <v>396</v>
      </c>
      <c r="P3" t="s">
        <v>397</v>
      </c>
      <c r="Q3" t="s">
        <v>398</v>
      </c>
      <c r="R3" t="s">
        <v>399</v>
      </c>
    </row>
    <row r="4" spans="1:18" x14ac:dyDescent="0.2">
      <c r="A4" s="39" t="s">
        <v>163</v>
      </c>
      <c r="B4">
        <f>'Fill in the Application'!$C$4</f>
        <v>0</v>
      </c>
      <c r="C4">
        <f>'Fill in the Application'!$C$5</f>
        <v>0</v>
      </c>
      <c r="D4">
        <f>'Fill in the Application'!$C$6</f>
        <v>0</v>
      </c>
      <c r="E4">
        <f>'Fill in the Application'!$C$7</f>
        <v>0</v>
      </c>
      <c r="F4">
        <f>'Fill in the Application'!$C$8</f>
        <v>0</v>
      </c>
      <c r="G4">
        <f>'Fill in the Application'!$C$9</f>
        <v>0</v>
      </c>
      <c r="H4">
        <f>'Fill in the Application'!$C$10</f>
        <v>0</v>
      </c>
      <c r="I4">
        <f>'Fill in the Application'!$C$11</f>
        <v>0</v>
      </c>
      <c r="J4">
        <f>'Fill in the Application'!$C$12</f>
        <v>0</v>
      </c>
      <c r="K4">
        <f>'Fill in the Application'!$C$13</f>
        <v>0</v>
      </c>
      <c r="L4">
        <f>'Fill in the Application'!$C$14</f>
        <v>0</v>
      </c>
      <c r="M4" t="s">
        <v>400</v>
      </c>
      <c r="N4" t="str">
        <f>Table_Contacts[[#This Row],[Entity]]</f>
        <v>Customer</v>
      </c>
      <c r="O4" t="s">
        <v>400</v>
      </c>
      <c r="P4" t="s">
        <v>400</v>
      </c>
      <c r="Q4" t="s">
        <v>400</v>
      </c>
      <c r="R4" t="s">
        <v>400</v>
      </c>
    </row>
    <row r="5" spans="1:18" x14ac:dyDescent="0.2">
      <c r="A5" s="39" t="s">
        <v>246</v>
      </c>
      <c r="B5">
        <f>'Fill in the Application'!$C$16</f>
        <v>0</v>
      </c>
      <c r="C5">
        <f>'Fill in the Application'!$C$17</f>
        <v>0</v>
      </c>
      <c r="D5">
        <f>'Fill in the Application'!$C$18</f>
        <v>0</v>
      </c>
      <c r="E5">
        <f>'Fill in the Application'!$C$19</f>
        <v>0</v>
      </c>
      <c r="F5">
        <f>'Fill in the Application'!$C$20</f>
        <v>0</v>
      </c>
      <c r="G5">
        <f>'Fill in the Application'!$C$21</f>
        <v>0</v>
      </c>
      <c r="H5">
        <f>'Fill in the Application'!$C$22</f>
        <v>0</v>
      </c>
      <c r="I5">
        <f>'Fill in the Application'!$C$23</f>
        <v>0</v>
      </c>
      <c r="J5" t="s">
        <v>400</v>
      </c>
      <c r="K5" t="s">
        <v>400</v>
      </c>
      <c r="L5" t="s">
        <v>400</v>
      </c>
      <c r="M5">
        <f>'Fill in the Application'!$C$24</f>
        <v>0</v>
      </c>
      <c r="N5" t="str">
        <f>Table_Contacts[[#This Row],[Entity]]</f>
        <v>Trade Ally/Contractor</v>
      </c>
      <c r="O5" t="s">
        <v>400</v>
      </c>
      <c r="P5" t="s">
        <v>400</v>
      </c>
      <c r="Q5" t="s">
        <v>400</v>
      </c>
      <c r="R5" t="s">
        <v>400</v>
      </c>
    </row>
    <row r="6" spans="1:18" x14ac:dyDescent="0.2">
      <c r="A6" s="39" t="s">
        <v>260</v>
      </c>
      <c r="B6">
        <f>'Fill in the Application'!$C$26</f>
        <v>0</v>
      </c>
      <c r="C6">
        <f>'Fill in the Application'!$C$27</f>
        <v>0</v>
      </c>
      <c r="D6">
        <f>'Fill in the Application'!$C$28</f>
        <v>0</v>
      </c>
      <c r="E6">
        <f>'Fill in the Application'!$C$29</f>
        <v>0</v>
      </c>
      <c r="F6">
        <f>'Fill in the Application'!$C$30</f>
        <v>0</v>
      </c>
      <c r="G6">
        <f>'Fill in the Application'!$C$31</f>
        <v>0</v>
      </c>
      <c r="H6">
        <f>'Fill in the Application'!$C$32</f>
        <v>0</v>
      </c>
      <c r="I6">
        <f>'Fill in the Application'!$C$33</f>
        <v>0</v>
      </c>
      <c r="J6" t="s">
        <v>400</v>
      </c>
      <c r="K6" t="s">
        <v>400</v>
      </c>
      <c r="L6" t="s">
        <v>400</v>
      </c>
      <c r="M6" t="s">
        <v>400</v>
      </c>
      <c r="N6">
        <f>'Fill in the Application'!$C$34</f>
        <v>0</v>
      </c>
      <c r="O6" t="s">
        <v>400</v>
      </c>
      <c r="P6" t="s">
        <v>400</v>
      </c>
      <c r="Q6" t="s">
        <v>400</v>
      </c>
      <c r="R6" t="s">
        <v>400</v>
      </c>
    </row>
    <row r="7" spans="1:18" x14ac:dyDescent="0.2">
      <c r="A7" s="39" t="s">
        <v>273</v>
      </c>
      <c r="B7">
        <f>'Fill in the Application'!$F$14</f>
        <v>0</v>
      </c>
      <c r="C7">
        <f>'Fill in the Application'!$F$15</f>
        <v>0</v>
      </c>
      <c r="D7">
        <f>'Fill in the Application'!$F$16</f>
        <v>0</v>
      </c>
      <c r="E7">
        <f>'Fill in the Application'!$F$17</f>
        <v>0</v>
      </c>
      <c r="F7">
        <f>'Fill in the Application'!$F$18</f>
        <v>0</v>
      </c>
      <c r="G7">
        <f>'Fill in the Application'!$F$19</f>
        <v>0</v>
      </c>
      <c r="H7">
        <f>'Fill in the Application'!$F$20</f>
        <v>0</v>
      </c>
      <c r="I7">
        <f>'Fill in the Application'!$F$21</f>
        <v>0</v>
      </c>
      <c r="J7" t="s">
        <v>400</v>
      </c>
      <c r="K7" t="s">
        <v>400</v>
      </c>
      <c r="L7" t="s">
        <v>400</v>
      </c>
      <c r="M7" t="s">
        <v>400</v>
      </c>
      <c r="N7" t="str">
        <f>Table_Contacts[[#This Row],[Entity]]</f>
        <v>Job Site</v>
      </c>
      <c r="O7" t="s">
        <v>400</v>
      </c>
      <c r="P7" t="s">
        <v>400</v>
      </c>
      <c r="Q7" t="s">
        <v>400</v>
      </c>
      <c r="R7" t="s">
        <v>400</v>
      </c>
    </row>
    <row r="8" spans="1:18" x14ac:dyDescent="0.2">
      <c r="A8" s="39" t="s">
        <v>401</v>
      </c>
      <c r="B8" t="e">
        <f>INDEX(Table_Contacts[Business Name], MATCH('Fill in the Application'!$C$36, Table_Contacts[Entity], 0))</f>
        <v>#N/A</v>
      </c>
      <c r="C8" t="e">
        <f>INDEX(Table_Contacts[Contact Name], MATCH('Fill in the Application'!$C$36, Table_Contacts[Entity], 0))</f>
        <v>#N/A</v>
      </c>
      <c r="D8" t="e">
        <f>INDEX(Table_Contacts[Street], MATCH('Fill in the Application'!$C$36, Table_Contacts[Entity], 0))</f>
        <v>#N/A</v>
      </c>
      <c r="E8" t="e">
        <f>INDEX(Table_Contacts[City], MATCH('Fill in the Application'!$C$36, Table_Contacts[Entity], 0))</f>
        <v>#N/A</v>
      </c>
      <c r="F8" t="e">
        <f>INDEX(Table_Contacts[State], MATCH('Fill in the Application'!$C$36, Table_Contacts[Entity], 0))</f>
        <v>#N/A</v>
      </c>
      <c r="G8" t="e">
        <f>INDEX(Table_Contacts[Zip], MATCH('Fill in the Application'!$C$36, Table_Contacts[Entity], 0))</f>
        <v>#N/A</v>
      </c>
      <c r="H8" t="e">
        <f>INDEX(Table_Contacts[Phone], MATCH('Fill in the Application'!$C$36, Table_Contacts[Entity], 0))</f>
        <v>#N/A</v>
      </c>
      <c r="I8" t="e">
        <f>INDEX(Table_Contacts[Email], MATCH('Fill in the Application'!$C$36, Table_Contacts[Entity], 0))</f>
        <v>#N/A</v>
      </c>
      <c r="J8" t="e">
        <f>INDEX(Table_Contacts[Classification], MATCH('Fill in the Application'!$C$36, Table_Contacts[Entity], 0))</f>
        <v>#N/A</v>
      </c>
      <c r="K8" t="s">
        <v>400</v>
      </c>
      <c r="L8" t="s">
        <v>400</v>
      </c>
      <c r="M8" t="s">
        <v>400</v>
      </c>
      <c r="N8" t="s">
        <v>400</v>
      </c>
      <c r="O8">
        <f>'Fill in the Application'!F33</f>
        <v>0</v>
      </c>
      <c r="P8">
        <f>'Fill in the Application'!F34</f>
        <v>0</v>
      </c>
      <c r="Q8">
        <f>'Fill in the Application'!F35</f>
        <v>0</v>
      </c>
      <c r="R8">
        <f>'Fill in the Application'!F36</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
  <sheetViews>
    <sheetView workbookViewId="0">
      <selection activeCell="D2" sqref="D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32" customWidth="1"/>
    <col min="11" max="11" width="13" customWidth="1"/>
    <col min="12" max="12" width="19.28515625" customWidth="1"/>
    <col min="13" max="13" width="56" customWidth="1"/>
    <col min="14" max="14" width="12.28515625" style="32" customWidth="1"/>
  </cols>
  <sheetData>
    <row r="1" spans="1:14" ht="30" x14ac:dyDescent="0.25">
      <c r="A1" s="47" t="s">
        <v>402</v>
      </c>
      <c r="B1" s="48" t="s">
        <v>403</v>
      </c>
      <c r="C1" s="48" t="s">
        <v>404</v>
      </c>
      <c r="D1" s="48" t="s">
        <v>405</v>
      </c>
      <c r="E1" s="48" t="s">
        <v>406</v>
      </c>
      <c r="F1" s="48" t="s">
        <v>407</v>
      </c>
      <c r="G1" s="49" t="s">
        <v>408</v>
      </c>
      <c r="H1" s="48" t="s">
        <v>409</v>
      </c>
      <c r="I1" s="50" t="s">
        <v>45</v>
      </c>
      <c r="J1" s="50" t="s">
        <v>410</v>
      </c>
      <c r="K1" s="48" t="s">
        <v>411</v>
      </c>
      <c r="L1" s="48" t="s">
        <v>412</v>
      </c>
      <c r="M1" s="51" t="s">
        <v>413</v>
      </c>
      <c r="N1" s="50" t="s">
        <v>414</v>
      </c>
    </row>
    <row r="2" spans="1:14" x14ac:dyDescent="0.2">
      <c r="A2" s="28" t="s">
        <v>415</v>
      </c>
      <c r="B2" s="27">
        <f t="shared" ref="B2:B3" si="0">Input_ProjectNumber</f>
        <v>0</v>
      </c>
      <c r="C2" s="27"/>
      <c r="D2" s="27">
        <f>Input_BonusMeasureNumber</f>
        <v>0</v>
      </c>
      <c r="E2" s="27"/>
      <c r="F2" s="27">
        <v>1</v>
      </c>
      <c r="G2" s="27">
        <v>0</v>
      </c>
      <c r="H2" s="55">
        <v>0</v>
      </c>
      <c r="I2" s="33" t="e" cm="1">
        <f t="array" ref="I2">Table_Bonus_Caps[Final Bonus]</f>
        <v>#DIV/0!</v>
      </c>
      <c r="J2" s="33">
        <f>'Input Leak Survey Details (1)'!I3</f>
        <v>0</v>
      </c>
      <c r="K2" s="27">
        <f>'Input Leak Survey Details (1)'!J3</f>
        <v>0</v>
      </c>
      <c r="L2" s="29" t="str">
        <f t="shared" ref="L2:L3" si="1">Value_Application_Version</f>
        <v>Version 1.3 PY14</v>
      </c>
      <c r="M2" s="45" t="str">
        <f>IF(ISNUMBER($D2)=TRUE,"Bonus Incentive","")</f>
        <v>Bonus Incentive</v>
      </c>
      <c r="N2" s="30" t="e" cm="1">
        <f t="array" ref="N2">Table_Bonus_Caps[Uncapped Bonus]</f>
        <v>#DIV/0!</v>
      </c>
    </row>
    <row r="3" spans="1:14" x14ac:dyDescent="0.2">
      <c r="A3" s="9" t="s">
        <v>416</v>
      </c>
      <c r="B3" s="8">
        <f t="shared" si="0"/>
        <v>0</v>
      </c>
      <c r="C3" s="8" t="s">
        <v>417</v>
      </c>
      <c r="D3" s="67">
        <v>706330</v>
      </c>
      <c r="E3" s="8" t="s">
        <v>418</v>
      </c>
      <c r="F3" s="8">
        <f>COUNTIF(Table_Leaks1_Input[Repaired (Y/N)], "Yes")</f>
        <v>0</v>
      </c>
      <c r="G3" s="8">
        <f>IF(ISNUMBER($D3)=TRUE,'Input Leak Survey Details (1)'!M4,"")</f>
        <v>0</v>
      </c>
      <c r="H3" s="56">
        <f>IF(ISNUMBER($D3)=TRUE,'Input Leak Survey Details (1)'!N4,"")</f>
        <v>0</v>
      </c>
      <c r="I3" s="34" t="e">
        <f>Table_Measure_Caps[[#Totals],[Capped Incentive]]</f>
        <v>#DIV/0!</v>
      </c>
      <c r="J3" s="34">
        <f>'Input Leak Survey Details (1)'!I4</f>
        <v>0</v>
      </c>
      <c r="K3" s="8">
        <f>'Input Leak Survey Details (1)'!J4</f>
        <v>0</v>
      </c>
      <c r="L3" s="23" t="str">
        <f t="shared" si="1"/>
        <v>Version 1.3 PY14</v>
      </c>
      <c r="M3" s="46" t="s">
        <v>419</v>
      </c>
      <c r="N3" s="31">
        <f>'Input Leak Survey Details (1)'!L4</f>
        <v>0</v>
      </c>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af5a3b8-19fe-4aaf-8551-0b725c993cd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2.xml><?xml version="1.0" encoding="utf-8"?>
<ds:datastoreItem xmlns:ds="http://schemas.openxmlformats.org/officeDocument/2006/customXml" ds:itemID="{5238338B-E843-45D4-8463-2090BF248D75}"/>
</file>

<file path=customXml/itemProps3.xml><?xml version="1.0" encoding="utf-8"?>
<ds:datastoreItem xmlns:ds="http://schemas.openxmlformats.org/officeDocument/2006/customXml" ds:itemID="{6CB6706F-DDF4-41B7-B137-65BA3C1C0B78}">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purl.org/dc/dcmitype/"/>
    <ds:schemaRef ds:uri="31dec9db-5195-47be-9e82-d05353a30672"/>
    <ds:schemaRef ds:uri="6b2b484f-4c19-4c24-b89d-0399ef7e60bb"/>
    <ds:schemaRef ds:uri="http://schemas.microsoft.com/office/infopath/2007/PartnerControls"/>
    <ds:schemaRef ds:uri="http://schemas.openxmlformats.org/package/2006/metadata/core-properties"/>
    <ds:schemaRef ds:uri="405923a6-f60e-469d-8560-ac7b1a3d2c54"/>
    <ds:schemaRef ds:uri="http://www.w3.org/XML/1998/namespace"/>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Review the Intro Tab</vt:lpstr>
      <vt:lpstr>Review the Project Eligibility</vt:lpstr>
      <vt:lpstr>Fill in the Application</vt:lpstr>
      <vt:lpstr>Place Your Signature</vt:lpstr>
      <vt:lpstr>Input the Compressors Info</vt:lpstr>
      <vt:lpstr>Input Leak Survey Details (1)</vt:lpstr>
      <vt:lpstr>Input Leak Survey Details (2)</vt:lpstr>
      <vt:lpstr>Review the Summary</vt:lpstr>
      <vt:lpstr>Sign Off On Project Completion</vt:lpstr>
      <vt:lpstr>References</vt:lpstr>
      <vt:lpstr>Caps</vt:lpstr>
      <vt:lpstr>QC</vt:lpstr>
      <vt:lpstr>Proj Data</vt:lpstr>
      <vt:lpstr>APTracks Export Data</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List_Comp_ShiftType</vt:lpstr>
      <vt:lpstr>List_Contacts</vt:lpstr>
      <vt:lpstr>List_Control_Type</vt:lpstr>
      <vt:lpstr>List_DBE_Option</vt:lpstr>
      <vt:lpstr>List_HVAC</vt:lpstr>
      <vt:lpstr>List_Install_Type</vt:lpstr>
      <vt:lpstr>List_Operating_Mode</vt:lpstr>
      <vt:lpstr>List_Ownership</vt:lpstr>
      <vt:lpstr>List_Programs</vt:lpstr>
      <vt:lpstr>List_Project_Stage</vt:lpstr>
      <vt:lpstr>List_Source</vt:lpstr>
      <vt:lpstr>List_Sys_ShiftType</vt:lpstr>
      <vt:lpstr>List_Tax_Entity</vt:lpstr>
      <vt:lpstr>List_Water_Heating</vt:lpstr>
      <vt:lpstr>List_Y_N</vt:lpstr>
      <vt:lpstr>List_Y_N_U</vt:lpstr>
      <vt:lpstr>Net_Project_Cost</vt:lpstr>
      <vt:lpstr>Project_Energy_Savings</vt:lpstr>
      <vt:lpstr>Total_Incentive</vt:lpstr>
      <vt:lpstr>Value_Application_Version</vt:lpstr>
      <vt:lpstr>Value_Bonus_Rate</vt:lpstr>
      <vt:lpstr>Value_CALeaksIR</vt:lpstr>
      <vt:lpstr>Value_CASysAOH</vt:lpstr>
      <vt:lpstr>Value_Default_Eff</vt:lpstr>
      <vt:lpstr>Value_Default_PostLeakRate</vt:lpstr>
      <vt:lpstr>Value_Default_PreLeakRate</vt:lpstr>
      <vt:lpstr>Value_FastTrack_Limit</vt:lpstr>
      <vt:lpstr>Value_LeakRepairIR</vt:lpstr>
      <vt:lpstr>Value_MaxIncent_perHP</vt:lpstr>
      <vt:lpstr>Value_Measure_CAP</vt:lpstr>
      <vt:lpstr>Value_Project_CAP</vt:lpstr>
      <vt:lpstr>Value_SysAOH</vt:lpstr>
      <vt:lpstr>Value_SysMaxIncent</vt:lpstr>
      <vt:lpstr>Value_WeightAvgCompEff</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dcterms:created xsi:type="dcterms:W3CDTF">2017-02-21T18:38:33Z</dcterms:created>
  <dcterms:modified xsi:type="dcterms:W3CDTF">2024-09-23T21:49:47Z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